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202300"/>
  <xr:revisionPtr revIDLastSave="58" documentId="8_{5E879B46-F57B-447F-BBAE-1AD05FF0CA27}" xr6:coauthVersionLast="47" xr6:coauthVersionMax="47" xr10:uidLastSave="{A09ADEB9-9E77-4400-803F-2A6B800F5CFE}"/>
  <bookViews>
    <workbookView xWindow="28680" yWindow="-105" windowWidth="29040" windowHeight="15720" tabRatio="807" xr2:uid="{CDAA5548-0557-424D-9C94-407916727B7F}"/>
  </bookViews>
  <sheets>
    <sheet name="Budget Summary Table" sheetId="7" r:id="rId1"/>
    <sheet name="Budget by Cost Category" sheetId="1" r:id="rId2"/>
    <sheet name="Actual Spend by Cost Category" sheetId="6" r:id="rId3"/>
    <sheet name="Savings by Offer" sheetId="15" r:id="rId4"/>
    <sheet name="WAML" sheetId="16" r:id="rId5"/>
    <sheet name="Other Consolidated Data" sheetId="2" r:id="rId6"/>
    <sheet name="TRC-Plus" sheetId="10" r:id="rId7"/>
    <sheet name="PAC" sheetId="11" r:id="rId8"/>
    <sheet name="Scorecards" sheetId="5" r:id="rId9"/>
    <sheet name="DSMI" sheetId="14" r:id="rId10"/>
    <sheet name="Central Comparison" sheetId="12" r:id="rId11"/>
    <sheet name="Scorecard Comparison" sheetId="13"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O32" i="12" l="1"/>
  <c r="O27" i="12"/>
  <c r="O18" i="12"/>
  <c r="O19" i="12"/>
  <c r="O20" i="12"/>
  <c r="O17" i="12"/>
  <c r="O14" i="12"/>
  <c r="O13" i="12"/>
  <c r="O8" i="12"/>
  <c r="C33" i="12"/>
  <c r="C30" i="12"/>
  <c r="C15" i="12"/>
  <c r="G33" i="12"/>
  <c r="G30" i="12"/>
  <c r="G25" i="12"/>
  <c r="G15" i="12"/>
  <c r="G11" i="12"/>
  <c r="F33" i="12"/>
  <c r="F30" i="12"/>
  <c r="F25" i="12"/>
  <c r="F15" i="12"/>
  <c r="F11" i="12"/>
  <c r="E33" i="12"/>
  <c r="E30" i="12"/>
  <c r="E25" i="12"/>
  <c r="E15" i="12"/>
  <c r="E11" i="12"/>
  <c r="D33" i="12"/>
  <c r="D30" i="12"/>
  <c r="D25" i="12"/>
  <c r="D15" i="12"/>
  <c r="D11" i="12"/>
  <c r="C11" i="12"/>
  <c r="FS35" i="2"/>
  <c r="FS32" i="2"/>
  <c r="FS27" i="2"/>
  <c r="FS17" i="2"/>
  <c r="FS13" i="2"/>
  <c r="FE32" i="2"/>
  <c r="FE27" i="2"/>
  <c r="FE17" i="2"/>
  <c r="FE35" i="2"/>
  <c r="FE13" i="2"/>
  <c r="EQ35" i="2"/>
  <c r="EQ32" i="2"/>
  <c r="EQ27" i="2"/>
  <c r="EQ17" i="2"/>
  <c r="EQ13" i="2"/>
  <c r="EC35" i="2"/>
  <c r="EC32" i="2"/>
  <c r="EC27" i="2"/>
  <c r="EC17" i="2"/>
  <c r="EC13" i="2"/>
  <c r="AG29" i="6"/>
  <c r="AF29" i="6"/>
  <c r="AE29" i="6"/>
  <c r="Z29" i="6"/>
  <c r="Y29" i="6"/>
  <c r="X29" i="6"/>
  <c r="S29" i="6"/>
  <c r="R29" i="6"/>
  <c r="Q29" i="6"/>
  <c r="E29" i="6"/>
  <c r="D29" i="6"/>
  <c r="C29" i="6"/>
  <c r="FY36" i="2" l="1"/>
  <c r="FY35" i="2"/>
  <c r="FY34" i="2"/>
  <c r="FY32" i="2"/>
  <c r="FY31" i="2"/>
  <c r="FY30" i="2"/>
  <c r="FY29" i="2"/>
  <c r="FY27" i="2"/>
  <c r="FY26" i="2"/>
  <c r="FY25" i="2"/>
  <c r="FY24" i="2"/>
  <c r="FY23" i="2"/>
  <c r="FY22" i="2"/>
  <c r="FY21" i="2"/>
  <c r="FY20" i="2"/>
  <c r="FY19" i="2"/>
  <c r="FY17" i="2"/>
  <c r="FY16" i="2"/>
  <c r="FY15" i="2"/>
  <c r="FY13" i="2"/>
  <c r="FY12" i="2"/>
  <c r="FY11" i="2"/>
  <c r="FY10" i="2"/>
  <c r="FY9" i="2"/>
  <c r="FY8" i="2"/>
  <c r="FY7" i="2"/>
  <c r="FK36" i="2"/>
  <c r="FK35" i="2"/>
  <c r="FK34" i="2"/>
  <c r="FK32" i="2"/>
  <c r="FK31" i="2"/>
  <c r="FK30" i="2"/>
  <c r="FK29" i="2"/>
  <c r="FK27" i="2"/>
  <c r="FK26" i="2"/>
  <c r="FK25" i="2"/>
  <c r="FK24" i="2"/>
  <c r="FK23" i="2"/>
  <c r="FK22" i="2"/>
  <c r="FK21" i="2"/>
  <c r="FK20" i="2"/>
  <c r="FK19" i="2"/>
  <c r="FK17" i="2"/>
  <c r="FK16" i="2"/>
  <c r="FK15" i="2"/>
  <c r="FK13" i="2"/>
  <c r="FK12" i="2"/>
  <c r="FK11" i="2"/>
  <c r="FK10" i="2"/>
  <c r="FK9" i="2"/>
  <c r="FK8" i="2"/>
  <c r="FK7" i="2"/>
  <c r="EW36" i="2"/>
  <c r="EW35" i="2"/>
  <c r="EW34" i="2"/>
  <c r="EW32" i="2"/>
  <c r="EW31" i="2"/>
  <c r="EW30" i="2"/>
  <c r="EW29" i="2"/>
  <c r="EW27" i="2"/>
  <c r="EW26" i="2"/>
  <c r="EW25" i="2"/>
  <c r="EW24" i="2"/>
  <c r="EW23" i="2"/>
  <c r="EW22" i="2"/>
  <c r="EW21" i="2"/>
  <c r="EW20" i="2"/>
  <c r="EW19" i="2"/>
  <c r="EW17" i="2"/>
  <c r="EW16" i="2"/>
  <c r="EW15" i="2"/>
  <c r="EW13" i="2"/>
  <c r="EW12" i="2"/>
  <c r="EW11" i="2"/>
  <c r="EW10" i="2"/>
  <c r="EW9" i="2"/>
  <c r="EW8" i="2"/>
  <c r="EW7" i="2"/>
  <c r="BH37" i="2"/>
  <c r="DT38" i="2"/>
  <c r="DU38" i="2"/>
  <c r="DV38" i="2"/>
  <c r="DW38" i="2"/>
  <c r="DX38" i="2"/>
  <c r="DH38" i="2"/>
  <c r="DI38" i="2"/>
  <c r="DJ38" i="2"/>
  <c r="DG38" i="2"/>
  <c r="DF38" i="2"/>
  <c r="DE38" i="2"/>
  <c r="DC38" i="2"/>
  <c r="CF38" i="2"/>
  <c r="CG38" i="2"/>
  <c r="CH38" i="2"/>
  <c r="CI38" i="2"/>
  <c r="CJ38" i="2"/>
  <c r="CK38" i="2"/>
  <c r="CL38" i="2"/>
  <c r="CM38" i="2"/>
  <c r="BI38" i="2"/>
  <c r="BJ38" i="2"/>
  <c r="BK38" i="2"/>
  <c r="BL38" i="2"/>
  <c r="BM38" i="2"/>
  <c r="BN38" i="2"/>
  <c r="BO38" i="2"/>
  <c r="BP38" i="2"/>
  <c r="M53" i="1" l="1"/>
  <c r="F53" i="1"/>
  <c r="N52" i="1"/>
  <c r="G52" i="1"/>
  <c r="N51" i="1"/>
  <c r="G51" i="1"/>
  <c r="L50" i="1"/>
  <c r="K50" i="1"/>
  <c r="J50" i="1"/>
  <c r="E50" i="1"/>
  <c r="D50" i="1"/>
  <c r="C50" i="1"/>
  <c r="N49" i="1"/>
  <c r="G49" i="1"/>
  <c r="AO48" i="1"/>
  <c r="AH48" i="1"/>
  <c r="AA48" i="1"/>
  <c r="T48" i="1"/>
  <c r="N48" i="1"/>
  <c r="G48" i="1"/>
  <c r="AP47" i="1"/>
  <c r="AI47" i="1"/>
  <c r="AB47" i="1"/>
  <c r="U47" i="1"/>
  <c r="N47" i="1"/>
  <c r="G47" i="1"/>
  <c r="AN46" i="1"/>
  <c r="AM46" i="1"/>
  <c r="AL46" i="1"/>
  <c r="AG46" i="1"/>
  <c r="AF46" i="1"/>
  <c r="AE46" i="1"/>
  <c r="Z46" i="1"/>
  <c r="Y46" i="1"/>
  <c r="X46" i="1"/>
  <c r="AB46" i="1" s="1"/>
  <c r="S46" i="1"/>
  <c r="R46" i="1"/>
  <c r="Q46" i="1"/>
  <c r="N46" i="1"/>
  <c r="G46" i="1"/>
  <c r="AP45" i="1"/>
  <c r="AI45" i="1"/>
  <c r="AB45" i="1"/>
  <c r="U45" i="1"/>
  <c r="L45" i="1"/>
  <c r="K45" i="1"/>
  <c r="J45" i="1"/>
  <c r="E45" i="1"/>
  <c r="D45" i="1"/>
  <c r="C45" i="1"/>
  <c r="AP44" i="1"/>
  <c r="AI44" i="1"/>
  <c r="AB44" i="1"/>
  <c r="U44" i="1"/>
  <c r="N44" i="1"/>
  <c r="G44" i="1"/>
  <c r="AP43" i="1"/>
  <c r="AI43" i="1"/>
  <c r="AB43" i="1"/>
  <c r="U43" i="1"/>
  <c r="N43" i="1"/>
  <c r="G43" i="1"/>
  <c r="AP42" i="1"/>
  <c r="AI42" i="1"/>
  <c r="AB42" i="1"/>
  <c r="U42" i="1"/>
  <c r="N42" i="1"/>
  <c r="G42" i="1"/>
  <c r="AN41" i="1"/>
  <c r="AM41" i="1"/>
  <c r="AL41" i="1"/>
  <c r="AG41" i="1"/>
  <c r="AG48" i="1" s="1"/>
  <c r="AF41" i="1"/>
  <c r="AF48" i="1" s="1"/>
  <c r="AE41" i="1"/>
  <c r="Z41" i="1"/>
  <c r="Z48" i="1" s="1"/>
  <c r="Y41" i="1"/>
  <c r="X41" i="1"/>
  <c r="S41" i="1"/>
  <c r="R41" i="1"/>
  <c r="Q41" i="1"/>
  <c r="Q48" i="1" s="1"/>
  <c r="L41" i="1"/>
  <c r="K41" i="1"/>
  <c r="J41" i="1"/>
  <c r="E41" i="1"/>
  <c r="D41" i="1"/>
  <c r="C41" i="1"/>
  <c r="AP40" i="1"/>
  <c r="AI40" i="1"/>
  <c r="AB40" i="1"/>
  <c r="U40" i="1"/>
  <c r="N40" i="1"/>
  <c r="G40" i="1"/>
  <c r="BQ38" i="1"/>
  <c r="BP38" i="1"/>
  <c r="BO38" i="1"/>
  <c r="BN38" i="1"/>
  <c r="BJ38" i="1"/>
  <c r="BI38" i="1"/>
  <c r="BH38" i="1"/>
  <c r="BG38" i="1"/>
  <c r="BC38" i="1"/>
  <c r="BB38" i="1"/>
  <c r="BA38" i="1"/>
  <c r="AZ38" i="1"/>
  <c r="AV38" i="1"/>
  <c r="AU38" i="1"/>
  <c r="AT38" i="1"/>
  <c r="AS38" i="1"/>
  <c r="AO38" i="1"/>
  <c r="AN38" i="1"/>
  <c r="AM38" i="1"/>
  <c r="AL38" i="1"/>
  <c r="AH38" i="1"/>
  <c r="AG38" i="1"/>
  <c r="AF38" i="1"/>
  <c r="AE38" i="1"/>
  <c r="AA38" i="1"/>
  <c r="Z38" i="1"/>
  <c r="Y38" i="1"/>
  <c r="X38" i="1"/>
  <c r="T38" i="1"/>
  <c r="S38" i="1"/>
  <c r="R38" i="1"/>
  <c r="Q38" i="1"/>
  <c r="M38" i="1"/>
  <c r="L38" i="1"/>
  <c r="K38" i="1"/>
  <c r="J38" i="1"/>
  <c r="F38" i="1"/>
  <c r="E38" i="1"/>
  <c r="E39" i="1" s="1"/>
  <c r="D38" i="1"/>
  <c r="D39" i="1" s="1"/>
  <c r="C38" i="1"/>
  <c r="BR37" i="1"/>
  <c r="BK37" i="1"/>
  <c r="BD37" i="1"/>
  <c r="AW37" i="1"/>
  <c r="AP37" i="1"/>
  <c r="C41" i="12" s="1"/>
  <c r="AI37" i="1"/>
  <c r="AB37" i="1"/>
  <c r="U37" i="1"/>
  <c r="N37" i="1"/>
  <c r="G37" i="1"/>
  <c r="BR36" i="1"/>
  <c r="BK36" i="1"/>
  <c r="BD36" i="1"/>
  <c r="AW36" i="1"/>
  <c r="AP36" i="1"/>
  <c r="C40" i="12" s="1"/>
  <c r="AI36" i="1"/>
  <c r="AB36" i="1"/>
  <c r="U36" i="1"/>
  <c r="N36" i="1"/>
  <c r="G36" i="1"/>
  <c r="BR35" i="1"/>
  <c r="L13" i="7" s="1"/>
  <c r="BK35" i="1"/>
  <c r="K13" i="7" s="1"/>
  <c r="BD35" i="1"/>
  <c r="J13" i="7" s="1"/>
  <c r="AW35" i="1"/>
  <c r="I13" i="7" s="1"/>
  <c r="AP35" i="1"/>
  <c r="AI35" i="1"/>
  <c r="G13" i="7" s="1"/>
  <c r="AB35" i="1"/>
  <c r="F13" i="7" s="1"/>
  <c r="U35" i="1"/>
  <c r="E13" i="7" s="1"/>
  <c r="N35" i="1"/>
  <c r="D13" i="7" s="1"/>
  <c r="G35" i="1"/>
  <c r="C13" i="7" s="1"/>
  <c r="BR34" i="1"/>
  <c r="BK34" i="1"/>
  <c r="BD34" i="1"/>
  <c r="AW34" i="1"/>
  <c r="AP34" i="1"/>
  <c r="C38" i="12" s="1"/>
  <c r="AI34" i="1"/>
  <c r="AB34" i="1"/>
  <c r="U34" i="1"/>
  <c r="N34" i="1"/>
  <c r="G34" i="1"/>
  <c r="BR33" i="1"/>
  <c r="BK33" i="1"/>
  <c r="BD33" i="1"/>
  <c r="AW33" i="1"/>
  <c r="AP33" i="1"/>
  <c r="C37" i="12" s="1"/>
  <c r="AI33" i="1"/>
  <c r="AB33" i="1"/>
  <c r="U33" i="1"/>
  <c r="N33" i="1"/>
  <c r="D12" i="7" s="1"/>
  <c r="G33" i="1"/>
  <c r="BR32" i="1"/>
  <c r="BK32" i="1"/>
  <c r="BD32" i="1"/>
  <c r="AW32" i="1"/>
  <c r="AP32" i="1"/>
  <c r="C36" i="12" s="1"/>
  <c r="AI32" i="1"/>
  <c r="AB32" i="1"/>
  <c r="U32" i="1"/>
  <c r="N32" i="1"/>
  <c r="G32" i="1"/>
  <c r="BR31" i="1"/>
  <c r="L11" i="7" s="1"/>
  <c r="BK31" i="1"/>
  <c r="BD31" i="1"/>
  <c r="AW31" i="1"/>
  <c r="AP31" i="1"/>
  <c r="C35" i="12" s="1"/>
  <c r="AI31" i="1"/>
  <c r="AB31" i="1"/>
  <c r="U31" i="1"/>
  <c r="N31" i="1"/>
  <c r="G31" i="1"/>
  <c r="BQ30" i="1"/>
  <c r="BJ30" i="1"/>
  <c r="BC30" i="1"/>
  <c r="AV30" i="1"/>
  <c r="M30" i="1"/>
  <c r="F30" i="1"/>
  <c r="F39" i="1" s="1"/>
  <c r="BR29" i="1"/>
  <c r="BK29" i="1"/>
  <c r="BD29" i="1"/>
  <c r="AW29" i="1"/>
  <c r="AP29" i="1"/>
  <c r="C32" i="12" s="1"/>
  <c r="AI29" i="1"/>
  <c r="AB29" i="1"/>
  <c r="U29" i="1"/>
  <c r="N29" i="1"/>
  <c r="G29" i="1"/>
  <c r="BP28" i="1"/>
  <c r="BO28" i="1"/>
  <c r="BN28" i="1"/>
  <c r="BR28" i="1" s="1"/>
  <c r="L9" i="7" s="1"/>
  <c r="BI28" i="1"/>
  <c r="BH28" i="1"/>
  <c r="BG28" i="1"/>
  <c r="BB28" i="1"/>
  <c r="BA28" i="1"/>
  <c r="AZ28" i="1"/>
  <c r="AU28" i="1"/>
  <c r="AT28" i="1"/>
  <c r="AS28" i="1"/>
  <c r="AN28" i="1"/>
  <c r="AM28" i="1"/>
  <c r="AL28" i="1"/>
  <c r="AI28" i="1"/>
  <c r="G9" i="7" s="1"/>
  <c r="AB28" i="1"/>
  <c r="F9" i="7" s="1"/>
  <c r="U28" i="1"/>
  <c r="E9" i="7" s="1"/>
  <c r="L28" i="1"/>
  <c r="K28" i="1"/>
  <c r="J28" i="1"/>
  <c r="C28" i="1"/>
  <c r="G28" i="1" s="1"/>
  <c r="C9" i="7" s="1"/>
  <c r="BR27" i="1"/>
  <c r="BK27" i="1"/>
  <c r="BD27" i="1"/>
  <c r="AW27" i="1"/>
  <c r="AP27" i="1"/>
  <c r="AI27" i="1"/>
  <c r="AB27" i="1"/>
  <c r="U27" i="1"/>
  <c r="N27" i="1"/>
  <c r="G27" i="1"/>
  <c r="BR26" i="1"/>
  <c r="BK26" i="1"/>
  <c r="BD26" i="1"/>
  <c r="AW26" i="1"/>
  <c r="AP26" i="1"/>
  <c r="AI26" i="1"/>
  <c r="AB26" i="1"/>
  <c r="U26" i="1"/>
  <c r="N26" i="1"/>
  <c r="G26" i="1"/>
  <c r="BR25" i="1"/>
  <c r="BK25" i="1"/>
  <c r="BD25" i="1"/>
  <c r="AW25" i="1"/>
  <c r="AP25" i="1"/>
  <c r="C27" i="12" s="1"/>
  <c r="AI25" i="1"/>
  <c r="AB25" i="1"/>
  <c r="U25" i="1"/>
  <c r="N25" i="1"/>
  <c r="G25" i="1"/>
  <c r="BP24" i="1"/>
  <c r="BO24" i="1"/>
  <c r="BN24" i="1"/>
  <c r="BI24" i="1"/>
  <c r="BH24" i="1"/>
  <c r="BG24" i="1"/>
  <c r="BB24" i="1"/>
  <c r="BA24" i="1"/>
  <c r="AZ24" i="1"/>
  <c r="AU24" i="1"/>
  <c r="AT24" i="1"/>
  <c r="AS24" i="1"/>
  <c r="AN24" i="1"/>
  <c r="AM24" i="1"/>
  <c r="AL24" i="1"/>
  <c r="AI24" i="1"/>
  <c r="G8" i="7" s="1"/>
  <c r="Z24" i="1"/>
  <c r="Y24" i="1"/>
  <c r="X24" i="1"/>
  <c r="S24" i="1"/>
  <c r="R24" i="1"/>
  <c r="Q24" i="1"/>
  <c r="L24" i="1"/>
  <c r="K24" i="1"/>
  <c r="J24" i="1"/>
  <c r="C24" i="1"/>
  <c r="G24" i="1" s="1"/>
  <c r="C8" i="7" s="1"/>
  <c r="BR23" i="1"/>
  <c r="BK23" i="1"/>
  <c r="BD23" i="1"/>
  <c r="AW23" i="1"/>
  <c r="AP23" i="1"/>
  <c r="AI23" i="1"/>
  <c r="AB23" i="1"/>
  <c r="U23" i="1"/>
  <c r="N23" i="1"/>
  <c r="G23" i="1"/>
  <c r="BR22" i="1"/>
  <c r="BK22" i="1"/>
  <c r="BD22" i="1"/>
  <c r="AW22" i="1"/>
  <c r="AP22" i="1"/>
  <c r="AI22" i="1"/>
  <c r="AB22" i="1"/>
  <c r="U22" i="1"/>
  <c r="N22" i="1"/>
  <c r="G22" i="1"/>
  <c r="BR21" i="1"/>
  <c r="BK21" i="1"/>
  <c r="BD21" i="1"/>
  <c r="AW21" i="1"/>
  <c r="AP21" i="1"/>
  <c r="AI21" i="1"/>
  <c r="AB21" i="1"/>
  <c r="U21" i="1"/>
  <c r="N21" i="1"/>
  <c r="G21" i="1"/>
  <c r="BR20" i="1"/>
  <c r="BK20" i="1"/>
  <c r="BD20" i="1"/>
  <c r="AW20" i="1"/>
  <c r="AP20" i="1"/>
  <c r="AI20" i="1"/>
  <c r="AB20" i="1"/>
  <c r="U20" i="1"/>
  <c r="N20" i="1"/>
  <c r="G20" i="1"/>
  <c r="BR19" i="1"/>
  <c r="BK19" i="1"/>
  <c r="BD19" i="1"/>
  <c r="AW19" i="1"/>
  <c r="AP19" i="1"/>
  <c r="C20" i="12" s="1"/>
  <c r="AI19" i="1"/>
  <c r="AB19" i="1"/>
  <c r="U19" i="1"/>
  <c r="N19" i="1"/>
  <c r="G19" i="1"/>
  <c r="BR18" i="1"/>
  <c r="BK18" i="1"/>
  <c r="BD18" i="1"/>
  <c r="AW18" i="1"/>
  <c r="AP18" i="1"/>
  <c r="C19" i="12" s="1"/>
  <c r="AI18" i="1"/>
  <c r="AB18" i="1"/>
  <c r="U18" i="1"/>
  <c r="N18" i="1"/>
  <c r="G18" i="1"/>
  <c r="BR17" i="1"/>
  <c r="BK17" i="1"/>
  <c r="BD17" i="1"/>
  <c r="AW17" i="1"/>
  <c r="AP17" i="1"/>
  <c r="C18" i="12" s="1"/>
  <c r="AI17" i="1"/>
  <c r="AB17" i="1"/>
  <c r="U17" i="1"/>
  <c r="N17" i="1"/>
  <c r="G17" i="1"/>
  <c r="BR16" i="1"/>
  <c r="BK16" i="1"/>
  <c r="BD16" i="1"/>
  <c r="AW16" i="1"/>
  <c r="AP16" i="1"/>
  <c r="C17" i="12" s="1"/>
  <c r="AI16" i="1"/>
  <c r="AB16" i="1"/>
  <c r="U16" i="1"/>
  <c r="N16" i="1"/>
  <c r="G16" i="1"/>
  <c r="BP15" i="1"/>
  <c r="BO15" i="1"/>
  <c r="BN15" i="1"/>
  <c r="BI15" i="1"/>
  <c r="BH15" i="1"/>
  <c r="BG15" i="1"/>
  <c r="BB15" i="1"/>
  <c r="BA15" i="1"/>
  <c r="AZ15" i="1"/>
  <c r="AU15" i="1"/>
  <c r="AT15" i="1"/>
  <c r="AS15" i="1"/>
  <c r="AO15" i="1"/>
  <c r="AN15" i="1"/>
  <c r="AM15" i="1"/>
  <c r="AL15" i="1"/>
  <c r="AH15" i="1"/>
  <c r="AH30" i="1" s="1"/>
  <c r="AG15" i="1"/>
  <c r="AF15" i="1"/>
  <c r="AE15" i="1"/>
  <c r="AA15" i="1"/>
  <c r="AA30" i="1" s="1"/>
  <c r="AA39" i="1" s="1"/>
  <c r="Z15" i="1"/>
  <c r="Y15" i="1"/>
  <c r="X15" i="1"/>
  <c r="T15" i="1"/>
  <c r="T30" i="1" s="1"/>
  <c r="T39" i="1" s="1"/>
  <c r="T49" i="1" s="1"/>
  <c r="S15" i="1"/>
  <c r="R15" i="1"/>
  <c r="Q15" i="1"/>
  <c r="L15" i="1"/>
  <c r="K15" i="1"/>
  <c r="J15" i="1"/>
  <c r="C15" i="1"/>
  <c r="G15" i="1" s="1"/>
  <c r="C7" i="7" s="1"/>
  <c r="BR14" i="1"/>
  <c r="BK14" i="1"/>
  <c r="BD14" i="1"/>
  <c r="AW14" i="1"/>
  <c r="AP14" i="1"/>
  <c r="C14" i="12" s="1"/>
  <c r="AI14" i="1"/>
  <c r="AB14" i="1"/>
  <c r="U14" i="1"/>
  <c r="N14" i="1"/>
  <c r="G14" i="1"/>
  <c r="BR13" i="1"/>
  <c r="BK13" i="1"/>
  <c r="BD13" i="1"/>
  <c r="AW13" i="1"/>
  <c r="AP13" i="1"/>
  <c r="C13" i="12" s="1"/>
  <c r="AI13" i="1"/>
  <c r="AB13" i="1"/>
  <c r="U13" i="1"/>
  <c r="N13" i="1"/>
  <c r="G13" i="1"/>
  <c r="BP12" i="1"/>
  <c r="BO12" i="1"/>
  <c r="BN12" i="1"/>
  <c r="BR12" i="1" s="1"/>
  <c r="L6" i="7" s="1"/>
  <c r="BI12" i="1"/>
  <c r="BH12" i="1"/>
  <c r="BG12" i="1"/>
  <c r="BB12" i="1"/>
  <c r="BA12" i="1"/>
  <c r="AZ12" i="1"/>
  <c r="AU12" i="1"/>
  <c r="AT12" i="1"/>
  <c r="AS12" i="1"/>
  <c r="AN12" i="1"/>
  <c r="AM12" i="1"/>
  <c r="AL12" i="1"/>
  <c r="AG12" i="1"/>
  <c r="AF12" i="1"/>
  <c r="AE12" i="1"/>
  <c r="Z12" i="1"/>
  <c r="Y12" i="1"/>
  <c r="X12" i="1"/>
  <c r="S12" i="1"/>
  <c r="R12" i="1"/>
  <c r="Q12" i="1"/>
  <c r="L12" i="1"/>
  <c r="K12" i="1"/>
  <c r="J12" i="1"/>
  <c r="C12" i="1"/>
  <c r="G12" i="1" s="1"/>
  <c r="C6" i="7" s="1"/>
  <c r="BR11" i="1"/>
  <c r="BK11" i="1"/>
  <c r="BD11" i="1"/>
  <c r="AW11" i="1"/>
  <c r="AP11" i="1"/>
  <c r="AI11" i="1"/>
  <c r="AB11" i="1"/>
  <c r="U11" i="1"/>
  <c r="N11" i="1"/>
  <c r="G11" i="1"/>
  <c r="BR10" i="1"/>
  <c r="BK10" i="1"/>
  <c r="BD10" i="1"/>
  <c r="AW10" i="1"/>
  <c r="AP10" i="1"/>
  <c r="AI10" i="1"/>
  <c r="AB10" i="1"/>
  <c r="U10" i="1"/>
  <c r="N10" i="1"/>
  <c r="G10" i="1"/>
  <c r="BR9" i="1"/>
  <c r="BK9" i="1"/>
  <c r="BD9" i="1"/>
  <c r="AW9" i="1"/>
  <c r="AP9" i="1"/>
  <c r="C8" i="12" s="1"/>
  <c r="AI9" i="1"/>
  <c r="AB9" i="1"/>
  <c r="U9" i="1"/>
  <c r="N9" i="1"/>
  <c r="G9" i="1"/>
  <c r="BR8" i="1"/>
  <c r="BK8" i="1"/>
  <c r="BD8" i="1"/>
  <c r="AW8" i="1"/>
  <c r="AP8" i="1"/>
  <c r="AI8" i="1"/>
  <c r="AB8" i="1"/>
  <c r="U8" i="1"/>
  <c r="N8" i="1"/>
  <c r="G8" i="1"/>
  <c r="BR7" i="1"/>
  <c r="BK7" i="1"/>
  <c r="BD7" i="1"/>
  <c r="AW7" i="1"/>
  <c r="AP7" i="1"/>
  <c r="C6" i="12" s="1"/>
  <c r="AI7" i="1"/>
  <c r="AB7" i="1"/>
  <c r="U7" i="1"/>
  <c r="N7" i="1"/>
  <c r="G7" i="1"/>
  <c r="BR6" i="1"/>
  <c r="BK6" i="1"/>
  <c r="BD6" i="1"/>
  <c r="AW6" i="1"/>
  <c r="AP6" i="1"/>
  <c r="C5" i="12" s="1"/>
  <c r="AI6" i="1"/>
  <c r="AB6" i="1"/>
  <c r="U6" i="1"/>
  <c r="N6" i="1"/>
  <c r="G6" i="1"/>
  <c r="BP5" i="1"/>
  <c r="BO5" i="1"/>
  <c r="BN5" i="1"/>
  <c r="BI5" i="1"/>
  <c r="BH5" i="1"/>
  <c r="BG5" i="1"/>
  <c r="BB5" i="1"/>
  <c r="BA5" i="1"/>
  <c r="AZ5" i="1"/>
  <c r="AU5" i="1"/>
  <c r="AT5" i="1"/>
  <c r="AS5" i="1"/>
  <c r="AN5" i="1"/>
  <c r="AM5" i="1"/>
  <c r="AL5" i="1"/>
  <c r="AG5" i="1"/>
  <c r="AF5" i="1"/>
  <c r="AE5" i="1"/>
  <c r="Z5" i="1"/>
  <c r="Y5" i="1"/>
  <c r="X5" i="1"/>
  <c r="S5" i="1"/>
  <c r="R5" i="1"/>
  <c r="Q5" i="1"/>
  <c r="L5" i="1"/>
  <c r="K5" i="1"/>
  <c r="J5" i="1"/>
  <c r="E5" i="1"/>
  <c r="D5" i="1"/>
  <c r="C5" i="1"/>
  <c r="C30" i="1" s="1"/>
  <c r="G30" i="1" s="1"/>
  <c r="E13" i="14"/>
  <c r="H13" i="14"/>
  <c r="K13" i="14"/>
  <c r="N13" i="14"/>
  <c r="M14" i="14"/>
  <c r="L14" i="14"/>
  <c r="J14" i="14"/>
  <c r="I14" i="14"/>
  <c r="G14" i="14"/>
  <c r="F14" i="14"/>
  <c r="D14" i="14"/>
  <c r="I30" i="13"/>
  <c r="I29" i="13"/>
  <c r="I28" i="13"/>
  <c r="I27" i="13"/>
  <c r="I26" i="13"/>
  <c r="I25" i="13"/>
  <c r="I24" i="13"/>
  <c r="I23" i="13"/>
  <c r="F30" i="13"/>
  <c r="F29" i="13"/>
  <c r="F28" i="13"/>
  <c r="F27" i="13"/>
  <c r="F26" i="13"/>
  <c r="F25" i="13"/>
  <c r="F24" i="13"/>
  <c r="F23" i="13"/>
  <c r="AW5" i="1" l="1"/>
  <c r="I5" i="7" s="1"/>
  <c r="AW15" i="1"/>
  <c r="I7" i="7" s="1"/>
  <c r="BK24" i="1"/>
  <c r="K8" i="7" s="1"/>
  <c r="AP12" i="1"/>
  <c r="H6" i="7" s="1"/>
  <c r="AO30" i="1"/>
  <c r="AO39" i="1" s="1"/>
  <c r="C25" i="12"/>
  <c r="G45" i="1"/>
  <c r="D11" i="7"/>
  <c r="L12" i="7"/>
  <c r="L14" i="7" s="1"/>
  <c r="U12" i="1"/>
  <c r="E6" i="7" s="1"/>
  <c r="BK15" i="1"/>
  <c r="K7" i="7" s="1"/>
  <c r="H13" i="7"/>
  <c r="C39" i="12"/>
  <c r="K11" i="7"/>
  <c r="G12" i="7"/>
  <c r="AB24" i="1"/>
  <c r="F8" i="7" s="1"/>
  <c r="K53" i="1"/>
  <c r="F11" i="7"/>
  <c r="AB12" i="1"/>
  <c r="F6" i="7" s="1"/>
  <c r="N15" i="1"/>
  <c r="D7" i="7" s="1"/>
  <c r="BR15" i="1"/>
  <c r="L7" i="7" s="1"/>
  <c r="N24" i="1"/>
  <c r="D8" i="7" s="1"/>
  <c r="AP41" i="1"/>
  <c r="BQ39" i="1"/>
  <c r="C11" i="7"/>
  <c r="G11" i="7"/>
  <c r="K12" i="7"/>
  <c r="I12" i="7"/>
  <c r="G38" i="1"/>
  <c r="AB38" i="1"/>
  <c r="Y48" i="1"/>
  <c r="N45" i="1"/>
  <c r="E11" i="7"/>
  <c r="BC39" i="1"/>
  <c r="AL48" i="1"/>
  <c r="AM48" i="1"/>
  <c r="U24" i="1"/>
  <c r="E8" i="7" s="1"/>
  <c r="BJ39" i="1"/>
  <c r="AN48" i="1"/>
  <c r="E12" i="7"/>
  <c r="BR38" i="1"/>
  <c r="X48" i="1"/>
  <c r="AB48" i="1" s="1"/>
  <c r="F16" i="7" s="1"/>
  <c r="BR5" i="1"/>
  <c r="L5" i="7" s="1"/>
  <c r="AI46" i="1"/>
  <c r="G5" i="1"/>
  <c r="C5" i="7" s="1"/>
  <c r="H11" i="7"/>
  <c r="AE30" i="1"/>
  <c r="AE39" i="1" s="1"/>
  <c r="I11" i="7"/>
  <c r="C12" i="7"/>
  <c r="AP38" i="1"/>
  <c r="G41" i="1"/>
  <c r="F12" i="7"/>
  <c r="AB15" i="1"/>
  <c r="F7" i="7" s="1"/>
  <c r="H12" i="7"/>
  <c r="L53" i="1"/>
  <c r="BD5" i="1"/>
  <c r="J5" i="7" s="1"/>
  <c r="Y30" i="1"/>
  <c r="Y39" i="1" s="1"/>
  <c r="BR24" i="1"/>
  <c r="L8" i="7" s="1"/>
  <c r="U46" i="1"/>
  <c r="G50" i="1"/>
  <c r="M39" i="1"/>
  <c r="M54" i="1" s="1"/>
  <c r="AW12" i="1"/>
  <c r="I6" i="7" s="1"/>
  <c r="Z30" i="1"/>
  <c r="Z39" i="1" s="1"/>
  <c r="Z49" i="1" s="1"/>
  <c r="AW28" i="1"/>
  <c r="I9" i="7" s="1"/>
  <c r="AW38" i="1"/>
  <c r="BO30" i="1"/>
  <c r="BO39" i="1" s="1"/>
  <c r="BG30" i="1"/>
  <c r="K20" i="7" s="1"/>
  <c r="AP28" i="1"/>
  <c r="H9" i="7" s="1"/>
  <c r="D53" i="1"/>
  <c r="D54" i="1" s="1"/>
  <c r="F54" i="1"/>
  <c r="R48" i="1"/>
  <c r="S30" i="1"/>
  <c r="S39" i="1" s="1"/>
  <c r="U41" i="1"/>
  <c r="S48" i="1"/>
  <c r="AI38" i="1"/>
  <c r="E53" i="1"/>
  <c r="E54" i="1" s="1"/>
  <c r="AI5" i="1"/>
  <c r="G5" i="7" s="1"/>
  <c r="BI30" i="1"/>
  <c r="BI39" i="1" s="1"/>
  <c r="BD12" i="1"/>
  <c r="J6" i="7" s="1"/>
  <c r="AF30" i="1"/>
  <c r="AF39" i="1" s="1"/>
  <c r="AF49" i="1" s="1"/>
  <c r="AM49" i="1" s="1"/>
  <c r="BH30" i="1"/>
  <c r="BH39" i="1" s="1"/>
  <c r="U38" i="1"/>
  <c r="AI41" i="1"/>
  <c r="N50" i="1"/>
  <c r="Q30" i="1"/>
  <c r="J11" i="7"/>
  <c r="AG30" i="1"/>
  <c r="AG39" i="1" s="1"/>
  <c r="AG49" i="1" s="1"/>
  <c r="AN49" i="1" s="1"/>
  <c r="AP24" i="1"/>
  <c r="H8" i="7" s="1"/>
  <c r="AS30" i="1"/>
  <c r="AS39" i="1" s="1"/>
  <c r="BP30" i="1"/>
  <c r="BP39" i="1" s="1"/>
  <c r="AH39" i="1"/>
  <c r="AH49" i="1" s="1"/>
  <c r="AO49" i="1" s="1"/>
  <c r="AV39" i="1"/>
  <c r="AL30" i="1"/>
  <c r="AL39" i="1" s="1"/>
  <c r="K30" i="1"/>
  <c r="K39" i="1" s="1"/>
  <c r="K54" i="1" s="1"/>
  <c r="AP15" i="1"/>
  <c r="H7" i="7" s="1"/>
  <c r="AW24" i="1"/>
  <c r="I8" i="7" s="1"/>
  <c r="AM30" i="1"/>
  <c r="AM39" i="1" s="1"/>
  <c r="AU30" i="1"/>
  <c r="AU39" i="1" s="1"/>
  <c r="N28" i="1"/>
  <c r="D9" i="7" s="1"/>
  <c r="J53" i="1"/>
  <c r="R30" i="1"/>
  <c r="R39" i="1" s="1"/>
  <c r="X30" i="1"/>
  <c r="X39" i="1" s="1"/>
  <c r="N12" i="1"/>
  <c r="D6" i="7" s="1"/>
  <c r="N38" i="1"/>
  <c r="AN30" i="1"/>
  <c r="AN39" i="1" s="1"/>
  <c r="AI12" i="1"/>
  <c r="G6" i="7" s="1"/>
  <c r="BK12" i="1"/>
  <c r="K6" i="7" s="1"/>
  <c r="U15" i="1"/>
  <c r="E7" i="7" s="1"/>
  <c r="BK28" i="1"/>
  <c r="K9" i="7" s="1"/>
  <c r="J12" i="7"/>
  <c r="D14" i="7"/>
  <c r="BD38" i="1"/>
  <c r="AZ30" i="1"/>
  <c r="BD28" i="1"/>
  <c r="J9" i="7" s="1"/>
  <c r="BA30" i="1"/>
  <c r="BA39" i="1" s="1"/>
  <c r="BB30" i="1"/>
  <c r="BB39" i="1" s="1"/>
  <c r="BD24" i="1"/>
  <c r="J8" i="7" s="1"/>
  <c r="AA49" i="1"/>
  <c r="BN30" i="1"/>
  <c r="AB41" i="1"/>
  <c r="AP5" i="1"/>
  <c r="H5" i="7" s="1"/>
  <c r="BD15" i="1"/>
  <c r="J7" i="7" s="1"/>
  <c r="U5" i="1"/>
  <c r="E5" i="7" s="1"/>
  <c r="L30" i="1"/>
  <c r="L39" i="1" s="1"/>
  <c r="BK38" i="1"/>
  <c r="C53" i="1"/>
  <c r="C39" i="1"/>
  <c r="N5" i="1"/>
  <c r="D5" i="7" s="1"/>
  <c r="AT30" i="1"/>
  <c r="AT39" i="1" s="1"/>
  <c r="J30" i="1"/>
  <c r="AI15" i="1"/>
  <c r="G7" i="7" s="1"/>
  <c r="AE48" i="1"/>
  <c r="N41" i="1"/>
  <c r="AB5" i="1"/>
  <c r="F5" i="7" s="1"/>
  <c r="BK5" i="1"/>
  <c r="AP46" i="1"/>
  <c r="L9" i="6"/>
  <c r="J10" i="6"/>
  <c r="J9" i="6" s="1"/>
  <c r="K10" i="6"/>
  <c r="K9" i="6" s="1"/>
  <c r="N11" i="6"/>
  <c r="J12" i="6"/>
  <c r="K12" i="6"/>
  <c r="L12" i="6"/>
  <c r="N13" i="6"/>
  <c r="N14" i="6"/>
  <c r="N15" i="6"/>
  <c r="N16" i="6"/>
  <c r="J17" i="6"/>
  <c r="K17" i="6"/>
  <c r="L17" i="6"/>
  <c r="N18" i="6"/>
  <c r="J19" i="6"/>
  <c r="K19" i="6"/>
  <c r="L19" i="6"/>
  <c r="N20" i="6"/>
  <c r="M21" i="6"/>
  <c r="N22" i="6"/>
  <c r="N23" i="6"/>
  <c r="N24" i="6"/>
  <c r="N25" i="6"/>
  <c r="N26" i="6"/>
  <c r="N27" i="6"/>
  <c r="N28" i="6"/>
  <c r="M29" i="6"/>
  <c r="J32" i="6"/>
  <c r="K32" i="6"/>
  <c r="L32" i="6"/>
  <c r="N33" i="6"/>
  <c r="N34" i="6"/>
  <c r="N35" i="6"/>
  <c r="N36" i="6"/>
  <c r="J37" i="6"/>
  <c r="K37" i="6"/>
  <c r="L37" i="6"/>
  <c r="N38" i="6"/>
  <c r="N39" i="6"/>
  <c r="N40" i="6"/>
  <c r="J41" i="6"/>
  <c r="K41" i="6"/>
  <c r="L41" i="6"/>
  <c r="N42" i="6"/>
  <c r="M43" i="6"/>
  <c r="M46" i="6" s="1"/>
  <c r="N44" i="6"/>
  <c r="N45" i="6"/>
  <c r="L54" i="1" l="1"/>
  <c r="E14" i="7"/>
  <c r="G14" i="7"/>
  <c r="K14" i="7"/>
  <c r="I14" i="7"/>
  <c r="L10" i="7"/>
  <c r="N12" i="6"/>
  <c r="N32" i="6"/>
  <c r="M30" i="6"/>
  <c r="N41" i="6"/>
  <c r="F10" i="7"/>
  <c r="F14" i="7"/>
  <c r="J14" i="7"/>
  <c r="H14" i="7"/>
  <c r="H10" i="7"/>
  <c r="AP48" i="1"/>
  <c r="H16" i="7" s="1"/>
  <c r="N53" i="1"/>
  <c r="D16" i="7" s="1"/>
  <c r="U48" i="1"/>
  <c r="E16" i="7" s="1"/>
  <c r="Y49" i="1"/>
  <c r="BG39" i="1"/>
  <c r="BK39" i="1" s="1"/>
  <c r="AW30" i="1"/>
  <c r="S49" i="1"/>
  <c r="N10" i="6"/>
  <c r="N9" i="6"/>
  <c r="N17" i="6"/>
  <c r="K43" i="6"/>
  <c r="K46" i="6" s="1"/>
  <c r="AI30" i="1"/>
  <c r="R49" i="1"/>
  <c r="AW39" i="1"/>
  <c r="AI39" i="1"/>
  <c r="U30" i="1"/>
  <c r="AP39" i="1"/>
  <c r="I10" i="7"/>
  <c r="I15" i="7" s="1"/>
  <c r="I17" i="7" s="1"/>
  <c r="I18" i="7" s="1"/>
  <c r="E10" i="7"/>
  <c r="E15" i="7" s="1"/>
  <c r="L15" i="7"/>
  <c r="L17" i="7" s="1"/>
  <c r="G10" i="7"/>
  <c r="AP30" i="1"/>
  <c r="BR30" i="1"/>
  <c r="D10" i="7"/>
  <c r="D15" i="7" s="1"/>
  <c r="AB39" i="1"/>
  <c r="X49" i="1"/>
  <c r="AB49" i="1" s="1"/>
  <c r="BN39" i="1"/>
  <c r="BR39" i="1" s="1"/>
  <c r="L20" i="7"/>
  <c r="Q39" i="1"/>
  <c r="U39" i="1" s="1"/>
  <c r="AB30" i="1"/>
  <c r="G53" i="1"/>
  <c r="C16" i="7" s="1"/>
  <c r="BK30" i="1"/>
  <c r="K5" i="7"/>
  <c r="K10" i="7" s="1"/>
  <c r="K15" i="7" s="1"/>
  <c r="K17" i="7" s="1"/>
  <c r="K18" i="7" s="1"/>
  <c r="AZ39" i="1"/>
  <c r="BD39" i="1" s="1"/>
  <c r="J20" i="7"/>
  <c r="J10" i="7"/>
  <c r="BD30" i="1"/>
  <c r="AI48" i="1"/>
  <c r="G16" i="7" s="1"/>
  <c r="AE49" i="1"/>
  <c r="N30" i="1"/>
  <c r="J39" i="1"/>
  <c r="C54" i="1"/>
  <c r="G54" i="1" s="1"/>
  <c r="G39" i="1"/>
  <c r="N37" i="6"/>
  <c r="N19" i="6"/>
  <c r="L43" i="6"/>
  <c r="L46" i="6" s="1"/>
  <c r="J43" i="6"/>
  <c r="J46" i="6" s="1"/>
  <c r="N29" i="6"/>
  <c r="J15" i="7" l="1"/>
  <c r="J17" i="7" s="1"/>
  <c r="J18" i="7" s="1"/>
  <c r="G15" i="7"/>
  <c r="Q49" i="1"/>
  <c r="U49" i="1" s="1"/>
  <c r="F15" i="7"/>
  <c r="F17" i="7" s="1"/>
  <c r="F18" i="7" s="1"/>
  <c r="H15" i="7"/>
  <c r="H17" i="7" s="1"/>
  <c r="H18" i="7" s="1"/>
  <c r="E17" i="7"/>
  <c r="E18" i="7" s="1"/>
  <c r="D17" i="7"/>
  <c r="D18" i="7" s="1"/>
  <c r="N46" i="6"/>
  <c r="L18" i="7"/>
  <c r="G17" i="7"/>
  <c r="G18" i="7" s="1"/>
  <c r="AL49" i="1"/>
  <c r="AP49" i="1" s="1"/>
  <c r="AI49" i="1"/>
  <c r="N39" i="1"/>
  <c r="J54" i="1"/>
  <c r="N54" i="1" s="1"/>
  <c r="N43" i="6"/>
  <c r="G36" i="6" l="1"/>
  <c r="G20" i="6"/>
  <c r="G18" i="6"/>
  <c r="G16" i="6"/>
  <c r="G15" i="6"/>
  <c r="G14" i="6"/>
  <c r="G13" i="6"/>
  <c r="G11" i="6"/>
  <c r="G10" i="6"/>
  <c r="AB25" i="6"/>
  <c r="I7" i="11"/>
  <c r="J7" i="11"/>
  <c r="K8" i="11"/>
  <c r="L8" i="11"/>
  <c r="K9" i="11"/>
  <c r="L9" i="11"/>
  <c r="I10" i="11"/>
  <c r="J10" i="11"/>
  <c r="K11" i="11"/>
  <c r="L11" i="11"/>
  <c r="K12" i="11"/>
  <c r="L12" i="11"/>
  <c r="K13" i="11"/>
  <c r="L13" i="11"/>
  <c r="K14" i="11"/>
  <c r="L14" i="11"/>
  <c r="K15" i="11"/>
  <c r="L15" i="11"/>
  <c r="K16" i="11"/>
  <c r="L16" i="11"/>
  <c r="I17" i="11"/>
  <c r="J17" i="11"/>
  <c r="K18" i="11"/>
  <c r="L18" i="11"/>
  <c r="K19" i="11"/>
  <c r="L19" i="11"/>
  <c r="I23" i="11"/>
  <c r="I22" i="11" s="1"/>
  <c r="J23" i="11"/>
  <c r="J22" i="11" s="1"/>
  <c r="J37" i="11" s="1"/>
  <c r="K24" i="11"/>
  <c r="L24" i="11"/>
  <c r="K25" i="11"/>
  <c r="L25" i="11"/>
  <c r="I26" i="11"/>
  <c r="J26" i="11"/>
  <c r="K27" i="11"/>
  <c r="L27" i="11"/>
  <c r="K28" i="11"/>
  <c r="L28" i="11"/>
  <c r="K29" i="11"/>
  <c r="L29" i="11"/>
  <c r="I30" i="11"/>
  <c r="J30" i="11"/>
  <c r="K31" i="11"/>
  <c r="L31" i="11"/>
  <c r="K32" i="11"/>
  <c r="L32" i="11"/>
  <c r="K33" i="11"/>
  <c r="L33" i="11"/>
  <c r="K34" i="11"/>
  <c r="L34" i="11"/>
  <c r="K35" i="11"/>
  <c r="L35" i="11"/>
  <c r="K36" i="11"/>
  <c r="L36" i="11"/>
  <c r="K23" i="11" l="1"/>
  <c r="L23" i="11"/>
  <c r="K26" i="11"/>
  <c r="L17" i="11"/>
  <c r="K30" i="11"/>
  <c r="J6" i="11"/>
  <c r="J20" i="11" s="1"/>
  <c r="J38" i="11" s="1"/>
  <c r="I6" i="11"/>
  <c r="I20" i="11" s="1"/>
  <c r="K22" i="11"/>
  <c r="L26" i="11"/>
  <c r="L30" i="11"/>
  <c r="K17" i="11"/>
  <c r="K10" i="11"/>
  <c r="L7" i="11"/>
  <c r="K7" i="11"/>
  <c r="I37" i="11"/>
  <c r="L22" i="11"/>
  <c r="L10" i="11"/>
  <c r="L6" i="11" l="1"/>
  <c r="K6" i="11"/>
  <c r="L37" i="11"/>
  <c r="I38" i="11"/>
  <c r="K37" i="11"/>
  <c r="L20" i="11"/>
  <c r="K20" i="11"/>
  <c r="K38" i="11" l="1"/>
  <c r="L38" i="11"/>
  <c r="DB40" i="2" l="1"/>
  <c r="DB39" i="2"/>
  <c r="DB38" i="2"/>
  <c r="DB37" i="2"/>
  <c r="DB35" i="2"/>
  <c r="DB34" i="2"/>
  <c r="DB32" i="2"/>
  <c r="DB31" i="2"/>
  <c r="DB30" i="2"/>
  <c r="DB29" i="2"/>
  <c r="DB27" i="2"/>
  <c r="DB26" i="2"/>
  <c r="DB25" i="2"/>
  <c r="DB24" i="2"/>
  <c r="DB23" i="2"/>
  <c r="DB22" i="2"/>
  <c r="DB21" i="2"/>
  <c r="DB20" i="2"/>
  <c r="DB19" i="2"/>
  <c r="DB17" i="2"/>
  <c r="DB16" i="2"/>
  <c r="DB15" i="2"/>
  <c r="DB13" i="2"/>
  <c r="DB12" i="2"/>
  <c r="DB11" i="2"/>
  <c r="DB10" i="2"/>
  <c r="DB9" i="2"/>
  <c r="DB8" i="2"/>
  <c r="DB7" i="2"/>
  <c r="CE40" i="2"/>
  <c r="CE39" i="2"/>
  <c r="CE38" i="2"/>
  <c r="CE37" i="2"/>
  <c r="CE35" i="2"/>
  <c r="CE34" i="2"/>
  <c r="CE32" i="2"/>
  <c r="CE31" i="2"/>
  <c r="CE30" i="2"/>
  <c r="CE29" i="2"/>
  <c r="CE27" i="2"/>
  <c r="CE26" i="2"/>
  <c r="CE25" i="2"/>
  <c r="CE24" i="2"/>
  <c r="CE23" i="2"/>
  <c r="CE22" i="2"/>
  <c r="CE21" i="2"/>
  <c r="CE20" i="2"/>
  <c r="CE19" i="2"/>
  <c r="CE17" i="2"/>
  <c r="CE16" i="2"/>
  <c r="CE15" i="2"/>
  <c r="CE13" i="2"/>
  <c r="CE12" i="2"/>
  <c r="CE11" i="2"/>
  <c r="CE10" i="2"/>
  <c r="CE9" i="2"/>
  <c r="CE8" i="2"/>
  <c r="CE7" i="2"/>
  <c r="BH40" i="2"/>
  <c r="BH39" i="2"/>
  <c r="BH38" i="2"/>
  <c r="BH35" i="2"/>
  <c r="BH34" i="2"/>
  <c r="BH32" i="2"/>
  <c r="BH31" i="2"/>
  <c r="BH30" i="2"/>
  <c r="BH29" i="2"/>
  <c r="BH27" i="2"/>
  <c r="BH26" i="2"/>
  <c r="BH25" i="2"/>
  <c r="BH24" i="2"/>
  <c r="BH23" i="2"/>
  <c r="BH22" i="2"/>
  <c r="BH21" i="2"/>
  <c r="BH20" i="2"/>
  <c r="BH19" i="2"/>
  <c r="BH17" i="2"/>
  <c r="BH16" i="2"/>
  <c r="BH15" i="2"/>
  <c r="BH13" i="2"/>
  <c r="BH12" i="2"/>
  <c r="BH11" i="2"/>
  <c r="BH10" i="2"/>
  <c r="BH9" i="2"/>
  <c r="BH8" i="2"/>
  <c r="BH7" i="2"/>
  <c r="AK41" i="2"/>
  <c r="AK40" i="2"/>
  <c r="AK39" i="2"/>
  <c r="AK38" i="2"/>
  <c r="AK37" i="2"/>
  <c r="AK35" i="2"/>
  <c r="AK34" i="2"/>
  <c r="AK32" i="2"/>
  <c r="AK31" i="2"/>
  <c r="AK30" i="2"/>
  <c r="AK29" i="2"/>
  <c r="AK27" i="2"/>
  <c r="AK26" i="2"/>
  <c r="AK25" i="2"/>
  <c r="AK24" i="2"/>
  <c r="AK23" i="2"/>
  <c r="AK22" i="2"/>
  <c r="AK21" i="2"/>
  <c r="AK20" i="2"/>
  <c r="AK19" i="2"/>
  <c r="AK17" i="2"/>
  <c r="AK16" i="2"/>
  <c r="AK15" i="2"/>
  <c r="AK13" i="2"/>
  <c r="AK12" i="2"/>
  <c r="AK11" i="2"/>
  <c r="AK10" i="2"/>
  <c r="AK9" i="2"/>
  <c r="AK8" i="2"/>
  <c r="AK7" i="2"/>
  <c r="N41" i="2"/>
  <c r="N40" i="2"/>
  <c r="N39" i="2"/>
  <c r="N38" i="2"/>
  <c r="N37" i="2"/>
  <c r="N35" i="2"/>
  <c r="N34" i="2"/>
  <c r="N32" i="2"/>
  <c r="N31" i="2"/>
  <c r="N30" i="2"/>
  <c r="N29" i="2"/>
  <c r="N27" i="2"/>
  <c r="N26" i="2"/>
  <c r="N25" i="2"/>
  <c r="N24" i="2"/>
  <c r="N23" i="2"/>
  <c r="N22" i="2"/>
  <c r="N21" i="2"/>
  <c r="N20" i="2"/>
  <c r="N19" i="2"/>
  <c r="N17" i="2"/>
  <c r="N16" i="2"/>
  <c r="N15" i="2"/>
  <c r="N13" i="2"/>
  <c r="N12" i="2"/>
  <c r="N11" i="2"/>
  <c r="N10" i="2"/>
  <c r="N9" i="2"/>
  <c r="N8" i="2"/>
  <c r="N7" i="2"/>
  <c r="AE42" i="12" l="1"/>
  <c r="AD42" i="12"/>
  <c r="AC42" i="12"/>
  <c r="AB42" i="12"/>
  <c r="AA42" i="12"/>
  <c r="BU43" i="12"/>
  <c r="BT43" i="12"/>
  <c r="BS43" i="12"/>
  <c r="BR43" i="12"/>
  <c r="BQ43" i="12"/>
  <c r="BU42" i="12"/>
  <c r="BT42" i="12"/>
  <c r="BS42" i="12"/>
  <c r="BR42" i="12"/>
  <c r="BQ42" i="12"/>
  <c r="BU41" i="12"/>
  <c r="BT41" i="12"/>
  <c r="BS41" i="12"/>
  <c r="BR41" i="12"/>
  <c r="BQ41" i="12"/>
  <c r="BU40" i="12"/>
  <c r="BT40" i="12"/>
  <c r="BS40" i="12"/>
  <c r="BR40" i="12"/>
  <c r="BQ40" i="12"/>
  <c r="BU39" i="12"/>
  <c r="BT39" i="12"/>
  <c r="BS39" i="12"/>
  <c r="BR39" i="12"/>
  <c r="BQ39" i="12"/>
  <c r="BU38" i="12"/>
  <c r="BT38" i="12"/>
  <c r="BS38" i="12"/>
  <c r="BR38" i="12"/>
  <c r="BQ38" i="12"/>
  <c r="BU37" i="12"/>
  <c r="BT37" i="12"/>
  <c r="BS37" i="12"/>
  <c r="BR37" i="12"/>
  <c r="BQ37" i="12"/>
  <c r="BU36" i="12"/>
  <c r="BT36" i="12"/>
  <c r="BS36" i="12"/>
  <c r="BR36" i="12"/>
  <c r="BQ36" i="12"/>
  <c r="BU35" i="12"/>
  <c r="BT35" i="12"/>
  <c r="BS35" i="12"/>
  <c r="BR35" i="12"/>
  <c r="BQ35" i="12"/>
  <c r="BU34" i="12"/>
  <c r="BT34" i="12"/>
  <c r="BS34" i="12"/>
  <c r="BR34" i="12"/>
  <c r="BQ34" i="12"/>
  <c r="BU33" i="12"/>
  <c r="BT33" i="12"/>
  <c r="BS33" i="12"/>
  <c r="BR33" i="12"/>
  <c r="BQ33" i="12"/>
  <c r="BU32" i="12"/>
  <c r="BT32" i="12"/>
  <c r="BS32" i="12"/>
  <c r="BR32" i="12"/>
  <c r="BQ32" i="12"/>
  <c r="BU31" i="12"/>
  <c r="BT31" i="12"/>
  <c r="BS31" i="12"/>
  <c r="BR31" i="12"/>
  <c r="BQ31" i="12"/>
  <c r="BU30" i="12"/>
  <c r="BT30" i="12"/>
  <c r="BS30" i="12"/>
  <c r="BR30" i="12"/>
  <c r="BQ30" i="12"/>
  <c r="BU29" i="12"/>
  <c r="BT29" i="12"/>
  <c r="BS29" i="12"/>
  <c r="BR29" i="12"/>
  <c r="BQ29" i="12"/>
  <c r="BU28" i="12"/>
  <c r="BT28" i="12"/>
  <c r="BS28" i="12"/>
  <c r="BR28" i="12"/>
  <c r="BQ28" i="12"/>
  <c r="BU27" i="12"/>
  <c r="BT27" i="12"/>
  <c r="BS27" i="12"/>
  <c r="BR27" i="12"/>
  <c r="BQ27" i="12"/>
  <c r="BU26" i="12"/>
  <c r="BT26" i="12"/>
  <c r="BS26" i="12"/>
  <c r="BR26" i="12"/>
  <c r="BQ26" i="12"/>
  <c r="BU25" i="12"/>
  <c r="BT25" i="12"/>
  <c r="BS25" i="12"/>
  <c r="BR25" i="12"/>
  <c r="BQ25" i="12"/>
  <c r="BU24" i="12"/>
  <c r="BT24" i="12"/>
  <c r="BS24" i="12"/>
  <c r="BR24" i="12"/>
  <c r="BQ24" i="12"/>
  <c r="BU23" i="12"/>
  <c r="BT23" i="12"/>
  <c r="BS23" i="12"/>
  <c r="BR23" i="12"/>
  <c r="BQ23" i="12"/>
  <c r="BU22" i="12"/>
  <c r="BT22" i="12"/>
  <c r="BS22" i="12"/>
  <c r="BR22" i="12"/>
  <c r="BQ22" i="12"/>
  <c r="BU21" i="12"/>
  <c r="BT21" i="12"/>
  <c r="BS21" i="12"/>
  <c r="BR21" i="12"/>
  <c r="BQ21" i="12"/>
  <c r="BU20" i="12"/>
  <c r="BT20" i="12"/>
  <c r="BS20" i="12"/>
  <c r="BR20" i="12"/>
  <c r="BQ20" i="12"/>
  <c r="BU19" i="12"/>
  <c r="BT19" i="12"/>
  <c r="BS19" i="12"/>
  <c r="BR19" i="12"/>
  <c r="BQ19" i="12"/>
  <c r="BU18" i="12"/>
  <c r="BT18" i="12"/>
  <c r="BS18" i="12"/>
  <c r="BR18" i="12"/>
  <c r="BQ18" i="12"/>
  <c r="BU17" i="12"/>
  <c r="BT17" i="12"/>
  <c r="BS17" i="12"/>
  <c r="BR17" i="12"/>
  <c r="BQ17" i="12"/>
  <c r="BU16" i="12"/>
  <c r="BT16" i="12"/>
  <c r="BS16" i="12"/>
  <c r="BR16" i="12"/>
  <c r="BQ16" i="12"/>
  <c r="BU15" i="12"/>
  <c r="BT15" i="12"/>
  <c r="BS15" i="12"/>
  <c r="BR15" i="12"/>
  <c r="BQ15" i="12"/>
  <c r="BU14" i="12"/>
  <c r="BT14" i="12"/>
  <c r="BS14" i="12"/>
  <c r="BR14" i="12"/>
  <c r="BQ14" i="12"/>
  <c r="BU13" i="12"/>
  <c r="BT13" i="12"/>
  <c r="BS13" i="12"/>
  <c r="BR13" i="12"/>
  <c r="BQ13" i="12"/>
  <c r="BU12" i="12"/>
  <c r="BT12" i="12"/>
  <c r="BS12" i="12"/>
  <c r="BR12" i="12"/>
  <c r="BQ12" i="12"/>
  <c r="BU11" i="12"/>
  <c r="BT11" i="12"/>
  <c r="BS11" i="12"/>
  <c r="BR11" i="12"/>
  <c r="BQ11" i="12"/>
  <c r="BU10" i="12"/>
  <c r="BT10" i="12"/>
  <c r="BS10" i="12"/>
  <c r="BR10" i="12"/>
  <c r="BQ10" i="12"/>
  <c r="BU9" i="12"/>
  <c r="BT9" i="12"/>
  <c r="BS9" i="12"/>
  <c r="BR9" i="12"/>
  <c r="BQ9" i="12"/>
  <c r="BU8" i="12"/>
  <c r="BT8" i="12"/>
  <c r="BS8" i="12"/>
  <c r="BR8" i="12"/>
  <c r="BQ8" i="12"/>
  <c r="BU7" i="12"/>
  <c r="BT7" i="12"/>
  <c r="BS7" i="12"/>
  <c r="BR7" i="12"/>
  <c r="BQ7" i="12"/>
  <c r="BU6" i="12"/>
  <c r="BT6" i="12"/>
  <c r="BS6" i="12"/>
  <c r="BR6" i="12"/>
  <c r="BQ6" i="12"/>
  <c r="BU5" i="12"/>
  <c r="BT5" i="12"/>
  <c r="BS5" i="12"/>
  <c r="BR5" i="12"/>
  <c r="BQ5" i="12"/>
  <c r="BU4" i="12"/>
  <c r="BT4" i="12"/>
  <c r="BS4" i="12"/>
  <c r="BR4" i="12"/>
  <c r="BQ4" i="12"/>
  <c r="BI43" i="12"/>
  <c r="BI42" i="12"/>
  <c r="BI41" i="12"/>
  <c r="BI40" i="12"/>
  <c r="BI39" i="12"/>
  <c r="BI38" i="12"/>
  <c r="BI37" i="12"/>
  <c r="BI36" i="12"/>
  <c r="BI35" i="12"/>
  <c r="BI34" i="12"/>
  <c r="BI33" i="12"/>
  <c r="BI32" i="12"/>
  <c r="BI31" i="12"/>
  <c r="BI30" i="12"/>
  <c r="BI29" i="12"/>
  <c r="BI28" i="12"/>
  <c r="BI27" i="12"/>
  <c r="BI26" i="12"/>
  <c r="BI25" i="12"/>
  <c r="BI24" i="12"/>
  <c r="BI23" i="12"/>
  <c r="BI22" i="12"/>
  <c r="BI21" i="12"/>
  <c r="BI20" i="12"/>
  <c r="BI19" i="12"/>
  <c r="BI18" i="12"/>
  <c r="BI17" i="12"/>
  <c r="BI16" i="12"/>
  <c r="BI14" i="12"/>
  <c r="BI13" i="12"/>
  <c r="BI12" i="12"/>
  <c r="BI10" i="12"/>
  <c r="BI9" i="12"/>
  <c r="BI8" i="12"/>
  <c r="BI7" i="12"/>
  <c r="BI6" i="12"/>
  <c r="BI5" i="12"/>
  <c r="BI4" i="12"/>
  <c r="AK41" i="12"/>
  <c r="AK40" i="12"/>
  <c r="AK39" i="12"/>
  <c r="AK38" i="12"/>
  <c r="AK37" i="12"/>
  <c r="AK36" i="12"/>
  <c r="AK35" i="12"/>
  <c r="AK33" i="12"/>
  <c r="AK30" i="12"/>
  <c r="AK29" i="12"/>
  <c r="AK28" i="12"/>
  <c r="AK25" i="12"/>
  <c r="AK24" i="12"/>
  <c r="AK23" i="12"/>
  <c r="AK15" i="12"/>
  <c r="AK11" i="12"/>
  <c r="O6" i="12"/>
  <c r="O5" i="12"/>
  <c r="O42" i="12"/>
  <c r="P41" i="12"/>
  <c r="P40" i="12"/>
  <c r="P39" i="12"/>
  <c r="P38" i="12"/>
  <c r="P37" i="12"/>
  <c r="P36" i="12"/>
  <c r="P35" i="12"/>
  <c r="P33" i="12"/>
  <c r="P32" i="12"/>
  <c r="P30" i="12"/>
  <c r="P29" i="12"/>
  <c r="U29" i="12" s="1"/>
  <c r="P28" i="12"/>
  <c r="P27" i="12"/>
  <c r="P25" i="12"/>
  <c r="P24" i="12"/>
  <c r="P23" i="12"/>
  <c r="P22" i="12"/>
  <c r="P21" i="12"/>
  <c r="U21" i="12" s="1"/>
  <c r="P20" i="12"/>
  <c r="P19" i="12"/>
  <c r="P18" i="12"/>
  <c r="P17" i="12"/>
  <c r="P15" i="12"/>
  <c r="P14" i="12"/>
  <c r="P13" i="12"/>
  <c r="P11" i="12"/>
  <c r="P10" i="12"/>
  <c r="P9" i="12"/>
  <c r="P8" i="12"/>
  <c r="P7" i="12"/>
  <c r="P6" i="12"/>
  <c r="P5" i="12"/>
  <c r="BH43" i="12"/>
  <c r="BG43" i="12"/>
  <c r="BF43" i="12"/>
  <c r="BE43" i="12"/>
  <c r="BH42" i="12"/>
  <c r="BG42" i="12"/>
  <c r="BF42" i="12"/>
  <c r="BE42" i="12"/>
  <c r="BH41" i="12"/>
  <c r="BG41" i="12"/>
  <c r="BF41" i="12"/>
  <c r="BE41" i="12"/>
  <c r="BH40" i="12"/>
  <c r="BG40" i="12"/>
  <c r="BF40" i="12"/>
  <c r="BE40" i="12"/>
  <c r="BH39" i="12"/>
  <c r="BG39" i="12"/>
  <c r="BF39" i="12"/>
  <c r="BE39" i="12"/>
  <c r="BH38" i="12"/>
  <c r="BG38" i="12"/>
  <c r="BF38" i="12"/>
  <c r="BE38" i="12"/>
  <c r="BH37" i="12"/>
  <c r="BG37" i="12"/>
  <c r="BF37" i="12"/>
  <c r="BE37" i="12"/>
  <c r="BH36" i="12"/>
  <c r="BG36" i="12"/>
  <c r="BF36" i="12"/>
  <c r="BE36" i="12"/>
  <c r="BH35" i="12"/>
  <c r="BG35" i="12"/>
  <c r="BF35" i="12"/>
  <c r="BE35" i="12"/>
  <c r="BH34" i="12"/>
  <c r="BG34" i="12"/>
  <c r="BF34" i="12"/>
  <c r="BH33" i="12"/>
  <c r="BG33" i="12"/>
  <c r="BF33" i="12"/>
  <c r="BE33" i="12"/>
  <c r="BH32" i="12"/>
  <c r="BG32" i="12"/>
  <c r="BF32" i="12"/>
  <c r="BH31" i="12"/>
  <c r="BG31" i="12"/>
  <c r="BF31" i="12"/>
  <c r="BH30" i="12"/>
  <c r="BG30" i="12"/>
  <c r="BF30" i="12"/>
  <c r="BE30" i="12"/>
  <c r="BH29" i="12"/>
  <c r="BG29" i="12"/>
  <c r="BF29" i="12"/>
  <c r="BE29" i="12"/>
  <c r="BH28" i="12"/>
  <c r="BG28" i="12"/>
  <c r="BF28" i="12"/>
  <c r="BE28" i="12"/>
  <c r="BH27" i="12"/>
  <c r="BG27" i="12"/>
  <c r="BF27" i="12"/>
  <c r="BH26" i="12"/>
  <c r="BG26" i="12"/>
  <c r="BF26" i="12"/>
  <c r="BH25" i="12"/>
  <c r="BG25" i="12"/>
  <c r="BF25" i="12"/>
  <c r="BE25" i="12"/>
  <c r="BH24" i="12"/>
  <c r="BG24" i="12"/>
  <c r="BF24" i="12"/>
  <c r="BE24" i="12"/>
  <c r="BH23" i="12"/>
  <c r="BG23" i="12"/>
  <c r="BF23" i="12"/>
  <c r="BE23" i="12"/>
  <c r="BH22" i="12"/>
  <c r="BG22" i="12"/>
  <c r="BF22" i="12"/>
  <c r="BE22" i="12"/>
  <c r="BH21" i="12"/>
  <c r="BG21" i="12"/>
  <c r="BF21" i="12"/>
  <c r="BE21" i="12"/>
  <c r="BH20" i="12"/>
  <c r="BG20" i="12"/>
  <c r="BF20" i="12"/>
  <c r="BH19" i="12"/>
  <c r="BG19" i="12"/>
  <c r="BF19" i="12"/>
  <c r="BH18" i="12"/>
  <c r="BG18" i="12"/>
  <c r="BF18" i="12"/>
  <c r="BH17" i="12"/>
  <c r="BG17" i="12"/>
  <c r="BF17" i="12"/>
  <c r="BH16" i="12"/>
  <c r="BG16" i="12"/>
  <c r="BF16" i="12"/>
  <c r="BH15" i="12"/>
  <c r="BG15" i="12"/>
  <c r="BH14" i="12"/>
  <c r="BG14" i="12"/>
  <c r="BF14" i="12"/>
  <c r="BH13" i="12"/>
  <c r="BG13" i="12"/>
  <c r="BF13" i="12"/>
  <c r="BH12" i="12"/>
  <c r="BG12" i="12"/>
  <c r="BF12" i="12"/>
  <c r="BH11" i="12"/>
  <c r="BG11" i="12"/>
  <c r="BH10" i="12"/>
  <c r="BG10" i="12"/>
  <c r="BF10" i="12"/>
  <c r="BE10" i="12"/>
  <c r="BH9" i="12"/>
  <c r="BG9" i="12"/>
  <c r="BF9" i="12"/>
  <c r="BE9" i="12"/>
  <c r="BH8" i="12"/>
  <c r="BG8" i="12"/>
  <c r="BF8" i="12"/>
  <c r="BH7" i="12"/>
  <c r="BG7" i="12"/>
  <c r="BF7" i="12"/>
  <c r="BE7" i="12"/>
  <c r="BH6" i="12"/>
  <c r="BG6" i="12"/>
  <c r="BF6" i="12"/>
  <c r="BH5" i="12"/>
  <c r="BG5" i="12"/>
  <c r="BF5" i="12"/>
  <c r="BH4" i="12"/>
  <c r="BG4" i="12"/>
  <c r="BF4" i="12"/>
  <c r="AJ41" i="12"/>
  <c r="AI41" i="12"/>
  <c r="AH41" i="12"/>
  <c r="AG41" i="12"/>
  <c r="AJ40" i="12"/>
  <c r="AI40" i="12"/>
  <c r="AH40" i="12"/>
  <c r="AG40" i="12"/>
  <c r="AJ39" i="12"/>
  <c r="AI39" i="12"/>
  <c r="AH39" i="12"/>
  <c r="AG39" i="12"/>
  <c r="AJ38" i="12"/>
  <c r="AI38" i="12"/>
  <c r="AH38" i="12"/>
  <c r="AG38" i="12"/>
  <c r="AJ37" i="12"/>
  <c r="AI37" i="12"/>
  <c r="AH37" i="12"/>
  <c r="AG37" i="12"/>
  <c r="AJ36" i="12"/>
  <c r="AI36" i="12"/>
  <c r="AH36" i="12"/>
  <c r="AG36" i="12"/>
  <c r="AJ35" i="12"/>
  <c r="AI35" i="12"/>
  <c r="AH35" i="12"/>
  <c r="AG35" i="12"/>
  <c r="AJ33" i="12"/>
  <c r="AI33" i="12"/>
  <c r="AH33" i="12"/>
  <c r="AG33" i="12"/>
  <c r="AJ30" i="12"/>
  <c r="AI30" i="12"/>
  <c r="AH30" i="12"/>
  <c r="AG30" i="12"/>
  <c r="AJ29" i="12"/>
  <c r="AI29" i="12"/>
  <c r="AH29" i="12"/>
  <c r="AG29" i="12"/>
  <c r="AJ28" i="12"/>
  <c r="AI28" i="12"/>
  <c r="AH28" i="12"/>
  <c r="AG28" i="12"/>
  <c r="AJ25" i="12"/>
  <c r="AI25" i="12"/>
  <c r="AH25" i="12"/>
  <c r="AG25" i="12"/>
  <c r="AJ24" i="12"/>
  <c r="AI24" i="12"/>
  <c r="AH24" i="12"/>
  <c r="AG24" i="12"/>
  <c r="AJ23" i="12"/>
  <c r="AI23" i="12"/>
  <c r="AH23" i="12"/>
  <c r="AG23" i="12"/>
  <c r="AJ15" i="12"/>
  <c r="AI15" i="12"/>
  <c r="AH15" i="12"/>
  <c r="AG15" i="12"/>
  <c r="AJ11" i="12"/>
  <c r="AI11" i="12"/>
  <c r="AH11" i="12"/>
  <c r="AG11" i="12"/>
  <c r="C26" i="12" l="1"/>
  <c r="U14" i="12"/>
  <c r="P42" i="12"/>
  <c r="U42" i="12" s="1"/>
  <c r="U13" i="12"/>
  <c r="U5" i="12"/>
  <c r="P4" i="12"/>
  <c r="P12" i="12"/>
  <c r="P16" i="12"/>
  <c r="U7" i="12"/>
  <c r="U20" i="12"/>
  <c r="U10" i="12"/>
  <c r="U8" i="12"/>
  <c r="O26" i="12"/>
  <c r="O31" i="12"/>
  <c r="U9" i="12"/>
  <c r="O16" i="12"/>
  <c r="U32" i="12"/>
  <c r="O4" i="12"/>
  <c r="U15" i="12"/>
  <c r="U6" i="12"/>
  <c r="U17" i="12"/>
  <c r="U18" i="12"/>
  <c r="U24" i="12"/>
  <c r="U36" i="12"/>
  <c r="U38" i="12"/>
  <c r="U30" i="12"/>
  <c r="U37" i="12"/>
  <c r="P31" i="12"/>
  <c r="U22" i="12"/>
  <c r="U39" i="12"/>
  <c r="P26" i="12"/>
  <c r="U19" i="12"/>
  <c r="U41" i="12"/>
  <c r="U25" i="12"/>
  <c r="U27" i="12"/>
  <c r="U40" i="12"/>
  <c r="U35" i="12"/>
  <c r="U33" i="12"/>
  <c r="U28" i="12"/>
  <c r="U23" i="12"/>
  <c r="O12" i="12"/>
  <c r="U11" i="12"/>
  <c r="D14" i="2"/>
  <c r="AE41" i="2"/>
  <c r="AE36" i="2"/>
  <c r="AF36" i="2"/>
  <c r="AD36" i="2"/>
  <c r="AJ36" i="2"/>
  <c r="J30" i="15" s="1"/>
  <c r="AI36" i="2"/>
  <c r="I30" i="15" s="1"/>
  <c r="AH36" i="2"/>
  <c r="H30" i="15" s="1"/>
  <c r="AG36" i="2"/>
  <c r="AC36" i="2"/>
  <c r="AB36" i="2"/>
  <c r="AA36" i="2"/>
  <c r="Z36" i="2"/>
  <c r="I36" i="2"/>
  <c r="R39" i="2"/>
  <c r="G36" i="2"/>
  <c r="H36" i="2"/>
  <c r="M36" i="2"/>
  <c r="E30" i="15" s="1"/>
  <c r="L36" i="2"/>
  <c r="D30" i="15" s="1"/>
  <c r="K36" i="2"/>
  <c r="C30" i="15" s="1"/>
  <c r="J36" i="2"/>
  <c r="F36" i="2"/>
  <c r="E36" i="2"/>
  <c r="D36" i="2"/>
  <c r="C36" i="2"/>
  <c r="S39" i="2"/>
  <c r="Q39" i="2"/>
  <c r="P39" i="2"/>
  <c r="O39" i="2"/>
  <c r="AK36" i="2" l="1"/>
  <c r="N36" i="2"/>
  <c r="U4" i="12"/>
  <c r="U31" i="12"/>
  <c r="U12" i="12"/>
  <c r="U16" i="12"/>
  <c r="O34" i="12"/>
  <c r="O43" i="12" s="1"/>
  <c r="P34" i="12"/>
  <c r="P43" i="12" s="1"/>
  <c r="U26" i="12"/>
  <c r="T39" i="2"/>
  <c r="U39" i="2"/>
  <c r="V39" i="2"/>
  <c r="U43" i="12" l="1"/>
  <c r="U34" i="12"/>
  <c r="U22" i="6"/>
  <c r="U23" i="6"/>
  <c r="U24" i="6"/>
  <c r="U25" i="6"/>
  <c r="U26" i="6"/>
  <c r="U27" i="6"/>
  <c r="U28" i="6"/>
  <c r="U20" i="6"/>
  <c r="U18" i="6"/>
  <c r="U13" i="6"/>
  <c r="U14" i="6"/>
  <c r="U15" i="6"/>
  <c r="U16" i="6"/>
  <c r="BI9" i="2"/>
  <c r="BJ9" i="2"/>
  <c r="G44" i="6"/>
  <c r="G45" i="6"/>
  <c r="G42" i="6"/>
  <c r="G38" i="6"/>
  <c r="G39" i="6"/>
  <c r="G40" i="6"/>
  <c r="DD7" i="2"/>
  <c r="DD8" i="2"/>
  <c r="DD9" i="2"/>
  <c r="DD10" i="2"/>
  <c r="DD11" i="2"/>
  <c r="DD12" i="2"/>
  <c r="DD13" i="2"/>
  <c r="DD15" i="2"/>
  <c r="DD16" i="2"/>
  <c r="DD17" i="2"/>
  <c r="DD19" i="2"/>
  <c r="DD20" i="2"/>
  <c r="DD21" i="2"/>
  <c r="DD22" i="2"/>
  <c r="DD23" i="2"/>
  <c r="DD24" i="2"/>
  <c r="DD25" i="2"/>
  <c r="DD26" i="2"/>
  <c r="DD27" i="2"/>
  <c r="DD29" i="2"/>
  <c r="DD30" i="2"/>
  <c r="DD31" i="2"/>
  <c r="DD32" i="2"/>
  <c r="DD34" i="2"/>
  <c r="DD35" i="2"/>
  <c r="DD37" i="2"/>
  <c r="DD38" i="2"/>
  <c r="DD39" i="2"/>
  <c r="DD40" i="2"/>
  <c r="CG7" i="2"/>
  <c r="CG8" i="2"/>
  <c r="CG9" i="2"/>
  <c r="CG10" i="2"/>
  <c r="CG11" i="2"/>
  <c r="CG12" i="2"/>
  <c r="CG13" i="2"/>
  <c r="CG15" i="2"/>
  <c r="CG16" i="2"/>
  <c r="CG17" i="2"/>
  <c r="CG19" i="2"/>
  <c r="CG20" i="2"/>
  <c r="CG21" i="2"/>
  <c r="CG22" i="2"/>
  <c r="CG23" i="2"/>
  <c r="CG24" i="2"/>
  <c r="CG25" i="2"/>
  <c r="CG26" i="2"/>
  <c r="CG27" i="2"/>
  <c r="CG29" i="2"/>
  <c r="CG30" i="2"/>
  <c r="CG31" i="2"/>
  <c r="CG32" i="2"/>
  <c r="CG34" i="2"/>
  <c r="CG35" i="2"/>
  <c r="CG37" i="2"/>
  <c r="CG39" i="2"/>
  <c r="CG40" i="2"/>
  <c r="BJ7" i="2"/>
  <c r="BJ8" i="2"/>
  <c r="BJ10" i="2"/>
  <c r="BJ11" i="2"/>
  <c r="BJ12" i="2"/>
  <c r="BJ13" i="2"/>
  <c r="BJ15" i="2"/>
  <c r="BJ16" i="2"/>
  <c r="BJ17" i="2"/>
  <c r="BJ19" i="2"/>
  <c r="BJ20" i="2"/>
  <c r="BJ21" i="2"/>
  <c r="BJ22" i="2"/>
  <c r="BJ23" i="2"/>
  <c r="BJ24" i="2"/>
  <c r="BJ25" i="2"/>
  <c r="BJ26" i="2"/>
  <c r="BJ27" i="2"/>
  <c r="BJ29" i="2"/>
  <c r="BJ30" i="2"/>
  <c r="BJ31" i="2"/>
  <c r="BJ32" i="2"/>
  <c r="BJ34" i="2"/>
  <c r="BJ35" i="2"/>
  <c r="BJ37" i="2"/>
  <c r="BJ39" i="2"/>
  <c r="BJ40" i="2"/>
  <c r="AM7" i="2"/>
  <c r="AM8" i="2"/>
  <c r="AM9" i="2"/>
  <c r="AM10" i="2"/>
  <c r="AM11" i="2"/>
  <c r="AM12" i="2"/>
  <c r="AM13" i="2"/>
  <c r="AM15" i="2"/>
  <c r="AM16" i="2"/>
  <c r="AM17" i="2"/>
  <c r="AM19" i="2"/>
  <c r="AM20" i="2"/>
  <c r="AM21" i="2"/>
  <c r="AM22" i="2"/>
  <c r="AM23" i="2"/>
  <c r="AM24" i="2"/>
  <c r="AM25" i="2"/>
  <c r="AM26" i="2"/>
  <c r="AM27" i="2"/>
  <c r="AM29" i="2"/>
  <c r="AM30" i="2"/>
  <c r="AM31" i="2"/>
  <c r="AM32" i="2"/>
  <c r="AM34" i="2"/>
  <c r="AM35" i="2"/>
  <c r="AM37" i="2"/>
  <c r="AM38" i="2"/>
  <c r="AM40" i="2"/>
  <c r="AM39" i="2"/>
  <c r="AM41" i="2"/>
  <c r="P7" i="2"/>
  <c r="P8" i="2"/>
  <c r="P9" i="2"/>
  <c r="P10" i="2"/>
  <c r="P11" i="2"/>
  <c r="P12" i="2"/>
  <c r="P13" i="2"/>
  <c r="P15" i="2"/>
  <c r="P16" i="2"/>
  <c r="P17" i="2"/>
  <c r="P19" i="2"/>
  <c r="P20" i="2"/>
  <c r="P21" i="2"/>
  <c r="P22" i="2"/>
  <c r="P23" i="2"/>
  <c r="P24" i="2"/>
  <c r="P25" i="2"/>
  <c r="P26" i="2"/>
  <c r="P27" i="2"/>
  <c r="P29" i="2"/>
  <c r="P30" i="2"/>
  <c r="P31" i="2"/>
  <c r="P32" i="2"/>
  <c r="P34" i="2"/>
  <c r="P35" i="2"/>
  <c r="P37" i="2"/>
  <c r="P38" i="2"/>
  <c r="P40" i="2"/>
  <c r="P41" i="2"/>
  <c r="Y17" i="6"/>
  <c r="X17" i="6"/>
  <c r="AH39" i="6"/>
  <c r="T39" i="6"/>
  <c r="AA39" i="6"/>
  <c r="AH12" i="6"/>
  <c r="AA12" i="6"/>
  <c r="AA21" i="6" s="1"/>
  <c r="AB38" i="6"/>
  <c r="Z37" i="6"/>
  <c r="Y37" i="6"/>
  <c r="X37" i="6"/>
  <c r="AB36" i="6"/>
  <c r="AB35" i="6"/>
  <c r="AB34" i="6"/>
  <c r="AB33" i="6"/>
  <c r="Z32" i="6"/>
  <c r="Y32" i="6"/>
  <c r="X32" i="6"/>
  <c r="AA29" i="6"/>
  <c r="AB29" i="6" s="1"/>
  <c r="AB28" i="6"/>
  <c r="AB27" i="6"/>
  <c r="AB26" i="6"/>
  <c r="AB24" i="6"/>
  <c r="AB23" i="6"/>
  <c r="AB22" i="6"/>
  <c r="AB20" i="6"/>
  <c r="Z19" i="6"/>
  <c r="Y19" i="6"/>
  <c r="X19" i="6"/>
  <c r="T12" i="6"/>
  <c r="V40" i="2"/>
  <c r="AN39" i="2"/>
  <c r="V38" i="2"/>
  <c r="U38" i="2"/>
  <c r="T38" i="2"/>
  <c r="S38" i="2"/>
  <c r="R38" i="2"/>
  <c r="Q38" i="2"/>
  <c r="O38" i="2"/>
  <c r="AS38" i="2"/>
  <c r="AR38" i="2"/>
  <c r="AQ38" i="2"/>
  <c r="AP38" i="2"/>
  <c r="AO38" i="2"/>
  <c r="AN38" i="2"/>
  <c r="AL38" i="2"/>
  <c r="AS39" i="2"/>
  <c r="AL39" i="2"/>
  <c r="U40" i="2"/>
  <c r="T40" i="2"/>
  <c r="S40" i="2"/>
  <c r="R40" i="2"/>
  <c r="Q40" i="2"/>
  <c r="O40" i="2"/>
  <c r="DT39" i="2"/>
  <c r="DU39" i="2"/>
  <c r="DV39" i="2"/>
  <c r="DW39" i="2"/>
  <c r="DX39" i="2"/>
  <c r="DJ39" i="2"/>
  <c r="DI39" i="2"/>
  <c r="DH39" i="2"/>
  <c r="DC39" i="2"/>
  <c r="CM39" i="2"/>
  <c r="CL39" i="2"/>
  <c r="CK39" i="2"/>
  <c r="CJ39" i="2"/>
  <c r="CI39" i="2"/>
  <c r="CH39" i="2"/>
  <c r="CF39" i="2"/>
  <c r="BP39" i="2"/>
  <c r="BO39" i="2"/>
  <c r="BN39" i="2"/>
  <c r="BM39" i="2"/>
  <c r="BL39" i="2"/>
  <c r="BK39" i="2"/>
  <c r="BI39" i="2"/>
  <c r="P26" i="11"/>
  <c r="O26" i="11"/>
  <c r="P23" i="11"/>
  <c r="O23" i="11"/>
  <c r="P20" i="11"/>
  <c r="O20" i="11"/>
  <c r="P14" i="11"/>
  <c r="O14" i="11"/>
  <c r="R14" i="11" s="1"/>
  <c r="P10" i="11"/>
  <c r="O10" i="11"/>
  <c r="R31" i="11"/>
  <c r="Q31" i="11"/>
  <c r="R30" i="11"/>
  <c r="Q30" i="11"/>
  <c r="R28" i="11"/>
  <c r="Q28" i="11"/>
  <c r="R27" i="11"/>
  <c r="Q27" i="11"/>
  <c r="R25" i="11"/>
  <c r="Q25" i="11"/>
  <c r="R24" i="11"/>
  <c r="Q24" i="11"/>
  <c r="R22" i="11"/>
  <c r="Q22" i="11"/>
  <c r="R21" i="11"/>
  <c r="Q21" i="11"/>
  <c r="R19" i="11"/>
  <c r="Q19" i="11"/>
  <c r="R18" i="11"/>
  <c r="Q18" i="11"/>
  <c r="R17" i="11"/>
  <c r="Q17" i="11"/>
  <c r="R16" i="11"/>
  <c r="Q16" i="11"/>
  <c r="R15" i="11"/>
  <c r="Q15" i="11"/>
  <c r="R13" i="11"/>
  <c r="Q13" i="11"/>
  <c r="R12" i="11"/>
  <c r="Q12" i="11"/>
  <c r="R11" i="11"/>
  <c r="Q11" i="11"/>
  <c r="R9" i="11"/>
  <c r="Q9" i="11"/>
  <c r="R8" i="11"/>
  <c r="Q8" i="11"/>
  <c r="R7" i="11"/>
  <c r="Q7" i="11"/>
  <c r="R6" i="11"/>
  <c r="Q6" i="11"/>
  <c r="P5" i="11"/>
  <c r="O5" i="11"/>
  <c r="X31" i="11"/>
  <c r="W31" i="11"/>
  <c r="X30" i="11"/>
  <c r="W30" i="11"/>
  <c r="X28" i="11"/>
  <c r="W28" i="11"/>
  <c r="X27" i="11"/>
  <c r="W27" i="11"/>
  <c r="V26" i="11"/>
  <c r="U26" i="11"/>
  <c r="X25" i="11"/>
  <c r="W25" i="11"/>
  <c r="X24" i="11"/>
  <c r="W24" i="11"/>
  <c r="V23" i="11"/>
  <c r="U23" i="11"/>
  <c r="X22" i="11"/>
  <c r="W22" i="11"/>
  <c r="X21" i="11"/>
  <c r="W21" i="11"/>
  <c r="V20" i="11"/>
  <c r="U20" i="11"/>
  <c r="X19" i="11"/>
  <c r="W19" i="11"/>
  <c r="X18" i="11"/>
  <c r="W18" i="11"/>
  <c r="X17" i="11"/>
  <c r="W17" i="11"/>
  <c r="X16" i="11"/>
  <c r="W16" i="11"/>
  <c r="X15" i="11"/>
  <c r="W15" i="11"/>
  <c r="V14" i="11"/>
  <c r="U14" i="11"/>
  <c r="X13" i="11"/>
  <c r="W13" i="11"/>
  <c r="X12" i="11"/>
  <c r="W12" i="11"/>
  <c r="X11" i="11"/>
  <c r="W11" i="11"/>
  <c r="V10" i="11"/>
  <c r="U10" i="11"/>
  <c r="X9" i="11"/>
  <c r="W9" i="11"/>
  <c r="X8" i="11"/>
  <c r="W8" i="11"/>
  <c r="X7" i="11"/>
  <c r="W7" i="11"/>
  <c r="X6" i="11"/>
  <c r="W6" i="11"/>
  <c r="V5" i="11"/>
  <c r="U5" i="11"/>
  <c r="X14" i="11" l="1"/>
  <c r="W14" i="11"/>
  <c r="W26" i="11"/>
  <c r="Q26" i="11"/>
  <c r="Q20" i="11"/>
  <c r="R20" i="11"/>
  <c r="AA30" i="6"/>
  <c r="AA40" i="6" s="1"/>
  <c r="Y39" i="6"/>
  <c r="Z39" i="6"/>
  <c r="X39" i="6"/>
  <c r="AB19" i="6"/>
  <c r="AB37" i="6"/>
  <c r="AB32" i="6"/>
  <c r="AR39" i="2"/>
  <c r="AQ39" i="2"/>
  <c r="AO39" i="2"/>
  <c r="AP39" i="2"/>
  <c r="O29" i="11"/>
  <c r="O32" i="11" s="1"/>
  <c r="R26" i="11"/>
  <c r="P29" i="11"/>
  <c r="P32" i="11" s="1"/>
  <c r="R23" i="11"/>
  <c r="Q14" i="11"/>
  <c r="Q10" i="11"/>
  <c r="R10" i="11"/>
  <c r="Q23" i="11"/>
  <c r="Q5" i="11"/>
  <c r="R5" i="11"/>
  <c r="X26" i="11"/>
  <c r="W23" i="11"/>
  <c r="X20" i="11"/>
  <c r="W10" i="11"/>
  <c r="X10" i="11"/>
  <c r="X23" i="11"/>
  <c r="U29" i="11"/>
  <c r="U32" i="11" s="1"/>
  <c r="W20" i="11"/>
  <c r="V29" i="11"/>
  <c r="V32" i="11" s="1"/>
  <c r="W5" i="11"/>
  <c r="X5" i="11"/>
  <c r="W29" i="11" l="1"/>
  <c r="W32" i="11" s="1"/>
  <c r="R32" i="11"/>
  <c r="Q29" i="11"/>
  <c r="Q32" i="11" s="1"/>
  <c r="R29" i="11"/>
  <c r="X32" i="11"/>
  <c r="X29" i="11"/>
  <c r="AB39" i="6" l="1"/>
  <c r="AH6" i="2"/>
  <c r="P36" i="2" l="1"/>
  <c r="V36" i="2"/>
  <c r="R36" i="2"/>
  <c r="Q36" i="2"/>
  <c r="S36" i="2"/>
  <c r="O36" i="2"/>
  <c r="T36" i="2"/>
  <c r="U36" i="2"/>
  <c r="AB26" i="11" l="1"/>
  <c r="AA26" i="11"/>
  <c r="AB23" i="11"/>
  <c r="AA23" i="11"/>
  <c r="AB20" i="11"/>
  <c r="AA20" i="11"/>
  <c r="AB14" i="11"/>
  <c r="AA14" i="11"/>
  <c r="AD14" i="11" s="1"/>
  <c r="AB10" i="11"/>
  <c r="AA10" i="11"/>
  <c r="AB5" i="11"/>
  <c r="AA5" i="11"/>
  <c r="AD31" i="11"/>
  <c r="AC31" i="11"/>
  <c r="AD30" i="11"/>
  <c r="AC30" i="11"/>
  <c r="AD28" i="11"/>
  <c r="AC28" i="11"/>
  <c r="AD27" i="11"/>
  <c r="AC27" i="11"/>
  <c r="AC26" i="11" s="1"/>
  <c r="AD26" i="11"/>
  <c r="AD25" i="11"/>
  <c r="AC25" i="11"/>
  <c r="AD24" i="11"/>
  <c r="AC24" i="11"/>
  <c r="AD22" i="11"/>
  <c r="AC22" i="11"/>
  <c r="AD21" i="11"/>
  <c r="AC21" i="11"/>
  <c r="AD19" i="11"/>
  <c r="AC19" i="11"/>
  <c r="AD18" i="11"/>
  <c r="AC18" i="11"/>
  <c r="AD17" i="11"/>
  <c r="AC17" i="11"/>
  <c r="AD16" i="11"/>
  <c r="AC16" i="11"/>
  <c r="AD15" i="11"/>
  <c r="AC15" i="11"/>
  <c r="AD13" i="11"/>
  <c r="AC13" i="11"/>
  <c r="AD12" i="11"/>
  <c r="AC12" i="11"/>
  <c r="AD11" i="11"/>
  <c r="AC11" i="11"/>
  <c r="AD9" i="11"/>
  <c r="AC9" i="11"/>
  <c r="AD8" i="11"/>
  <c r="AC8" i="11"/>
  <c r="AD7" i="11"/>
  <c r="AC7" i="11"/>
  <c r="AD6" i="11"/>
  <c r="AC6" i="11"/>
  <c r="AC5" i="11" s="1"/>
  <c r="AB29" i="11" l="1"/>
  <c r="AB32" i="11" s="1"/>
  <c r="AC23" i="11"/>
  <c r="AD23" i="11"/>
  <c r="AD20" i="11"/>
  <c r="AC20" i="11"/>
  <c r="AD10" i="11"/>
  <c r="AD5" i="11"/>
  <c r="AC10" i="11"/>
  <c r="AC14" i="11"/>
  <c r="AA29" i="11"/>
  <c r="AC29" i="11" l="1"/>
  <c r="AC32" i="11" s="1"/>
  <c r="AA32" i="11"/>
  <c r="AD32" i="11" s="1"/>
  <c r="AD29" i="11"/>
  <c r="W28" i="10" l="1"/>
  <c r="W25" i="10"/>
  <c r="W22" i="10"/>
  <c r="W19" i="10"/>
  <c r="W13" i="10"/>
  <c r="W9" i="10"/>
  <c r="D23" i="11" l="1"/>
  <c r="C23" i="11"/>
  <c r="F36" i="11"/>
  <c r="E36" i="11"/>
  <c r="F35" i="11"/>
  <c r="E35" i="11"/>
  <c r="F34" i="11"/>
  <c r="E34" i="11"/>
  <c r="F33" i="11"/>
  <c r="E33" i="11"/>
  <c r="F32" i="11"/>
  <c r="E32" i="11"/>
  <c r="F31" i="11"/>
  <c r="E31" i="11"/>
  <c r="D30" i="11"/>
  <c r="C30" i="11"/>
  <c r="F30" i="11" s="1"/>
  <c r="F29" i="11"/>
  <c r="E29" i="11"/>
  <c r="F28" i="11"/>
  <c r="E28" i="11"/>
  <c r="F27" i="11"/>
  <c r="E27" i="11"/>
  <c r="D26" i="11"/>
  <c r="D22" i="11" s="1"/>
  <c r="D37" i="11" s="1"/>
  <c r="C26" i="11"/>
  <c r="F25" i="11"/>
  <c r="E25" i="11"/>
  <c r="F24" i="11"/>
  <c r="E24" i="11"/>
  <c r="F19" i="11"/>
  <c r="E19" i="11"/>
  <c r="F18" i="11"/>
  <c r="E18" i="11"/>
  <c r="D17" i="11"/>
  <c r="C17" i="11"/>
  <c r="F16" i="11"/>
  <c r="E16" i="11"/>
  <c r="F15" i="11"/>
  <c r="E15" i="11"/>
  <c r="F14" i="11"/>
  <c r="E14" i="11"/>
  <c r="F13" i="11"/>
  <c r="E13" i="11"/>
  <c r="F12" i="11"/>
  <c r="E12" i="11"/>
  <c r="F11" i="11"/>
  <c r="E11" i="11"/>
  <c r="D10" i="11"/>
  <c r="C10" i="11"/>
  <c r="F9" i="11"/>
  <c r="E9" i="11"/>
  <c r="F8" i="11"/>
  <c r="E8" i="11"/>
  <c r="D7" i="11"/>
  <c r="C7" i="11"/>
  <c r="C6" i="11" s="1"/>
  <c r="F19" i="10"/>
  <c r="E19" i="10"/>
  <c r="F18" i="10"/>
  <c r="E18" i="10"/>
  <c r="F16" i="10"/>
  <c r="E16" i="10"/>
  <c r="F15" i="10"/>
  <c r="E15" i="10"/>
  <c r="F14" i="10"/>
  <c r="E14" i="10"/>
  <c r="F13" i="10"/>
  <c r="E13" i="10"/>
  <c r="F12" i="10"/>
  <c r="E12" i="10"/>
  <c r="F11" i="10"/>
  <c r="E11" i="10"/>
  <c r="F9" i="10"/>
  <c r="E9" i="10"/>
  <c r="F8" i="10"/>
  <c r="E8" i="10"/>
  <c r="F36" i="10"/>
  <c r="E36" i="10"/>
  <c r="F35" i="10"/>
  <c r="E35" i="10"/>
  <c r="F34" i="10"/>
  <c r="E34" i="10"/>
  <c r="F33" i="10"/>
  <c r="E33" i="10"/>
  <c r="F32" i="10"/>
  <c r="E32" i="10"/>
  <c r="F31" i="10"/>
  <c r="E31" i="10"/>
  <c r="F29" i="10"/>
  <c r="E29" i="10"/>
  <c r="F28" i="10"/>
  <c r="E28" i="10"/>
  <c r="F27" i="10"/>
  <c r="E27" i="10"/>
  <c r="F25" i="10"/>
  <c r="E25" i="10"/>
  <c r="F24" i="10"/>
  <c r="E24" i="10"/>
  <c r="L36" i="10"/>
  <c r="K36" i="10"/>
  <c r="L35" i="10"/>
  <c r="K35" i="10"/>
  <c r="L34" i="10"/>
  <c r="K34" i="10"/>
  <c r="L33" i="10"/>
  <c r="K33" i="10"/>
  <c r="L32" i="10"/>
  <c r="K32" i="10"/>
  <c r="L31" i="10"/>
  <c r="K31" i="10"/>
  <c r="L29" i="10"/>
  <c r="K29" i="10"/>
  <c r="L28" i="10"/>
  <c r="K28" i="10"/>
  <c r="L27" i="10"/>
  <c r="K27" i="10"/>
  <c r="L25" i="10"/>
  <c r="K25" i="10"/>
  <c r="L24" i="10"/>
  <c r="K24" i="10"/>
  <c r="L19" i="10"/>
  <c r="K19" i="10"/>
  <c r="L18" i="10"/>
  <c r="K18" i="10"/>
  <c r="L16" i="10"/>
  <c r="K16" i="10"/>
  <c r="L15" i="10"/>
  <c r="K15" i="10"/>
  <c r="L14" i="10"/>
  <c r="K14" i="10"/>
  <c r="L13" i="10"/>
  <c r="K13" i="10"/>
  <c r="L12" i="10"/>
  <c r="K12" i="10"/>
  <c r="L11" i="10"/>
  <c r="K11" i="10"/>
  <c r="L9" i="10"/>
  <c r="K9" i="10"/>
  <c r="L8" i="10"/>
  <c r="K8" i="10"/>
  <c r="J30" i="10"/>
  <c r="I30" i="10"/>
  <c r="J26" i="10"/>
  <c r="I26" i="10"/>
  <c r="J23" i="10"/>
  <c r="I23" i="10"/>
  <c r="J17" i="10"/>
  <c r="I17" i="10"/>
  <c r="J10" i="10"/>
  <c r="I10" i="10"/>
  <c r="J7" i="10"/>
  <c r="I7" i="10"/>
  <c r="D17" i="10"/>
  <c r="C17" i="10"/>
  <c r="D10" i="10"/>
  <c r="C10" i="10"/>
  <c r="D7" i="10"/>
  <c r="C7" i="10"/>
  <c r="D30" i="10"/>
  <c r="C30" i="10"/>
  <c r="D26" i="10"/>
  <c r="C26" i="10"/>
  <c r="F26" i="10" s="1"/>
  <c r="D23" i="10"/>
  <c r="C23" i="10"/>
  <c r="K33" i="2"/>
  <c r="AS37" i="2"/>
  <c r="AR37" i="2"/>
  <c r="AQ37" i="2"/>
  <c r="AP37" i="2"/>
  <c r="AO37" i="2"/>
  <c r="AN37" i="2"/>
  <c r="AL37" i="2"/>
  <c r="V37" i="2"/>
  <c r="U37" i="2"/>
  <c r="T37" i="2"/>
  <c r="S37" i="2"/>
  <c r="R37" i="2"/>
  <c r="Q37" i="2"/>
  <c r="O37" i="2"/>
  <c r="F23" i="10" l="1"/>
  <c r="K10" i="10"/>
  <c r="E26" i="10"/>
  <c r="L17" i="10"/>
  <c r="F17" i="10"/>
  <c r="F10" i="10"/>
  <c r="K30" i="10"/>
  <c r="F30" i="10"/>
  <c r="L23" i="10"/>
  <c r="C6" i="10"/>
  <c r="C20" i="10" s="1"/>
  <c r="D6" i="10"/>
  <c r="D20" i="10" s="1"/>
  <c r="L26" i="10"/>
  <c r="E7" i="10"/>
  <c r="C22" i="11"/>
  <c r="E22" i="11" s="1"/>
  <c r="F17" i="11"/>
  <c r="E10" i="10"/>
  <c r="E17" i="10"/>
  <c r="L30" i="10"/>
  <c r="E23" i="10"/>
  <c r="E30" i="10"/>
  <c r="F7" i="10"/>
  <c r="K17" i="10"/>
  <c r="J6" i="10"/>
  <c r="J20" i="10" s="1"/>
  <c r="K26" i="10"/>
  <c r="K23" i="10"/>
  <c r="L10" i="10"/>
  <c r="L7" i="10"/>
  <c r="K7" i="10"/>
  <c r="D6" i="11"/>
  <c r="D20" i="11" s="1"/>
  <c r="D38" i="11" s="1"/>
  <c r="E10" i="11"/>
  <c r="F26" i="11"/>
  <c r="F10" i="11"/>
  <c r="C20" i="11"/>
  <c r="E17" i="11"/>
  <c r="E23" i="11"/>
  <c r="F23" i="11"/>
  <c r="E7" i="11"/>
  <c r="F7" i="11"/>
  <c r="E30" i="11"/>
  <c r="E26" i="11"/>
  <c r="J22" i="10"/>
  <c r="J37" i="10" s="1"/>
  <c r="I6" i="10"/>
  <c r="I22" i="10"/>
  <c r="C22" i="10"/>
  <c r="D22" i="10"/>
  <c r="D37" i="10" s="1"/>
  <c r="E6" i="11" l="1"/>
  <c r="F6" i="11"/>
  <c r="F22" i="11"/>
  <c r="C37" i="11"/>
  <c r="F37" i="11" s="1"/>
  <c r="E6" i="10"/>
  <c r="F6" i="10"/>
  <c r="E20" i="10"/>
  <c r="C37" i="10"/>
  <c r="F22" i="10"/>
  <c r="E22" i="10"/>
  <c r="F20" i="10"/>
  <c r="I37" i="10"/>
  <c r="L22" i="10"/>
  <c r="K22" i="10"/>
  <c r="J38" i="10"/>
  <c r="I20" i="10"/>
  <c r="K6" i="10"/>
  <c r="L6" i="10"/>
  <c r="F20" i="11"/>
  <c r="E20" i="11"/>
  <c r="D38" i="10"/>
  <c r="C38" i="11" l="1"/>
  <c r="F38" i="11" s="1"/>
  <c r="E37" i="11"/>
  <c r="C38" i="10"/>
  <c r="F37" i="10"/>
  <c r="E37" i="10"/>
  <c r="I38" i="10"/>
  <c r="L38" i="10" s="1"/>
  <c r="L37" i="10"/>
  <c r="K37" i="10"/>
  <c r="K20" i="10"/>
  <c r="L20" i="10"/>
  <c r="E38" i="11" l="1"/>
  <c r="F38" i="10"/>
  <c r="E38" i="10"/>
  <c r="K38" i="10"/>
  <c r="AS40" i="2"/>
  <c r="AR40" i="2"/>
  <c r="AQ40" i="2"/>
  <c r="AP40" i="2"/>
  <c r="AO40" i="2"/>
  <c r="AN40" i="2"/>
  <c r="AL40" i="2"/>
  <c r="AM36" i="2" l="1"/>
  <c r="AS36" i="2"/>
  <c r="AN36" i="2"/>
  <c r="AO36" i="2"/>
  <c r="AP36" i="2"/>
  <c r="AL36" i="2"/>
  <c r="AR36" i="2"/>
  <c r="AQ36" i="2"/>
  <c r="AE32" i="6" l="1"/>
  <c r="AF32" i="6"/>
  <c r="AG32" i="6"/>
  <c r="AI33" i="6"/>
  <c r="AI34" i="6"/>
  <c r="AI35" i="6"/>
  <c r="AI36" i="6"/>
  <c r="AE37" i="6"/>
  <c r="AE39" i="6" s="1"/>
  <c r="AF37" i="6"/>
  <c r="AF39" i="6" s="1"/>
  <c r="AG37" i="6"/>
  <c r="AG39" i="6" s="1"/>
  <c r="AI38" i="6"/>
  <c r="Q32" i="6"/>
  <c r="R32" i="6"/>
  <c r="S32" i="6"/>
  <c r="U33" i="6"/>
  <c r="U34" i="6"/>
  <c r="U35" i="6"/>
  <c r="U36" i="6"/>
  <c r="Q37" i="6"/>
  <c r="R37" i="6"/>
  <c r="S37" i="6"/>
  <c r="U38" i="6"/>
  <c r="C32" i="6"/>
  <c r="D32" i="6"/>
  <c r="E32" i="6"/>
  <c r="G33" i="6"/>
  <c r="G34" i="6"/>
  <c r="G35" i="6"/>
  <c r="C37" i="6"/>
  <c r="D37" i="6"/>
  <c r="E37" i="6"/>
  <c r="C41" i="6"/>
  <c r="D41" i="6"/>
  <c r="E41" i="6"/>
  <c r="F43" i="6"/>
  <c r="F46" i="6" s="1"/>
  <c r="D41" i="12"/>
  <c r="D40" i="12"/>
  <c r="D39" i="12"/>
  <c r="CV27" i="2"/>
  <c r="CU27" i="2"/>
  <c r="BY27" i="2"/>
  <c r="BX27" i="2"/>
  <c r="BB27" i="2"/>
  <c r="BA27" i="2"/>
  <c r="BX37" i="2"/>
  <c r="BX36" i="2" s="1"/>
  <c r="DN36" i="2"/>
  <c r="DO36" i="2"/>
  <c r="DP36" i="2"/>
  <c r="DR36" i="2"/>
  <c r="AC30" i="15" s="1"/>
  <c r="ED36" i="2"/>
  <c r="CQ36" i="2"/>
  <c r="CR36" i="2"/>
  <c r="CS36" i="2"/>
  <c r="CT36" i="2"/>
  <c r="CW36" i="2"/>
  <c r="CX36" i="2"/>
  <c r="CY36" i="2"/>
  <c r="W30" i="15" s="1"/>
  <c r="CZ36" i="2"/>
  <c r="DA36" i="2"/>
  <c r="Y30" i="15" s="1"/>
  <c r="BT36" i="2"/>
  <c r="BU36" i="2"/>
  <c r="BV36" i="2"/>
  <c r="BW36" i="2"/>
  <c r="BZ36" i="2"/>
  <c r="CA36" i="2"/>
  <c r="CB36" i="2"/>
  <c r="R30" i="15" s="1"/>
  <c r="CC36" i="2"/>
  <c r="S30" i="15" s="1"/>
  <c r="CD36" i="2"/>
  <c r="T30" i="15" s="1"/>
  <c r="AW36" i="2"/>
  <c r="AX36" i="2"/>
  <c r="AY36" i="2"/>
  <c r="AZ36" i="2"/>
  <c r="BC36" i="2"/>
  <c r="BD36" i="2"/>
  <c r="BE36" i="2"/>
  <c r="M30" i="15" s="1"/>
  <c r="BF36" i="2"/>
  <c r="BG36" i="2"/>
  <c r="O30" i="15" s="1"/>
  <c r="DS37" i="2"/>
  <c r="DS36" i="2" s="1"/>
  <c r="AD30" i="15" s="1"/>
  <c r="DQ37" i="2"/>
  <c r="DQ36" i="2" s="1"/>
  <c r="AB30" i="15" s="1"/>
  <c r="M20" i="15"/>
  <c r="N20" i="15"/>
  <c r="O20" i="15"/>
  <c r="AB20" i="15"/>
  <c r="AC20" i="15"/>
  <c r="AD20" i="15"/>
  <c r="W20" i="15"/>
  <c r="X20" i="15"/>
  <c r="Y20" i="15"/>
  <c r="R20" i="15"/>
  <c r="S20" i="15"/>
  <c r="T20" i="15"/>
  <c r="DT23" i="2"/>
  <c r="DU23" i="2"/>
  <c r="DV23" i="2"/>
  <c r="DW23" i="2"/>
  <c r="DX23" i="2"/>
  <c r="DC23" i="2"/>
  <c r="DE23" i="2"/>
  <c r="DF23" i="2"/>
  <c r="DG23" i="2"/>
  <c r="DH23" i="2"/>
  <c r="DI23" i="2"/>
  <c r="DJ23" i="2"/>
  <c r="CF23" i="2"/>
  <c r="CH23" i="2"/>
  <c r="CI23" i="2"/>
  <c r="CJ23" i="2"/>
  <c r="CK23" i="2"/>
  <c r="CL23" i="2"/>
  <c r="CM23" i="2"/>
  <c r="BI23" i="2"/>
  <c r="BK23" i="2"/>
  <c r="BL23" i="2"/>
  <c r="BM23" i="2"/>
  <c r="BN23" i="2"/>
  <c r="BO23" i="2"/>
  <c r="BP23" i="2"/>
  <c r="C18" i="2"/>
  <c r="D18" i="2"/>
  <c r="E18" i="2"/>
  <c r="F18" i="2"/>
  <c r="AV29" i="15"/>
  <c r="AV28" i="15" s="1"/>
  <c r="AW29" i="15"/>
  <c r="AX29" i="15"/>
  <c r="AX28" i="15" s="1"/>
  <c r="AV25" i="15"/>
  <c r="AW25" i="15"/>
  <c r="AE27" i="12" s="1"/>
  <c r="AX25" i="15"/>
  <c r="AV26" i="15"/>
  <c r="AW26" i="15"/>
  <c r="AX26" i="15"/>
  <c r="AV27" i="15"/>
  <c r="AW27" i="15"/>
  <c r="AX27" i="15"/>
  <c r="AV16" i="15"/>
  <c r="AW16" i="15"/>
  <c r="AE17" i="12" s="1"/>
  <c r="AX16" i="15"/>
  <c r="AV17" i="15"/>
  <c r="AW17" i="15"/>
  <c r="AE18" i="12" s="1"/>
  <c r="AX17" i="15"/>
  <c r="AV18" i="15"/>
  <c r="AW18" i="15"/>
  <c r="AE19" i="12" s="1"/>
  <c r="AX18" i="15"/>
  <c r="AV19" i="15"/>
  <c r="AW19" i="15"/>
  <c r="AE20" i="12" s="1"/>
  <c r="AX19" i="15"/>
  <c r="AV20" i="15"/>
  <c r="AW20" i="15"/>
  <c r="AE21" i="12" s="1"/>
  <c r="AX20" i="15"/>
  <c r="AV21" i="15"/>
  <c r="AW21" i="15"/>
  <c r="AE22" i="12" s="1"/>
  <c r="AX21" i="15"/>
  <c r="AV22" i="15"/>
  <c r="AW22" i="15"/>
  <c r="AX22" i="15"/>
  <c r="AV23" i="15"/>
  <c r="AW23" i="15"/>
  <c r="AX23" i="15"/>
  <c r="AV13" i="15"/>
  <c r="AW13" i="15"/>
  <c r="AE13" i="12" s="1"/>
  <c r="AX13" i="15"/>
  <c r="AV14" i="15"/>
  <c r="AW14" i="15"/>
  <c r="AE14" i="12" s="1"/>
  <c r="AX14" i="15"/>
  <c r="AV6" i="15"/>
  <c r="AW6" i="15"/>
  <c r="AE5" i="12" s="1"/>
  <c r="AX6" i="15"/>
  <c r="AV7" i="15"/>
  <c r="AW7" i="15"/>
  <c r="AE6" i="12" s="1"/>
  <c r="AX7" i="15"/>
  <c r="AV8" i="15"/>
  <c r="AW8" i="15"/>
  <c r="AE7" i="12" s="1"/>
  <c r="AX8" i="15"/>
  <c r="AV9" i="15"/>
  <c r="AW9" i="15"/>
  <c r="AE8" i="12" s="1"/>
  <c r="AX9" i="15"/>
  <c r="AV10" i="15"/>
  <c r="AW10" i="15"/>
  <c r="AE9" i="12" s="1"/>
  <c r="AX10" i="15"/>
  <c r="AV11" i="15"/>
  <c r="AW11" i="15"/>
  <c r="AE10" i="12" s="1"/>
  <c r="AX11" i="15"/>
  <c r="AQ29" i="15"/>
  <c r="AQ28" i="15" s="1"/>
  <c r="AR29" i="15"/>
  <c r="AS29" i="15"/>
  <c r="AS28" i="15" s="1"/>
  <c r="AQ25" i="15"/>
  <c r="AR25" i="15"/>
  <c r="AD27" i="12" s="1"/>
  <c r="AS25" i="15"/>
  <c r="AQ26" i="15"/>
  <c r="AR26" i="15"/>
  <c r="AS26" i="15"/>
  <c r="AQ27" i="15"/>
  <c r="AR27" i="15"/>
  <c r="AS27" i="15"/>
  <c r="AQ16" i="15"/>
  <c r="AR16" i="15"/>
  <c r="AD17" i="12" s="1"/>
  <c r="AS16" i="15"/>
  <c r="AQ17" i="15"/>
  <c r="AR17" i="15"/>
  <c r="AD18" i="12" s="1"/>
  <c r="AS17" i="15"/>
  <c r="AQ18" i="15"/>
  <c r="AR18" i="15"/>
  <c r="AD19" i="12" s="1"/>
  <c r="AS18" i="15"/>
  <c r="AQ19" i="15"/>
  <c r="AR19" i="15"/>
  <c r="AD20" i="12" s="1"/>
  <c r="AS19" i="15"/>
  <c r="AQ20" i="15"/>
  <c r="AR20" i="15"/>
  <c r="AD21" i="12" s="1"/>
  <c r="AS20" i="15"/>
  <c r="AQ21" i="15"/>
  <c r="AR21" i="15"/>
  <c r="AD22" i="12" s="1"/>
  <c r="AS21" i="15"/>
  <c r="AQ22" i="15"/>
  <c r="AR22" i="15"/>
  <c r="AS22" i="15"/>
  <c r="AQ23" i="15"/>
  <c r="AR23" i="15"/>
  <c r="AS23" i="15"/>
  <c r="AQ13" i="15"/>
  <c r="AR13" i="15"/>
  <c r="AD13" i="12" s="1"/>
  <c r="AS13" i="15"/>
  <c r="AQ14" i="15"/>
  <c r="AR14" i="15"/>
  <c r="AD14" i="12" s="1"/>
  <c r="AS14" i="15"/>
  <c r="AQ6" i="15"/>
  <c r="AR6" i="15"/>
  <c r="AD5" i="12" s="1"/>
  <c r="AS6" i="15"/>
  <c r="AQ7" i="15"/>
  <c r="AR7" i="15"/>
  <c r="AD6" i="12" s="1"/>
  <c r="AS7" i="15"/>
  <c r="AQ8" i="15"/>
  <c r="AR8" i="15"/>
  <c r="AD7" i="12" s="1"/>
  <c r="AS8" i="15"/>
  <c r="AQ9" i="15"/>
  <c r="AR9" i="15"/>
  <c r="AD8" i="12" s="1"/>
  <c r="AS9" i="15"/>
  <c r="AQ10" i="15"/>
  <c r="AR10" i="15"/>
  <c r="AD9" i="12" s="1"/>
  <c r="AS10" i="15"/>
  <c r="AQ11" i="15"/>
  <c r="AR11" i="15"/>
  <c r="AD10" i="12" s="1"/>
  <c r="AS11" i="15"/>
  <c r="AL29" i="15"/>
  <c r="AL28" i="15" s="1"/>
  <c r="AM29" i="15"/>
  <c r="AN29" i="15"/>
  <c r="AN28" i="15" s="1"/>
  <c r="AL25" i="15"/>
  <c r="AM25" i="15"/>
  <c r="AC27" i="12" s="1"/>
  <c r="AN25" i="15"/>
  <c r="AL26" i="15"/>
  <c r="AM26" i="15"/>
  <c r="AN26" i="15"/>
  <c r="AL27" i="15"/>
  <c r="AM27" i="15"/>
  <c r="AN27" i="15"/>
  <c r="AL16" i="15"/>
  <c r="AM16" i="15"/>
  <c r="AC17" i="12" s="1"/>
  <c r="AN16" i="15"/>
  <c r="AL17" i="15"/>
  <c r="AM17" i="15"/>
  <c r="AC18" i="12" s="1"/>
  <c r="AN17" i="15"/>
  <c r="AL18" i="15"/>
  <c r="AM18" i="15"/>
  <c r="AC19" i="12" s="1"/>
  <c r="AN18" i="15"/>
  <c r="AL19" i="15"/>
  <c r="AM19" i="15"/>
  <c r="AC20" i="12" s="1"/>
  <c r="AN19" i="15"/>
  <c r="AL20" i="15"/>
  <c r="AM20" i="15"/>
  <c r="AC21" i="12" s="1"/>
  <c r="AN20" i="15"/>
  <c r="AL21" i="15"/>
  <c r="AM21" i="15"/>
  <c r="AC22" i="12" s="1"/>
  <c r="AN21" i="15"/>
  <c r="AL22" i="15"/>
  <c r="AM22" i="15"/>
  <c r="AN22" i="15"/>
  <c r="AL23" i="15"/>
  <c r="AM23" i="15"/>
  <c r="AN23" i="15"/>
  <c r="AL13" i="15"/>
  <c r="AM13" i="15"/>
  <c r="AC13" i="12" s="1"/>
  <c r="AN13" i="15"/>
  <c r="AL14" i="15"/>
  <c r="AM14" i="15"/>
  <c r="AC14" i="12" s="1"/>
  <c r="AN14" i="15"/>
  <c r="AL6" i="15"/>
  <c r="AM6" i="15"/>
  <c r="AC5" i="12" s="1"/>
  <c r="AN6" i="15"/>
  <c r="AL7" i="15"/>
  <c r="AM7" i="15"/>
  <c r="AC6" i="12" s="1"/>
  <c r="AN7" i="15"/>
  <c r="AL8" i="15"/>
  <c r="AM8" i="15"/>
  <c r="AC7" i="12" s="1"/>
  <c r="AN8" i="15"/>
  <c r="AL9" i="15"/>
  <c r="AM9" i="15"/>
  <c r="AC8" i="12" s="1"/>
  <c r="AN9" i="15"/>
  <c r="AL10" i="15"/>
  <c r="AM10" i="15"/>
  <c r="AC9" i="12" s="1"/>
  <c r="AN10" i="15"/>
  <c r="AL11" i="15"/>
  <c r="AM11" i="15"/>
  <c r="AC10" i="12" s="1"/>
  <c r="AN11" i="15"/>
  <c r="AG29" i="15"/>
  <c r="AG28" i="15" s="1"/>
  <c r="AH29" i="15"/>
  <c r="AI29" i="15"/>
  <c r="AI28" i="15" s="1"/>
  <c r="AG25" i="15"/>
  <c r="AH25" i="15"/>
  <c r="AB27" i="12" s="1"/>
  <c r="AG27" i="12" s="1"/>
  <c r="AI25" i="15"/>
  <c r="AG26" i="15"/>
  <c r="AH26" i="15"/>
  <c r="AI26" i="15"/>
  <c r="AG27" i="15"/>
  <c r="AH27" i="15"/>
  <c r="AI27" i="15"/>
  <c r="AG16" i="15"/>
  <c r="AH16" i="15"/>
  <c r="AB17" i="12" s="1"/>
  <c r="AG17" i="12" s="1"/>
  <c r="AI16" i="15"/>
  <c r="AG17" i="15"/>
  <c r="AH17" i="15"/>
  <c r="AB18" i="12" s="1"/>
  <c r="AG18" i="12" s="1"/>
  <c r="AI17" i="15"/>
  <c r="AG18" i="15"/>
  <c r="AH18" i="15"/>
  <c r="AB19" i="12" s="1"/>
  <c r="AG19" i="12" s="1"/>
  <c r="AI18" i="15"/>
  <c r="AG19" i="15"/>
  <c r="AH19" i="15"/>
  <c r="AB20" i="12" s="1"/>
  <c r="AG20" i="12" s="1"/>
  <c r="AI19" i="15"/>
  <c r="AG20" i="15"/>
  <c r="AH20" i="15"/>
  <c r="AB21" i="12" s="1"/>
  <c r="AG21" i="12" s="1"/>
  <c r="AI20" i="15"/>
  <c r="AG21" i="15"/>
  <c r="AH21" i="15"/>
  <c r="AB22" i="12" s="1"/>
  <c r="AG22" i="12" s="1"/>
  <c r="AI21" i="15"/>
  <c r="AG22" i="15"/>
  <c r="AH22" i="15"/>
  <c r="AI22" i="15"/>
  <c r="AG23" i="15"/>
  <c r="AH23" i="15"/>
  <c r="AI23" i="15"/>
  <c r="AG13" i="15"/>
  <c r="AH13" i="15"/>
  <c r="AB13" i="12" s="1"/>
  <c r="AG13" i="12" s="1"/>
  <c r="AI13" i="15"/>
  <c r="AG14" i="15"/>
  <c r="AH14" i="15"/>
  <c r="AB14" i="12" s="1"/>
  <c r="AG14" i="12" s="1"/>
  <c r="AI14" i="15"/>
  <c r="AG6" i="15"/>
  <c r="AH6" i="15"/>
  <c r="AB5" i="12" s="1"/>
  <c r="AG5" i="12" s="1"/>
  <c r="AI6" i="15"/>
  <c r="AG7" i="15"/>
  <c r="AH7" i="15"/>
  <c r="AB6" i="12" s="1"/>
  <c r="AG6" i="12" s="1"/>
  <c r="AI7" i="15"/>
  <c r="AG8" i="15"/>
  <c r="AH8" i="15"/>
  <c r="AB7" i="12" s="1"/>
  <c r="AG7" i="12" s="1"/>
  <c r="AI8" i="15"/>
  <c r="AG9" i="15"/>
  <c r="AH9" i="15"/>
  <c r="AB8" i="12" s="1"/>
  <c r="AG8" i="12" s="1"/>
  <c r="AI9" i="15"/>
  <c r="AG10" i="15"/>
  <c r="AH10" i="15"/>
  <c r="AB9" i="12" s="1"/>
  <c r="AG9" i="12" s="1"/>
  <c r="AI10" i="15"/>
  <c r="AG11" i="15"/>
  <c r="AH11" i="15"/>
  <c r="AB10" i="12" s="1"/>
  <c r="AG10" i="12" s="1"/>
  <c r="AI11" i="15"/>
  <c r="AC29" i="15"/>
  <c r="AC28" i="15" s="1"/>
  <c r="AC25" i="15"/>
  <c r="AB26" i="15"/>
  <c r="AC26" i="15"/>
  <c r="AD26" i="15"/>
  <c r="AB27" i="15"/>
  <c r="AC27" i="15"/>
  <c r="AD27" i="15"/>
  <c r="AB21" i="15"/>
  <c r="AC21" i="15"/>
  <c r="AD21" i="15"/>
  <c r="AB22" i="15"/>
  <c r="AC22" i="15"/>
  <c r="AD22" i="15"/>
  <c r="AB23" i="15"/>
  <c r="AC23" i="15"/>
  <c r="AD23" i="15"/>
  <c r="AC13" i="15"/>
  <c r="AC14" i="15"/>
  <c r="AC6" i="15"/>
  <c r="AC7" i="15"/>
  <c r="AB8" i="15"/>
  <c r="AC8" i="15"/>
  <c r="AD8" i="15"/>
  <c r="AC9" i="15"/>
  <c r="AB10" i="15"/>
  <c r="AC10" i="15"/>
  <c r="AD10" i="15"/>
  <c r="AB11" i="15"/>
  <c r="AC11" i="15"/>
  <c r="AD11" i="15"/>
  <c r="W29" i="15"/>
  <c r="W28" i="15" s="1"/>
  <c r="X29" i="15"/>
  <c r="X28" i="15" s="1"/>
  <c r="Y29" i="15"/>
  <c r="Y28" i="15" s="1"/>
  <c r="W25" i="15"/>
  <c r="X25" i="15"/>
  <c r="Y25" i="15"/>
  <c r="W26" i="15"/>
  <c r="X26" i="15"/>
  <c r="Y26" i="15"/>
  <c r="W27" i="15"/>
  <c r="X27" i="15"/>
  <c r="Y27" i="15"/>
  <c r="W16" i="15"/>
  <c r="X16" i="15"/>
  <c r="Y16" i="15"/>
  <c r="W17" i="15"/>
  <c r="X17" i="15"/>
  <c r="Y17" i="15"/>
  <c r="W18" i="15"/>
  <c r="X18" i="15"/>
  <c r="Y18" i="15"/>
  <c r="W19" i="15"/>
  <c r="X19" i="15"/>
  <c r="Y19" i="15"/>
  <c r="W21" i="15"/>
  <c r="X21" i="15"/>
  <c r="Y21" i="15"/>
  <c r="W22" i="15"/>
  <c r="X22" i="15"/>
  <c r="Y22" i="15"/>
  <c r="W23" i="15"/>
  <c r="X23" i="15"/>
  <c r="Y23" i="15"/>
  <c r="W13" i="15"/>
  <c r="X13" i="15"/>
  <c r="Y13" i="15"/>
  <c r="W14" i="15"/>
  <c r="X14" i="15"/>
  <c r="Y14" i="15"/>
  <c r="W6" i="15"/>
  <c r="X6" i="15"/>
  <c r="Y6" i="15"/>
  <c r="W7" i="15"/>
  <c r="X7" i="15"/>
  <c r="Y7" i="15"/>
  <c r="W8" i="15"/>
  <c r="X8" i="15"/>
  <c r="Y8" i="15"/>
  <c r="W9" i="15"/>
  <c r="X9" i="15"/>
  <c r="Y9" i="15"/>
  <c r="W10" i="15"/>
  <c r="X10" i="15"/>
  <c r="Y10" i="15"/>
  <c r="W11" i="15"/>
  <c r="X11" i="15"/>
  <c r="Y11" i="15"/>
  <c r="R29" i="15"/>
  <c r="R28" i="15" s="1"/>
  <c r="S29" i="15"/>
  <c r="S28" i="15" s="1"/>
  <c r="T29" i="15"/>
  <c r="T28" i="15" s="1"/>
  <c r="R25" i="15"/>
  <c r="S25" i="15"/>
  <c r="T25" i="15"/>
  <c r="R26" i="15"/>
  <c r="S26" i="15"/>
  <c r="T26" i="15"/>
  <c r="R27" i="15"/>
  <c r="S27" i="15"/>
  <c r="T27" i="15"/>
  <c r="R16" i="15"/>
  <c r="S16" i="15"/>
  <c r="T16" i="15"/>
  <c r="R17" i="15"/>
  <c r="S17" i="15"/>
  <c r="T17" i="15"/>
  <c r="R18" i="15"/>
  <c r="S18" i="15"/>
  <c r="T18" i="15"/>
  <c r="R19" i="15"/>
  <c r="S19" i="15"/>
  <c r="T19" i="15"/>
  <c r="R21" i="15"/>
  <c r="S21" i="15"/>
  <c r="T21" i="15"/>
  <c r="R22" i="15"/>
  <c r="S22" i="15"/>
  <c r="T22" i="15"/>
  <c r="R23" i="15"/>
  <c r="S23" i="15"/>
  <c r="T23" i="15"/>
  <c r="R13" i="15"/>
  <c r="S13" i="15"/>
  <c r="T13" i="15"/>
  <c r="R14" i="15"/>
  <c r="S14" i="15"/>
  <c r="T14" i="15"/>
  <c r="R6" i="15"/>
  <c r="S6" i="15"/>
  <c r="T6" i="15"/>
  <c r="R7" i="15"/>
  <c r="S7" i="15"/>
  <c r="T7" i="15"/>
  <c r="R8" i="15"/>
  <c r="S8" i="15"/>
  <c r="T8" i="15"/>
  <c r="R9" i="15"/>
  <c r="S9" i="15"/>
  <c r="T9" i="15"/>
  <c r="R10" i="15"/>
  <c r="S10" i="15"/>
  <c r="T10" i="15"/>
  <c r="R11" i="15"/>
  <c r="S11" i="15"/>
  <c r="T11" i="15"/>
  <c r="M29" i="15"/>
  <c r="M28" i="15" s="1"/>
  <c r="N29" i="15"/>
  <c r="N28" i="15" s="1"/>
  <c r="O29" i="15"/>
  <c r="O28" i="15" s="1"/>
  <c r="M25" i="15"/>
  <c r="N25" i="15"/>
  <c r="O25" i="15"/>
  <c r="M26" i="15"/>
  <c r="N26" i="15"/>
  <c r="O26" i="15"/>
  <c r="M27" i="15"/>
  <c r="N27" i="15"/>
  <c r="O27" i="15"/>
  <c r="M16" i="15"/>
  <c r="N16" i="15"/>
  <c r="O16" i="15"/>
  <c r="M17" i="15"/>
  <c r="N17" i="15"/>
  <c r="O17" i="15"/>
  <c r="M18" i="15"/>
  <c r="N18" i="15"/>
  <c r="O18" i="15"/>
  <c r="M19" i="15"/>
  <c r="N19" i="15"/>
  <c r="O19" i="15"/>
  <c r="M21" i="15"/>
  <c r="N21" i="15"/>
  <c r="O21" i="15"/>
  <c r="M22" i="15"/>
  <c r="N22" i="15"/>
  <c r="O22" i="15"/>
  <c r="M23" i="15"/>
  <c r="N23" i="15"/>
  <c r="O23" i="15"/>
  <c r="M13" i="15"/>
  <c r="N13" i="15"/>
  <c r="O13" i="15"/>
  <c r="M14" i="15"/>
  <c r="N14" i="15"/>
  <c r="O14" i="15"/>
  <c r="M6" i="15"/>
  <c r="N6" i="15"/>
  <c r="O6" i="15"/>
  <c r="M7" i="15"/>
  <c r="N7" i="15"/>
  <c r="O7" i="15"/>
  <c r="M8" i="15"/>
  <c r="N8" i="15"/>
  <c r="O8" i="15"/>
  <c r="M9" i="15"/>
  <c r="N9" i="15"/>
  <c r="O9" i="15"/>
  <c r="M10" i="15"/>
  <c r="N10" i="15"/>
  <c r="O10" i="15"/>
  <c r="M11" i="15"/>
  <c r="N11" i="15"/>
  <c r="O11" i="15"/>
  <c r="H29" i="15"/>
  <c r="H28" i="15" s="1"/>
  <c r="I29" i="15"/>
  <c r="I28" i="15" s="1"/>
  <c r="J29" i="15"/>
  <c r="J28" i="15" s="1"/>
  <c r="H25" i="15"/>
  <c r="I25" i="15"/>
  <c r="J25" i="15"/>
  <c r="H26" i="15"/>
  <c r="I26" i="15"/>
  <c r="J26" i="15"/>
  <c r="H27" i="15"/>
  <c r="I27" i="15"/>
  <c r="J27" i="15"/>
  <c r="H16" i="15"/>
  <c r="I16" i="15"/>
  <c r="J16" i="15"/>
  <c r="H17" i="15"/>
  <c r="I17" i="15"/>
  <c r="J17" i="15"/>
  <c r="H18" i="15"/>
  <c r="I18" i="15"/>
  <c r="J18" i="15"/>
  <c r="H19" i="15"/>
  <c r="I19" i="15"/>
  <c r="J19" i="15"/>
  <c r="H20" i="15"/>
  <c r="I20" i="15"/>
  <c r="J20" i="15"/>
  <c r="H21" i="15"/>
  <c r="I21" i="15"/>
  <c r="J21" i="15"/>
  <c r="H22" i="15"/>
  <c r="I22" i="15"/>
  <c r="J22" i="15"/>
  <c r="H23" i="15"/>
  <c r="I23" i="15"/>
  <c r="J23" i="15"/>
  <c r="H13" i="15"/>
  <c r="I13" i="15"/>
  <c r="J13" i="15"/>
  <c r="H14" i="15"/>
  <c r="I14" i="15"/>
  <c r="J14" i="15"/>
  <c r="H6" i="15"/>
  <c r="I6" i="15"/>
  <c r="J6" i="15"/>
  <c r="H7" i="15"/>
  <c r="I7" i="15"/>
  <c r="J7" i="15"/>
  <c r="H8" i="15"/>
  <c r="I8" i="15"/>
  <c r="J8" i="15"/>
  <c r="H9" i="15"/>
  <c r="I9" i="15"/>
  <c r="J9" i="15"/>
  <c r="H10" i="15"/>
  <c r="I10" i="15"/>
  <c r="J10" i="15"/>
  <c r="H11" i="15"/>
  <c r="I11" i="15"/>
  <c r="J11" i="15"/>
  <c r="C29" i="15"/>
  <c r="C28" i="15" s="1"/>
  <c r="D29" i="15"/>
  <c r="D28" i="15" s="1"/>
  <c r="E29" i="15"/>
  <c r="E28" i="15" s="1"/>
  <c r="C25" i="15"/>
  <c r="D25" i="15"/>
  <c r="E25" i="15"/>
  <c r="C26" i="15"/>
  <c r="D26" i="15"/>
  <c r="E26" i="15"/>
  <c r="C27" i="15"/>
  <c r="D27" i="15"/>
  <c r="E27" i="15"/>
  <c r="C16" i="15"/>
  <c r="D16" i="15"/>
  <c r="E16" i="15"/>
  <c r="C17" i="15"/>
  <c r="D17" i="15"/>
  <c r="E17" i="15"/>
  <c r="C18" i="15"/>
  <c r="D18" i="15"/>
  <c r="E18" i="15"/>
  <c r="C19" i="15"/>
  <c r="D19" i="15"/>
  <c r="E19" i="15"/>
  <c r="C20" i="15"/>
  <c r="D20" i="15"/>
  <c r="E20" i="15"/>
  <c r="C21" i="15"/>
  <c r="D21" i="15"/>
  <c r="E21" i="15"/>
  <c r="C22" i="15"/>
  <c r="D22" i="15"/>
  <c r="E22" i="15"/>
  <c r="C23" i="15"/>
  <c r="D23" i="15"/>
  <c r="E23" i="15"/>
  <c r="C13" i="15"/>
  <c r="D13" i="15"/>
  <c r="E13" i="15"/>
  <c r="C14" i="15"/>
  <c r="D14" i="15"/>
  <c r="E14" i="15"/>
  <c r="C6" i="15"/>
  <c r="D6" i="15"/>
  <c r="E6" i="15"/>
  <c r="C7" i="15"/>
  <c r="D7" i="15"/>
  <c r="E7" i="15"/>
  <c r="C8" i="15"/>
  <c r="D8" i="15"/>
  <c r="E8" i="15"/>
  <c r="C9" i="15"/>
  <c r="D9" i="15"/>
  <c r="E9" i="15"/>
  <c r="C10" i="15"/>
  <c r="D10" i="15"/>
  <c r="E10" i="15"/>
  <c r="C11" i="15"/>
  <c r="D11" i="15"/>
  <c r="E11" i="15"/>
  <c r="BA37" i="2"/>
  <c r="BA36" i="2" s="1"/>
  <c r="BY37" i="2"/>
  <c r="BY36" i="2" s="1"/>
  <c r="CU37" i="2"/>
  <c r="CU36" i="2" s="1"/>
  <c r="CV37" i="2"/>
  <c r="CV36" i="2" s="1"/>
  <c r="BB37" i="2"/>
  <c r="BB36" i="2" s="1"/>
  <c r="C33" i="2"/>
  <c r="D33" i="2"/>
  <c r="E33" i="2"/>
  <c r="F33" i="2"/>
  <c r="Z33" i="2"/>
  <c r="AA33" i="2"/>
  <c r="AB33" i="2"/>
  <c r="AC33" i="2"/>
  <c r="AW33" i="2"/>
  <c r="AX33" i="2"/>
  <c r="AY33" i="2"/>
  <c r="AZ33" i="2"/>
  <c r="BT33" i="2"/>
  <c r="BU33" i="2"/>
  <c r="BV33" i="2"/>
  <c r="BW33" i="2"/>
  <c r="CQ33" i="2"/>
  <c r="CR33" i="2"/>
  <c r="CS33" i="2"/>
  <c r="CT33" i="2"/>
  <c r="C28" i="2"/>
  <c r="D28" i="2"/>
  <c r="E28" i="2"/>
  <c r="F28" i="2"/>
  <c r="Z28" i="2"/>
  <c r="AA28" i="2"/>
  <c r="AB28" i="2"/>
  <c r="AC28" i="2"/>
  <c r="AW28" i="2"/>
  <c r="AX28" i="2"/>
  <c r="AY28" i="2"/>
  <c r="AZ28" i="2"/>
  <c r="BT28" i="2"/>
  <c r="BU28" i="2"/>
  <c r="BV28" i="2"/>
  <c r="BW28" i="2"/>
  <c r="CQ28" i="2"/>
  <c r="CR28" i="2"/>
  <c r="CS28" i="2"/>
  <c r="CT28" i="2"/>
  <c r="Z18" i="2"/>
  <c r="AA18" i="2"/>
  <c r="AB18" i="2"/>
  <c r="AC18" i="2"/>
  <c r="AW18" i="2"/>
  <c r="AX18" i="2"/>
  <c r="AY18" i="2"/>
  <c r="AZ18" i="2"/>
  <c r="BT18" i="2"/>
  <c r="BU18" i="2"/>
  <c r="BV18" i="2"/>
  <c r="BW18" i="2"/>
  <c r="CQ18" i="2"/>
  <c r="CR18" i="2"/>
  <c r="CS18" i="2"/>
  <c r="CT18" i="2"/>
  <c r="C14" i="2"/>
  <c r="E14" i="2"/>
  <c r="F14" i="2"/>
  <c r="Z14" i="2"/>
  <c r="AA14" i="2"/>
  <c r="AB14" i="2"/>
  <c r="AC14" i="2"/>
  <c r="AW14" i="2"/>
  <c r="AX14" i="2"/>
  <c r="AY14" i="2"/>
  <c r="AZ14" i="2"/>
  <c r="BT14" i="2"/>
  <c r="BU14" i="2"/>
  <c r="BV14" i="2"/>
  <c r="BW14" i="2"/>
  <c r="CQ14" i="2"/>
  <c r="CR14" i="2"/>
  <c r="CS14" i="2"/>
  <c r="CT14" i="2"/>
  <c r="C6" i="2"/>
  <c r="D6" i="2"/>
  <c r="E6" i="2"/>
  <c r="F6" i="2"/>
  <c r="Z6" i="2"/>
  <c r="AA6" i="2"/>
  <c r="AB6" i="2"/>
  <c r="AC6" i="2"/>
  <c r="AW6" i="2"/>
  <c r="AX6" i="2"/>
  <c r="AY6" i="2"/>
  <c r="AZ6" i="2"/>
  <c r="BT6" i="2"/>
  <c r="BU6" i="2"/>
  <c r="BV6" i="2"/>
  <c r="BW6" i="2"/>
  <c r="CQ6" i="2"/>
  <c r="CR6" i="2"/>
  <c r="CS6" i="2"/>
  <c r="CT6" i="2"/>
  <c r="DS34" i="2"/>
  <c r="AD29" i="15" s="1"/>
  <c r="AD28" i="15" s="1"/>
  <c r="DS29" i="2"/>
  <c r="AD25" i="15" s="1"/>
  <c r="DS15" i="2"/>
  <c r="AD13" i="15" s="1"/>
  <c r="DS16" i="2"/>
  <c r="AD14" i="15" s="1"/>
  <c r="DS10" i="2"/>
  <c r="AD9" i="15" s="1"/>
  <c r="DS8" i="2"/>
  <c r="AD7" i="15" s="1"/>
  <c r="DS7" i="2"/>
  <c r="AD6" i="15" s="1"/>
  <c r="DN34" i="2"/>
  <c r="DN33" i="2" s="1"/>
  <c r="DN29" i="2"/>
  <c r="DN28" i="2" s="1"/>
  <c r="DN15" i="2"/>
  <c r="DN16" i="2"/>
  <c r="DN7" i="2"/>
  <c r="DN8" i="2"/>
  <c r="DN10" i="2"/>
  <c r="DQ7" i="2"/>
  <c r="AB6" i="15" s="1"/>
  <c r="DQ34" i="2"/>
  <c r="AB29" i="15" s="1"/>
  <c r="AB28" i="15" s="1"/>
  <c r="DQ29" i="2"/>
  <c r="AB25" i="15" s="1"/>
  <c r="DQ15" i="2"/>
  <c r="AB13" i="15" s="1"/>
  <c r="DQ16" i="2"/>
  <c r="AB14" i="15" s="1"/>
  <c r="DQ10" i="2"/>
  <c r="AB9" i="15" s="1"/>
  <c r="DQ8" i="2"/>
  <c r="AB7" i="15" s="1"/>
  <c r="DR22" i="2"/>
  <c r="AC19" i="15" s="1"/>
  <c r="DR21" i="2"/>
  <c r="AC18" i="15" s="1"/>
  <c r="DR20" i="2"/>
  <c r="AC17" i="15" s="1"/>
  <c r="DR19" i="2"/>
  <c r="DN19" i="2" s="1"/>
  <c r="P26" i="10"/>
  <c r="O26" i="10"/>
  <c r="R31" i="10"/>
  <c r="Q31" i="10"/>
  <c r="R30" i="10"/>
  <c r="Q30" i="10"/>
  <c r="R28" i="10"/>
  <c r="Q28" i="10"/>
  <c r="R27" i="10"/>
  <c r="Q27" i="10"/>
  <c r="R25" i="10"/>
  <c r="Q25" i="10"/>
  <c r="R24" i="10"/>
  <c r="Q24" i="10"/>
  <c r="R22" i="10"/>
  <c r="Q22" i="10"/>
  <c r="R21" i="10"/>
  <c r="Q21" i="10"/>
  <c r="R19" i="10"/>
  <c r="Q19" i="10"/>
  <c r="R18" i="10"/>
  <c r="Q18" i="10"/>
  <c r="R17" i="10"/>
  <c r="Q17" i="10"/>
  <c r="R16" i="10"/>
  <c r="Q16" i="10"/>
  <c r="R15" i="10"/>
  <c r="Q15" i="10"/>
  <c r="R13" i="10"/>
  <c r="Q13" i="10"/>
  <c r="R12" i="10"/>
  <c r="Q12" i="10"/>
  <c r="R11" i="10"/>
  <c r="Q11" i="10"/>
  <c r="R9" i="10"/>
  <c r="Q9" i="10"/>
  <c r="R8" i="10"/>
  <c r="Q8" i="10"/>
  <c r="R7" i="10"/>
  <c r="Q7" i="10"/>
  <c r="R6" i="10"/>
  <c r="Q6" i="10"/>
  <c r="X31" i="10"/>
  <c r="W31" i="10"/>
  <c r="X30" i="10"/>
  <c r="W30" i="10"/>
  <c r="X28" i="10"/>
  <c r="X27" i="10"/>
  <c r="W27" i="10"/>
  <c r="X25" i="10"/>
  <c r="X24" i="10"/>
  <c r="W24" i="10"/>
  <c r="W23" i="10" s="1"/>
  <c r="X22" i="10"/>
  <c r="X21" i="10"/>
  <c r="W21" i="10"/>
  <c r="X19" i="10"/>
  <c r="X18" i="10"/>
  <c r="W18" i="10"/>
  <c r="X17" i="10"/>
  <c r="W17" i="10"/>
  <c r="X16" i="10"/>
  <c r="W16" i="10"/>
  <c r="X15" i="10"/>
  <c r="W15" i="10"/>
  <c r="X13" i="10"/>
  <c r="X12" i="10"/>
  <c r="W12" i="10"/>
  <c r="X11" i="10"/>
  <c r="W11" i="10"/>
  <c r="X9" i="10"/>
  <c r="X8" i="10"/>
  <c r="W8" i="10"/>
  <c r="X7" i="10"/>
  <c r="W7" i="10"/>
  <c r="X6" i="10"/>
  <c r="W6" i="10"/>
  <c r="AD31" i="10"/>
  <c r="AC31" i="10"/>
  <c r="AD30" i="10"/>
  <c r="AC30" i="10"/>
  <c r="AD28" i="10"/>
  <c r="AC28" i="10"/>
  <c r="AD27" i="10"/>
  <c r="AC27" i="10"/>
  <c r="AD25" i="10"/>
  <c r="AC25" i="10"/>
  <c r="AD24" i="10"/>
  <c r="AC24" i="10"/>
  <c r="AD22" i="10"/>
  <c r="AC22" i="10"/>
  <c r="AD21" i="10"/>
  <c r="AC21" i="10"/>
  <c r="AD19" i="10"/>
  <c r="AC19" i="10"/>
  <c r="AD18" i="10"/>
  <c r="AC18" i="10"/>
  <c r="AD17" i="10"/>
  <c r="AC17" i="10"/>
  <c r="AD16" i="10"/>
  <c r="AC16" i="10"/>
  <c r="AD15" i="10"/>
  <c r="AC15" i="10"/>
  <c r="AD13" i="10"/>
  <c r="AC13" i="10"/>
  <c r="AD12" i="10"/>
  <c r="AC12" i="10"/>
  <c r="AD11" i="10"/>
  <c r="AC11" i="10"/>
  <c r="AD9" i="10"/>
  <c r="AC9" i="10"/>
  <c r="AD8" i="10"/>
  <c r="AC8" i="10"/>
  <c r="AD7" i="10"/>
  <c r="AC7" i="10"/>
  <c r="AD6" i="10"/>
  <c r="AC6" i="10"/>
  <c r="V26" i="10"/>
  <c r="U26" i="10"/>
  <c r="P23" i="10"/>
  <c r="O23" i="10"/>
  <c r="V23" i="10"/>
  <c r="U23" i="10"/>
  <c r="AB23" i="10"/>
  <c r="AA23" i="10"/>
  <c r="P14" i="10"/>
  <c r="O14" i="10"/>
  <c r="V14" i="10"/>
  <c r="U14" i="10"/>
  <c r="AB14" i="10"/>
  <c r="AA14" i="10"/>
  <c r="P10" i="10"/>
  <c r="O10" i="10"/>
  <c r="V10" i="10"/>
  <c r="U10" i="10"/>
  <c r="P5" i="10"/>
  <c r="O5" i="10"/>
  <c r="V5" i="10"/>
  <c r="U5" i="10"/>
  <c r="AB5" i="10"/>
  <c r="AA5" i="10"/>
  <c r="AB26" i="10"/>
  <c r="AA26" i="10"/>
  <c r="P20" i="10"/>
  <c r="O20" i="10"/>
  <c r="V20" i="10"/>
  <c r="U20" i="10"/>
  <c r="AB20" i="10"/>
  <c r="AA20" i="10"/>
  <c r="AB10" i="10"/>
  <c r="AA10" i="10"/>
  <c r="DB36" i="2" l="1"/>
  <c r="CE36" i="2"/>
  <c r="AI22" i="12"/>
  <c r="AI9" i="12"/>
  <c r="AI14" i="12"/>
  <c r="BN36" i="2"/>
  <c r="BJ36" i="2"/>
  <c r="N30" i="15"/>
  <c r="BH36" i="2"/>
  <c r="DD36" i="2"/>
  <c r="X30" i="15"/>
  <c r="AI21" i="12"/>
  <c r="AH8" i="12"/>
  <c r="AH20" i="12"/>
  <c r="AH7" i="12"/>
  <c r="AH10" i="12"/>
  <c r="AH18" i="12"/>
  <c r="AI19" i="12"/>
  <c r="AE26" i="12"/>
  <c r="AJ27" i="12"/>
  <c r="AK27" i="12"/>
  <c r="AK18" i="12"/>
  <c r="AJ18" i="12"/>
  <c r="AJ5" i="12"/>
  <c r="AK5" i="12"/>
  <c r="AW28" i="15"/>
  <c r="AE32" i="12"/>
  <c r="AI8" i="12"/>
  <c r="AJ22" i="12"/>
  <c r="AK22" i="12"/>
  <c r="AH28" i="15"/>
  <c r="AB32" i="12"/>
  <c r="AG32" i="12" s="1"/>
  <c r="AC16" i="12"/>
  <c r="AH19" i="12"/>
  <c r="AD12" i="12"/>
  <c r="AI13" i="12"/>
  <c r="AK9" i="12"/>
  <c r="AJ9" i="12"/>
  <c r="AE16" i="12"/>
  <c r="AK17" i="12"/>
  <c r="AJ17" i="12"/>
  <c r="AC12" i="12"/>
  <c r="AH13" i="12"/>
  <c r="AH6" i="12"/>
  <c r="AI20" i="12"/>
  <c r="AK14" i="12"/>
  <c r="AJ14" i="12"/>
  <c r="AC26" i="12"/>
  <c r="AH27" i="12"/>
  <c r="AI7" i="12"/>
  <c r="AJ21" i="12"/>
  <c r="AK21" i="12"/>
  <c r="AK8" i="12"/>
  <c r="AJ8" i="12"/>
  <c r="AC4" i="12"/>
  <c r="AH5" i="12"/>
  <c r="AM28" i="15"/>
  <c r="AC32" i="12"/>
  <c r="AE12" i="12"/>
  <c r="AK13" i="12"/>
  <c r="AJ13" i="12"/>
  <c r="AD16" i="12"/>
  <c r="AI17" i="12"/>
  <c r="AH22" i="12"/>
  <c r="AI6" i="12"/>
  <c r="AD26" i="12"/>
  <c r="AI27" i="12"/>
  <c r="AK20" i="12"/>
  <c r="AJ20" i="12"/>
  <c r="AJ6" i="12"/>
  <c r="AK6" i="12"/>
  <c r="AJ10" i="12"/>
  <c r="AK10" i="12"/>
  <c r="AH9" i="12"/>
  <c r="AH17" i="12"/>
  <c r="AJ7" i="12"/>
  <c r="AK7" i="12"/>
  <c r="AH14" i="12"/>
  <c r="AI10" i="12"/>
  <c r="AI18" i="12"/>
  <c r="AH21" i="12"/>
  <c r="AD4" i="12"/>
  <c r="AI5" i="12"/>
  <c r="AR28" i="15"/>
  <c r="AD32" i="12"/>
  <c r="AJ19" i="12"/>
  <c r="AK19" i="12"/>
  <c r="Z42" i="2"/>
  <c r="AA42" i="2"/>
  <c r="AB42" i="2"/>
  <c r="AC42" i="2"/>
  <c r="F42" i="2"/>
  <c r="E42" i="2"/>
  <c r="D42" i="2"/>
  <c r="C42" i="2"/>
  <c r="CG36" i="2"/>
  <c r="R39" i="6"/>
  <c r="DJ36" i="2"/>
  <c r="Q39" i="6"/>
  <c r="S39" i="6"/>
  <c r="AI39" i="6"/>
  <c r="AI37" i="6"/>
  <c r="U32" i="6"/>
  <c r="AI32" i="6"/>
  <c r="E43" i="6"/>
  <c r="E46" i="6" s="1"/>
  <c r="U37" i="6"/>
  <c r="AW41" i="2"/>
  <c r="BI36" i="2"/>
  <c r="CS41" i="2"/>
  <c r="CR41" i="2"/>
  <c r="CQ41" i="2"/>
  <c r="BW41" i="2"/>
  <c r="BV41" i="2"/>
  <c r="BU41" i="2"/>
  <c r="CT41" i="2"/>
  <c r="AZ41" i="2"/>
  <c r="BT41" i="2"/>
  <c r="AY41" i="2"/>
  <c r="AX41" i="2"/>
  <c r="CF36" i="2"/>
  <c r="CJ36" i="2"/>
  <c r="CK36" i="2"/>
  <c r="DT36" i="2"/>
  <c r="BM36" i="2"/>
  <c r="BK36" i="2"/>
  <c r="DV36" i="2"/>
  <c r="DC36" i="2"/>
  <c r="DU36" i="2"/>
  <c r="DQ28" i="2"/>
  <c r="G37" i="6"/>
  <c r="C43" i="6"/>
  <c r="C46" i="6" s="1"/>
  <c r="D43" i="6"/>
  <c r="D46" i="6" s="1"/>
  <c r="G41" i="6"/>
  <c r="G32" i="6"/>
  <c r="DX36" i="2"/>
  <c r="DH36" i="2"/>
  <c r="DI36" i="2"/>
  <c r="DG36" i="2"/>
  <c r="DE36" i="2"/>
  <c r="CI36" i="2"/>
  <c r="CH36" i="2"/>
  <c r="BL36" i="2"/>
  <c r="DW36" i="2"/>
  <c r="DF36" i="2"/>
  <c r="CM36" i="2"/>
  <c r="CL36" i="2"/>
  <c r="BP36" i="2"/>
  <c r="BO36" i="2"/>
  <c r="H24" i="15"/>
  <c r="DQ19" i="2"/>
  <c r="AB16" i="15" s="1"/>
  <c r="DN14" i="2"/>
  <c r="DN6" i="2"/>
  <c r="AG12" i="15"/>
  <c r="J12" i="15"/>
  <c r="X12" i="15"/>
  <c r="I12" i="15"/>
  <c r="DQ33" i="2"/>
  <c r="AM24" i="15"/>
  <c r="AM12" i="15"/>
  <c r="DN21" i="2"/>
  <c r="DS19" i="2"/>
  <c r="AD16" i="15" s="1"/>
  <c r="AI12" i="15"/>
  <c r="AX12" i="15"/>
  <c r="T12" i="15"/>
  <c r="AL12" i="15"/>
  <c r="AR12" i="15"/>
  <c r="AC16" i="15"/>
  <c r="AC15" i="15" s="1"/>
  <c r="AL24" i="15"/>
  <c r="AQ12" i="15"/>
  <c r="AD5" i="15"/>
  <c r="W12" i="15"/>
  <c r="AN12" i="15"/>
  <c r="DQ21" i="2"/>
  <c r="AB18" i="15" s="1"/>
  <c r="R12" i="15"/>
  <c r="H5" i="15"/>
  <c r="O5" i="15"/>
  <c r="R24" i="15"/>
  <c r="AD24" i="15"/>
  <c r="N12" i="15"/>
  <c r="E12" i="15"/>
  <c r="AC24" i="15"/>
  <c r="AS12" i="15"/>
  <c r="S24" i="15"/>
  <c r="H12" i="15"/>
  <c r="D5" i="15"/>
  <c r="E5" i="15"/>
  <c r="C15" i="15"/>
  <c r="D24" i="15"/>
  <c r="I24" i="15"/>
  <c r="M24" i="15"/>
  <c r="AC23" i="10"/>
  <c r="AD5" i="10"/>
  <c r="X14" i="10"/>
  <c r="C24" i="15"/>
  <c r="X24" i="15"/>
  <c r="AV12" i="15"/>
  <c r="AV24" i="15"/>
  <c r="AV5" i="15"/>
  <c r="AW24" i="15"/>
  <c r="J5" i="15"/>
  <c r="H15" i="15"/>
  <c r="M12" i="15"/>
  <c r="N24" i="15"/>
  <c r="AG15" i="15"/>
  <c r="AN15" i="15"/>
  <c r="AQ24" i="15"/>
  <c r="N5" i="15"/>
  <c r="AD12" i="15"/>
  <c r="J24" i="15"/>
  <c r="AC12" i="15"/>
  <c r="AQ15" i="15"/>
  <c r="AR15" i="15"/>
  <c r="W26" i="10"/>
  <c r="Q20" i="10"/>
  <c r="AD26" i="10"/>
  <c r="X10" i="10"/>
  <c r="X26" i="10"/>
  <c r="Q10" i="10"/>
  <c r="AD10" i="10"/>
  <c r="X20" i="10"/>
  <c r="AD14" i="10"/>
  <c r="W20" i="10"/>
  <c r="AC10" i="10"/>
  <c r="AC20" i="10"/>
  <c r="W10" i="10"/>
  <c r="AB12" i="15"/>
  <c r="DS20" i="2"/>
  <c r="AD17" i="15" s="1"/>
  <c r="R5" i="15"/>
  <c r="T24" i="15"/>
  <c r="AI5" i="15"/>
  <c r="AM5" i="15"/>
  <c r="DS22" i="2"/>
  <c r="AD19" i="15" s="1"/>
  <c r="E15" i="15"/>
  <c r="T5" i="15"/>
  <c r="AG5" i="15"/>
  <c r="AH5" i="15"/>
  <c r="AS5" i="15"/>
  <c r="AQ5" i="15"/>
  <c r="AX15" i="15"/>
  <c r="DN20" i="2"/>
  <c r="C12" i="15"/>
  <c r="S12" i="15"/>
  <c r="S15" i="15"/>
  <c r="Y5" i="15"/>
  <c r="W15" i="15"/>
  <c r="AH24" i="15"/>
  <c r="AL5" i="15"/>
  <c r="AR5" i="15"/>
  <c r="AS15" i="15"/>
  <c r="AX5" i="15"/>
  <c r="DQ22" i="2"/>
  <c r="AB19" i="15" s="1"/>
  <c r="DS21" i="2"/>
  <c r="AD18" i="15" s="1"/>
  <c r="C5" i="15"/>
  <c r="D15" i="15"/>
  <c r="E24" i="15"/>
  <c r="I15" i="15"/>
  <c r="AN5" i="15"/>
  <c r="AR24" i="15"/>
  <c r="AX24" i="15"/>
  <c r="AL15" i="15"/>
  <c r="AM15" i="15"/>
  <c r="DQ20" i="2"/>
  <c r="I5" i="15"/>
  <c r="J15" i="15"/>
  <c r="O15" i="15"/>
  <c r="N15" i="15"/>
  <c r="AB5" i="15"/>
  <c r="AW5" i="15"/>
  <c r="AV15" i="15"/>
  <c r="AW15" i="15"/>
  <c r="M15" i="15"/>
  <c r="DQ14" i="2"/>
  <c r="DN22" i="2"/>
  <c r="O12" i="15"/>
  <c r="R15" i="15"/>
  <c r="X5" i="15"/>
  <c r="Y12" i="15"/>
  <c r="X15" i="15"/>
  <c r="Y15" i="15"/>
  <c r="W24" i="15"/>
  <c r="AI15" i="15"/>
  <c r="AG24" i="15"/>
  <c r="AN24" i="15"/>
  <c r="AS24" i="15"/>
  <c r="D12" i="15"/>
  <c r="M5" i="15"/>
  <c r="S5" i="15"/>
  <c r="T15" i="15"/>
  <c r="W5" i="15"/>
  <c r="Y24" i="15"/>
  <c r="AC5" i="15"/>
  <c r="AB24" i="15"/>
  <c r="AH12" i="15"/>
  <c r="AH15" i="15"/>
  <c r="AI24" i="15"/>
  <c r="AW12" i="15"/>
  <c r="O24" i="15"/>
  <c r="DQ6" i="2"/>
  <c r="X5" i="10"/>
  <c r="O29" i="10"/>
  <c r="O32" i="10" s="1"/>
  <c r="W5" i="10"/>
  <c r="AB29" i="10"/>
  <c r="AB32" i="10" s="1"/>
  <c r="AD23" i="10"/>
  <c r="X23" i="10"/>
  <c r="AC26" i="10"/>
  <c r="AD20" i="10"/>
  <c r="P29" i="10"/>
  <c r="Q5" i="10"/>
  <c r="Q26" i="10"/>
  <c r="R26" i="10"/>
  <c r="R10" i="10"/>
  <c r="R23" i="10"/>
  <c r="Q23" i="10"/>
  <c r="R20" i="10"/>
  <c r="R14" i="10"/>
  <c r="R5" i="10"/>
  <c r="Q14" i="10"/>
  <c r="U29" i="10"/>
  <c r="U32" i="10" s="1"/>
  <c r="V29" i="10"/>
  <c r="V32" i="10" s="1"/>
  <c r="W14" i="10"/>
  <c r="AC5" i="10"/>
  <c r="AA29" i="10"/>
  <c r="AC14" i="10"/>
  <c r="K6" i="2"/>
  <c r="K14" i="2"/>
  <c r="K18" i="2"/>
  <c r="K28" i="2"/>
  <c r="AH14" i="2"/>
  <c r="AH18" i="2"/>
  <c r="AH28" i="2"/>
  <c r="AH33" i="2"/>
  <c r="BE33" i="2"/>
  <c r="BE28" i="2"/>
  <c r="BE18" i="2"/>
  <c r="BE14" i="2"/>
  <c r="BE6" i="2"/>
  <c r="CB33" i="2"/>
  <c r="CB28" i="2"/>
  <c r="CB18" i="2"/>
  <c r="CB14" i="2"/>
  <c r="CB6" i="2"/>
  <c r="CY33" i="2"/>
  <c r="CY28" i="2"/>
  <c r="CY18" i="2"/>
  <c r="CY14" i="2"/>
  <c r="CY6" i="2"/>
  <c r="X6" i="6"/>
  <c r="AB6" i="6" s="1"/>
  <c r="ED34" i="2"/>
  <c r="ED31" i="2"/>
  <c r="ED30" i="2"/>
  <c r="ED29" i="2"/>
  <c r="ED26" i="2"/>
  <c r="ED25" i="2"/>
  <c r="ED24" i="2"/>
  <c r="ED23" i="2"/>
  <c r="ED22" i="2"/>
  <c r="ED21" i="2"/>
  <c r="ED20" i="2"/>
  <c r="ED19" i="2"/>
  <c r="ED16" i="2"/>
  <c r="ED15" i="2"/>
  <c r="ED12" i="2"/>
  <c r="ED11" i="2"/>
  <c r="ED10" i="2"/>
  <c r="ED9" i="2"/>
  <c r="ED8" i="2"/>
  <c r="ED7" i="2"/>
  <c r="AD31" i="12" l="1"/>
  <c r="AI32" i="12"/>
  <c r="AC31" i="12"/>
  <c r="AH32" i="12"/>
  <c r="AE31" i="12"/>
  <c r="AJ32" i="12"/>
  <c r="AK32" i="12"/>
  <c r="S31" i="15"/>
  <c r="W31" i="15"/>
  <c r="J31" i="15"/>
  <c r="X31" i="15"/>
  <c r="T31" i="15"/>
  <c r="H31" i="15"/>
  <c r="M31" i="15"/>
  <c r="Y31" i="15"/>
  <c r="E31" i="15"/>
  <c r="D31" i="15"/>
  <c r="R31" i="15"/>
  <c r="C31" i="15"/>
  <c r="O31" i="15"/>
  <c r="AC31" i="15"/>
  <c r="I31" i="15"/>
  <c r="N31" i="15"/>
  <c r="AH42" i="2"/>
  <c r="K42" i="2"/>
  <c r="DF39" i="2"/>
  <c r="DE39" i="2"/>
  <c r="DG39" i="2"/>
  <c r="G46" i="6"/>
  <c r="CY41" i="2"/>
  <c r="CB41" i="2"/>
  <c r="BE41" i="2"/>
  <c r="G43" i="6"/>
  <c r="AM31" i="15"/>
  <c r="AR31" i="15"/>
  <c r="AV31" i="15"/>
  <c r="AI31" i="15"/>
  <c r="AS31" i="15"/>
  <c r="DN18" i="2"/>
  <c r="DN41" i="2" s="1"/>
  <c r="AL31" i="15"/>
  <c r="AX31" i="15"/>
  <c r="AW31" i="15"/>
  <c r="AQ31" i="15"/>
  <c r="AN31" i="15"/>
  <c r="AD15" i="15"/>
  <c r="AD31" i="15" s="1"/>
  <c r="AH31" i="15"/>
  <c r="AG31" i="15"/>
  <c r="AC29" i="10"/>
  <c r="AC32" i="10" s="1"/>
  <c r="W29" i="10"/>
  <c r="W32" i="10" s="1"/>
  <c r="DQ18" i="2"/>
  <c r="DQ41" i="2" s="1"/>
  <c r="AB17" i="15"/>
  <c r="AB15" i="15" s="1"/>
  <c r="AB31" i="15" s="1"/>
  <c r="X32" i="10"/>
  <c r="X29" i="10"/>
  <c r="Q29" i="10"/>
  <c r="Q32" i="10" s="1"/>
  <c r="P32" i="10"/>
  <c r="R32" i="10" s="1"/>
  <c r="R29" i="10"/>
  <c r="AD29" i="10"/>
  <c r="AA32" i="10"/>
  <c r="AD32" i="10" s="1"/>
  <c r="C14" i="14" l="1"/>
  <c r="M31" i="14"/>
  <c r="L31" i="14"/>
  <c r="J31" i="14"/>
  <c r="I31" i="14"/>
  <c r="G31" i="14"/>
  <c r="F31" i="14"/>
  <c r="D31" i="14"/>
  <c r="C31" i="14"/>
  <c r="N30" i="14"/>
  <c r="K30" i="14"/>
  <c r="H30" i="14"/>
  <c r="E30" i="14"/>
  <c r="N29" i="14"/>
  <c r="K29" i="14"/>
  <c r="H29" i="14"/>
  <c r="E29" i="14"/>
  <c r="N28" i="14"/>
  <c r="K28" i="14"/>
  <c r="H28" i="14"/>
  <c r="E28" i="14"/>
  <c r="N27" i="14"/>
  <c r="K27" i="14"/>
  <c r="H27" i="14"/>
  <c r="E27" i="14"/>
  <c r="N26" i="14"/>
  <c r="K26" i="14"/>
  <c r="H26" i="14"/>
  <c r="E26" i="14"/>
  <c r="K14" i="14"/>
  <c r="E14" i="14"/>
  <c r="N12" i="14"/>
  <c r="K12" i="14"/>
  <c r="H12" i="14"/>
  <c r="E12" i="14"/>
  <c r="N11" i="14"/>
  <c r="K11" i="14"/>
  <c r="H11" i="14"/>
  <c r="E11" i="14"/>
  <c r="N10" i="14"/>
  <c r="K10" i="14"/>
  <c r="H10" i="14"/>
  <c r="E10" i="14"/>
  <c r="N9" i="14"/>
  <c r="K9" i="14"/>
  <c r="H9" i="14"/>
  <c r="E9" i="14"/>
  <c r="N8" i="14"/>
  <c r="K8" i="14"/>
  <c r="H8" i="14"/>
  <c r="E8" i="14"/>
  <c r="CE19" i="5"/>
  <c r="CE18" i="5"/>
  <c r="CE17" i="5"/>
  <c r="CE16" i="5"/>
  <c r="CE15" i="5"/>
  <c r="CE14" i="5"/>
  <c r="CE13" i="5"/>
  <c r="CE12" i="5"/>
  <c r="CE11" i="5"/>
  <c r="CE10" i="5"/>
  <c r="CE9" i="5"/>
  <c r="CE8" i="5"/>
  <c r="CE7" i="5"/>
  <c r="CE6" i="5"/>
  <c r="CC19" i="5"/>
  <c r="CC18" i="5"/>
  <c r="CC17" i="5"/>
  <c r="CC16" i="5"/>
  <c r="CC15" i="5"/>
  <c r="CC14" i="5"/>
  <c r="CC13" i="5"/>
  <c r="CC12" i="5"/>
  <c r="CC11" i="5"/>
  <c r="CC10" i="5"/>
  <c r="CC9" i="5"/>
  <c r="CC8" i="5"/>
  <c r="CC7" i="5"/>
  <c r="CC6" i="5"/>
  <c r="DJ40" i="2"/>
  <c r="DI40" i="2"/>
  <c r="DH40" i="2"/>
  <c r="DG40" i="2"/>
  <c r="DF40" i="2"/>
  <c r="DE40" i="2"/>
  <c r="DC40" i="2"/>
  <c r="DJ35" i="2"/>
  <c r="DI35" i="2"/>
  <c r="DH35" i="2"/>
  <c r="DG35" i="2"/>
  <c r="DF35" i="2"/>
  <c r="DE35" i="2"/>
  <c r="DC35" i="2"/>
  <c r="DJ34" i="2"/>
  <c r="DI34" i="2"/>
  <c r="DH34" i="2"/>
  <c r="DG34" i="2"/>
  <c r="DF34" i="2"/>
  <c r="DE34" i="2"/>
  <c r="DC34" i="2"/>
  <c r="DJ32" i="2"/>
  <c r="DI32" i="2"/>
  <c r="DH32" i="2"/>
  <c r="DG32" i="2"/>
  <c r="DF32" i="2"/>
  <c r="DE32" i="2"/>
  <c r="DC32" i="2"/>
  <c r="DJ31" i="2"/>
  <c r="DI31" i="2"/>
  <c r="DH31" i="2"/>
  <c r="DG31" i="2"/>
  <c r="DF31" i="2"/>
  <c r="DE31" i="2"/>
  <c r="DC31" i="2"/>
  <c r="DJ30" i="2"/>
  <c r="DI30" i="2"/>
  <c r="DH30" i="2"/>
  <c r="DG30" i="2"/>
  <c r="DF30" i="2"/>
  <c r="DE30" i="2"/>
  <c r="DC30" i="2"/>
  <c r="DJ29" i="2"/>
  <c r="DI29" i="2"/>
  <c r="DH29" i="2"/>
  <c r="DG29" i="2"/>
  <c r="DF29" i="2"/>
  <c r="DE29" i="2"/>
  <c r="DC29" i="2"/>
  <c r="DJ27" i="2"/>
  <c r="DI27" i="2"/>
  <c r="DH27" i="2"/>
  <c r="DG27" i="2"/>
  <c r="DF27" i="2"/>
  <c r="DE27" i="2"/>
  <c r="DC27" i="2"/>
  <c r="DJ26" i="2"/>
  <c r="DI26" i="2"/>
  <c r="DH26" i="2"/>
  <c r="DG26" i="2"/>
  <c r="DF26" i="2"/>
  <c r="DE26" i="2"/>
  <c r="DC26" i="2"/>
  <c r="DJ25" i="2"/>
  <c r="DI25" i="2"/>
  <c r="DH25" i="2"/>
  <c r="DG25" i="2"/>
  <c r="DF25" i="2"/>
  <c r="DE25" i="2"/>
  <c r="DC25" i="2"/>
  <c r="DJ24" i="2"/>
  <c r="DI24" i="2"/>
  <c r="DH24" i="2"/>
  <c r="DG24" i="2"/>
  <c r="DF24" i="2"/>
  <c r="DE24" i="2"/>
  <c r="DC24" i="2"/>
  <c r="DJ37" i="2"/>
  <c r="DI37" i="2"/>
  <c r="DH37" i="2"/>
  <c r="DG37" i="2"/>
  <c r="DF37" i="2"/>
  <c r="DE37" i="2"/>
  <c r="DC37" i="2"/>
  <c r="DJ22" i="2"/>
  <c r="DI22" i="2"/>
  <c r="DH22" i="2"/>
  <c r="DG22" i="2"/>
  <c r="DF22" i="2"/>
  <c r="DE22" i="2"/>
  <c r="DC22" i="2"/>
  <c r="DJ21" i="2"/>
  <c r="DI21" i="2"/>
  <c r="DH21" i="2"/>
  <c r="DG21" i="2"/>
  <c r="DF21" i="2"/>
  <c r="DE21" i="2"/>
  <c r="DC21" i="2"/>
  <c r="DJ20" i="2"/>
  <c r="DI20" i="2"/>
  <c r="DH20" i="2"/>
  <c r="DG20" i="2"/>
  <c r="DF20" i="2"/>
  <c r="DE20" i="2"/>
  <c r="DC20" i="2"/>
  <c r="DJ19" i="2"/>
  <c r="DI19" i="2"/>
  <c r="DH19" i="2"/>
  <c r="DG19" i="2"/>
  <c r="DF19" i="2"/>
  <c r="DE19" i="2"/>
  <c r="DC19" i="2"/>
  <c r="DJ17" i="2"/>
  <c r="DI17" i="2"/>
  <c r="DH17" i="2"/>
  <c r="DG17" i="2"/>
  <c r="DF17" i="2"/>
  <c r="DE17" i="2"/>
  <c r="DC17" i="2"/>
  <c r="DJ16" i="2"/>
  <c r="DI16" i="2"/>
  <c r="DH16" i="2"/>
  <c r="DG16" i="2"/>
  <c r="DF16" i="2"/>
  <c r="DE16" i="2"/>
  <c r="DC16" i="2"/>
  <c r="DJ15" i="2"/>
  <c r="DI15" i="2"/>
  <c r="DH15" i="2"/>
  <c r="DG15" i="2"/>
  <c r="DF15" i="2"/>
  <c r="DE15" i="2"/>
  <c r="DC15" i="2"/>
  <c r="DJ13" i="2"/>
  <c r="DI13" i="2"/>
  <c r="DH13" i="2"/>
  <c r="DG13" i="2"/>
  <c r="DF13" i="2"/>
  <c r="DE13" i="2"/>
  <c r="DC13" i="2"/>
  <c r="DJ12" i="2"/>
  <c r="DI12" i="2"/>
  <c r="DH12" i="2"/>
  <c r="DG12" i="2"/>
  <c r="DF12" i="2"/>
  <c r="DE12" i="2"/>
  <c r="DC12" i="2"/>
  <c r="DJ11" i="2"/>
  <c r="DI11" i="2"/>
  <c r="DH11" i="2"/>
  <c r="DG11" i="2"/>
  <c r="DF11" i="2"/>
  <c r="DE11" i="2"/>
  <c r="DC11" i="2"/>
  <c r="DJ10" i="2"/>
  <c r="DI10" i="2"/>
  <c r="DH10" i="2"/>
  <c r="DG10" i="2"/>
  <c r="DF10" i="2"/>
  <c r="DE10" i="2"/>
  <c r="DC10" i="2"/>
  <c r="DJ9" i="2"/>
  <c r="DI9" i="2"/>
  <c r="DH9" i="2"/>
  <c r="DG9" i="2"/>
  <c r="DF9" i="2"/>
  <c r="DE9" i="2"/>
  <c r="DC9" i="2"/>
  <c r="DJ8" i="2"/>
  <c r="DI8" i="2"/>
  <c r="DH8" i="2"/>
  <c r="DG8" i="2"/>
  <c r="DF8" i="2"/>
  <c r="DE8" i="2"/>
  <c r="DC8" i="2"/>
  <c r="DJ7" i="2"/>
  <c r="DI7" i="2"/>
  <c r="DH7" i="2"/>
  <c r="DG7" i="2"/>
  <c r="DF7" i="2"/>
  <c r="DE7" i="2"/>
  <c r="DC7" i="2"/>
  <c r="CM40" i="2"/>
  <c r="CL40" i="2"/>
  <c r="CK40" i="2"/>
  <c r="CJ40" i="2"/>
  <c r="CI40" i="2"/>
  <c r="CH40" i="2"/>
  <c r="CF40" i="2"/>
  <c r="CM35" i="2"/>
  <c r="CL35" i="2"/>
  <c r="CK35" i="2"/>
  <c r="CJ35" i="2"/>
  <c r="CI35" i="2"/>
  <c r="CH35" i="2"/>
  <c r="CF35" i="2"/>
  <c r="CM34" i="2"/>
  <c r="CL34" i="2"/>
  <c r="CK34" i="2"/>
  <c r="CJ34" i="2"/>
  <c r="CI34" i="2"/>
  <c r="CH34" i="2"/>
  <c r="CF34" i="2"/>
  <c r="CM32" i="2"/>
  <c r="CL32" i="2"/>
  <c r="CK32" i="2"/>
  <c r="CJ32" i="2"/>
  <c r="CI32" i="2"/>
  <c r="CH32" i="2"/>
  <c r="CF32" i="2"/>
  <c r="CM31" i="2"/>
  <c r="CL31" i="2"/>
  <c r="CK31" i="2"/>
  <c r="CJ31" i="2"/>
  <c r="CI31" i="2"/>
  <c r="CH31" i="2"/>
  <c r="CF31" i="2"/>
  <c r="CM30" i="2"/>
  <c r="CL30" i="2"/>
  <c r="CK30" i="2"/>
  <c r="CJ30" i="2"/>
  <c r="CI30" i="2"/>
  <c r="CH30" i="2"/>
  <c r="CF30" i="2"/>
  <c r="CM29" i="2"/>
  <c r="CL29" i="2"/>
  <c r="CK29" i="2"/>
  <c r="CJ29" i="2"/>
  <c r="CI29" i="2"/>
  <c r="CH29" i="2"/>
  <c r="CF29" i="2"/>
  <c r="CM27" i="2"/>
  <c r="CL27" i="2"/>
  <c r="CK27" i="2"/>
  <c r="CJ27" i="2"/>
  <c r="CI27" i="2"/>
  <c r="CH27" i="2"/>
  <c r="CF27" i="2"/>
  <c r="CM26" i="2"/>
  <c r="CL26" i="2"/>
  <c r="CK26" i="2"/>
  <c r="CJ26" i="2"/>
  <c r="CI26" i="2"/>
  <c r="CH26" i="2"/>
  <c r="CF26" i="2"/>
  <c r="CM25" i="2"/>
  <c r="CL25" i="2"/>
  <c r="CK25" i="2"/>
  <c r="CJ25" i="2"/>
  <c r="CI25" i="2"/>
  <c r="CH25" i="2"/>
  <c r="CF25" i="2"/>
  <c r="CM24" i="2"/>
  <c r="CL24" i="2"/>
  <c r="CK24" i="2"/>
  <c r="CJ24" i="2"/>
  <c r="CI24" i="2"/>
  <c r="CH24" i="2"/>
  <c r="CF24" i="2"/>
  <c r="CM37" i="2"/>
  <c r="CL37" i="2"/>
  <c r="CK37" i="2"/>
  <c r="CJ37" i="2"/>
  <c r="CI37" i="2"/>
  <c r="CH37" i="2"/>
  <c r="CF37" i="2"/>
  <c r="CM22" i="2"/>
  <c r="CL22" i="2"/>
  <c r="CK22" i="2"/>
  <c r="CJ22" i="2"/>
  <c r="CI22" i="2"/>
  <c r="CH22" i="2"/>
  <c r="CF22" i="2"/>
  <c r="CM21" i="2"/>
  <c r="CL21" i="2"/>
  <c r="CK21" i="2"/>
  <c r="CJ21" i="2"/>
  <c r="CI21" i="2"/>
  <c r="CH21" i="2"/>
  <c r="CF21" i="2"/>
  <c r="CM20" i="2"/>
  <c r="CL20" i="2"/>
  <c r="CK20" i="2"/>
  <c r="CJ20" i="2"/>
  <c r="CI20" i="2"/>
  <c r="CH20" i="2"/>
  <c r="CF20" i="2"/>
  <c r="CM19" i="2"/>
  <c r="CL19" i="2"/>
  <c r="CK19" i="2"/>
  <c r="CJ19" i="2"/>
  <c r="CI19" i="2"/>
  <c r="CH19" i="2"/>
  <c r="CF19" i="2"/>
  <c r="CM17" i="2"/>
  <c r="CL17" i="2"/>
  <c r="CK17" i="2"/>
  <c r="CJ17" i="2"/>
  <c r="CI17" i="2"/>
  <c r="CH17" i="2"/>
  <c r="CF17" i="2"/>
  <c r="CM16" i="2"/>
  <c r="CL16" i="2"/>
  <c r="CK16" i="2"/>
  <c r="CJ16" i="2"/>
  <c r="CI16" i="2"/>
  <c r="CH16" i="2"/>
  <c r="CF16" i="2"/>
  <c r="CM15" i="2"/>
  <c r="CL15" i="2"/>
  <c r="CK15" i="2"/>
  <c r="CJ15" i="2"/>
  <c r="CI15" i="2"/>
  <c r="CH15" i="2"/>
  <c r="CF15" i="2"/>
  <c r="CM13" i="2"/>
  <c r="CL13" i="2"/>
  <c r="CK13" i="2"/>
  <c r="CJ13" i="2"/>
  <c r="CI13" i="2"/>
  <c r="CH13" i="2"/>
  <c r="CF13" i="2"/>
  <c r="CM12" i="2"/>
  <c r="CL12" i="2"/>
  <c r="CK12" i="2"/>
  <c r="CJ12" i="2"/>
  <c r="CI12" i="2"/>
  <c r="CH12" i="2"/>
  <c r="CF12" i="2"/>
  <c r="CM11" i="2"/>
  <c r="CL11" i="2"/>
  <c r="CK11" i="2"/>
  <c r="CJ11" i="2"/>
  <c r="CI11" i="2"/>
  <c r="CH11" i="2"/>
  <c r="CF11" i="2"/>
  <c r="CM10" i="2"/>
  <c r="CL10" i="2"/>
  <c r="CK10" i="2"/>
  <c r="CJ10" i="2"/>
  <c r="CI10" i="2"/>
  <c r="CH10" i="2"/>
  <c r="CF10" i="2"/>
  <c r="CM9" i="2"/>
  <c r="CL9" i="2"/>
  <c r="CK9" i="2"/>
  <c r="CJ9" i="2"/>
  <c r="CI9" i="2"/>
  <c r="CH9" i="2"/>
  <c r="CF9" i="2"/>
  <c r="CM8" i="2"/>
  <c r="CL8" i="2"/>
  <c r="CK8" i="2"/>
  <c r="CJ8" i="2"/>
  <c r="CI8" i="2"/>
  <c r="CH8" i="2"/>
  <c r="CF8" i="2"/>
  <c r="CM7" i="2"/>
  <c r="CL7" i="2"/>
  <c r="CK7" i="2"/>
  <c r="CJ7" i="2"/>
  <c r="CI7" i="2"/>
  <c r="CH7" i="2"/>
  <c r="CF7" i="2"/>
  <c r="BP40" i="2"/>
  <c r="BO40" i="2"/>
  <c r="BN40" i="2"/>
  <c r="BM40" i="2"/>
  <c r="BL40" i="2"/>
  <c r="BK40" i="2"/>
  <c r="BI40" i="2"/>
  <c r="BP35" i="2"/>
  <c r="BO35" i="2"/>
  <c r="BN35" i="2"/>
  <c r="BM35" i="2"/>
  <c r="BL35" i="2"/>
  <c r="BK35" i="2"/>
  <c r="BI35" i="2"/>
  <c r="BP34" i="2"/>
  <c r="BO34" i="2"/>
  <c r="BN34" i="2"/>
  <c r="BM34" i="2"/>
  <c r="BL34" i="2"/>
  <c r="BK34" i="2"/>
  <c r="BI34" i="2"/>
  <c r="BP32" i="2"/>
  <c r="BO32" i="2"/>
  <c r="BN32" i="2"/>
  <c r="BM32" i="2"/>
  <c r="BL32" i="2"/>
  <c r="BK32" i="2"/>
  <c r="BI32" i="2"/>
  <c r="BP31" i="2"/>
  <c r="BO31" i="2"/>
  <c r="BN31" i="2"/>
  <c r="BM31" i="2"/>
  <c r="BL31" i="2"/>
  <c r="BK31" i="2"/>
  <c r="BI31" i="2"/>
  <c r="BP30" i="2"/>
  <c r="BO30" i="2"/>
  <c r="BN30" i="2"/>
  <c r="BM30" i="2"/>
  <c r="BL30" i="2"/>
  <c r="BK30" i="2"/>
  <c r="BI30" i="2"/>
  <c r="BP29" i="2"/>
  <c r="BO29" i="2"/>
  <c r="BN29" i="2"/>
  <c r="BM29" i="2"/>
  <c r="BL29" i="2"/>
  <c r="BK29" i="2"/>
  <c r="BI29" i="2"/>
  <c r="BP27" i="2"/>
  <c r="BO27" i="2"/>
  <c r="BN27" i="2"/>
  <c r="BM27" i="2"/>
  <c r="BL27" i="2"/>
  <c r="BK27" i="2"/>
  <c r="BI27" i="2"/>
  <c r="BP26" i="2"/>
  <c r="BO26" i="2"/>
  <c r="BN26" i="2"/>
  <c r="BM26" i="2"/>
  <c r="BL26" i="2"/>
  <c r="BK26" i="2"/>
  <c r="BI26" i="2"/>
  <c r="BP25" i="2"/>
  <c r="BO25" i="2"/>
  <c r="BN25" i="2"/>
  <c r="BM25" i="2"/>
  <c r="BL25" i="2"/>
  <c r="BK25" i="2"/>
  <c r="BI25" i="2"/>
  <c r="BP24" i="2"/>
  <c r="BO24" i="2"/>
  <c r="BN24" i="2"/>
  <c r="BM24" i="2"/>
  <c r="BL24" i="2"/>
  <c r="BK24" i="2"/>
  <c r="BI24" i="2"/>
  <c r="BP37" i="2"/>
  <c r="BO37" i="2"/>
  <c r="BN37" i="2"/>
  <c r="BM37" i="2"/>
  <c r="BL37" i="2"/>
  <c r="BK37" i="2"/>
  <c r="BI37" i="2"/>
  <c r="BP22" i="2"/>
  <c r="BO22" i="2"/>
  <c r="BN22" i="2"/>
  <c r="BM22" i="2"/>
  <c r="BL22" i="2"/>
  <c r="BK22" i="2"/>
  <c r="BI22" i="2"/>
  <c r="BP21" i="2"/>
  <c r="BO21" i="2"/>
  <c r="BN21" i="2"/>
  <c r="BM21" i="2"/>
  <c r="BL21" i="2"/>
  <c r="BK21" i="2"/>
  <c r="BI21" i="2"/>
  <c r="BP20" i="2"/>
  <c r="BO20" i="2"/>
  <c r="BN20" i="2"/>
  <c r="BM20" i="2"/>
  <c r="BL20" i="2"/>
  <c r="BK20" i="2"/>
  <c r="BI20" i="2"/>
  <c r="BP19" i="2"/>
  <c r="BO19" i="2"/>
  <c r="BN19" i="2"/>
  <c r="BM19" i="2"/>
  <c r="BL19" i="2"/>
  <c r="BK19" i="2"/>
  <c r="BI19" i="2"/>
  <c r="BP17" i="2"/>
  <c r="BO17" i="2"/>
  <c r="BN17" i="2"/>
  <c r="BM17" i="2"/>
  <c r="BL17" i="2"/>
  <c r="BK17" i="2"/>
  <c r="BI17" i="2"/>
  <c r="BP16" i="2"/>
  <c r="BO16" i="2"/>
  <c r="BN16" i="2"/>
  <c r="BM16" i="2"/>
  <c r="BL16" i="2"/>
  <c r="BK16" i="2"/>
  <c r="BI16" i="2"/>
  <c r="BP15" i="2"/>
  <c r="BO15" i="2"/>
  <c r="BN15" i="2"/>
  <c r="BM15" i="2"/>
  <c r="BL15" i="2"/>
  <c r="BK15" i="2"/>
  <c r="BI15" i="2"/>
  <c r="BP13" i="2"/>
  <c r="BO13" i="2"/>
  <c r="BN13" i="2"/>
  <c r="BM13" i="2"/>
  <c r="BL13" i="2"/>
  <c r="BK13" i="2"/>
  <c r="BI13" i="2"/>
  <c r="BP12" i="2"/>
  <c r="BO12" i="2"/>
  <c r="BN12" i="2"/>
  <c r="BM12" i="2"/>
  <c r="BL12" i="2"/>
  <c r="BK12" i="2"/>
  <c r="BI12" i="2"/>
  <c r="BP11" i="2"/>
  <c r="BO11" i="2"/>
  <c r="BN11" i="2"/>
  <c r="BM11" i="2"/>
  <c r="BL11" i="2"/>
  <c r="BK11" i="2"/>
  <c r="BI11" i="2"/>
  <c r="BP10" i="2"/>
  <c r="BO10" i="2"/>
  <c r="BN10" i="2"/>
  <c r="BM10" i="2"/>
  <c r="BL10" i="2"/>
  <c r="BK10" i="2"/>
  <c r="BI10" i="2"/>
  <c r="BP9" i="2"/>
  <c r="BO9" i="2"/>
  <c r="BN9" i="2"/>
  <c r="BM9" i="2"/>
  <c r="BL9" i="2"/>
  <c r="BK9" i="2"/>
  <c r="BP8" i="2"/>
  <c r="BO8" i="2"/>
  <c r="BN8" i="2"/>
  <c r="BM8" i="2"/>
  <c r="BL8" i="2"/>
  <c r="BK8" i="2"/>
  <c r="BI8" i="2"/>
  <c r="BP7" i="2"/>
  <c r="BO7" i="2"/>
  <c r="BN7" i="2"/>
  <c r="BM7" i="2"/>
  <c r="BL7" i="2"/>
  <c r="BK7" i="2"/>
  <c r="BI7" i="2"/>
  <c r="AS41" i="2"/>
  <c r="AR41" i="2"/>
  <c r="AQ41" i="2"/>
  <c r="AP41" i="2"/>
  <c r="AO41" i="2"/>
  <c r="AN41" i="2"/>
  <c r="AL41" i="2"/>
  <c r="AS35" i="2"/>
  <c r="AR35" i="2"/>
  <c r="AQ35" i="2"/>
  <c r="AP35" i="2"/>
  <c r="AO35" i="2"/>
  <c r="AN35" i="2"/>
  <c r="AL35" i="2"/>
  <c r="AS34" i="2"/>
  <c r="AR34" i="2"/>
  <c r="AQ34" i="2"/>
  <c r="AP34" i="2"/>
  <c r="AO34" i="2"/>
  <c r="AN34" i="2"/>
  <c r="AL34" i="2"/>
  <c r="AS32" i="2"/>
  <c r="AR32" i="2"/>
  <c r="AQ32" i="2"/>
  <c r="AP32" i="2"/>
  <c r="AO32" i="2"/>
  <c r="AN32" i="2"/>
  <c r="AL32" i="2"/>
  <c r="AS31" i="2"/>
  <c r="AR31" i="2"/>
  <c r="AQ31" i="2"/>
  <c r="AP31" i="2"/>
  <c r="AO31" i="2"/>
  <c r="AN31" i="2"/>
  <c r="AL31" i="2"/>
  <c r="AS30" i="2"/>
  <c r="AR30" i="2"/>
  <c r="AQ30" i="2"/>
  <c r="AP30" i="2"/>
  <c r="AO30" i="2"/>
  <c r="AN30" i="2"/>
  <c r="AL30" i="2"/>
  <c r="AS29" i="2"/>
  <c r="AR29" i="2"/>
  <c r="AQ29" i="2"/>
  <c r="AP29" i="2"/>
  <c r="AO29" i="2"/>
  <c r="AN29" i="2"/>
  <c r="AL29" i="2"/>
  <c r="AS27" i="2"/>
  <c r="AR27" i="2"/>
  <c r="AQ27" i="2"/>
  <c r="AP27" i="2"/>
  <c r="AO27" i="2"/>
  <c r="AN27" i="2"/>
  <c r="AL27" i="2"/>
  <c r="AS26" i="2"/>
  <c r="AR26" i="2"/>
  <c r="AQ26" i="2"/>
  <c r="AP26" i="2"/>
  <c r="AO26" i="2"/>
  <c r="AN26" i="2"/>
  <c r="AL26" i="2"/>
  <c r="AS25" i="2"/>
  <c r="AR25" i="2"/>
  <c r="AQ25" i="2"/>
  <c r="AP25" i="2"/>
  <c r="AO25" i="2"/>
  <c r="AN25" i="2"/>
  <c r="AL25" i="2"/>
  <c r="AS24" i="2"/>
  <c r="AR24" i="2"/>
  <c r="AQ24" i="2"/>
  <c r="AP24" i="2"/>
  <c r="AO24" i="2"/>
  <c r="AN24" i="2"/>
  <c r="AL24" i="2"/>
  <c r="AS23" i="2"/>
  <c r="AR23" i="2"/>
  <c r="AQ23" i="2"/>
  <c r="AP23" i="2"/>
  <c r="AO23" i="2"/>
  <c r="AN23" i="2"/>
  <c r="AL23" i="2"/>
  <c r="AS22" i="2"/>
  <c r="AR22" i="2"/>
  <c r="AQ22" i="2"/>
  <c r="AP22" i="2"/>
  <c r="AO22" i="2"/>
  <c r="AN22" i="2"/>
  <c r="AL22" i="2"/>
  <c r="AS21" i="2"/>
  <c r="AR21" i="2"/>
  <c r="AQ21" i="2"/>
  <c r="AP21" i="2"/>
  <c r="AO21" i="2"/>
  <c r="AN21" i="2"/>
  <c r="AL21" i="2"/>
  <c r="AS20" i="2"/>
  <c r="AR20" i="2"/>
  <c r="AQ20" i="2"/>
  <c r="AP20" i="2"/>
  <c r="AO20" i="2"/>
  <c r="AN20" i="2"/>
  <c r="AL20" i="2"/>
  <c r="AS19" i="2"/>
  <c r="AR19" i="2"/>
  <c r="AQ19" i="2"/>
  <c r="AP19" i="2"/>
  <c r="AO19" i="2"/>
  <c r="AN19" i="2"/>
  <c r="AL19" i="2"/>
  <c r="AS17" i="2"/>
  <c r="AR17" i="2"/>
  <c r="AQ17" i="2"/>
  <c r="AP17" i="2"/>
  <c r="AO17" i="2"/>
  <c r="AN17" i="2"/>
  <c r="AL17" i="2"/>
  <c r="AS16" i="2"/>
  <c r="AR16" i="2"/>
  <c r="AQ16" i="2"/>
  <c r="AP16" i="2"/>
  <c r="AO16" i="2"/>
  <c r="AN16" i="2"/>
  <c r="AL16" i="2"/>
  <c r="AS15" i="2"/>
  <c r="AR15" i="2"/>
  <c r="AQ15" i="2"/>
  <c r="AP15" i="2"/>
  <c r="AO15" i="2"/>
  <c r="AN15" i="2"/>
  <c r="AL15" i="2"/>
  <c r="AS13" i="2"/>
  <c r="AR13" i="2"/>
  <c r="AQ13" i="2"/>
  <c r="AP13" i="2"/>
  <c r="AO13" i="2"/>
  <c r="AN13" i="2"/>
  <c r="AL13" i="2"/>
  <c r="AS12" i="2"/>
  <c r="AR12" i="2"/>
  <c r="AQ12" i="2"/>
  <c r="AP12" i="2"/>
  <c r="AO12" i="2"/>
  <c r="AN12" i="2"/>
  <c r="AL12" i="2"/>
  <c r="AS11" i="2"/>
  <c r="AR11" i="2"/>
  <c r="AQ11" i="2"/>
  <c r="AP11" i="2"/>
  <c r="AO11" i="2"/>
  <c r="AN11" i="2"/>
  <c r="AL11" i="2"/>
  <c r="AS10" i="2"/>
  <c r="AR10" i="2"/>
  <c r="AQ10" i="2"/>
  <c r="AP10" i="2"/>
  <c r="AO10" i="2"/>
  <c r="AN10" i="2"/>
  <c r="AL10" i="2"/>
  <c r="AS9" i="2"/>
  <c r="AR9" i="2"/>
  <c r="AQ9" i="2"/>
  <c r="AP9" i="2"/>
  <c r="AO9" i="2"/>
  <c r="AN9" i="2"/>
  <c r="AL9" i="2"/>
  <c r="AS8" i="2"/>
  <c r="AR8" i="2"/>
  <c r="AQ8" i="2"/>
  <c r="AP8" i="2"/>
  <c r="AO8" i="2"/>
  <c r="AN8" i="2"/>
  <c r="AL8" i="2"/>
  <c r="AS7" i="2"/>
  <c r="AR7" i="2"/>
  <c r="AQ7" i="2"/>
  <c r="AP7" i="2"/>
  <c r="AO7" i="2"/>
  <c r="AN7" i="2"/>
  <c r="AL7" i="2"/>
  <c r="V41" i="2"/>
  <c r="V35" i="2"/>
  <c r="V34" i="2"/>
  <c r="V32" i="2"/>
  <c r="V31" i="2"/>
  <c r="V30" i="2"/>
  <c r="V29" i="2"/>
  <c r="V27" i="2"/>
  <c r="V26" i="2"/>
  <c r="V25" i="2"/>
  <c r="V24" i="2"/>
  <c r="V23" i="2"/>
  <c r="V22" i="2"/>
  <c r="V21" i="2"/>
  <c r="V20" i="2"/>
  <c r="V19" i="2"/>
  <c r="V17" i="2"/>
  <c r="V16" i="2"/>
  <c r="V15" i="2"/>
  <c r="V13" i="2"/>
  <c r="V12" i="2"/>
  <c r="V11" i="2"/>
  <c r="V10" i="2"/>
  <c r="V9" i="2"/>
  <c r="V8" i="2"/>
  <c r="V7" i="2"/>
  <c r="U41" i="2"/>
  <c r="U35" i="2"/>
  <c r="U34" i="2"/>
  <c r="U32" i="2"/>
  <c r="U31" i="2"/>
  <c r="U30" i="2"/>
  <c r="U29" i="2"/>
  <c r="U27" i="2"/>
  <c r="U26" i="2"/>
  <c r="U25" i="2"/>
  <c r="U24" i="2"/>
  <c r="U23" i="2"/>
  <c r="U22" i="2"/>
  <c r="U21" i="2"/>
  <c r="U20" i="2"/>
  <c r="U19" i="2"/>
  <c r="U17" i="2"/>
  <c r="U16" i="2"/>
  <c r="U15" i="2"/>
  <c r="U13" i="2"/>
  <c r="U12" i="2"/>
  <c r="U11" i="2"/>
  <c r="U10" i="2"/>
  <c r="U9" i="2"/>
  <c r="U8" i="2"/>
  <c r="U7" i="2"/>
  <c r="T41" i="2"/>
  <c r="T35" i="2"/>
  <c r="T34" i="2"/>
  <c r="T32" i="2"/>
  <c r="T31" i="2"/>
  <c r="T30" i="2"/>
  <c r="T29" i="2"/>
  <c r="T27" i="2"/>
  <c r="T26" i="2"/>
  <c r="T25" i="2"/>
  <c r="T24" i="2"/>
  <c r="T23" i="2"/>
  <c r="T22" i="2"/>
  <c r="T21" i="2"/>
  <c r="T20" i="2"/>
  <c r="T19" i="2"/>
  <c r="T17" i="2"/>
  <c r="T16" i="2"/>
  <c r="T15" i="2"/>
  <c r="T13" i="2"/>
  <c r="T12" i="2"/>
  <c r="T11" i="2"/>
  <c r="T10" i="2"/>
  <c r="T9" i="2"/>
  <c r="T8" i="2"/>
  <c r="T7" i="2"/>
  <c r="S41" i="2"/>
  <c r="S35" i="2"/>
  <c r="S34" i="2"/>
  <c r="S32" i="2"/>
  <c r="S31" i="2"/>
  <c r="S30" i="2"/>
  <c r="S29" i="2"/>
  <c r="S27" i="2"/>
  <c r="S26" i="2"/>
  <c r="S25" i="2"/>
  <c r="S24" i="2"/>
  <c r="S23" i="2"/>
  <c r="S22" i="2"/>
  <c r="S21" i="2"/>
  <c r="S20" i="2"/>
  <c r="S19" i="2"/>
  <c r="S17" i="2"/>
  <c r="S16" i="2"/>
  <c r="S15" i="2"/>
  <c r="S13" i="2"/>
  <c r="S12" i="2"/>
  <c r="S11" i="2"/>
  <c r="S10" i="2"/>
  <c r="S9" i="2"/>
  <c r="S8" i="2"/>
  <c r="S7" i="2"/>
  <c r="R41" i="2"/>
  <c r="R35" i="2"/>
  <c r="R34" i="2"/>
  <c r="R32" i="2"/>
  <c r="R31" i="2"/>
  <c r="R30" i="2"/>
  <c r="R29" i="2"/>
  <c r="R27" i="2"/>
  <c r="R26" i="2"/>
  <c r="R25" i="2"/>
  <c r="R24" i="2"/>
  <c r="R23" i="2"/>
  <c r="R22" i="2"/>
  <c r="R21" i="2"/>
  <c r="R20" i="2"/>
  <c r="R19" i="2"/>
  <c r="R17" i="2"/>
  <c r="R16" i="2"/>
  <c r="R15" i="2"/>
  <c r="R13" i="2"/>
  <c r="R12" i="2"/>
  <c r="R11" i="2"/>
  <c r="R10" i="2"/>
  <c r="R9" i="2"/>
  <c r="R8" i="2"/>
  <c r="R7" i="2"/>
  <c r="Q41" i="2"/>
  <c r="Q35" i="2"/>
  <c r="Q34" i="2"/>
  <c r="Q32" i="2"/>
  <c r="Q31" i="2"/>
  <c r="Q30" i="2"/>
  <c r="Q29" i="2"/>
  <c r="Q27" i="2"/>
  <c r="Q26" i="2"/>
  <c r="Q25" i="2"/>
  <c r="Q24" i="2"/>
  <c r="Q23" i="2"/>
  <c r="Q22" i="2"/>
  <c r="Q21" i="2"/>
  <c r="Q20" i="2"/>
  <c r="Q19" i="2"/>
  <c r="Q17" i="2"/>
  <c r="Q16" i="2"/>
  <c r="Q15" i="2"/>
  <c r="Q13" i="2"/>
  <c r="Q12" i="2"/>
  <c r="Q11" i="2"/>
  <c r="Q10" i="2"/>
  <c r="Q9" i="2"/>
  <c r="Q8" i="2"/>
  <c r="Q7" i="2"/>
  <c r="O41" i="2"/>
  <c r="O35" i="2"/>
  <c r="O34" i="2"/>
  <c r="O32" i="2"/>
  <c r="O31" i="2"/>
  <c r="O30" i="2"/>
  <c r="O29" i="2"/>
  <c r="O27" i="2"/>
  <c r="O26" i="2"/>
  <c r="O25" i="2"/>
  <c r="O24" i="2"/>
  <c r="O23" i="2"/>
  <c r="O22" i="2"/>
  <c r="O21" i="2"/>
  <c r="O20" i="2"/>
  <c r="O19" i="2"/>
  <c r="O17" i="2"/>
  <c r="O16" i="2"/>
  <c r="O15" i="2"/>
  <c r="O13" i="2"/>
  <c r="O12" i="2"/>
  <c r="O11" i="2"/>
  <c r="O10" i="2"/>
  <c r="O9" i="2"/>
  <c r="O8" i="2"/>
  <c r="O7" i="2"/>
  <c r="CA14" i="2"/>
  <c r="CE14" i="2" s="1"/>
  <c r="BY6" i="2"/>
  <c r="BY33" i="2"/>
  <c r="CK33" i="2" s="1"/>
  <c r="BY28" i="2"/>
  <c r="CK28" i="2" s="1"/>
  <c r="BY18" i="2"/>
  <c r="BY14" i="2"/>
  <c r="CK14" i="2" s="1"/>
  <c r="BB33" i="2"/>
  <c r="BN33" i="2" s="1"/>
  <c r="BB28" i="2"/>
  <c r="BN28" i="2" s="1"/>
  <c r="BB18" i="2"/>
  <c r="BB14" i="2"/>
  <c r="BN14" i="2" s="1"/>
  <c r="BB6" i="2"/>
  <c r="AG33" i="2"/>
  <c r="AK33" i="2" s="1"/>
  <c r="AE33" i="2"/>
  <c r="AQ33" i="2" s="1"/>
  <c r="AG28" i="2"/>
  <c r="AK28" i="2" s="1"/>
  <c r="AE28" i="2"/>
  <c r="AQ28" i="2" s="1"/>
  <c r="AG18" i="2"/>
  <c r="AK18" i="2" s="1"/>
  <c r="AE18" i="2"/>
  <c r="AQ18" i="2" s="1"/>
  <c r="AG14" i="2"/>
  <c r="AK14" i="2" s="1"/>
  <c r="AE14" i="2"/>
  <c r="AG6" i="2"/>
  <c r="AK6" i="2" s="1"/>
  <c r="AE6" i="2"/>
  <c r="J33" i="2"/>
  <c r="N33" i="2" s="1"/>
  <c r="H33" i="2"/>
  <c r="T33" i="2" s="1"/>
  <c r="J28" i="2"/>
  <c r="N28" i="2" s="1"/>
  <c r="H28" i="2"/>
  <c r="T28" i="2" s="1"/>
  <c r="J18" i="2"/>
  <c r="N18" i="2" s="1"/>
  <c r="H18" i="2"/>
  <c r="T18" i="2" s="1"/>
  <c r="J14" i="2"/>
  <c r="N14" i="2" s="1"/>
  <c r="H14" i="2"/>
  <c r="J6" i="2"/>
  <c r="N6" i="2" s="1"/>
  <c r="H6" i="2"/>
  <c r="CX33" i="2"/>
  <c r="DB33" i="2" s="1"/>
  <c r="CW33" i="2"/>
  <c r="CV33" i="2"/>
  <c r="DH33" i="2" s="1"/>
  <c r="CX28" i="2"/>
  <c r="DB28" i="2" s="1"/>
  <c r="CW28" i="2"/>
  <c r="CV28" i="2"/>
  <c r="DH28" i="2" s="1"/>
  <c r="CX18" i="2"/>
  <c r="DB18" i="2" s="1"/>
  <c r="CW18" i="2"/>
  <c r="CV18" i="2"/>
  <c r="CX14" i="2"/>
  <c r="DB14" i="2" s="1"/>
  <c r="CW14" i="2"/>
  <c r="CV14" i="2"/>
  <c r="DH14" i="2" s="1"/>
  <c r="CX6" i="2"/>
  <c r="DB6" i="2" s="1"/>
  <c r="CW6" i="2"/>
  <c r="CV6" i="2"/>
  <c r="CA33" i="2"/>
  <c r="CE33" i="2" s="1"/>
  <c r="BZ33" i="2"/>
  <c r="CA28" i="2"/>
  <c r="CE28" i="2" s="1"/>
  <c r="BZ28" i="2"/>
  <c r="CA18" i="2"/>
  <c r="CE18" i="2" s="1"/>
  <c r="CA6" i="2"/>
  <c r="CE6" i="2" s="1"/>
  <c r="BZ18" i="2"/>
  <c r="BZ14" i="2"/>
  <c r="BZ6" i="2"/>
  <c r="BD6" i="2"/>
  <c r="BH6" i="2" s="1"/>
  <c r="BD14" i="2"/>
  <c r="BH14" i="2" s="1"/>
  <c r="BD18" i="2"/>
  <c r="BH18" i="2" s="1"/>
  <c r="BD33" i="2"/>
  <c r="BH33" i="2" s="1"/>
  <c r="BC33" i="2"/>
  <c r="BD28" i="2"/>
  <c r="BH28" i="2" s="1"/>
  <c r="BC28" i="2"/>
  <c r="BC18" i="2"/>
  <c r="BC14" i="2"/>
  <c r="BC6" i="2"/>
  <c r="AF33" i="2"/>
  <c r="AF28" i="2"/>
  <c r="AF18" i="2"/>
  <c r="AF14" i="2"/>
  <c r="AF6" i="2"/>
  <c r="I33" i="2"/>
  <c r="I28" i="2"/>
  <c r="I18" i="2"/>
  <c r="I14" i="2"/>
  <c r="I6" i="2"/>
  <c r="DA33" i="2"/>
  <c r="CZ33" i="2"/>
  <c r="DD33" i="2" s="1"/>
  <c r="CU33" i="2"/>
  <c r="DA28" i="2"/>
  <c r="CZ28" i="2"/>
  <c r="DD28" i="2" s="1"/>
  <c r="CU28" i="2"/>
  <c r="DA18" i="2"/>
  <c r="CZ18" i="2"/>
  <c r="DD18" i="2" s="1"/>
  <c r="CU18" i="2"/>
  <c r="DA14" i="2"/>
  <c r="CZ14" i="2"/>
  <c r="DD14" i="2" s="1"/>
  <c r="CU14" i="2"/>
  <c r="DA6" i="2"/>
  <c r="CZ6" i="2"/>
  <c r="DD6" i="2" s="1"/>
  <c r="CU6" i="2"/>
  <c r="CD33" i="2"/>
  <c r="CC33" i="2"/>
  <c r="CG33" i="2" s="1"/>
  <c r="BX33" i="2"/>
  <c r="CH33" i="2" s="1"/>
  <c r="CD28" i="2"/>
  <c r="CC28" i="2"/>
  <c r="CG28" i="2" s="1"/>
  <c r="BX28" i="2"/>
  <c r="CD18" i="2"/>
  <c r="CC18" i="2"/>
  <c r="CG18" i="2" s="1"/>
  <c r="BX18" i="2"/>
  <c r="CD14" i="2"/>
  <c r="CC14" i="2"/>
  <c r="CG14" i="2" s="1"/>
  <c r="BX14" i="2"/>
  <c r="CH14" i="2" s="1"/>
  <c r="CD6" i="2"/>
  <c r="CC6" i="2"/>
  <c r="CG6" i="2" s="1"/>
  <c r="BX6" i="2"/>
  <c r="BG33" i="2"/>
  <c r="BF33" i="2"/>
  <c r="BJ33" i="2" s="1"/>
  <c r="BA33" i="2"/>
  <c r="BK33" i="2" s="1"/>
  <c r="BG28" i="2"/>
  <c r="BF28" i="2"/>
  <c r="BJ28" i="2" s="1"/>
  <c r="BA28" i="2"/>
  <c r="BG18" i="2"/>
  <c r="BF18" i="2"/>
  <c r="BJ18" i="2" s="1"/>
  <c r="BA18" i="2"/>
  <c r="BG14" i="2"/>
  <c r="BF14" i="2"/>
  <c r="BJ14" i="2" s="1"/>
  <c r="BA14" i="2"/>
  <c r="BG6" i="2"/>
  <c r="BF6" i="2"/>
  <c r="BJ6" i="2" s="1"/>
  <c r="BA6" i="2"/>
  <c r="AJ33" i="2"/>
  <c r="AI33" i="2"/>
  <c r="AD33" i="2"/>
  <c r="AJ28" i="2"/>
  <c r="AI28" i="2"/>
  <c r="AD28" i="2"/>
  <c r="AJ18" i="2"/>
  <c r="AI18" i="2"/>
  <c r="AD18" i="2"/>
  <c r="AN18" i="2" s="1"/>
  <c r="AJ14" i="2"/>
  <c r="AI14" i="2"/>
  <c r="AD14" i="2"/>
  <c r="AN14" i="2" s="1"/>
  <c r="AJ6" i="2"/>
  <c r="AI6" i="2"/>
  <c r="AD6" i="2"/>
  <c r="M33" i="2"/>
  <c r="L33" i="2"/>
  <c r="P33" i="2" s="1"/>
  <c r="G33" i="2"/>
  <c r="Q33" i="2" s="1"/>
  <c r="M28" i="2"/>
  <c r="L28" i="2"/>
  <c r="G28" i="2"/>
  <c r="Q28" i="2" s="1"/>
  <c r="M18" i="2"/>
  <c r="L18" i="2"/>
  <c r="P18" i="2" s="1"/>
  <c r="G18" i="2"/>
  <c r="Q18" i="2" s="1"/>
  <c r="M14" i="2"/>
  <c r="L14" i="2"/>
  <c r="P14" i="2" s="1"/>
  <c r="G14" i="2"/>
  <c r="Q14" i="2" s="1"/>
  <c r="M6" i="2"/>
  <c r="L6" i="2"/>
  <c r="P6" i="2" s="1"/>
  <c r="G6" i="2"/>
  <c r="DX40" i="2"/>
  <c r="DX35" i="2"/>
  <c r="DX34" i="2"/>
  <c r="DX32" i="2"/>
  <c r="DX31" i="2"/>
  <c r="DX30" i="2"/>
  <c r="DX29" i="2"/>
  <c r="DX27" i="2"/>
  <c r="DX26" i="2"/>
  <c r="DX25" i="2"/>
  <c r="DX24" i="2"/>
  <c r="DX37" i="2"/>
  <c r="DX22" i="2"/>
  <c r="DX21" i="2"/>
  <c r="DX20" i="2"/>
  <c r="DX19" i="2"/>
  <c r="DX17" i="2"/>
  <c r="DX16" i="2"/>
  <c r="DX15" i="2"/>
  <c r="DX13" i="2"/>
  <c r="DX12" i="2"/>
  <c r="DX11" i="2"/>
  <c r="DX10" i="2"/>
  <c r="DX9" i="2"/>
  <c r="DX8" i="2"/>
  <c r="DX7" i="2"/>
  <c r="DW40" i="2"/>
  <c r="DW35" i="2"/>
  <c r="DW34" i="2"/>
  <c r="DW32" i="2"/>
  <c r="DW31" i="2"/>
  <c r="DW30" i="2"/>
  <c r="DW29" i="2"/>
  <c r="DW27" i="2"/>
  <c r="DW26" i="2"/>
  <c r="DW25" i="2"/>
  <c r="DW24" i="2"/>
  <c r="DW37" i="2"/>
  <c r="DW22" i="2"/>
  <c r="DW21" i="2"/>
  <c r="DW20" i="2"/>
  <c r="DW19" i="2"/>
  <c r="DW17" i="2"/>
  <c r="DW16" i="2"/>
  <c r="DW15" i="2"/>
  <c r="DW13" i="2"/>
  <c r="DW12" i="2"/>
  <c r="DW11" i="2"/>
  <c r="DW10" i="2"/>
  <c r="DW9" i="2"/>
  <c r="DW8" i="2"/>
  <c r="DW7" i="2"/>
  <c r="DV40" i="2"/>
  <c r="DV35" i="2"/>
  <c r="DV34" i="2"/>
  <c r="DV32" i="2"/>
  <c r="DV31" i="2"/>
  <c r="DV30" i="2"/>
  <c r="DV29" i="2"/>
  <c r="DV27" i="2"/>
  <c r="DV26" i="2"/>
  <c r="DV25" i="2"/>
  <c r="DV24" i="2"/>
  <c r="DV37" i="2"/>
  <c r="DV22" i="2"/>
  <c r="DV21" i="2"/>
  <c r="DV20" i="2"/>
  <c r="DV19" i="2"/>
  <c r="DV17" i="2"/>
  <c r="DV16" i="2"/>
  <c r="DV15" i="2"/>
  <c r="DV13" i="2"/>
  <c r="DV12" i="2"/>
  <c r="DV11" i="2"/>
  <c r="DV10" i="2"/>
  <c r="DV9" i="2"/>
  <c r="DV8" i="2"/>
  <c r="DV7" i="2"/>
  <c r="DU40" i="2"/>
  <c r="DU35" i="2"/>
  <c r="DU34" i="2"/>
  <c r="DU32" i="2"/>
  <c r="DU31" i="2"/>
  <c r="DU30" i="2"/>
  <c r="DU29" i="2"/>
  <c r="DU27" i="2"/>
  <c r="DU26" i="2"/>
  <c r="DU25" i="2"/>
  <c r="DU24" i="2"/>
  <c r="DU37" i="2"/>
  <c r="DU22" i="2"/>
  <c r="DU21" i="2"/>
  <c r="DU20" i="2"/>
  <c r="DU19" i="2"/>
  <c r="DU17" i="2"/>
  <c r="DU16" i="2"/>
  <c r="DU15" i="2"/>
  <c r="DU13" i="2"/>
  <c r="DU12" i="2"/>
  <c r="DU11" i="2"/>
  <c r="DU10" i="2"/>
  <c r="DU9" i="2"/>
  <c r="DU8" i="2"/>
  <c r="DU7" i="2"/>
  <c r="DT40" i="2"/>
  <c r="DT35" i="2"/>
  <c r="DT34" i="2"/>
  <c r="DT32" i="2"/>
  <c r="DT31" i="2"/>
  <c r="DT30" i="2"/>
  <c r="DT29" i="2"/>
  <c r="DT27" i="2"/>
  <c r="DT26" i="2"/>
  <c r="DT25" i="2"/>
  <c r="DT24" i="2"/>
  <c r="DT37" i="2"/>
  <c r="DT22" i="2"/>
  <c r="DT21" i="2"/>
  <c r="DT20" i="2"/>
  <c r="DT19" i="2"/>
  <c r="DT17" i="2"/>
  <c r="DT16" i="2"/>
  <c r="DT15" i="2"/>
  <c r="DT13" i="2"/>
  <c r="DT12" i="2"/>
  <c r="DT11" i="2"/>
  <c r="DT10" i="2"/>
  <c r="DT9" i="2"/>
  <c r="DT8" i="2"/>
  <c r="DT7" i="2"/>
  <c r="DP33" i="2"/>
  <c r="DT33" i="2" s="1"/>
  <c r="DP28" i="2"/>
  <c r="DT28" i="2" s="1"/>
  <c r="DP18" i="2"/>
  <c r="DT18" i="2" s="1"/>
  <c r="DP14" i="2"/>
  <c r="DT14" i="2" s="1"/>
  <c r="DP6" i="2"/>
  <c r="DS33" i="2"/>
  <c r="DR33" i="2"/>
  <c r="DO33" i="2"/>
  <c r="DV33" i="2" s="1"/>
  <c r="DS28" i="2"/>
  <c r="DR28" i="2"/>
  <c r="DU28" i="2" s="1"/>
  <c r="DO28" i="2"/>
  <c r="DS18" i="2"/>
  <c r="DR18" i="2"/>
  <c r="DU18" i="2" s="1"/>
  <c r="DO18" i="2"/>
  <c r="DS14" i="2"/>
  <c r="DR14" i="2"/>
  <c r="DU14" i="2" s="1"/>
  <c r="DO14" i="2"/>
  <c r="DS6" i="2"/>
  <c r="DR6" i="2"/>
  <c r="DO6" i="2"/>
  <c r="AH29" i="6"/>
  <c r="AI28" i="6"/>
  <c r="AI27" i="6"/>
  <c r="AI26" i="6"/>
  <c r="AI25" i="6"/>
  <c r="AI24" i="6"/>
  <c r="AI23" i="6"/>
  <c r="AI22" i="6"/>
  <c r="AI20" i="6"/>
  <c r="AG19" i="6"/>
  <c r="AF19" i="6"/>
  <c r="AE19" i="6"/>
  <c r="AI18" i="6"/>
  <c r="AG17" i="6"/>
  <c r="AF17" i="6"/>
  <c r="AE17" i="6"/>
  <c r="AI16" i="6"/>
  <c r="AI15" i="6"/>
  <c r="AI14" i="6"/>
  <c r="AI13" i="6"/>
  <c r="AH21" i="6"/>
  <c r="AG12" i="6"/>
  <c r="AF12" i="6"/>
  <c r="AE12" i="6"/>
  <c r="AI11" i="6"/>
  <c r="AI10" i="6"/>
  <c r="AG9" i="6"/>
  <c r="AF9" i="6"/>
  <c r="AE9" i="6"/>
  <c r="AI8" i="6"/>
  <c r="AI7" i="6"/>
  <c r="AI6" i="6"/>
  <c r="AG5" i="6"/>
  <c r="AF5" i="6"/>
  <c r="AE5" i="6"/>
  <c r="AB18" i="6"/>
  <c r="Z17" i="6"/>
  <c r="AB16" i="6"/>
  <c r="AB15" i="6"/>
  <c r="AB14" i="6"/>
  <c r="AB13" i="6"/>
  <c r="Z12" i="6"/>
  <c r="Y12" i="6"/>
  <c r="X12" i="6"/>
  <c r="AB11" i="6"/>
  <c r="Z9" i="6"/>
  <c r="Y9" i="6"/>
  <c r="X9" i="6"/>
  <c r="AB8" i="6"/>
  <c r="AB7" i="6"/>
  <c r="Z5" i="6"/>
  <c r="Y5" i="6"/>
  <c r="X5" i="6"/>
  <c r="U39" i="6"/>
  <c r="U29" i="6"/>
  <c r="T29" i="6"/>
  <c r="S19" i="6"/>
  <c r="R19" i="6"/>
  <c r="Q19" i="6"/>
  <c r="S17" i="6"/>
  <c r="R17" i="6"/>
  <c r="Q17" i="6"/>
  <c r="T21" i="6"/>
  <c r="S12" i="6"/>
  <c r="R12" i="6"/>
  <c r="Q12" i="6"/>
  <c r="U11" i="6"/>
  <c r="U10" i="6"/>
  <c r="S9" i="6"/>
  <c r="R9" i="6"/>
  <c r="Q9" i="6"/>
  <c r="U8" i="6"/>
  <c r="U7" i="6"/>
  <c r="U6" i="6"/>
  <c r="S5" i="6"/>
  <c r="R5" i="6"/>
  <c r="Q5" i="6"/>
  <c r="N8" i="6"/>
  <c r="N7" i="6"/>
  <c r="N6" i="6"/>
  <c r="L5" i="6"/>
  <c r="L21" i="6" s="1"/>
  <c r="L30" i="6" s="1"/>
  <c r="K5" i="6"/>
  <c r="K21" i="6" s="1"/>
  <c r="K30" i="6" s="1"/>
  <c r="J5" i="6"/>
  <c r="J21" i="6" s="1"/>
  <c r="J30" i="6" s="1"/>
  <c r="F29" i="6"/>
  <c r="G28" i="6"/>
  <c r="G27" i="6"/>
  <c r="G26" i="6"/>
  <c r="G25" i="6"/>
  <c r="G24" i="6"/>
  <c r="G23" i="6"/>
  <c r="G22" i="6"/>
  <c r="F21" i="6"/>
  <c r="E19" i="6"/>
  <c r="D19" i="6"/>
  <c r="C19" i="6"/>
  <c r="E17" i="6"/>
  <c r="D17" i="6"/>
  <c r="C17" i="6"/>
  <c r="G17" i="6" s="1"/>
  <c r="E12" i="6"/>
  <c r="E9" i="6" s="1"/>
  <c r="D12" i="6"/>
  <c r="C12" i="6"/>
  <c r="D9" i="6"/>
  <c r="C9" i="6"/>
  <c r="G8" i="6"/>
  <c r="G7" i="6"/>
  <c r="G6" i="6"/>
  <c r="E5" i="6"/>
  <c r="D5" i="6"/>
  <c r="C5" i="6"/>
  <c r="I41" i="12"/>
  <c r="I40" i="12"/>
  <c r="I39" i="12"/>
  <c r="AM38" i="12"/>
  <c r="AM37" i="12"/>
  <c r="AM36" i="12"/>
  <c r="AM35" i="12"/>
  <c r="C31" i="12"/>
  <c r="AM20" i="12"/>
  <c r="AM19" i="12"/>
  <c r="AM18" i="12"/>
  <c r="AM17" i="12"/>
  <c r="AM14" i="12"/>
  <c r="AM13" i="12"/>
  <c r="AM8" i="12"/>
  <c r="AM6" i="12"/>
  <c r="AM5" i="12"/>
  <c r="CE5" i="5"/>
  <c r="CC5" i="5"/>
  <c r="M6" i="13"/>
  <c r="N6" i="13"/>
  <c r="O6" i="13"/>
  <c r="P6" i="13"/>
  <c r="N7" i="13"/>
  <c r="O7" i="13"/>
  <c r="P7" i="13"/>
  <c r="M8" i="13"/>
  <c r="N8" i="13"/>
  <c r="O8" i="13"/>
  <c r="P8" i="13"/>
  <c r="M9" i="13"/>
  <c r="N9" i="13"/>
  <c r="O9" i="13"/>
  <c r="P9" i="13"/>
  <c r="M10" i="13"/>
  <c r="N10" i="13"/>
  <c r="O10" i="13"/>
  <c r="P10" i="13"/>
  <c r="M11" i="13"/>
  <c r="N11" i="13"/>
  <c r="O11" i="13"/>
  <c r="P11" i="13"/>
  <c r="M12" i="13"/>
  <c r="N12" i="13"/>
  <c r="O12" i="13"/>
  <c r="P12" i="13"/>
  <c r="M13" i="13"/>
  <c r="N13" i="13"/>
  <c r="O13" i="13"/>
  <c r="P13" i="13"/>
  <c r="AN41" i="12"/>
  <c r="AN40" i="12"/>
  <c r="AN39" i="12"/>
  <c r="AM33" i="12"/>
  <c r="AB31" i="12"/>
  <c r="AA31" i="12"/>
  <c r="AM30" i="12"/>
  <c r="AM29" i="12"/>
  <c r="AM28" i="12"/>
  <c r="AM27" i="12"/>
  <c r="AB26" i="12"/>
  <c r="AG26" i="12" s="1"/>
  <c r="AM26" i="12"/>
  <c r="AM25" i="12"/>
  <c r="AM24" i="12"/>
  <c r="AM23" i="12"/>
  <c r="AM22" i="12"/>
  <c r="AM21" i="12"/>
  <c r="AB16" i="12"/>
  <c r="AG16" i="12" s="1"/>
  <c r="AM15" i="12"/>
  <c r="AB12" i="12"/>
  <c r="AA12" i="12"/>
  <c r="AM11" i="12"/>
  <c r="AM10" i="12"/>
  <c r="AM9" i="12"/>
  <c r="AM7" i="12"/>
  <c r="AE4" i="12"/>
  <c r="AB4" i="12"/>
  <c r="AG4" i="12" s="1"/>
  <c r="I42" i="2" l="1"/>
  <c r="AJ42" i="2"/>
  <c r="D6" i="16" s="1"/>
  <c r="AE42" i="2"/>
  <c r="AQ42" i="2" s="1"/>
  <c r="AF42" i="2"/>
  <c r="AD42" i="2"/>
  <c r="AN42" i="2" s="1"/>
  <c r="M42" i="2"/>
  <c r="C6" i="16" s="1"/>
  <c r="AM32" i="12"/>
  <c r="AM41" i="12"/>
  <c r="AS41" i="12" s="1"/>
  <c r="AM40" i="12"/>
  <c r="AS40" i="12" s="1"/>
  <c r="C16" i="12"/>
  <c r="AM16" i="12" s="1"/>
  <c r="N31" i="14"/>
  <c r="H14" i="14"/>
  <c r="E31" i="14"/>
  <c r="C4" i="12"/>
  <c r="AM4" i="12" s="1"/>
  <c r="AM39" i="12"/>
  <c r="AS39" i="12" s="1"/>
  <c r="C12" i="12"/>
  <c r="AM12" i="12" s="1"/>
  <c r="C42" i="12"/>
  <c r="G9" i="6"/>
  <c r="G12" i="6"/>
  <c r="X21" i="6"/>
  <c r="Y21" i="6"/>
  <c r="Y30" i="6" s="1"/>
  <c r="Y40" i="6" s="1"/>
  <c r="Z21" i="6"/>
  <c r="Z30" i="6" s="1"/>
  <c r="Z40" i="6" s="1"/>
  <c r="AK16" i="12"/>
  <c r="AK4" i="12"/>
  <c r="AK12" i="12"/>
  <c r="AK31" i="12"/>
  <c r="AK26" i="12"/>
  <c r="AI4" i="12"/>
  <c r="AH16" i="12"/>
  <c r="AJ16" i="12"/>
  <c r="AJ4" i="12"/>
  <c r="AI16" i="12"/>
  <c r="AH12" i="12"/>
  <c r="AI26" i="12"/>
  <c r="AI31" i="12"/>
  <c r="AI12" i="12"/>
  <c r="AG31" i="12"/>
  <c r="AH26" i="12"/>
  <c r="AH31" i="12"/>
  <c r="AH4" i="12"/>
  <c r="AJ26" i="12"/>
  <c r="AJ31" i="12"/>
  <c r="AJ12" i="12"/>
  <c r="AG12" i="12"/>
  <c r="AA34" i="12"/>
  <c r="AA43" i="12" s="1"/>
  <c r="AE34" i="12"/>
  <c r="AB34" i="12"/>
  <c r="AB43" i="12" s="1"/>
  <c r="AM31" i="12"/>
  <c r="AC34" i="12"/>
  <c r="AD34" i="12"/>
  <c r="AG42" i="2"/>
  <c r="AK42" i="2" s="1"/>
  <c r="AM6" i="2"/>
  <c r="AI42" i="2"/>
  <c r="AM42" i="2" s="1"/>
  <c r="H42" i="2"/>
  <c r="T42" i="2" s="1"/>
  <c r="J42" i="2"/>
  <c r="N42" i="2" s="1"/>
  <c r="G42" i="2"/>
  <c r="Q42" i="2" s="1"/>
  <c r="L42" i="2"/>
  <c r="DC28" i="2"/>
  <c r="DC14" i="2"/>
  <c r="DC33" i="2"/>
  <c r="DC18" i="2"/>
  <c r="CF28" i="2"/>
  <c r="CF14" i="2"/>
  <c r="CF33" i="2"/>
  <c r="CF18" i="2"/>
  <c r="BI14" i="2"/>
  <c r="BI33" i="2"/>
  <c r="O28" i="2"/>
  <c r="P28" i="2"/>
  <c r="AL28" i="2"/>
  <c r="AM28" i="2"/>
  <c r="AL14" i="2"/>
  <c r="AM14" i="2"/>
  <c r="AL18" i="2"/>
  <c r="AM18" i="2"/>
  <c r="AL33" i="2"/>
  <c r="AM33" i="2"/>
  <c r="CC41" i="2"/>
  <c r="CG41" i="2" s="1"/>
  <c r="BG41" i="2"/>
  <c r="E6" i="16" s="1"/>
  <c r="DP41" i="2"/>
  <c r="DT41" i="2" s="1"/>
  <c r="DO41" i="2"/>
  <c r="CU41" i="2"/>
  <c r="AQ14" i="2"/>
  <c r="DR41" i="2"/>
  <c r="CZ41" i="2"/>
  <c r="DD41" i="2" s="1"/>
  <c r="CD41" i="2"/>
  <c r="F6" i="16" s="1"/>
  <c r="BF41" i="2"/>
  <c r="BJ41" i="2" s="1"/>
  <c r="BX41" i="2"/>
  <c r="CH41" i="2" s="1"/>
  <c r="DS41" i="2"/>
  <c r="H6" i="16" s="1"/>
  <c r="CV41" i="2"/>
  <c r="CW41" i="2"/>
  <c r="CX41" i="2"/>
  <c r="DB41" i="2" s="1"/>
  <c r="BY41" i="2"/>
  <c r="BD41" i="2"/>
  <c r="BH41" i="2" s="1"/>
  <c r="DA41" i="2"/>
  <c r="G6" i="16" s="1"/>
  <c r="BB41" i="2"/>
  <c r="BN41" i="2" s="1"/>
  <c r="CA41" i="2"/>
  <c r="CE41" i="2" s="1"/>
  <c r="BZ41" i="2"/>
  <c r="BC41" i="2"/>
  <c r="BA41" i="2"/>
  <c r="BO18" i="2"/>
  <c r="DH6" i="2"/>
  <c r="BN6" i="2"/>
  <c r="BK6" i="2"/>
  <c r="CH6" i="2"/>
  <c r="DE6" i="2"/>
  <c r="AS18" i="2"/>
  <c r="DT6" i="2"/>
  <c r="Q6" i="2"/>
  <c r="DU6" i="2"/>
  <c r="T6" i="2"/>
  <c r="AN6" i="2"/>
  <c r="CM33" i="2"/>
  <c r="AQ6" i="2"/>
  <c r="T30" i="6"/>
  <c r="T40" i="6" s="1"/>
  <c r="BI28" i="2"/>
  <c r="DH18" i="2"/>
  <c r="CK18" i="2"/>
  <c r="BN18" i="2"/>
  <c r="U17" i="6"/>
  <c r="U6" i="2"/>
  <c r="V14" i="2"/>
  <c r="V33" i="2"/>
  <c r="V6" i="2"/>
  <c r="AS28" i="2"/>
  <c r="S28" i="2"/>
  <c r="AO33" i="2"/>
  <c r="BP14" i="2"/>
  <c r="U14" i="2"/>
  <c r="BP33" i="2"/>
  <c r="CM6" i="2"/>
  <c r="U33" i="2"/>
  <c r="AO28" i="2"/>
  <c r="S14" i="2"/>
  <c r="AS33" i="2"/>
  <c r="CM18" i="2"/>
  <c r="DI6" i="2"/>
  <c r="DG28" i="2"/>
  <c r="AS14" i="2"/>
  <c r="CI28" i="2"/>
  <c r="R33" i="2"/>
  <c r="CI14" i="2"/>
  <c r="BL28" i="2"/>
  <c r="DG14" i="2"/>
  <c r="DJ28" i="2"/>
  <c r="CJ28" i="2"/>
  <c r="V18" i="2"/>
  <c r="DF33" i="2"/>
  <c r="BM14" i="2"/>
  <c r="DJ14" i="2"/>
  <c r="DE28" i="2"/>
  <c r="CM14" i="2"/>
  <c r="DG33" i="2"/>
  <c r="DF18" i="2"/>
  <c r="CI18" i="2"/>
  <c r="BI18" i="2"/>
  <c r="CJ14" i="2"/>
  <c r="DF28" i="2"/>
  <c r="BL18" i="2"/>
  <c r="AN33" i="2"/>
  <c r="DE14" i="2"/>
  <c r="BK28" i="2"/>
  <c r="DF14" i="2"/>
  <c r="O6" i="2"/>
  <c r="O14" i="2"/>
  <c r="BK14" i="2"/>
  <c r="CK6" i="2"/>
  <c r="AO14" i="2"/>
  <c r="R18" i="2"/>
  <c r="CJ6" i="2"/>
  <c r="O33" i="2"/>
  <c r="BL14" i="2"/>
  <c r="DE33" i="2"/>
  <c r="CM28" i="2"/>
  <c r="T14" i="2"/>
  <c r="AN28" i="2"/>
  <c r="CH28" i="2"/>
  <c r="BP28" i="2"/>
  <c r="BM18" i="2"/>
  <c r="BK18" i="2"/>
  <c r="CH18" i="2"/>
  <c r="DE18" i="2"/>
  <c r="DJ18" i="2"/>
  <c r="BP18" i="2"/>
  <c r="DX14" i="2"/>
  <c r="DX6" i="2"/>
  <c r="AO18" i="2"/>
  <c r="AP18" i="2"/>
  <c r="U18" i="2"/>
  <c r="S33" i="2"/>
  <c r="V28" i="2"/>
  <c r="R28" i="2"/>
  <c r="U28" i="2"/>
  <c r="O18" i="2"/>
  <c r="S18" i="2"/>
  <c r="R14" i="2"/>
  <c r="R6" i="2"/>
  <c r="S6" i="2"/>
  <c r="AP33" i="2"/>
  <c r="AR33" i="2"/>
  <c r="AP28" i="2"/>
  <c r="AR28" i="2"/>
  <c r="AR18" i="2"/>
  <c r="AP14" i="2"/>
  <c r="AR14" i="2"/>
  <c r="AS6" i="2"/>
  <c r="AL6" i="2"/>
  <c r="AO6" i="2"/>
  <c r="AP6" i="2"/>
  <c r="AR6" i="2"/>
  <c r="BL33" i="2"/>
  <c r="BM33" i="2"/>
  <c r="BO33" i="2"/>
  <c r="BM28" i="2"/>
  <c r="BO28" i="2"/>
  <c r="BO14" i="2"/>
  <c r="BP6" i="2"/>
  <c r="BI6" i="2"/>
  <c r="BL6" i="2"/>
  <c r="BM6" i="2"/>
  <c r="BO6" i="2"/>
  <c r="CJ33" i="2"/>
  <c r="CL33" i="2"/>
  <c r="CI33" i="2"/>
  <c r="CL28" i="2"/>
  <c r="CJ18" i="2"/>
  <c r="CL18" i="2"/>
  <c r="CL14" i="2"/>
  <c r="CL6" i="2"/>
  <c r="CF6" i="2"/>
  <c r="CI6" i="2"/>
  <c r="DI33" i="2"/>
  <c r="DJ33" i="2"/>
  <c r="DI28" i="2"/>
  <c r="DG18" i="2"/>
  <c r="DI18" i="2"/>
  <c r="DI14" i="2"/>
  <c r="DJ6" i="2"/>
  <c r="DC6" i="2"/>
  <c r="DF6" i="2"/>
  <c r="DG6" i="2"/>
  <c r="U9" i="6"/>
  <c r="AH30" i="6"/>
  <c r="AH40" i="6" s="1"/>
  <c r="G19" i="6"/>
  <c r="U19" i="6"/>
  <c r="H31" i="14"/>
  <c r="K31" i="14"/>
  <c r="N14" i="14"/>
  <c r="DW6" i="2"/>
  <c r="DW14" i="2"/>
  <c r="DW33" i="2"/>
  <c r="DV6" i="2"/>
  <c r="DV14" i="2"/>
  <c r="DX18" i="2"/>
  <c r="DX33" i="2"/>
  <c r="DX28" i="2"/>
  <c r="DU33" i="2"/>
  <c r="DV18" i="2"/>
  <c r="DW18" i="2"/>
  <c r="DV28" i="2"/>
  <c r="DW28" i="2"/>
  <c r="AI9" i="6"/>
  <c r="AI17" i="6"/>
  <c r="R21" i="6"/>
  <c r="R30" i="6" s="1"/>
  <c r="R40" i="6" s="1"/>
  <c r="AB12" i="6"/>
  <c r="AF21" i="6"/>
  <c r="AF30" i="6" s="1"/>
  <c r="AF40" i="6" s="1"/>
  <c r="E21" i="6"/>
  <c r="E30" i="6" s="1"/>
  <c r="E47" i="6" s="1"/>
  <c r="J47" i="6"/>
  <c r="M47" i="6"/>
  <c r="Q21" i="6"/>
  <c r="Q30" i="6" s="1"/>
  <c r="Q40" i="6" s="1"/>
  <c r="AI29" i="6"/>
  <c r="G29" i="6"/>
  <c r="N5" i="6"/>
  <c r="N21" i="6" s="1"/>
  <c r="N30" i="6" s="1"/>
  <c r="U5" i="6"/>
  <c r="AE21" i="6"/>
  <c r="AE30" i="6" s="1"/>
  <c r="AE40" i="6" s="1"/>
  <c r="F30" i="6"/>
  <c r="F47" i="6" s="1"/>
  <c r="K47" i="6"/>
  <c r="AI19" i="6"/>
  <c r="L47" i="6"/>
  <c r="S21" i="6"/>
  <c r="S30" i="6" s="1"/>
  <c r="S40" i="6" s="1"/>
  <c r="AB17" i="6"/>
  <c r="C21" i="6"/>
  <c r="C30" i="6" s="1"/>
  <c r="C47" i="6" s="1"/>
  <c r="D21" i="6"/>
  <c r="D30" i="6" s="1"/>
  <c r="D47" i="6" s="1"/>
  <c r="AI5" i="6"/>
  <c r="AG21" i="6"/>
  <c r="AG30" i="6" s="1"/>
  <c r="AG40" i="6" s="1"/>
  <c r="AI12" i="6"/>
  <c r="AB9" i="6"/>
  <c r="AB5" i="6"/>
  <c r="U12" i="6"/>
  <c r="G5" i="6"/>
  <c r="AB21" i="6" l="1"/>
  <c r="AB30" i="6" s="1"/>
  <c r="AB40" i="6" s="1"/>
  <c r="X30" i="6"/>
  <c r="X40" i="6" s="1"/>
  <c r="AE43" i="12"/>
  <c r="C34" i="12"/>
  <c r="AM34" i="12" s="1"/>
  <c r="AD43" i="12"/>
  <c r="AC43" i="12"/>
  <c r="AK42" i="12"/>
  <c r="AK34" i="12"/>
  <c r="AH34" i="12"/>
  <c r="AH42" i="12"/>
  <c r="AJ42" i="12"/>
  <c r="AI34" i="12"/>
  <c r="AG42" i="12"/>
  <c r="AI42" i="12"/>
  <c r="AG34" i="12"/>
  <c r="AJ34" i="12"/>
  <c r="AM42" i="12"/>
  <c r="D5" i="16"/>
  <c r="D7" i="16" s="1"/>
  <c r="C5" i="16"/>
  <c r="C7" i="16" s="1"/>
  <c r="P42" i="2"/>
  <c r="DU41" i="2"/>
  <c r="H5" i="16"/>
  <c r="H7" i="16" s="1"/>
  <c r="DC41" i="2"/>
  <c r="G5" i="16"/>
  <c r="G7" i="16" s="1"/>
  <c r="CF41" i="2"/>
  <c r="F5" i="16"/>
  <c r="F7" i="16" s="1"/>
  <c r="BI41" i="2"/>
  <c r="E5" i="16"/>
  <c r="E7" i="16" s="1"/>
  <c r="BK41" i="2"/>
  <c r="CJ41" i="2"/>
  <c r="DW41" i="2"/>
  <c r="DX41" i="2"/>
  <c r="DV41" i="2"/>
  <c r="CI41" i="2"/>
  <c r="DG41" i="2"/>
  <c r="DE41" i="2"/>
  <c r="DF41" i="2"/>
  <c r="N47" i="6"/>
  <c r="DH41" i="2"/>
  <c r="DJ41" i="2"/>
  <c r="DI41" i="2"/>
  <c r="CM41" i="2"/>
  <c r="CK41" i="2"/>
  <c r="CL41" i="2"/>
  <c r="G21" i="6"/>
  <c r="AP42" i="2"/>
  <c r="AR42" i="2"/>
  <c r="BL41" i="2"/>
  <c r="BM41" i="2"/>
  <c r="BP41" i="2"/>
  <c r="BO41" i="2"/>
  <c r="AL42" i="2"/>
  <c r="AO42" i="2"/>
  <c r="O42" i="2"/>
  <c r="R42" i="2"/>
  <c r="U42" i="2"/>
  <c r="V42" i="2"/>
  <c r="S42" i="2"/>
  <c r="AS42" i="2"/>
  <c r="U21" i="6"/>
  <c r="AI21" i="6"/>
  <c r="C43" i="12" l="1"/>
  <c r="AM43" i="12" s="1"/>
  <c r="AI30" i="6"/>
  <c r="AI40" i="6" s="1"/>
  <c r="U30" i="6"/>
  <c r="U40" i="6" s="1"/>
  <c r="G30" i="6"/>
  <c r="G47" i="6" s="1"/>
  <c r="AK43" i="12"/>
  <c r="AJ43" i="12"/>
  <c r="AH43" i="12"/>
  <c r="AG43" i="12"/>
  <c r="AI43" i="12"/>
  <c r="DS12" i="5" l="1"/>
  <c r="DQ12" i="5"/>
  <c r="DS11" i="5"/>
  <c r="DQ11" i="5"/>
  <c r="DS10" i="5"/>
  <c r="DQ10" i="5"/>
  <c r="DS9" i="5"/>
  <c r="DQ9" i="5"/>
  <c r="DS8" i="5"/>
  <c r="DQ8" i="5"/>
  <c r="DS7" i="5"/>
  <c r="DQ7" i="5"/>
  <c r="DS6" i="5"/>
  <c r="DQ6" i="5"/>
  <c r="DS5" i="5"/>
  <c r="DQ5" i="5"/>
  <c r="DI11" i="5"/>
  <c r="DG11" i="5"/>
  <c r="DI10" i="5"/>
  <c r="DG10" i="5"/>
  <c r="DI9" i="5"/>
  <c r="DG9" i="5"/>
  <c r="DI8" i="5"/>
  <c r="DG8" i="5"/>
  <c r="DI7" i="5"/>
  <c r="DG7" i="5"/>
  <c r="DI6" i="5"/>
  <c r="DG6" i="5"/>
  <c r="DI5" i="5"/>
  <c r="DG5" i="5"/>
  <c r="CY11" i="5"/>
  <c r="CW11" i="5"/>
  <c r="CY10" i="5"/>
  <c r="CW10" i="5"/>
  <c r="CY9" i="5"/>
  <c r="CW9" i="5"/>
  <c r="CY8" i="5"/>
  <c r="CW8" i="5"/>
  <c r="CY7" i="5"/>
  <c r="CW7" i="5"/>
  <c r="CY6" i="5"/>
  <c r="CW6" i="5"/>
  <c r="CY5" i="5"/>
  <c r="CW5" i="5"/>
  <c r="CO11" i="5"/>
  <c r="CM11" i="5"/>
  <c r="CO10" i="5"/>
  <c r="CM10" i="5"/>
  <c r="CO9" i="5"/>
  <c r="CM9" i="5"/>
  <c r="CO8" i="5"/>
  <c r="CM8" i="5"/>
  <c r="CO7" i="5"/>
  <c r="CM7" i="5"/>
  <c r="CO6" i="5"/>
  <c r="CM6" i="5"/>
  <c r="CO5" i="5"/>
  <c r="CM5" i="5"/>
  <c r="BH32" i="11" l="1"/>
  <c r="BG32" i="11"/>
  <c r="BB32" i="11"/>
  <c r="BA32" i="11"/>
  <c r="AV32" i="11"/>
  <c r="AU32" i="11"/>
  <c r="AP32" i="11"/>
  <c r="AO32" i="11"/>
  <c r="BH30" i="11"/>
  <c r="BG30" i="11"/>
  <c r="BB30" i="11"/>
  <c r="BA30" i="11"/>
  <c r="AV30" i="11"/>
  <c r="AU30" i="11"/>
  <c r="AP30" i="11"/>
  <c r="AO30" i="11"/>
  <c r="BH29" i="11"/>
  <c r="BG29" i="11"/>
  <c r="BB29" i="11"/>
  <c r="BA29" i="11"/>
  <c r="AV29" i="11"/>
  <c r="AU29" i="11"/>
  <c r="AP29" i="11"/>
  <c r="AO29" i="11"/>
  <c r="BF28" i="11"/>
  <c r="BE28" i="11"/>
  <c r="AZ28" i="11"/>
  <c r="AY28" i="11"/>
  <c r="BA28" i="11" s="1"/>
  <c r="AT28" i="11"/>
  <c r="AS28" i="11"/>
  <c r="AN28" i="11"/>
  <c r="AM28" i="11"/>
  <c r="BH27" i="11"/>
  <c r="BG27" i="11"/>
  <c r="BB27" i="11"/>
  <c r="BA27" i="11"/>
  <c r="AV27" i="11"/>
  <c r="AU27" i="11"/>
  <c r="AP27" i="11"/>
  <c r="AO27" i="11"/>
  <c r="BH26" i="11"/>
  <c r="BG26" i="11"/>
  <c r="BB26" i="11"/>
  <c r="BA26" i="11"/>
  <c r="AV26" i="11"/>
  <c r="AU26" i="11"/>
  <c r="AP26" i="11"/>
  <c r="AO26" i="11"/>
  <c r="BF25" i="11"/>
  <c r="BE25" i="11"/>
  <c r="AZ25" i="11"/>
  <c r="AY25" i="11"/>
  <c r="AT25" i="11"/>
  <c r="AS25" i="11"/>
  <c r="AN25" i="11"/>
  <c r="AM25" i="11"/>
  <c r="BH24" i="11"/>
  <c r="BG24" i="11"/>
  <c r="BB24" i="11"/>
  <c r="BA24" i="11"/>
  <c r="AV24" i="11"/>
  <c r="AU24" i="11"/>
  <c r="AP24" i="11"/>
  <c r="AO24" i="11"/>
  <c r="BH23" i="11"/>
  <c r="BG23" i="11"/>
  <c r="BB23" i="11"/>
  <c r="BA23" i="11"/>
  <c r="AV23" i="11"/>
  <c r="AU23" i="11"/>
  <c r="AP23" i="11"/>
  <c r="AO23" i="11"/>
  <c r="BH22" i="11"/>
  <c r="BG22" i="11"/>
  <c r="BB22" i="11"/>
  <c r="BA22" i="11"/>
  <c r="AV22" i="11"/>
  <c r="AU22" i="11"/>
  <c r="AP22" i="11"/>
  <c r="AO22" i="11"/>
  <c r="BH21" i="11"/>
  <c r="BG21" i="11"/>
  <c r="BB21" i="11"/>
  <c r="BA21" i="11"/>
  <c r="AV21" i="11"/>
  <c r="AU21" i="11"/>
  <c r="AP21" i="11"/>
  <c r="AO21" i="11"/>
  <c r="BH20" i="11"/>
  <c r="BG20" i="11"/>
  <c r="BB20" i="11"/>
  <c r="BA20" i="11"/>
  <c r="AV20" i="11"/>
  <c r="AU20" i="11"/>
  <c r="AP20" i="11"/>
  <c r="AO20" i="11"/>
  <c r="BH19" i="11"/>
  <c r="BG19" i="11"/>
  <c r="BB19" i="11"/>
  <c r="BA19" i="11"/>
  <c r="AV19" i="11"/>
  <c r="AU19" i="11"/>
  <c r="AP19" i="11"/>
  <c r="AO19" i="11"/>
  <c r="BH18" i="11"/>
  <c r="BG18" i="11"/>
  <c r="BB18" i="11"/>
  <c r="BA18" i="11"/>
  <c r="AV18" i="11"/>
  <c r="AU18" i="11"/>
  <c r="AP18" i="11"/>
  <c r="AO18" i="11"/>
  <c r="BF17" i="11"/>
  <c r="BE17" i="11"/>
  <c r="AZ17" i="11"/>
  <c r="AY17" i="11"/>
  <c r="AT17" i="11"/>
  <c r="AS17" i="11"/>
  <c r="AN17" i="11"/>
  <c r="AM17" i="11"/>
  <c r="BH16" i="11"/>
  <c r="BG16" i="11"/>
  <c r="BB16" i="11"/>
  <c r="BA16" i="11"/>
  <c r="AV16" i="11"/>
  <c r="AU16" i="11"/>
  <c r="AP16" i="11"/>
  <c r="AO16" i="11"/>
  <c r="BH15" i="11"/>
  <c r="BG15" i="11"/>
  <c r="BB15" i="11"/>
  <c r="BA15" i="11"/>
  <c r="AV15" i="11"/>
  <c r="AU15" i="11"/>
  <c r="AP15" i="11"/>
  <c r="AO15" i="11"/>
  <c r="BH14" i="11"/>
  <c r="BG14" i="11"/>
  <c r="BB14" i="11"/>
  <c r="BA14" i="11"/>
  <c r="AV14" i="11"/>
  <c r="AU14" i="11"/>
  <c r="AP14" i="11"/>
  <c r="AO14" i="11"/>
  <c r="BF13" i="11"/>
  <c r="BE13" i="11"/>
  <c r="AZ13" i="11"/>
  <c r="AY13" i="11"/>
  <c r="AT13" i="11"/>
  <c r="AS13" i="11"/>
  <c r="AN13" i="11"/>
  <c r="AM13" i="11"/>
  <c r="BH12" i="11"/>
  <c r="BG12" i="11"/>
  <c r="BB12" i="11"/>
  <c r="BA12" i="11"/>
  <c r="AV12" i="11"/>
  <c r="AU12" i="11"/>
  <c r="AP12" i="11"/>
  <c r="AO12" i="11"/>
  <c r="BH11" i="11"/>
  <c r="BG11" i="11"/>
  <c r="BB11" i="11"/>
  <c r="BA11" i="11"/>
  <c r="AV11" i="11"/>
  <c r="AU11" i="11"/>
  <c r="AP11" i="11"/>
  <c r="AO11" i="11"/>
  <c r="BH10" i="11"/>
  <c r="BG10" i="11"/>
  <c r="BB10" i="11"/>
  <c r="BA10" i="11"/>
  <c r="AV10" i="11"/>
  <c r="AU10" i="11"/>
  <c r="AP10" i="11"/>
  <c r="AO10" i="11"/>
  <c r="BH9" i="11"/>
  <c r="BG9" i="11"/>
  <c r="BB9" i="11"/>
  <c r="BA9" i="11"/>
  <c r="AV9" i="11"/>
  <c r="AU9" i="11"/>
  <c r="AP9" i="11"/>
  <c r="AO9" i="11"/>
  <c r="BH8" i="11"/>
  <c r="BG8" i="11"/>
  <c r="BB8" i="11"/>
  <c r="BA8" i="11"/>
  <c r="AV8" i="11"/>
  <c r="AU8" i="11"/>
  <c r="AP8" i="11"/>
  <c r="AO8" i="11"/>
  <c r="BH7" i="11"/>
  <c r="BG7" i="11"/>
  <c r="BB7" i="11"/>
  <c r="BA7" i="11"/>
  <c r="AV7" i="11"/>
  <c r="AU7" i="11"/>
  <c r="AP7" i="11"/>
  <c r="AO7" i="11"/>
  <c r="BH6" i="11"/>
  <c r="BG6" i="11"/>
  <c r="BB6" i="11"/>
  <c r="BA6" i="11"/>
  <c r="AV6" i="11"/>
  <c r="AU6" i="11"/>
  <c r="AP6" i="11"/>
  <c r="AO6" i="11"/>
  <c r="BF5" i="11"/>
  <c r="BE5" i="11"/>
  <c r="BG5" i="11" s="1"/>
  <c r="AZ5" i="11"/>
  <c r="AY5" i="11"/>
  <c r="AT5" i="11"/>
  <c r="AS5" i="11"/>
  <c r="AN5" i="11"/>
  <c r="AM5" i="11"/>
  <c r="BH32" i="10"/>
  <c r="BG32" i="10"/>
  <c r="BB32" i="10"/>
  <c r="BA32" i="10"/>
  <c r="AV32" i="10"/>
  <c r="AU32" i="10"/>
  <c r="AP32" i="10"/>
  <c r="AO32" i="10"/>
  <c r="BH30" i="10"/>
  <c r="BG30" i="10"/>
  <c r="BB30" i="10"/>
  <c r="BA30" i="10"/>
  <c r="AV30" i="10"/>
  <c r="AU30" i="10"/>
  <c r="AP30" i="10"/>
  <c r="AO30" i="10"/>
  <c r="BH29" i="10"/>
  <c r="BG29" i="10"/>
  <c r="BB29" i="10"/>
  <c r="BA29" i="10"/>
  <c r="AV29" i="10"/>
  <c r="AU29" i="10"/>
  <c r="AP29" i="10"/>
  <c r="AO29" i="10"/>
  <c r="BF28" i="10"/>
  <c r="BE28" i="10"/>
  <c r="AZ28" i="10"/>
  <c r="AY28" i="10"/>
  <c r="AT28" i="10"/>
  <c r="AS28" i="10"/>
  <c r="AN28" i="10"/>
  <c r="AM28" i="10"/>
  <c r="BH27" i="10"/>
  <c r="BG27" i="10"/>
  <c r="BB27" i="10"/>
  <c r="BA27" i="10"/>
  <c r="AV27" i="10"/>
  <c r="AU27" i="10"/>
  <c r="AP27" i="10"/>
  <c r="AO27" i="10"/>
  <c r="BH26" i="10"/>
  <c r="BG26" i="10"/>
  <c r="BB26" i="10"/>
  <c r="BA26" i="10"/>
  <c r="AV26" i="10"/>
  <c r="AU26" i="10"/>
  <c r="AP26" i="10"/>
  <c r="AO26" i="10"/>
  <c r="BF25" i="10"/>
  <c r="BE25" i="10"/>
  <c r="AZ25" i="10"/>
  <c r="AY25" i="10"/>
  <c r="AT25" i="10"/>
  <c r="AS25" i="10"/>
  <c r="AN25" i="10"/>
  <c r="AM25" i="10"/>
  <c r="BH24" i="10"/>
  <c r="BG24" i="10"/>
  <c r="BB24" i="10"/>
  <c r="BA24" i="10"/>
  <c r="AV24" i="10"/>
  <c r="AU24" i="10"/>
  <c r="AP24" i="10"/>
  <c r="AO24" i="10"/>
  <c r="BH23" i="10"/>
  <c r="BG23" i="10"/>
  <c r="BB23" i="10"/>
  <c r="BA23" i="10"/>
  <c r="AV23" i="10"/>
  <c r="AU23" i="10"/>
  <c r="AP23" i="10"/>
  <c r="AO23" i="10"/>
  <c r="BH22" i="10"/>
  <c r="BG22" i="10"/>
  <c r="BB22" i="10"/>
  <c r="BA22" i="10"/>
  <c r="AV22" i="10"/>
  <c r="AU22" i="10"/>
  <c r="AP22" i="10"/>
  <c r="AO22" i="10"/>
  <c r="BH21" i="10"/>
  <c r="BG21" i="10"/>
  <c r="BB21" i="10"/>
  <c r="BA21" i="10"/>
  <c r="AV21" i="10"/>
  <c r="AU21" i="10"/>
  <c r="AP21" i="10"/>
  <c r="AO21" i="10"/>
  <c r="BH20" i="10"/>
  <c r="BG20" i="10"/>
  <c r="BB20" i="10"/>
  <c r="BA20" i="10"/>
  <c r="AV20" i="10"/>
  <c r="AU20" i="10"/>
  <c r="AP20" i="10"/>
  <c r="AO20" i="10"/>
  <c r="BH19" i="10"/>
  <c r="BG19" i="10"/>
  <c r="BB19" i="10"/>
  <c r="BA19" i="10"/>
  <c r="AV19" i="10"/>
  <c r="AU19" i="10"/>
  <c r="AP19" i="10"/>
  <c r="AO19" i="10"/>
  <c r="BH18" i="10"/>
  <c r="BG18" i="10"/>
  <c r="BB18" i="10"/>
  <c r="BA18" i="10"/>
  <c r="AV18" i="10"/>
  <c r="AU18" i="10"/>
  <c r="AP18" i="10"/>
  <c r="AO18" i="10"/>
  <c r="BF17" i="10"/>
  <c r="BE17" i="10"/>
  <c r="AZ17" i="10"/>
  <c r="AY17" i="10"/>
  <c r="AT17" i="10"/>
  <c r="AS17" i="10"/>
  <c r="AN17" i="10"/>
  <c r="AM17" i="10"/>
  <c r="BH16" i="10"/>
  <c r="BG16" i="10"/>
  <c r="BB16" i="10"/>
  <c r="BA16" i="10"/>
  <c r="AV16" i="10"/>
  <c r="AU16" i="10"/>
  <c r="AP16" i="10"/>
  <c r="AZ15" i="12" s="1"/>
  <c r="AO16" i="10"/>
  <c r="BH15" i="10"/>
  <c r="BG15" i="10"/>
  <c r="BB15" i="10"/>
  <c r="BA15" i="10"/>
  <c r="AV15" i="10"/>
  <c r="AU15" i="10"/>
  <c r="AP15" i="10"/>
  <c r="AO15" i="10"/>
  <c r="BH14" i="10"/>
  <c r="BG14" i="10"/>
  <c r="BB14" i="10"/>
  <c r="BA14" i="10"/>
  <c r="AV14" i="10"/>
  <c r="AU14" i="10"/>
  <c r="AP14" i="10"/>
  <c r="AO14" i="10"/>
  <c r="BF13" i="10"/>
  <c r="BE13" i="10"/>
  <c r="AZ13" i="10"/>
  <c r="AY13" i="10"/>
  <c r="AT13" i="10"/>
  <c r="AS13" i="10"/>
  <c r="AN13" i="10"/>
  <c r="AM13" i="10"/>
  <c r="BH12" i="10"/>
  <c r="BG12" i="10"/>
  <c r="BB12" i="10"/>
  <c r="BA12" i="10"/>
  <c r="AV12" i="10"/>
  <c r="AU12" i="10"/>
  <c r="AP12" i="10"/>
  <c r="AZ11" i="12" s="1"/>
  <c r="AO12" i="10"/>
  <c r="BH11" i="10"/>
  <c r="BG11" i="10"/>
  <c r="BB11" i="10"/>
  <c r="BA11" i="10"/>
  <c r="AV11" i="10"/>
  <c r="AU11" i="10"/>
  <c r="AP11" i="10"/>
  <c r="AO11" i="10"/>
  <c r="BH10" i="10"/>
  <c r="BG10" i="10"/>
  <c r="BB10" i="10"/>
  <c r="BA10" i="10"/>
  <c r="AV10" i="10"/>
  <c r="AU10" i="10"/>
  <c r="AP10" i="10"/>
  <c r="AO10" i="10"/>
  <c r="BH9" i="10"/>
  <c r="BG9" i="10"/>
  <c r="BB9" i="10"/>
  <c r="BA9" i="10"/>
  <c r="AV9" i="10"/>
  <c r="AU9" i="10"/>
  <c r="AP9" i="10"/>
  <c r="AO9" i="10"/>
  <c r="BH8" i="10"/>
  <c r="BG8" i="10"/>
  <c r="BB8" i="10"/>
  <c r="BA8" i="10"/>
  <c r="AV8" i="10"/>
  <c r="AU8" i="10"/>
  <c r="AP8" i="10"/>
  <c r="AO8" i="10"/>
  <c r="BH7" i="10"/>
  <c r="BG7" i="10"/>
  <c r="BB7" i="10"/>
  <c r="BA7" i="10"/>
  <c r="AV7" i="10"/>
  <c r="AU7" i="10"/>
  <c r="AP7" i="10"/>
  <c r="AO7" i="10"/>
  <c r="BH6" i="10"/>
  <c r="BG6" i="10"/>
  <c r="BB6" i="10"/>
  <c r="BA6" i="10"/>
  <c r="AV6" i="10"/>
  <c r="AU6" i="10"/>
  <c r="AP6" i="10"/>
  <c r="AO6" i="10"/>
  <c r="BF5" i="10"/>
  <c r="BE5" i="10"/>
  <c r="AZ5" i="10"/>
  <c r="AY5" i="10"/>
  <c r="AT5" i="10"/>
  <c r="AS5" i="10"/>
  <c r="AN5" i="10"/>
  <c r="AM5" i="10"/>
  <c r="EU14" i="2"/>
  <c r="ET14" i="2"/>
  <c r="ES14" i="2"/>
  <c r="FW33" i="2"/>
  <c r="FV33" i="2"/>
  <c r="FU33" i="2"/>
  <c r="FR33" i="2"/>
  <c r="FW28" i="2"/>
  <c r="FV28" i="2"/>
  <c r="FU28" i="2"/>
  <c r="FR28" i="2"/>
  <c r="FW18" i="2"/>
  <c r="FV18" i="2"/>
  <c r="FU18" i="2"/>
  <c r="FR18" i="2"/>
  <c r="FW14" i="2"/>
  <c r="FV14" i="2"/>
  <c r="FU14" i="2"/>
  <c r="FR14" i="2"/>
  <c r="FW6" i="2"/>
  <c r="FV6" i="2"/>
  <c r="FU6" i="2"/>
  <c r="FR6" i="2"/>
  <c r="FI33" i="2"/>
  <c r="FH33" i="2"/>
  <c r="FG33" i="2"/>
  <c r="FD33" i="2"/>
  <c r="FI28" i="2"/>
  <c r="FH28" i="2"/>
  <c r="FG28" i="2"/>
  <c r="FD28" i="2"/>
  <c r="FI18" i="2"/>
  <c r="FH18" i="2"/>
  <c r="FG18" i="2"/>
  <c r="FD18" i="2"/>
  <c r="FI14" i="2"/>
  <c r="FH14" i="2"/>
  <c r="FG14" i="2"/>
  <c r="FD14" i="2"/>
  <c r="FI6" i="2"/>
  <c r="FH6" i="2"/>
  <c r="FG6" i="2"/>
  <c r="FD6" i="2"/>
  <c r="EU33" i="2"/>
  <c r="ET33" i="2"/>
  <c r="ES33" i="2"/>
  <c r="EP33" i="2"/>
  <c r="EU28" i="2"/>
  <c r="ET28" i="2"/>
  <c r="ES28" i="2"/>
  <c r="EP28" i="2"/>
  <c r="EU18" i="2"/>
  <c r="ET18" i="2"/>
  <c r="ES18" i="2"/>
  <c r="EP18" i="2"/>
  <c r="EP14" i="2"/>
  <c r="EU6" i="2"/>
  <c r="ET6" i="2"/>
  <c r="ES6" i="2"/>
  <c r="EP6" i="2"/>
  <c r="EB33" i="2"/>
  <c r="EB28" i="2"/>
  <c r="EB18" i="2"/>
  <c r="EB14" i="2"/>
  <c r="EB6" i="2"/>
  <c r="EE33" i="2"/>
  <c r="EE28" i="2"/>
  <c r="EE18" i="2"/>
  <c r="EE14" i="2"/>
  <c r="EE6" i="2"/>
  <c r="EH10" i="2"/>
  <c r="EH7" i="2"/>
  <c r="AG5" i="10"/>
  <c r="AH5" i="10"/>
  <c r="AI7" i="10"/>
  <c r="AJ7" i="10"/>
  <c r="AY6" i="12" s="1"/>
  <c r="BE6" i="12" s="1"/>
  <c r="AI8" i="10"/>
  <c r="AI9" i="10"/>
  <c r="AJ9" i="10"/>
  <c r="AI11" i="10"/>
  <c r="AH10" i="10"/>
  <c r="AI12" i="10"/>
  <c r="AJ12" i="10"/>
  <c r="AY14" i="12" s="1"/>
  <c r="BE14" i="12" s="1"/>
  <c r="AI13" i="10"/>
  <c r="AJ13" i="10"/>
  <c r="AI15" i="10"/>
  <c r="AH14" i="10"/>
  <c r="AI16" i="10"/>
  <c r="AJ16" i="10"/>
  <c r="AY18" i="12" s="1"/>
  <c r="BE18" i="12" s="1"/>
  <c r="AI17" i="10"/>
  <c r="AJ17" i="10"/>
  <c r="AY19" i="12" s="1"/>
  <c r="BE19" i="12" s="1"/>
  <c r="AI18" i="10"/>
  <c r="AJ18" i="10"/>
  <c r="AY20" i="12" s="1"/>
  <c r="BE20" i="12" s="1"/>
  <c r="AI19" i="10"/>
  <c r="AJ19" i="10"/>
  <c r="AG20" i="10"/>
  <c r="AH20" i="10"/>
  <c r="AI21" i="10"/>
  <c r="AJ21" i="10"/>
  <c r="AY27" i="12" s="1"/>
  <c r="BE27" i="12" s="1"/>
  <c r="AI22" i="10"/>
  <c r="AG23" i="10"/>
  <c r="AH23" i="10"/>
  <c r="AI24" i="10"/>
  <c r="AJ24" i="10"/>
  <c r="AY32" i="12" s="1"/>
  <c r="BE32" i="12" s="1"/>
  <c r="AJ25" i="10"/>
  <c r="AG26" i="10"/>
  <c r="AH26" i="10"/>
  <c r="AI27" i="10"/>
  <c r="AJ27" i="10"/>
  <c r="AI28" i="10"/>
  <c r="AJ28" i="10"/>
  <c r="AI30" i="10"/>
  <c r="AJ30" i="10"/>
  <c r="AI31" i="10"/>
  <c r="AJ31" i="10"/>
  <c r="AI30" i="11"/>
  <c r="AJ30" i="11"/>
  <c r="AI31" i="11"/>
  <c r="AI27" i="11"/>
  <c r="AJ27" i="11"/>
  <c r="AI28" i="11"/>
  <c r="AJ28" i="11"/>
  <c r="AI24" i="11"/>
  <c r="AJ24" i="11"/>
  <c r="AI25" i="11"/>
  <c r="AJ25" i="11"/>
  <c r="AI21" i="11"/>
  <c r="AJ21" i="11"/>
  <c r="AI22" i="11"/>
  <c r="AJ22" i="11"/>
  <c r="AI15" i="11"/>
  <c r="AJ15" i="11"/>
  <c r="AI16" i="11"/>
  <c r="AJ16" i="11"/>
  <c r="AI17" i="11"/>
  <c r="AJ17" i="11"/>
  <c r="AI18" i="11"/>
  <c r="AJ18" i="11"/>
  <c r="AI19" i="11"/>
  <c r="AJ19" i="11"/>
  <c r="AI11" i="11"/>
  <c r="AJ11" i="11"/>
  <c r="AI12" i="11"/>
  <c r="AJ12" i="11"/>
  <c r="AI13" i="11"/>
  <c r="AJ13" i="11"/>
  <c r="AI6" i="11"/>
  <c r="AJ6" i="11"/>
  <c r="AI7" i="11"/>
  <c r="AJ7" i="11"/>
  <c r="AI8" i="11"/>
  <c r="AJ8" i="11"/>
  <c r="AI9" i="11"/>
  <c r="AJ9" i="11"/>
  <c r="AG26" i="11"/>
  <c r="AH26" i="11"/>
  <c r="AG23" i="11"/>
  <c r="AH23" i="11"/>
  <c r="AG20" i="11"/>
  <c r="AH20" i="11"/>
  <c r="AG14" i="11"/>
  <c r="AH14" i="11"/>
  <c r="AG10" i="11"/>
  <c r="AH10" i="11"/>
  <c r="AG5" i="11"/>
  <c r="AH5" i="11"/>
  <c r="BH28" i="11" l="1"/>
  <c r="BF11" i="12"/>
  <c r="BI11" i="12"/>
  <c r="BE11" i="12"/>
  <c r="BE15" i="12"/>
  <c r="BF15" i="12"/>
  <c r="BI15" i="12"/>
  <c r="EW14" i="2"/>
  <c r="FK18" i="2"/>
  <c r="FY33" i="2"/>
  <c r="FK6" i="2"/>
  <c r="FY18" i="2"/>
  <c r="EW6" i="2"/>
  <c r="FY28" i="2"/>
  <c r="FY6" i="2"/>
  <c r="FK28" i="2"/>
  <c r="EW18" i="2"/>
  <c r="FK33" i="2"/>
  <c r="FK14" i="2"/>
  <c r="EW28" i="2"/>
  <c r="EW33" i="2"/>
  <c r="FY14" i="2"/>
  <c r="BB13" i="11"/>
  <c r="AJ5" i="11"/>
  <c r="BG13" i="11"/>
  <c r="AP17" i="11"/>
  <c r="AP25" i="11"/>
  <c r="AP5" i="11"/>
  <c r="AI23" i="11"/>
  <c r="BB5" i="10"/>
  <c r="AO25" i="10"/>
  <c r="BA28" i="10"/>
  <c r="BH5" i="10"/>
  <c r="ED33" i="2"/>
  <c r="EB37" i="2"/>
  <c r="FW37" i="2"/>
  <c r="L6" i="16" s="1"/>
  <c r="ED14" i="2"/>
  <c r="ED28" i="2"/>
  <c r="AU5" i="11"/>
  <c r="BH17" i="11"/>
  <c r="AU28" i="11"/>
  <c r="AN31" i="11"/>
  <c r="AN33" i="11" s="1"/>
  <c r="BB25" i="11"/>
  <c r="BH25" i="11"/>
  <c r="AZ31" i="11"/>
  <c r="AZ33" i="11" s="1"/>
  <c r="AJ10" i="11"/>
  <c r="AT31" i="11"/>
  <c r="AT33" i="11" s="1"/>
  <c r="BA25" i="11"/>
  <c r="BB5" i="11"/>
  <c r="AV17" i="11"/>
  <c r="BA5" i="11"/>
  <c r="BB17" i="11"/>
  <c r="AP28" i="11"/>
  <c r="AM31" i="11"/>
  <c r="BB28" i="11"/>
  <c r="BF31" i="11"/>
  <c r="BF33" i="11" s="1"/>
  <c r="BH5" i="11"/>
  <c r="AV13" i="11"/>
  <c r="AV25" i="11"/>
  <c r="AV28" i="11"/>
  <c r="AU13" i="11"/>
  <c r="BA17" i="11"/>
  <c r="AS31" i="11"/>
  <c r="AO28" i="11"/>
  <c r="AO25" i="11"/>
  <c r="BG28" i="11"/>
  <c r="BG25" i="11"/>
  <c r="BA13" i="11"/>
  <c r="AO17" i="11"/>
  <c r="BG17" i="11"/>
  <c r="AY31" i="11"/>
  <c r="AU25" i="11"/>
  <c r="AO13" i="11"/>
  <c r="AP13" i="11"/>
  <c r="AU17" i="11"/>
  <c r="AV5" i="11"/>
  <c r="AO5" i="11"/>
  <c r="BH13" i="11"/>
  <c r="BE31" i="11"/>
  <c r="AG29" i="11"/>
  <c r="AG32" i="11" s="1"/>
  <c r="AU17" i="10"/>
  <c r="BH17" i="10"/>
  <c r="BB25" i="10"/>
  <c r="BB17" i="10"/>
  <c r="AT31" i="10"/>
  <c r="AT33" i="10" s="1"/>
  <c r="AP13" i="10"/>
  <c r="AV25" i="10"/>
  <c r="AV28" i="10"/>
  <c r="AU13" i="10"/>
  <c r="BH28" i="10"/>
  <c r="AO28" i="10"/>
  <c r="BB13" i="10"/>
  <c r="BH25" i="10"/>
  <c r="BH13" i="10"/>
  <c r="AP17" i="10"/>
  <c r="AS31" i="10"/>
  <c r="AP25" i="10"/>
  <c r="AZ31" i="10"/>
  <c r="AZ33" i="10" s="1"/>
  <c r="AU25" i="10"/>
  <c r="BG28" i="10"/>
  <c r="AP28" i="10"/>
  <c r="AV5" i="10"/>
  <c r="BB28" i="10"/>
  <c r="BF31" i="10"/>
  <c r="BF33" i="10" s="1"/>
  <c r="AV17" i="10"/>
  <c r="AP5" i="10"/>
  <c r="AN31" i="10"/>
  <c r="AN33" i="10" s="1"/>
  <c r="BA5" i="10"/>
  <c r="BA17" i="10"/>
  <c r="AY31" i="10"/>
  <c r="AU28" i="10"/>
  <c r="AV13" i="10"/>
  <c r="BA25" i="10"/>
  <c r="AO5" i="10"/>
  <c r="BA13" i="10"/>
  <c r="AO17" i="10"/>
  <c r="AM31" i="10"/>
  <c r="BG5" i="10"/>
  <c r="AO13" i="10"/>
  <c r="BG17" i="10"/>
  <c r="BE31" i="10"/>
  <c r="BG13" i="10"/>
  <c r="BG25" i="10"/>
  <c r="AU5" i="10"/>
  <c r="AI14" i="10"/>
  <c r="FU37" i="2"/>
  <c r="FR37" i="2"/>
  <c r="FH37" i="2"/>
  <c r="FG37" i="2"/>
  <c r="FI37" i="2"/>
  <c r="K6" i="16" s="1"/>
  <c r="FD37" i="2"/>
  <c r="ES37" i="2"/>
  <c r="ET37" i="2"/>
  <c r="EU37" i="2"/>
  <c r="J6" i="16" s="1"/>
  <c r="EP37" i="2"/>
  <c r="FV37" i="2"/>
  <c r="ED6" i="2"/>
  <c r="ED18" i="2"/>
  <c r="EE37" i="2"/>
  <c r="AI26" i="11"/>
  <c r="AI10" i="11"/>
  <c r="AJ14" i="11"/>
  <c r="AI5" i="11"/>
  <c r="AJ20" i="11"/>
  <c r="AJ23" i="11"/>
  <c r="AJ26" i="11"/>
  <c r="AI14" i="11"/>
  <c r="AH29" i="11"/>
  <c r="AI20" i="11"/>
  <c r="AI26" i="10"/>
  <c r="AJ26" i="10"/>
  <c r="AI20" i="10"/>
  <c r="AJ20" i="10"/>
  <c r="AY26" i="12" s="1"/>
  <c r="BE26" i="12" s="1"/>
  <c r="AH29" i="10"/>
  <c r="AH32" i="10" s="1"/>
  <c r="AI10" i="10"/>
  <c r="AJ23" i="10"/>
  <c r="AY31" i="12" s="1"/>
  <c r="BE31" i="12" s="1"/>
  <c r="AJ5" i="10"/>
  <c r="AY4" i="12" s="1"/>
  <c r="BE4" i="12" s="1"/>
  <c r="AI6" i="10"/>
  <c r="AI5" i="10" s="1"/>
  <c r="AI25" i="10"/>
  <c r="AI23" i="10" s="1"/>
  <c r="AJ11" i="10"/>
  <c r="AY13" i="12" s="1"/>
  <c r="BE13" i="12" s="1"/>
  <c r="AG14" i="10"/>
  <c r="AJ14" i="10" s="1"/>
  <c r="AY16" i="12" s="1"/>
  <c r="BE16" i="12" s="1"/>
  <c r="AJ6" i="10"/>
  <c r="AY5" i="12" s="1"/>
  <c r="BE5" i="12" s="1"/>
  <c r="AG10" i="10"/>
  <c r="AJ10" i="10" s="1"/>
  <c r="AY12" i="12" s="1"/>
  <c r="BE12" i="12" s="1"/>
  <c r="AJ22" i="10"/>
  <c r="AJ15" i="10"/>
  <c r="AY17" i="12" s="1"/>
  <c r="BE17" i="12" s="1"/>
  <c r="AJ8" i="10"/>
  <c r="AY8" i="12" s="1"/>
  <c r="BE8" i="12" s="1"/>
  <c r="AJ31" i="11"/>
  <c r="K5" i="16" l="1"/>
  <c r="K7" i="16" s="1"/>
  <c r="FK37" i="2"/>
  <c r="L5" i="16"/>
  <c r="L7" i="16" s="1"/>
  <c r="FY37" i="2"/>
  <c r="J5" i="16"/>
  <c r="J7" i="16" s="1"/>
  <c r="EW37" i="2"/>
  <c r="ED37" i="2"/>
  <c r="AJ29" i="11"/>
  <c r="AP31" i="11"/>
  <c r="AO31" i="11"/>
  <c r="AM33" i="11"/>
  <c r="AO33" i="11" s="1"/>
  <c r="BB31" i="11"/>
  <c r="BA31" i="11"/>
  <c r="AY33" i="11"/>
  <c r="BE33" i="11"/>
  <c r="BH31" i="11"/>
  <c r="BG31" i="11"/>
  <c r="AV31" i="11"/>
  <c r="AU31" i="11"/>
  <c r="AS33" i="11"/>
  <c r="AV31" i="10"/>
  <c r="AU31" i="10"/>
  <c r="AS33" i="10"/>
  <c r="AU33" i="10" s="1"/>
  <c r="BB31" i="10"/>
  <c r="BA31" i="10"/>
  <c r="AY33" i="10"/>
  <c r="AP31" i="10"/>
  <c r="AM33" i="10"/>
  <c r="AO31" i="10"/>
  <c r="BG31" i="10"/>
  <c r="BE33" i="10"/>
  <c r="BH31" i="10"/>
  <c r="AH32" i="11"/>
  <c r="AJ32" i="11" s="1"/>
  <c r="AI29" i="11"/>
  <c r="AI32" i="11" s="1"/>
  <c r="AI29" i="10"/>
  <c r="AI32" i="10" s="1"/>
  <c r="AG29" i="10"/>
  <c r="AJ29" i="10" s="1"/>
  <c r="AY34" i="12" s="1"/>
  <c r="BE34" i="12" s="1"/>
  <c r="AV33" i="10" l="1"/>
  <c r="AP33" i="11"/>
  <c r="BB33" i="11"/>
  <c r="BA33" i="11"/>
  <c r="AV33" i="11"/>
  <c r="AU33" i="11"/>
  <c r="BH33" i="11"/>
  <c r="BG33" i="11"/>
  <c r="AG32" i="10"/>
  <c r="AJ32" i="10" s="1"/>
  <c r="AP33" i="10"/>
  <c r="AO33" i="10"/>
  <c r="BB33" i="10"/>
  <c r="BA33" i="10"/>
  <c r="BH33" i="10"/>
  <c r="BG33" i="10"/>
  <c r="EH37" i="2"/>
  <c r="EI36" i="2"/>
  <c r="EH36" i="2"/>
  <c r="EI35" i="2"/>
  <c r="EH35" i="2"/>
  <c r="EI34" i="2"/>
  <c r="EH34" i="2"/>
  <c r="EH33" i="2"/>
  <c r="EI32" i="2"/>
  <c r="EH32" i="2"/>
  <c r="EI31" i="2"/>
  <c r="EH31" i="2"/>
  <c r="EI30" i="2"/>
  <c r="EH30" i="2"/>
  <c r="EI29" i="2"/>
  <c r="EH29" i="2"/>
  <c r="EH28" i="2"/>
  <c r="EI27" i="2"/>
  <c r="EH27" i="2"/>
  <c r="EI26" i="2"/>
  <c r="EH26" i="2"/>
  <c r="EI25" i="2"/>
  <c r="EH25" i="2"/>
  <c r="EI24" i="2"/>
  <c r="EH24" i="2"/>
  <c r="EI23" i="2"/>
  <c r="EH23" i="2"/>
  <c r="EI22" i="2"/>
  <c r="EH22" i="2"/>
  <c r="EI21" i="2"/>
  <c r="EH21" i="2"/>
  <c r="EI20" i="2"/>
  <c r="EH20" i="2"/>
  <c r="EI19" i="2"/>
  <c r="EH19" i="2"/>
  <c r="EH18" i="2"/>
  <c r="EI17" i="2"/>
  <c r="EH17" i="2"/>
  <c r="EI16" i="2"/>
  <c r="EH16" i="2"/>
  <c r="EI15" i="2"/>
  <c r="EH15" i="2"/>
  <c r="EH14" i="2"/>
  <c r="EI13" i="2"/>
  <c r="EH13" i="2"/>
  <c r="EI12" i="2"/>
  <c r="EH12" i="2"/>
  <c r="EI11" i="2"/>
  <c r="EH11" i="2"/>
  <c r="EI10" i="2"/>
  <c r="EI9" i="2"/>
  <c r="EH9" i="2"/>
  <c r="EI8" i="2"/>
  <c r="EH8" i="2"/>
  <c r="EI7" i="2"/>
  <c r="EH6" i="2"/>
  <c r="EG33" i="2" l="1"/>
  <c r="EF33" i="2"/>
  <c r="EG28" i="2"/>
  <c r="EF28" i="2"/>
  <c r="EG18" i="2"/>
  <c r="EF18" i="2"/>
  <c r="EG14" i="2"/>
  <c r="EF14" i="2"/>
  <c r="EG6" i="2"/>
  <c r="EF6" i="2"/>
  <c r="EI33" i="2" l="1"/>
  <c r="EF37" i="2"/>
  <c r="I5" i="16" s="1"/>
  <c r="EI6" i="2"/>
  <c r="EG37" i="2"/>
  <c r="I6" i="16" s="1"/>
  <c r="EI14" i="2"/>
  <c r="EI18" i="2"/>
  <c r="EI28" i="2"/>
  <c r="I7" i="16" l="1"/>
  <c r="EI37" i="2"/>
  <c r="EC36" i="2" l="1"/>
  <c r="D38" i="12"/>
  <c r="D37" i="12"/>
  <c r="D36" i="12"/>
  <c r="D35" i="12"/>
  <c r="EC22" i="2" l="1"/>
  <c r="D20" i="12"/>
  <c r="EC31" i="2"/>
  <c r="D29" i="12"/>
  <c r="EC25" i="2"/>
  <c r="EL25" i="2" s="1"/>
  <c r="D23" i="12"/>
  <c r="EC19" i="2"/>
  <c r="EJ19" i="2" s="1"/>
  <c r="D17" i="12"/>
  <c r="EC7" i="2"/>
  <c r="EK7" i="2" s="1"/>
  <c r="D5" i="12"/>
  <c r="EC16" i="2"/>
  <c r="EJ16" i="2" s="1"/>
  <c r="D14" i="12"/>
  <c r="E29" i="12"/>
  <c r="E13" i="12"/>
  <c r="Q14" i="12"/>
  <c r="V14" i="12" s="1"/>
  <c r="Q5" i="12"/>
  <c r="V5" i="12" s="1"/>
  <c r="E10" i="12"/>
  <c r="Q18" i="12"/>
  <c r="V18" i="12" s="1"/>
  <c r="E20" i="12"/>
  <c r="E28" i="12"/>
  <c r="Q19" i="12"/>
  <c r="V19" i="12" s="1"/>
  <c r="E27" i="12"/>
  <c r="Q22" i="12"/>
  <c r="V22" i="12" s="1"/>
  <c r="Q8" i="12"/>
  <c r="V8" i="12" s="1"/>
  <c r="Q13" i="12"/>
  <c r="V13" i="12" s="1"/>
  <c r="E37" i="12"/>
  <c r="E9" i="12"/>
  <c r="E41" i="12"/>
  <c r="E24" i="12"/>
  <c r="E8" i="12"/>
  <c r="Q9" i="12"/>
  <c r="V9" i="12" s="1"/>
  <c r="E40" i="12"/>
  <c r="E23" i="12"/>
  <c r="E7" i="12"/>
  <c r="E39" i="12"/>
  <c r="E22" i="12"/>
  <c r="E6" i="12"/>
  <c r="E38" i="12"/>
  <c r="E21" i="12"/>
  <c r="E5" i="12"/>
  <c r="Q21" i="12"/>
  <c r="V21" i="12" s="1"/>
  <c r="Q7" i="12"/>
  <c r="V7" i="12" s="1"/>
  <c r="E14" i="12"/>
  <c r="E36" i="12"/>
  <c r="E19" i="12"/>
  <c r="Q17" i="12"/>
  <c r="V17" i="12" s="1"/>
  <c r="Q10" i="12"/>
  <c r="V10" i="12" s="1"/>
  <c r="E17" i="12"/>
  <c r="Q20" i="12"/>
  <c r="V20" i="12" s="1"/>
  <c r="E32" i="12"/>
  <c r="E35" i="12"/>
  <c r="E18" i="12"/>
  <c r="Q6" i="12"/>
  <c r="V6" i="12" s="1"/>
  <c r="EC10" i="2"/>
  <c r="EK10" i="2" s="1"/>
  <c r="D8" i="12"/>
  <c r="I37" i="12"/>
  <c r="AN37" i="12"/>
  <c r="AS37" i="12" s="1"/>
  <c r="EC34" i="2"/>
  <c r="EL34" i="2" s="1"/>
  <c r="D32" i="12"/>
  <c r="EC29" i="2"/>
  <c r="EL29" i="2" s="1"/>
  <c r="D27" i="12"/>
  <c r="EK13" i="2"/>
  <c r="EC20" i="2"/>
  <c r="D18" i="12"/>
  <c r="EC23" i="2"/>
  <c r="EK23" i="2" s="1"/>
  <c r="D21" i="12"/>
  <c r="EJ32" i="2"/>
  <c r="EC12" i="2"/>
  <c r="EJ12" i="2" s="1"/>
  <c r="D10" i="12"/>
  <c r="EC33" i="2"/>
  <c r="EC21" i="2"/>
  <c r="EK21" i="2" s="1"/>
  <c r="D19" i="12"/>
  <c r="EC30" i="2"/>
  <c r="D28" i="12"/>
  <c r="I35" i="12"/>
  <c r="D42" i="12"/>
  <c r="AN35" i="12"/>
  <c r="AS35" i="12" s="1"/>
  <c r="I36" i="12"/>
  <c r="AN36" i="12"/>
  <c r="EC8" i="2"/>
  <c r="EK8" i="2" s="1"/>
  <c r="D6" i="12"/>
  <c r="EJ17" i="2"/>
  <c r="EC26" i="2"/>
  <c r="EL26" i="2" s="1"/>
  <c r="D24" i="12"/>
  <c r="EC11" i="2"/>
  <c r="EJ11" i="2" s="1"/>
  <c r="D9" i="12"/>
  <c r="EC15" i="2"/>
  <c r="EJ15" i="2" s="1"/>
  <c r="D13" i="12"/>
  <c r="EC24" i="2"/>
  <c r="EK24" i="2" s="1"/>
  <c r="D22" i="12"/>
  <c r="I38" i="12"/>
  <c r="AN38" i="12"/>
  <c r="EC9" i="2"/>
  <c r="EK9" i="2" s="1"/>
  <c r="D7" i="12"/>
  <c r="EJ27" i="2"/>
  <c r="Q24" i="12"/>
  <c r="V24" i="12" s="1"/>
  <c r="Q29" i="12"/>
  <c r="V29" i="12" s="1"/>
  <c r="Q27" i="12"/>
  <c r="V27" i="12" s="1"/>
  <c r="Q32" i="12"/>
  <c r="V32" i="12" s="1"/>
  <c r="Q36" i="12"/>
  <c r="V36" i="12" s="1"/>
  <c r="Q33" i="12"/>
  <c r="Q25" i="12"/>
  <c r="V25" i="12" s="1"/>
  <c r="Q37" i="12"/>
  <c r="V37" i="12" s="1"/>
  <c r="Q35" i="12"/>
  <c r="Q15" i="12"/>
  <c r="Q41" i="12"/>
  <c r="V41" i="12" s="1"/>
  <c r="Q28" i="12"/>
  <c r="Q11" i="12"/>
  <c r="Q38" i="12"/>
  <c r="V38" i="12" s="1"/>
  <c r="Q23" i="12"/>
  <c r="Q30" i="12"/>
  <c r="V30" i="12" s="1"/>
  <c r="Q40" i="12"/>
  <c r="V40" i="12" s="1"/>
  <c r="Q39" i="12"/>
  <c r="V39" i="12" s="1"/>
  <c r="EQ36" i="2"/>
  <c r="EQ31" i="2"/>
  <c r="EQ26" i="2"/>
  <c r="EQ22" i="2"/>
  <c r="EQ12" i="2"/>
  <c r="EQ8" i="2"/>
  <c r="EV35" i="2"/>
  <c r="ER30" i="2"/>
  <c r="EV30" i="2" s="1"/>
  <c r="ER25" i="2"/>
  <c r="EV25" i="2" s="1"/>
  <c r="ER21" i="2"/>
  <c r="EV21" i="2" s="1"/>
  <c r="ER16" i="2"/>
  <c r="EV16" i="2" s="1"/>
  <c r="ER11" i="2"/>
  <c r="EV11" i="2" s="1"/>
  <c r="ER7" i="2"/>
  <c r="EV7" i="2" s="1"/>
  <c r="EQ25" i="2"/>
  <c r="EQ16" i="2"/>
  <c r="EQ7" i="2"/>
  <c r="ER19" i="2"/>
  <c r="EV19" i="2" s="1"/>
  <c r="EQ30" i="2"/>
  <c r="EQ21" i="2"/>
  <c r="EQ11" i="2"/>
  <c r="EV27" i="2"/>
  <c r="ER34" i="2"/>
  <c r="EV34" i="2" s="1"/>
  <c r="ER29" i="2"/>
  <c r="EV29" i="2" s="1"/>
  <c r="ER24" i="2"/>
  <c r="EV24" i="2" s="1"/>
  <c r="ER20" i="2"/>
  <c r="EV20" i="2" s="1"/>
  <c r="ER15" i="2"/>
  <c r="EV15" i="2" s="1"/>
  <c r="ER10" i="2"/>
  <c r="EV10" i="2" s="1"/>
  <c r="EQ24" i="2"/>
  <c r="EQ15" i="2"/>
  <c r="EV32" i="2"/>
  <c r="EV13" i="2"/>
  <c r="EQ34" i="2"/>
  <c r="EQ29" i="2"/>
  <c r="EQ20" i="2"/>
  <c r="EQ10" i="2"/>
  <c r="ER23" i="2"/>
  <c r="EV23" i="2" s="1"/>
  <c r="ER9" i="2"/>
  <c r="EV9" i="2" s="1"/>
  <c r="EQ23" i="2"/>
  <c r="EQ19" i="2"/>
  <c r="EQ9" i="2"/>
  <c r="ER36" i="2"/>
  <c r="EV36" i="2" s="1"/>
  <c r="ER31" i="2"/>
  <c r="EV31" i="2" s="1"/>
  <c r="ER26" i="2"/>
  <c r="EV26" i="2" s="1"/>
  <c r="ER22" i="2"/>
  <c r="EV22" i="2" s="1"/>
  <c r="EV17" i="2"/>
  <c r="ER12" i="2"/>
  <c r="EV12" i="2" s="1"/>
  <c r="ER8" i="2"/>
  <c r="EV8" i="2" s="1"/>
  <c r="EJ25" i="2"/>
  <c r="EK22" i="2"/>
  <c r="EJ22" i="2"/>
  <c r="EL22" i="2"/>
  <c r="EJ31" i="2"/>
  <c r="EL31" i="2"/>
  <c r="EK31" i="2"/>
  <c r="EL36" i="2"/>
  <c r="EK36" i="2"/>
  <c r="EJ36" i="2"/>
  <c r="EJ8" i="2" l="1"/>
  <c r="EJ23" i="2"/>
  <c r="EL23" i="2"/>
  <c r="EL7" i="2"/>
  <c r="EJ9" i="2"/>
  <c r="EJ7" i="2"/>
  <c r="EJ29" i="2"/>
  <c r="EZ35" i="2"/>
  <c r="EY35" i="2"/>
  <c r="EX35" i="2"/>
  <c r="EX36" i="2"/>
  <c r="EY36" i="2"/>
  <c r="EZ36" i="2"/>
  <c r="EY27" i="2"/>
  <c r="EX27" i="2"/>
  <c r="EZ27" i="2"/>
  <c r="EY13" i="2"/>
  <c r="EX13" i="2"/>
  <c r="EZ13" i="2"/>
  <c r="EY24" i="2"/>
  <c r="EZ24" i="2"/>
  <c r="EX24" i="2"/>
  <c r="EY25" i="2"/>
  <c r="EX25" i="2"/>
  <c r="EZ25" i="2"/>
  <c r="EZ31" i="2"/>
  <c r="EY31" i="2"/>
  <c r="EX31" i="2"/>
  <c r="EY19" i="2"/>
  <c r="EX19" i="2"/>
  <c r="EZ19" i="2"/>
  <c r="EY23" i="2"/>
  <c r="EZ23" i="2"/>
  <c r="EX23" i="2"/>
  <c r="EY32" i="2"/>
  <c r="EZ32" i="2"/>
  <c r="EX32" i="2"/>
  <c r="EK29" i="2"/>
  <c r="EX9" i="2"/>
  <c r="EY9" i="2"/>
  <c r="EZ9" i="2"/>
  <c r="EX15" i="2"/>
  <c r="EZ15" i="2"/>
  <c r="EY15" i="2"/>
  <c r="EX16" i="2"/>
  <c r="EZ16" i="2"/>
  <c r="EY16" i="2"/>
  <c r="EX26" i="2"/>
  <c r="EY26" i="2"/>
  <c r="EZ26" i="2"/>
  <c r="EZ20" i="2"/>
  <c r="EY20" i="2"/>
  <c r="EX20" i="2"/>
  <c r="EY11" i="2"/>
  <c r="EZ11" i="2"/>
  <c r="EX11" i="2"/>
  <c r="EX29" i="2"/>
  <c r="EZ29" i="2"/>
  <c r="EY29" i="2"/>
  <c r="EZ21" i="2"/>
  <c r="EY21" i="2"/>
  <c r="EX21" i="2"/>
  <c r="EY8" i="2"/>
  <c r="EX8" i="2"/>
  <c r="EZ8" i="2"/>
  <c r="EY10" i="2"/>
  <c r="EZ10" i="2"/>
  <c r="EX10" i="2"/>
  <c r="EZ34" i="2"/>
  <c r="EY34" i="2"/>
  <c r="EX34" i="2"/>
  <c r="EZ30" i="2"/>
  <c r="EY30" i="2"/>
  <c r="EX30" i="2"/>
  <c r="EY12" i="2"/>
  <c r="EX12" i="2"/>
  <c r="EZ12" i="2"/>
  <c r="EZ17" i="2"/>
  <c r="EX17" i="2"/>
  <c r="EY17" i="2"/>
  <c r="EZ7" i="2"/>
  <c r="EY7" i="2"/>
  <c r="EX7" i="2"/>
  <c r="EX22" i="2"/>
  <c r="EY22" i="2"/>
  <c r="EZ22" i="2"/>
  <c r="EL10" i="2"/>
  <c r="EJ10" i="2"/>
  <c r="EL17" i="2"/>
  <c r="EK26" i="2"/>
  <c r="EK17" i="2"/>
  <c r="EK19" i="2"/>
  <c r="EL19" i="2"/>
  <c r="EK12" i="2"/>
  <c r="EK32" i="2"/>
  <c r="EK11" i="2"/>
  <c r="EL12" i="2"/>
  <c r="EL32" i="2"/>
  <c r="EL11" i="2"/>
  <c r="EL9" i="2"/>
  <c r="EK25" i="2"/>
  <c r="EL8" i="2"/>
  <c r="EJ34" i="2"/>
  <c r="EK34" i="2"/>
  <c r="EJ26" i="2"/>
  <c r="EK27" i="2"/>
  <c r="EL27" i="2"/>
  <c r="EK35" i="2"/>
  <c r="EL35" i="2"/>
  <c r="EJ35" i="2"/>
  <c r="EL13" i="2"/>
  <c r="EJ21" i="2"/>
  <c r="EC28" i="2"/>
  <c r="EJ28" i="2" s="1"/>
  <c r="EC18" i="2"/>
  <c r="EL18" i="2" s="1"/>
  <c r="EK15" i="2"/>
  <c r="EC14" i="2"/>
  <c r="EJ14" i="2" s="1"/>
  <c r="EL21" i="2"/>
  <c r="AO25" i="12"/>
  <c r="J25" i="12"/>
  <c r="I19" i="12"/>
  <c r="AN19" i="12"/>
  <c r="AS19" i="12" s="1"/>
  <c r="I27" i="12"/>
  <c r="D26" i="12"/>
  <c r="AN27" i="12"/>
  <c r="E31" i="12"/>
  <c r="AO32" i="12"/>
  <c r="J32" i="12"/>
  <c r="AO22" i="12"/>
  <c r="J22" i="12"/>
  <c r="I5" i="12"/>
  <c r="D4" i="12"/>
  <c r="AN5" i="12"/>
  <c r="AS5" i="12" s="1"/>
  <c r="AO33" i="12"/>
  <c r="J33" i="12"/>
  <c r="I14" i="12"/>
  <c r="AN14" i="12"/>
  <c r="EK20" i="2"/>
  <c r="EL20" i="2"/>
  <c r="I24" i="12"/>
  <c r="AN24" i="12"/>
  <c r="AO39" i="12"/>
  <c r="AT39" i="12" s="1"/>
  <c r="J39" i="12"/>
  <c r="AO27" i="12"/>
  <c r="E26" i="12"/>
  <c r="J27" i="12"/>
  <c r="I18" i="12"/>
  <c r="AN18" i="12"/>
  <c r="AO29" i="12"/>
  <c r="J29" i="12"/>
  <c r="I11" i="12"/>
  <c r="AN11" i="12"/>
  <c r="AS11" i="12" s="1"/>
  <c r="F41" i="12"/>
  <c r="F24" i="12"/>
  <c r="F8" i="12"/>
  <c r="R19" i="12"/>
  <c r="W19" i="12" s="1"/>
  <c r="F39" i="12"/>
  <c r="F22" i="12"/>
  <c r="R22" i="12"/>
  <c r="W22" i="12" s="1"/>
  <c r="R8" i="12"/>
  <c r="W8" i="12" s="1"/>
  <c r="R18" i="12"/>
  <c r="W18" i="12" s="1"/>
  <c r="F40" i="12"/>
  <c r="F23" i="12"/>
  <c r="F7" i="12"/>
  <c r="F6" i="12"/>
  <c r="R5" i="12"/>
  <c r="W5" i="12" s="1"/>
  <c r="R13" i="12"/>
  <c r="W13" i="12" s="1"/>
  <c r="R10" i="12"/>
  <c r="W10" i="12" s="1"/>
  <c r="F38" i="12"/>
  <c r="F21" i="12"/>
  <c r="F5" i="12"/>
  <c r="F37" i="12"/>
  <c r="F20" i="12"/>
  <c r="R17" i="12"/>
  <c r="W17" i="12" s="1"/>
  <c r="F9" i="12"/>
  <c r="F36" i="12"/>
  <c r="F19" i="12"/>
  <c r="F35" i="12"/>
  <c r="F18" i="12"/>
  <c r="R21" i="12"/>
  <c r="W21" i="12" s="1"/>
  <c r="R7" i="12"/>
  <c r="W7" i="12" s="1"/>
  <c r="F17" i="12"/>
  <c r="F32" i="12"/>
  <c r="R14" i="12"/>
  <c r="W14" i="12" s="1"/>
  <c r="F14" i="12"/>
  <c r="F28" i="12"/>
  <c r="F27" i="12"/>
  <c r="R9" i="12"/>
  <c r="W9" i="12" s="1"/>
  <c r="F29" i="12"/>
  <c r="F13" i="12"/>
  <c r="R20" i="12"/>
  <c r="W20" i="12" s="1"/>
  <c r="R6" i="12"/>
  <c r="W6" i="12" s="1"/>
  <c r="F10" i="12"/>
  <c r="I33" i="12"/>
  <c r="AN33" i="12"/>
  <c r="AS33" i="12" s="1"/>
  <c r="D31" i="12"/>
  <c r="I32" i="12"/>
  <c r="AN32" i="12"/>
  <c r="AO17" i="12"/>
  <c r="E16" i="12"/>
  <c r="J17" i="12"/>
  <c r="AO7" i="12"/>
  <c r="J7" i="12"/>
  <c r="I17" i="12"/>
  <c r="D16" i="12"/>
  <c r="AN17" i="12"/>
  <c r="I9" i="12"/>
  <c r="AN9" i="12"/>
  <c r="I25" i="12"/>
  <c r="AN25" i="12"/>
  <c r="I15" i="12"/>
  <c r="AN15" i="12"/>
  <c r="AS15" i="12" s="1"/>
  <c r="AO23" i="12"/>
  <c r="J23" i="12"/>
  <c r="AO11" i="12"/>
  <c r="J11" i="12"/>
  <c r="I42" i="12"/>
  <c r="AN42" i="12"/>
  <c r="EJ20" i="2"/>
  <c r="AO35" i="12"/>
  <c r="AT35" i="12" s="1"/>
  <c r="E42" i="12"/>
  <c r="J35" i="12"/>
  <c r="EC6" i="2"/>
  <c r="EJ6" i="2" s="1"/>
  <c r="I10" i="12"/>
  <c r="AN10" i="12"/>
  <c r="AS10" i="12" s="1"/>
  <c r="AO40" i="12"/>
  <c r="AT40" i="12" s="1"/>
  <c r="J40" i="12"/>
  <c r="AO28" i="12"/>
  <c r="J28" i="12"/>
  <c r="I23" i="12"/>
  <c r="AN23" i="12"/>
  <c r="AS23" i="12" s="1"/>
  <c r="AO13" i="12"/>
  <c r="E12" i="12"/>
  <c r="J13" i="12"/>
  <c r="I13" i="12"/>
  <c r="D12" i="12"/>
  <c r="AN13" i="12"/>
  <c r="AO6" i="12"/>
  <c r="J6" i="12"/>
  <c r="EK16" i="2"/>
  <c r="EL16" i="2"/>
  <c r="I7" i="12"/>
  <c r="AN7" i="12"/>
  <c r="I6" i="12"/>
  <c r="AN6" i="12"/>
  <c r="AO19" i="12"/>
  <c r="J19" i="12"/>
  <c r="AO20" i="12"/>
  <c r="J20" i="12"/>
  <c r="AO37" i="12"/>
  <c r="AT37" i="12" s="1"/>
  <c r="J37" i="12"/>
  <c r="I28" i="12"/>
  <c r="AN28" i="12"/>
  <c r="EL24" i="2"/>
  <c r="EJ30" i="2"/>
  <c r="EJ24" i="2"/>
  <c r="I30" i="12"/>
  <c r="AN30" i="12"/>
  <c r="I8" i="12"/>
  <c r="AN8" i="12"/>
  <c r="AS8" i="12" s="1"/>
  <c r="AO36" i="12"/>
  <c r="AT36" i="12" s="1"/>
  <c r="J36" i="12"/>
  <c r="AO8" i="12"/>
  <c r="J8" i="12"/>
  <c r="I29" i="12"/>
  <c r="AN29" i="12"/>
  <c r="AS29" i="12" s="1"/>
  <c r="AO21" i="12"/>
  <c r="J21" i="12"/>
  <c r="AO38" i="12"/>
  <c r="AT38" i="12" s="1"/>
  <c r="J38" i="12"/>
  <c r="AO30" i="12"/>
  <c r="J30" i="12"/>
  <c r="EK30" i="2"/>
  <c r="AS38" i="12"/>
  <c r="AS36" i="12"/>
  <c r="AO14" i="12"/>
  <c r="J14" i="12"/>
  <c r="AO24" i="12"/>
  <c r="J24" i="12"/>
  <c r="AO10" i="12"/>
  <c r="J10" i="12"/>
  <c r="AO18" i="12"/>
  <c r="J18" i="12"/>
  <c r="EJ13" i="2"/>
  <c r="EL30" i="2"/>
  <c r="EL15" i="2"/>
  <c r="I21" i="12"/>
  <c r="AN21" i="12"/>
  <c r="AO15" i="12"/>
  <c r="J15" i="12"/>
  <c r="AO41" i="12"/>
  <c r="AT41" i="12" s="1"/>
  <c r="J41" i="12"/>
  <c r="I20" i="12"/>
  <c r="AN20" i="12"/>
  <c r="AO5" i="12"/>
  <c r="J5" i="12"/>
  <c r="E4" i="12"/>
  <c r="I22" i="12"/>
  <c r="AN22" i="12"/>
  <c r="AO9" i="12"/>
  <c r="J9" i="12"/>
  <c r="R29" i="12"/>
  <c r="W29" i="12" s="1"/>
  <c r="R27" i="12"/>
  <c r="W27" i="12" s="1"/>
  <c r="R32" i="12"/>
  <c r="W32" i="12" s="1"/>
  <c r="R24" i="12"/>
  <c r="W24" i="12" s="1"/>
  <c r="V35" i="12"/>
  <c r="Q42" i="12"/>
  <c r="V42" i="12" s="1"/>
  <c r="V11" i="12"/>
  <c r="Q4" i="12"/>
  <c r="Q12" i="12"/>
  <c r="V12" i="12" s="1"/>
  <c r="V15" i="12"/>
  <c r="Q26" i="12"/>
  <c r="V26" i="12" s="1"/>
  <c r="V28" i="12"/>
  <c r="Q16" i="12"/>
  <c r="V16" i="12" s="1"/>
  <c r="V23" i="12"/>
  <c r="Q31" i="12"/>
  <c r="V31" i="12" s="1"/>
  <c r="V33" i="12"/>
  <c r="R33" i="12"/>
  <c r="R25" i="12"/>
  <c r="W25" i="12" s="1"/>
  <c r="R37" i="12"/>
  <c r="W37" i="12" s="1"/>
  <c r="R35" i="12"/>
  <c r="R15" i="12"/>
  <c r="R41" i="12"/>
  <c r="W41" i="12" s="1"/>
  <c r="R28" i="12"/>
  <c r="R11" i="12"/>
  <c r="R39" i="12"/>
  <c r="W39" i="12" s="1"/>
  <c r="R36" i="12"/>
  <c r="W36" i="12" s="1"/>
  <c r="R38" i="12"/>
  <c r="W38" i="12" s="1"/>
  <c r="R23" i="12"/>
  <c r="R30" i="12"/>
  <c r="W30" i="12" s="1"/>
  <c r="R40" i="12"/>
  <c r="W40" i="12" s="1"/>
  <c r="FE34" i="2"/>
  <c r="FE29" i="2"/>
  <c r="FE24" i="2"/>
  <c r="FE20" i="2"/>
  <c r="FE15" i="2"/>
  <c r="FE10" i="2"/>
  <c r="FJ32" i="2"/>
  <c r="FJ27" i="2"/>
  <c r="FF23" i="2"/>
  <c r="FJ23" i="2" s="1"/>
  <c r="FF19" i="2"/>
  <c r="FJ19" i="2" s="1"/>
  <c r="FJ13" i="2"/>
  <c r="FF9" i="2"/>
  <c r="FJ9" i="2" s="1"/>
  <c r="FE23" i="2"/>
  <c r="FF30" i="2"/>
  <c r="FJ30" i="2" s="1"/>
  <c r="FF16" i="2"/>
  <c r="FJ16" i="2" s="1"/>
  <c r="FE19" i="2"/>
  <c r="FE9" i="2"/>
  <c r="FF25" i="2"/>
  <c r="FJ25" i="2" s="1"/>
  <c r="FF11" i="2"/>
  <c r="FJ11" i="2" s="1"/>
  <c r="FF36" i="2"/>
  <c r="FJ36" i="2" s="1"/>
  <c r="FF31" i="2"/>
  <c r="FJ31" i="2" s="1"/>
  <c r="FF26" i="2"/>
  <c r="FJ26" i="2" s="1"/>
  <c r="FF22" i="2"/>
  <c r="FJ22" i="2" s="1"/>
  <c r="FJ17" i="2"/>
  <c r="FF12" i="2"/>
  <c r="FJ12" i="2" s="1"/>
  <c r="FF8" i="2"/>
  <c r="FJ8" i="2" s="1"/>
  <c r="FE26" i="2"/>
  <c r="FE8" i="2"/>
  <c r="FJ35" i="2"/>
  <c r="FE36" i="2"/>
  <c r="FE31" i="2"/>
  <c r="FE22" i="2"/>
  <c r="FE12" i="2"/>
  <c r="FF21" i="2"/>
  <c r="FJ21" i="2" s="1"/>
  <c r="FF7" i="2"/>
  <c r="FJ7" i="2" s="1"/>
  <c r="FE30" i="2"/>
  <c r="FE25" i="2"/>
  <c r="FE21" i="2"/>
  <c r="FE16" i="2"/>
  <c r="FE11" i="2"/>
  <c r="FE7" i="2"/>
  <c r="FF34" i="2"/>
  <c r="FJ34" i="2" s="1"/>
  <c r="FF29" i="2"/>
  <c r="FJ29" i="2" s="1"/>
  <c r="FF24" i="2"/>
  <c r="FJ24" i="2" s="1"/>
  <c r="FF20" i="2"/>
  <c r="FJ20" i="2" s="1"/>
  <c r="FF15" i="2"/>
  <c r="FJ15" i="2" s="1"/>
  <c r="FF10" i="2"/>
  <c r="FJ10" i="2" s="1"/>
  <c r="EQ28" i="2"/>
  <c r="EQ6" i="2"/>
  <c r="ER18" i="2"/>
  <c r="EV18" i="2" s="1"/>
  <c r="EJ33" i="2"/>
  <c r="EK33" i="2"/>
  <c r="EL33" i="2"/>
  <c r="ER6" i="2"/>
  <c r="EV6" i="2" s="1"/>
  <c r="ER28" i="2"/>
  <c r="EV28" i="2" s="1"/>
  <c r="EQ14" i="2"/>
  <c r="EQ33" i="2"/>
  <c r="ER33" i="2"/>
  <c r="EV33" i="2" s="1"/>
  <c r="EQ18" i="2"/>
  <c r="ER14" i="2"/>
  <c r="EV14" i="2" s="1"/>
  <c r="FL31" i="2" l="1"/>
  <c r="FM31" i="2"/>
  <c r="FN31" i="2"/>
  <c r="EZ33" i="2"/>
  <c r="EY33" i="2"/>
  <c r="EX33" i="2"/>
  <c r="FL36" i="2"/>
  <c r="FM36" i="2"/>
  <c r="FN36" i="2"/>
  <c r="FL9" i="2"/>
  <c r="FM9" i="2"/>
  <c r="FN9" i="2"/>
  <c r="FN10" i="2"/>
  <c r="FL10" i="2"/>
  <c r="FM10" i="2"/>
  <c r="FL27" i="2"/>
  <c r="FN27" i="2"/>
  <c r="FM27" i="2"/>
  <c r="FL20" i="2"/>
  <c r="FM20" i="2"/>
  <c r="FN20" i="2"/>
  <c r="FN17" i="2"/>
  <c r="FM17" i="2"/>
  <c r="FL17" i="2"/>
  <c r="FL24" i="2"/>
  <c r="FN24" i="2"/>
  <c r="FM24" i="2"/>
  <c r="EZ18" i="2"/>
  <c r="EY18" i="2"/>
  <c r="EX18" i="2"/>
  <c r="FL22" i="2"/>
  <c r="FN22" i="2"/>
  <c r="FM22" i="2"/>
  <c r="FN15" i="2"/>
  <c r="FM15" i="2"/>
  <c r="FL15" i="2"/>
  <c r="FM7" i="2"/>
  <c r="FL7" i="2"/>
  <c r="FN7" i="2"/>
  <c r="FN16" i="2"/>
  <c r="FM16" i="2"/>
  <c r="FL16" i="2"/>
  <c r="FN29" i="2"/>
  <c r="FM29" i="2"/>
  <c r="FL29" i="2"/>
  <c r="EX14" i="2"/>
  <c r="EZ14" i="2"/>
  <c r="EY14" i="2"/>
  <c r="FM19" i="2"/>
  <c r="FN19" i="2"/>
  <c r="FL19" i="2"/>
  <c r="FL8" i="2"/>
  <c r="FN8" i="2"/>
  <c r="FM8" i="2"/>
  <c r="FN11" i="2"/>
  <c r="FL11" i="2"/>
  <c r="FM11" i="2"/>
  <c r="FM26" i="2"/>
  <c r="FN26" i="2"/>
  <c r="FL26" i="2"/>
  <c r="FL21" i="2"/>
  <c r="FM21" i="2"/>
  <c r="FN21" i="2"/>
  <c r="FN13" i="2"/>
  <c r="FM13" i="2"/>
  <c r="FL13" i="2"/>
  <c r="FL34" i="2"/>
  <c r="FN34" i="2"/>
  <c r="FM34" i="2"/>
  <c r="FN25" i="2"/>
  <c r="FM25" i="2"/>
  <c r="FL25" i="2"/>
  <c r="FL23" i="2"/>
  <c r="FN23" i="2"/>
  <c r="FM23" i="2"/>
  <c r="FM30" i="2"/>
  <c r="FL30" i="2"/>
  <c r="FN30" i="2"/>
  <c r="FL35" i="2"/>
  <c r="FM35" i="2"/>
  <c r="FN35" i="2"/>
  <c r="FM32" i="2"/>
  <c r="FN32" i="2"/>
  <c r="FL32" i="2"/>
  <c r="EZ6" i="2"/>
  <c r="EY6" i="2"/>
  <c r="EX6" i="2"/>
  <c r="EY28" i="2"/>
  <c r="EX28" i="2"/>
  <c r="EZ28" i="2"/>
  <c r="FM12" i="2"/>
  <c r="FL12" i="2"/>
  <c r="FN12" i="2"/>
  <c r="EK28" i="2"/>
  <c r="EK18" i="2"/>
  <c r="EJ18" i="2"/>
  <c r="EL28" i="2"/>
  <c r="EL14" i="2"/>
  <c r="EK14" i="2"/>
  <c r="AT19" i="12"/>
  <c r="AT5" i="12"/>
  <c r="AT18" i="12"/>
  <c r="AT7" i="12"/>
  <c r="AT14" i="12"/>
  <c r="AT20" i="12"/>
  <c r="AT32" i="12"/>
  <c r="AT15" i="12"/>
  <c r="AT21" i="12"/>
  <c r="AT6" i="12"/>
  <c r="AT27" i="12"/>
  <c r="AT24" i="12"/>
  <c r="AT22" i="12"/>
  <c r="AT8" i="12"/>
  <c r="J26" i="12"/>
  <c r="AO26" i="12"/>
  <c r="AN12" i="12"/>
  <c r="I12" i="12"/>
  <c r="AO42" i="12"/>
  <c r="AT42" i="12" s="1"/>
  <c r="J42" i="12"/>
  <c r="AP10" i="12"/>
  <c r="AU10" i="12" s="1"/>
  <c r="K10" i="12"/>
  <c r="AP33" i="12"/>
  <c r="AU33" i="12" s="1"/>
  <c r="K33" i="12"/>
  <c r="AP21" i="12"/>
  <c r="AU21" i="12" s="1"/>
  <c r="K21" i="12"/>
  <c r="D34" i="12"/>
  <c r="I4" i="12"/>
  <c r="AN4" i="12"/>
  <c r="AS4" i="12" s="1"/>
  <c r="AS21" i="12"/>
  <c r="AS17" i="12"/>
  <c r="AP11" i="12"/>
  <c r="AU11" i="12" s="1"/>
  <c r="K11" i="12"/>
  <c r="AP38" i="12"/>
  <c r="AU38" i="12" s="1"/>
  <c r="K38" i="12"/>
  <c r="AP8" i="12"/>
  <c r="AU8" i="12" s="1"/>
  <c r="K8" i="12"/>
  <c r="AS24" i="12"/>
  <c r="AP20" i="12"/>
  <c r="AU20" i="12" s="1"/>
  <c r="K20" i="12"/>
  <c r="AP25" i="12"/>
  <c r="AU25" i="12" s="1"/>
  <c r="K25" i="12"/>
  <c r="AO12" i="12"/>
  <c r="J12" i="12"/>
  <c r="AN16" i="12"/>
  <c r="AS16" i="12" s="1"/>
  <c r="I16" i="12"/>
  <c r="AP24" i="12"/>
  <c r="AU24" i="12" s="1"/>
  <c r="K24" i="12"/>
  <c r="AO31" i="12"/>
  <c r="J31" i="12"/>
  <c r="AS9" i="12"/>
  <c r="AT9" i="12"/>
  <c r="AT13" i="12"/>
  <c r="AS42" i="12"/>
  <c r="AP18" i="12"/>
  <c r="AU18" i="12" s="1"/>
  <c r="K18" i="12"/>
  <c r="AP41" i="12"/>
  <c r="AU41" i="12" s="1"/>
  <c r="K41" i="12"/>
  <c r="AS27" i="12"/>
  <c r="AP37" i="12"/>
  <c r="AU37" i="12" s="1"/>
  <c r="K37" i="12"/>
  <c r="AP39" i="12"/>
  <c r="AU39" i="12" s="1"/>
  <c r="K39" i="12"/>
  <c r="EC37" i="2"/>
  <c r="EL37" i="2" s="1"/>
  <c r="AS22" i="12"/>
  <c r="AS6" i="12"/>
  <c r="AP13" i="12"/>
  <c r="AU13" i="12" s="1"/>
  <c r="K13" i="12"/>
  <c r="F12" i="12"/>
  <c r="AP35" i="12"/>
  <c r="AU35" i="12" s="1"/>
  <c r="F42" i="12"/>
  <c r="K35" i="12"/>
  <c r="AN26" i="12"/>
  <c r="AS26" i="12" s="1"/>
  <c r="I26" i="12"/>
  <c r="AS28" i="12"/>
  <c r="AS25" i="12"/>
  <c r="AP22" i="12"/>
  <c r="AU22" i="12" s="1"/>
  <c r="K22" i="12"/>
  <c r="AS30" i="12"/>
  <c r="AP29" i="12"/>
  <c r="AU29" i="12" s="1"/>
  <c r="K29" i="12"/>
  <c r="AP19" i="12"/>
  <c r="AU19" i="12" s="1"/>
  <c r="K19" i="12"/>
  <c r="AP6" i="12"/>
  <c r="AU6" i="12" s="1"/>
  <c r="K6" i="12"/>
  <c r="AS14" i="12"/>
  <c r="AP5" i="12"/>
  <c r="AU5" i="12" s="1"/>
  <c r="K5" i="12"/>
  <c r="F4" i="12"/>
  <c r="EL6" i="2"/>
  <c r="E34" i="12"/>
  <c r="J4" i="12"/>
  <c r="AO4" i="12"/>
  <c r="AT30" i="12"/>
  <c r="AS7" i="12"/>
  <c r="AT11" i="12"/>
  <c r="AP36" i="12"/>
  <c r="AU36" i="12" s="1"/>
  <c r="K36" i="12"/>
  <c r="AP7" i="12"/>
  <c r="AU7" i="12" s="1"/>
  <c r="K7" i="12"/>
  <c r="AS13" i="12"/>
  <c r="EK6" i="2"/>
  <c r="AP17" i="12"/>
  <c r="AU17" i="12" s="1"/>
  <c r="F16" i="12"/>
  <c r="K17" i="12"/>
  <c r="AT28" i="12"/>
  <c r="AO16" i="12"/>
  <c r="J16" i="12"/>
  <c r="AP27" i="12"/>
  <c r="AU27" i="12" s="1"/>
  <c r="F26" i="12"/>
  <c r="K27" i="12"/>
  <c r="AP9" i="12"/>
  <c r="AU9" i="12" s="1"/>
  <c r="K9" i="12"/>
  <c r="AP23" i="12"/>
  <c r="AU23" i="12" s="1"/>
  <c r="K23" i="12"/>
  <c r="AT29" i="12"/>
  <c r="AP30" i="12"/>
  <c r="AU30" i="12" s="1"/>
  <c r="K30" i="12"/>
  <c r="AT23" i="12"/>
  <c r="AT17" i="12"/>
  <c r="AP28" i="12"/>
  <c r="AU28" i="12" s="1"/>
  <c r="K28" i="12"/>
  <c r="AP40" i="12"/>
  <c r="AU40" i="12" s="1"/>
  <c r="K40" i="12"/>
  <c r="AS18" i="12"/>
  <c r="AT33" i="12"/>
  <c r="I31" i="12"/>
  <c r="AN31" i="12"/>
  <c r="AS31" i="12" s="1"/>
  <c r="AP32" i="12"/>
  <c r="AU32" i="12" s="1"/>
  <c r="K32" i="12"/>
  <c r="F31" i="12"/>
  <c r="G37" i="12"/>
  <c r="G20" i="12"/>
  <c r="S13" i="12"/>
  <c r="S18" i="12"/>
  <c r="G36" i="12"/>
  <c r="G19" i="12"/>
  <c r="S22" i="12"/>
  <c r="S8" i="12"/>
  <c r="S5" i="12"/>
  <c r="G18" i="12"/>
  <c r="G35" i="12"/>
  <c r="G17" i="12"/>
  <c r="S21" i="12"/>
  <c r="G32" i="12"/>
  <c r="G14" i="12"/>
  <c r="S7" i="12"/>
  <c r="G29" i="12"/>
  <c r="G13" i="12"/>
  <c r="G28" i="12"/>
  <c r="S17" i="12"/>
  <c r="S10" i="12"/>
  <c r="G27" i="12"/>
  <c r="G10" i="12"/>
  <c r="G21" i="12"/>
  <c r="G9" i="12"/>
  <c r="S20" i="12"/>
  <c r="S6" i="12"/>
  <c r="G22" i="12"/>
  <c r="G38" i="12"/>
  <c r="S19" i="12"/>
  <c r="G41" i="12"/>
  <c r="G24" i="12"/>
  <c r="G8" i="12"/>
  <c r="G40" i="12"/>
  <c r="G23" i="12"/>
  <c r="G7" i="12"/>
  <c r="S9" i="12"/>
  <c r="G39" i="12"/>
  <c r="G6" i="12"/>
  <c r="S14" i="12"/>
  <c r="G5" i="12"/>
  <c r="AS20" i="12"/>
  <c r="AT10" i="12"/>
  <c r="AS32" i="12"/>
  <c r="AP14" i="12"/>
  <c r="AU14" i="12" s="1"/>
  <c r="K14" i="12"/>
  <c r="AP15" i="12"/>
  <c r="AU15" i="12" s="1"/>
  <c r="K15" i="12"/>
  <c r="AT25" i="12"/>
  <c r="S29" i="12"/>
  <c r="S27" i="12"/>
  <c r="S32" i="12"/>
  <c r="S24" i="12"/>
  <c r="W35" i="12"/>
  <c r="R42" i="12"/>
  <c r="W42" i="12" s="1"/>
  <c r="W23" i="12"/>
  <c r="R16" i="12"/>
  <c r="S25" i="12"/>
  <c r="S37" i="12"/>
  <c r="S15" i="12"/>
  <c r="Y15" i="12" s="1"/>
  <c r="S41" i="12"/>
  <c r="S35" i="12"/>
  <c r="Y35" i="12" s="1"/>
  <c r="S28" i="12"/>
  <c r="Y28" i="12" s="1"/>
  <c r="S11" i="12"/>
  <c r="Y11" i="12" s="1"/>
  <c r="S39" i="12"/>
  <c r="S33" i="12"/>
  <c r="Y33" i="12" s="1"/>
  <c r="S23" i="12"/>
  <c r="Y23" i="12" s="1"/>
  <c r="S36" i="12"/>
  <c r="S30" i="12"/>
  <c r="S40" i="12"/>
  <c r="S38" i="12"/>
  <c r="W11" i="12"/>
  <c r="R4" i="12"/>
  <c r="R26" i="12"/>
  <c r="W28" i="12"/>
  <c r="R12" i="12"/>
  <c r="W12" i="12" s="1"/>
  <c r="W15" i="12"/>
  <c r="R31" i="12"/>
  <c r="W31" i="12" s="1"/>
  <c r="W33" i="12"/>
  <c r="V4" i="12"/>
  <c r="Q34" i="12"/>
  <c r="Q43" i="12" s="1"/>
  <c r="FS36" i="2"/>
  <c r="FS31" i="2"/>
  <c r="FS26" i="2"/>
  <c r="FS22" i="2"/>
  <c r="FS12" i="2"/>
  <c r="FS8" i="2"/>
  <c r="FT35" i="2"/>
  <c r="FX35" i="2" s="1"/>
  <c r="FT30" i="2"/>
  <c r="FX30" i="2" s="1"/>
  <c r="FT25" i="2"/>
  <c r="FX25" i="2" s="1"/>
  <c r="FT21" i="2"/>
  <c r="FX21" i="2" s="1"/>
  <c r="FT16" i="2"/>
  <c r="FX16" i="2" s="1"/>
  <c r="FT11" i="2"/>
  <c r="FX11" i="2" s="1"/>
  <c r="FT7" i="2"/>
  <c r="FX7" i="2" s="1"/>
  <c r="FS30" i="2"/>
  <c r="FS25" i="2"/>
  <c r="FS21" i="2"/>
  <c r="FS11" i="2"/>
  <c r="FT13" i="2"/>
  <c r="FX13" i="2" s="1"/>
  <c r="FS16" i="2"/>
  <c r="FS7" i="2"/>
  <c r="FT27" i="2"/>
  <c r="FX27" i="2" s="1"/>
  <c r="FT34" i="2"/>
  <c r="FX34" i="2" s="1"/>
  <c r="FT29" i="2"/>
  <c r="FX29" i="2" s="1"/>
  <c r="FT24" i="2"/>
  <c r="FX24" i="2" s="1"/>
  <c r="FT20" i="2"/>
  <c r="FX20" i="2" s="1"/>
  <c r="FT15" i="2"/>
  <c r="FX15" i="2" s="1"/>
  <c r="FT10" i="2"/>
  <c r="FX10" i="2" s="1"/>
  <c r="FS29" i="2"/>
  <c r="FS20" i="2"/>
  <c r="FS10" i="2"/>
  <c r="FT23" i="2"/>
  <c r="FX23" i="2" s="1"/>
  <c r="FS34" i="2"/>
  <c r="FS24" i="2"/>
  <c r="FS15" i="2"/>
  <c r="FT32" i="2"/>
  <c r="FX32" i="2" s="1"/>
  <c r="FT19" i="2"/>
  <c r="FX19" i="2" s="1"/>
  <c r="FT9" i="2"/>
  <c r="FX9" i="2" s="1"/>
  <c r="FS23" i="2"/>
  <c r="FS19" i="2"/>
  <c r="FS9" i="2"/>
  <c r="FT36" i="2"/>
  <c r="FX36" i="2" s="1"/>
  <c r="FT31" i="2"/>
  <c r="FX31" i="2" s="1"/>
  <c r="FT26" i="2"/>
  <c r="FX26" i="2" s="1"/>
  <c r="FT22" i="2"/>
  <c r="FX22" i="2" s="1"/>
  <c r="FT17" i="2"/>
  <c r="FX17" i="2" s="1"/>
  <c r="FT12" i="2"/>
  <c r="FX12" i="2" s="1"/>
  <c r="FT8" i="2"/>
  <c r="FX8" i="2" s="1"/>
  <c r="FE6" i="2"/>
  <c r="FF6" i="2"/>
  <c r="FJ6" i="2" s="1"/>
  <c r="FE28" i="2"/>
  <c r="FE14" i="2"/>
  <c r="FF33" i="2"/>
  <c r="FJ33" i="2" s="1"/>
  <c r="FF28" i="2"/>
  <c r="FJ28" i="2" s="1"/>
  <c r="FF18" i="2"/>
  <c r="FJ18" i="2" s="1"/>
  <c r="ER37" i="2"/>
  <c r="EV37" i="2" s="1"/>
  <c r="EQ37" i="2"/>
  <c r="FE33" i="2"/>
  <c r="FF14" i="2"/>
  <c r="FJ14" i="2" s="1"/>
  <c r="FE18" i="2"/>
  <c r="C14" i="7"/>
  <c r="C10" i="7"/>
  <c r="GA11" i="2" l="1"/>
  <c r="GB11" i="2"/>
  <c r="FZ11" i="2"/>
  <c r="GB9" i="2"/>
  <c r="GA9" i="2"/>
  <c r="FZ9" i="2"/>
  <c r="GA20" i="2"/>
  <c r="FZ20" i="2"/>
  <c r="GB20" i="2"/>
  <c r="GB21" i="2"/>
  <c r="GA21" i="2"/>
  <c r="FZ21" i="2"/>
  <c r="GA26" i="2"/>
  <c r="FZ26" i="2"/>
  <c r="GB26" i="2"/>
  <c r="GA13" i="2"/>
  <c r="GB13" i="2"/>
  <c r="FZ13" i="2"/>
  <c r="GA29" i="2"/>
  <c r="FZ29" i="2"/>
  <c r="GB29" i="2"/>
  <c r="GA25" i="2"/>
  <c r="GB25" i="2"/>
  <c r="FZ25" i="2"/>
  <c r="FZ31" i="2"/>
  <c r="GB31" i="2"/>
  <c r="GA31" i="2"/>
  <c r="FZ35" i="2"/>
  <c r="GB35" i="2"/>
  <c r="GA35" i="2"/>
  <c r="GB22" i="2"/>
  <c r="GA22" i="2"/>
  <c r="FZ22" i="2"/>
  <c r="GB19" i="2"/>
  <c r="FZ19" i="2"/>
  <c r="GA19" i="2"/>
  <c r="FZ30" i="2"/>
  <c r="GB30" i="2"/>
  <c r="GA30" i="2"/>
  <c r="GB36" i="2"/>
  <c r="GA36" i="2"/>
  <c r="FZ36" i="2"/>
  <c r="FZ17" i="2"/>
  <c r="GB17" i="2"/>
  <c r="GA17" i="2"/>
  <c r="FZ10" i="2"/>
  <c r="GA10" i="2"/>
  <c r="GB10" i="2"/>
  <c r="FN14" i="2"/>
  <c r="FM14" i="2"/>
  <c r="FL14" i="2"/>
  <c r="GB23" i="2"/>
  <c r="GA23" i="2"/>
  <c r="FZ23" i="2"/>
  <c r="FN18" i="2"/>
  <c r="FM18" i="2"/>
  <c r="FL18" i="2"/>
  <c r="GA12" i="2"/>
  <c r="FZ12" i="2"/>
  <c r="GB12" i="2"/>
  <c r="FM33" i="2"/>
  <c r="FL33" i="2"/>
  <c r="FN33" i="2"/>
  <c r="FZ34" i="2"/>
  <c r="GA34" i="2"/>
  <c r="GB34" i="2"/>
  <c r="EY37" i="2"/>
  <c r="EZ37" i="2"/>
  <c r="EX37" i="2"/>
  <c r="FN28" i="2"/>
  <c r="FM28" i="2"/>
  <c r="FL28" i="2"/>
  <c r="GB32" i="2"/>
  <c r="FZ32" i="2"/>
  <c r="GA32" i="2"/>
  <c r="FM6" i="2"/>
  <c r="FL6" i="2"/>
  <c r="FN6" i="2"/>
  <c r="GA27" i="2"/>
  <c r="FZ27" i="2"/>
  <c r="GB27" i="2"/>
  <c r="FZ15" i="2"/>
  <c r="GB15" i="2"/>
  <c r="GA15" i="2"/>
  <c r="GB7" i="2"/>
  <c r="FZ7" i="2"/>
  <c r="GA7" i="2"/>
  <c r="FZ24" i="2"/>
  <c r="GA24" i="2"/>
  <c r="GB24" i="2"/>
  <c r="GB16" i="2"/>
  <c r="FZ16" i="2"/>
  <c r="GA16" i="2"/>
  <c r="GB8" i="2"/>
  <c r="GA8" i="2"/>
  <c r="FZ8" i="2"/>
  <c r="AT12" i="12"/>
  <c r="AT31" i="12"/>
  <c r="EK37" i="2"/>
  <c r="AT16" i="12"/>
  <c r="AT4" i="12"/>
  <c r="AQ41" i="12"/>
  <c r="M41" i="12"/>
  <c r="L41" i="12"/>
  <c r="K26" i="12"/>
  <c r="AP26" i="12"/>
  <c r="AU26" i="12" s="1"/>
  <c r="X14" i="12"/>
  <c r="Y14" i="12"/>
  <c r="Y20" i="12"/>
  <c r="X20" i="12"/>
  <c r="AQ30" i="12"/>
  <c r="M30" i="12"/>
  <c r="L30" i="12"/>
  <c r="Y13" i="12"/>
  <c r="X13" i="12"/>
  <c r="K42" i="12"/>
  <c r="AP42" i="12"/>
  <c r="AU42" i="12" s="1"/>
  <c r="AQ6" i="12"/>
  <c r="L6" i="12"/>
  <c r="M6" i="12"/>
  <c r="AQ9" i="12"/>
  <c r="L9" i="12"/>
  <c r="M9" i="12"/>
  <c r="AQ15" i="12"/>
  <c r="M15" i="12"/>
  <c r="L15" i="12"/>
  <c r="AQ20" i="12"/>
  <c r="L20" i="12"/>
  <c r="M20" i="12"/>
  <c r="AQ28" i="12"/>
  <c r="M28" i="12"/>
  <c r="L28" i="12"/>
  <c r="Y7" i="12"/>
  <c r="X7" i="12"/>
  <c r="Y6" i="12"/>
  <c r="X6" i="12"/>
  <c r="AQ39" i="12"/>
  <c r="M39" i="12"/>
  <c r="L39" i="12"/>
  <c r="AQ25" i="12"/>
  <c r="M25" i="12"/>
  <c r="L25" i="12"/>
  <c r="AQ32" i="12"/>
  <c r="M32" i="12"/>
  <c r="G31" i="12"/>
  <c r="L32" i="12"/>
  <c r="AQ37" i="12"/>
  <c r="M37" i="12"/>
  <c r="L37" i="12"/>
  <c r="K12" i="12"/>
  <c r="AP12" i="12"/>
  <c r="AU12" i="12" s="1"/>
  <c r="Y8" i="12"/>
  <c r="X8" i="12"/>
  <c r="AQ19" i="12"/>
  <c r="M19" i="12"/>
  <c r="L19" i="12"/>
  <c r="AQ5" i="12"/>
  <c r="G4" i="12"/>
  <c r="M5" i="12"/>
  <c r="L5" i="12"/>
  <c r="Y9" i="12"/>
  <c r="X9" i="12"/>
  <c r="AQ21" i="12"/>
  <c r="M21" i="12"/>
  <c r="L21" i="12"/>
  <c r="Y21" i="12"/>
  <c r="X21" i="12"/>
  <c r="K31" i="12"/>
  <c r="AP31" i="12"/>
  <c r="AU31" i="12" s="1"/>
  <c r="K16" i="12"/>
  <c r="AP16" i="12"/>
  <c r="AU16" i="12" s="1"/>
  <c r="EJ37" i="2"/>
  <c r="Y22" i="12"/>
  <c r="X22" i="12"/>
  <c r="AQ36" i="12"/>
  <c r="L36" i="12"/>
  <c r="M36" i="12"/>
  <c r="AQ7" i="12"/>
  <c r="L7" i="12"/>
  <c r="M7" i="12"/>
  <c r="AQ10" i="12"/>
  <c r="L10" i="12"/>
  <c r="M10" i="12"/>
  <c r="AQ17" i="12"/>
  <c r="G16" i="12"/>
  <c r="L17" i="12"/>
  <c r="M17" i="12"/>
  <c r="E43" i="12"/>
  <c r="J34" i="12"/>
  <c r="AO34" i="12"/>
  <c r="AQ23" i="12"/>
  <c r="L23" i="12"/>
  <c r="M23" i="12"/>
  <c r="AQ27" i="12"/>
  <c r="M27" i="12"/>
  <c r="L27" i="12"/>
  <c r="G26" i="12"/>
  <c r="AQ33" i="12"/>
  <c r="M33" i="12"/>
  <c r="L33" i="12"/>
  <c r="AQ29" i="12"/>
  <c r="L29" i="12"/>
  <c r="M29" i="12"/>
  <c r="AQ22" i="12"/>
  <c r="M22" i="12"/>
  <c r="L22" i="12"/>
  <c r="X18" i="12"/>
  <c r="Y18" i="12"/>
  <c r="AQ40" i="12"/>
  <c r="L40" i="12"/>
  <c r="M40" i="12"/>
  <c r="X10" i="12"/>
  <c r="Y10" i="12"/>
  <c r="AQ35" i="12"/>
  <c r="G42" i="12"/>
  <c r="M35" i="12"/>
  <c r="L35" i="12"/>
  <c r="K4" i="12"/>
  <c r="F34" i="12"/>
  <c r="AP4" i="12"/>
  <c r="AU4" i="12" s="1"/>
  <c r="AS12" i="12"/>
  <c r="AQ13" i="12"/>
  <c r="G12" i="12"/>
  <c r="M13" i="12"/>
  <c r="L13" i="12"/>
  <c r="AQ38" i="12"/>
  <c r="L38" i="12"/>
  <c r="M38" i="12"/>
  <c r="AQ8" i="12"/>
  <c r="M8" i="12"/>
  <c r="L8" i="12"/>
  <c r="Y17" i="12"/>
  <c r="X17" i="12"/>
  <c r="AQ18" i="12"/>
  <c r="L18" i="12"/>
  <c r="M18" i="12"/>
  <c r="AT26" i="12"/>
  <c r="X19" i="12"/>
  <c r="Y19" i="12"/>
  <c r="D43" i="12"/>
  <c r="I34" i="12"/>
  <c r="AN34" i="12"/>
  <c r="AQ14" i="12"/>
  <c r="M14" i="12"/>
  <c r="L14" i="12"/>
  <c r="AQ24" i="12"/>
  <c r="M24" i="12"/>
  <c r="L24" i="12"/>
  <c r="AQ11" i="12"/>
  <c r="M11" i="12"/>
  <c r="L11" i="12"/>
  <c r="Y5" i="12"/>
  <c r="X5" i="12"/>
  <c r="X38" i="12"/>
  <c r="Y38" i="12"/>
  <c r="X40" i="12"/>
  <c r="Y40" i="12"/>
  <c r="X30" i="12"/>
  <c r="Y30" i="12"/>
  <c r="X41" i="12"/>
  <c r="Y41" i="12"/>
  <c r="X36" i="12"/>
  <c r="Y36" i="12"/>
  <c r="X24" i="12"/>
  <c r="Y24" i="12"/>
  <c r="X37" i="12"/>
  <c r="Y37" i="12"/>
  <c r="X32" i="12"/>
  <c r="Y32" i="12"/>
  <c r="X29" i="12"/>
  <c r="Y29" i="12"/>
  <c r="X25" i="12"/>
  <c r="Y25" i="12"/>
  <c r="X39" i="12"/>
  <c r="Y39" i="12"/>
  <c r="X27" i="12"/>
  <c r="Y27" i="12"/>
  <c r="X35" i="12"/>
  <c r="S42" i="12"/>
  <c r="S31" i="12"/>
  <c r="X33" i="12"/>
  <c r="X11" i="12"/>
  <c r="S4" i="12"/>
  <c r="Y4" i="12" s="1"/>
  <c r="S26" i="12"/>
  <c r="X28" i="12"/>
  <c r="W26" i="12"/>
  <c r="S12" i="12"/>
  <c r="X15" i="12"/>
  <c r="W4" i="12"/>
  <c r="R34" i="12"/>
  <c r="R43" i="12" s="1"/>
  <c r="V43" i="12"/>
  <c r="V34" i="12"/>
  <c r="W16" i="12"/>
  <c r="S16" i="12"/>
  <c r="X23" i="12"/>
  <c r="FT14" i="2"/>
  <c r="FX14" i="2" s="1"/>
  <c r="FF37" i="2"/>
  <c r="FJ37" i="2" s="1"/>
  <c r="FS28" i="2"/>
  <c r="FT28" i="2"/>
  <c r="FX28" i="2" s="1"/>
  <c r="FE37" i="2"/>
  <c r="FT33" i="2"/>
  <c r="FX33" i="2" s="1"/>
  <c r="FT6" i="2"/>
  <c r="FX6" i="2" s="1"/>
  <c r="FT18" i="2"/>
  <c r="FX18" i="2" s="1"/>
  <c r="FS33" i="2"/>
  <c r="FS18" i="2"/>
  <c r="FS14" i="2"/>
  <c r="FS6" i="2"/>
  <c r="C15" i="7"/>
  <c r="C17" i="7" s="1"/>
  <c r="C18" i="7" s="1"/>
  <c r="GB18" i="2" l="1"/>
  <c r="GA18" i="2"/>
  <c r="FZ18" i="2"/>
  <c r="GA14" i="2"/>
  <c r="FZ14" i="2"/>
  <c r="GB14" i="2"/>
  <c r="GB33" i="2"/>
  <c r="FZ33" i="2"/>
  <c r="GA33" i="2"/>
  <c r="FL37" i="2"/>
  <c r="FM37" i="2"/>
  <c r="FN37" i="2"/>
  <c r="FZ6" i="2"/>
  <c r="GB6" i="2"/>
  <c r="GA6" i="2"/>
  <c r="GA28" i="2"/>
  <c r="FZ28" i="2"/>
  <c r="GB28" i="2"/>
  <c r="AT34" i="12"/>
  <c r="AV38" i="12"/>
  <c r="AW38" i="12"/>
  <c r="AW19" i="12"/>
  <c r="AV19" i="12"/>
  <c r="M16" i="12"/>
  <c r="L16" i="12"/>
  <c r="AQ16" i="12"/>
  <c r="AV18" i="12"/>
  <c r="AW18" i="12"/>
  <c r="AV39" i="12"/>
  <c r="AW39" i="12"/>
  <c r="AW40" i="12"/>
  <c r="AV40" i="12"/>
  <c r="AV27" i="12"/>
  <c r="AW27" i="12"/>
  <c r="AV15" i="12"/>
  <c r="AW15" i="12"/>
  <c r="I43" i="12"/>
  <c r="AN43" i="12"/>
  <c r="AV17" i="12"/>
  <c r="AW17" i="12"/>
  <c r="AV13" i="12"/>
  <c r="AW13" i="12"/>
  <c r="AV10" i="12"/>
  <c r="AW10" i="12"/>
  <c r="AV30" i="12"/>
  <c r="AW30" i="12"/>
  <c r="AV7" i="12"/>
  <c r="AW7" i="12"/>
  <c r="AV24" i="12"/>
  <c r="AW24" i="12"/>
  <c r="AV22" i="12"/>
  <c r="AW22" i="12"/>
  <c r="AW11" i="12"/>
  <c r="AV11" i="12"/>
  <c r="AV36" i="12"/>
  <c r="AW36" i="12"/>
  <c r="AV5" i="12"/>
  <c r="AW5" i="12"/>
  <c r="M12" i="12"/>
  <c r="L12" i="12"/>
  <c r="AQ12" i="12"/>
  <c r="M26" i="12"/>
  <c r="L26" i="12"/>
  <c r="AQ26" i="12"/>
  <c r="AV20" i="12"/>
  <c r="AW20" i="12"/>
  <c r="F43" i="12"/>
  <c r="K34" i="12"/>
  <c r="AP34" i="12"/>
  <c r="AU34" i="12" s="1"/>
  <c r="AW23" i="12"/>
  <c r="AV23" i="12"/>
  <c r="AV21" i="12"/>
  <c r="AW21" i="12"/>
  <c r="AV9" i="12"/>
  <c r="AW9" i="12"/>
  <c r="AO43" i="12"/>
  <c r="J43" i="12"/>
  <c r="AV6" i="12"/>
  <c r="AW6" i="12"/>
  <c r="AS34" i="12"/>
  <c r="M42" i="12"/>
  <c r="L42" i="12"/>
  <c r="AQ42" i="12"/>
  <c r="AV29" i="12"/>
  <c r="AW29" i="12"/>
  <c r="L31" i="12"/>
  <c r="M31" i="12"/>
  <c r="AQ31" i="12"/>
  <c r="AV32" i="12"/>
  <c r="AW32" i="12"/>
  <c r="AV33" i="12"/>
  <c r="AW33" i="12"/>
  <c r="AV25" i="12"/>
  <c r="AW25" i="12"/>
  <c r="AV37" i="12"/>
  <c r="AW37" i="12"/>
  <c r="AV14" i="12"/>
  <c r="AW14" i="12"/>
  <c r="AW8" i="12"/>
  <c r="AV8" i="12"/>
  <c r="AV35" i="12"/>
  <c r="AW35" i="12"/>
  <c r="G34" i="12"/>
  <c r="L4" i="12"/>
  <c r="M4" i="12"/>
  <c r="AQ4" i="12"/>
  <c r="AV28" i="12"/>
  <c r="AW28" i="12"/>
  <c r="AW41" i="12"/>
  <c r="AV41" i="12"/>
  <c r="X16" i="12"/>
  <c r="Y16" i="12"/>
  <c r="X31" i="12"/>
  <c r="Y31" i="12"/>
  <c r="X12" i="12"/>
  <c r="Y12" i="12"/>
  <c r="X42" i="12"/>
  <c r="Y42" i="12"/>
  <c r="X26" i="12"/>
  <c r="Y26" i="12"/>
  <c r="S34" i="12"/>
  <c r="X4" i="12"/>
  <c r="W43" i="12"/>
  <c r="W34" i="12"/>
  <c r="FS37" i="2"/>
  <c r="FT37" i="2"/>
  <c r="FX37" i="2" s="1"/>
  <c r="GB37" i="2" l="1"/>
  <c r="GA37" i="2"/>
  <c r="FZ37" i="2"/>
  <c r="AV42" i="12"/>
  <c r="AW42" i="12"/>
  <c r="K43" i="12"/>
  <c r="AP43" i="12"/>
  <c r="AU43" i="12" s="1"/>
  <c r="AV16" i="12"/>
  <c r="AW16" i="12"/>
  <c r="AV26" i="12"/>
  <c r="AW26" i="12"/>
  <c r="AW31" i="12"/>
  <c r="AV31" i="12"/>
  <c r="AV12" i="12"/>
  <c r="AW12" i="12"/>
  <c r="AS43" i="12"/>
  <c r="AW4" i="12"/>
  <c r="AV4" i="12"/>
  <c r="G43" i="12"/>
  <c r="M34" i="12"/>
  <c r="L34" i="12"/>
  <c r="AQ34" i="12"/>
  <c r="AT43" i="12"/>
  <c r="S43" i="12"/>
  <c r="Y43" i="12" s="1"/>
  <c r="Y34" i="12"/>
  <c r="X34" i="12"/>
  <c r="AV34" i="12" l="1"/>
  <c r="AW34" i="12"/>
  <c r="M43" i="12"/>
  <c r="L43" i="12"/>
  <c r="AQ43" i="12"/>
  <c r="X43" i="12"/>
  <c r="AV43" i="12" l="1"/>
  <c r="AW43" i="12"/>
</calcChain>
</file>

<file path=xl/sharedStrings.xml><?xml version="1.0" encoding="utf-8"?>
<sst xmlns="http://schemas.openxmlformats.org/spreadsheetml/2006/main" count="3159" uniqueCount="609">
  <si>
    <t>DSM Budget Category</t>
  </si>
  <si>
    <t>Residential Program</t>
  </si>
  <si>
    <t>Income Qualified Program</t>
  </si>
  <si>
    <t>Commercial Program</t>
  </si>
  <si>
    <t>Industrial Program</t>
  </si>
  <si>
    <t>Large Volume Program</t>
  </si>
  <si>
    <t>Program Subtotal</t>
  </si>
  <si>
    <t>Research Costs</t>
  </si>
  <si>
    <t>Portfolio Subtotal</t>
  </si>
  <si>
    <t>Total</t>
  </si>
  <si>
    <t>Items not included in 2027+ Offerings</t>
  </si>
  <si>
    <t>2021 DSM Budget Item</t>
  </si>
  <si>
    <t>Delivery Costs</t>
  </si>
  <si>
    <t>Admin Costs</t>
  </si>
  <si>
    <t>2022 DSM Budget Item</t>
  </si>
  <si>
    <t>Incentive Costs</t>
  </si>
  <si>
    <t>Promotion Costs</t>
  </si>
  <si>
    <t>2023 DSM Budget Item</t>
  </si>
  <si>
    <t>2024 DSM Budget Item</t>
  </si>
  <si>
    <t>2025 DSM Budget Item</t>
  </si>
  <si>
    <r>
      <t xml:space="preserve">2027 DSM Budget Item
</t>
    </r>
    <r>
      <rPr>
        <i/>
        <sz val="10"/>
        <color theme="1"/>
        <rFont val="Arial"/>
        <family val="2"/>
      </rPr>
      <t>(Reference: Exhibit-Tab)</t>
    </r>
  </si>
  <si>
    <r>
      <t xml:space="preserve">2028 DSM Budget Item
</t>
    </r>
    <r>
      <rPr>
        <i/>
        <sz val="10"/>
        <color theme="1"/>
        <rFont val="Arial"/>
        <family val="2"/>
      </rPr>
      <t>(Reference: Exhibit-Tab)</t>
    </r>
  </si>
  <si>
    <r>
      <t xml:space="preserve">2029 DSM Budget Item
</t>
    </r>
    <r>
      <rPr>
        <i/>
        <sz val="10"/>
        <color theme="1"/>
        <rFont val="Arial"/>
        <family val="2"/>
      </rPr>
      <t>(Reference: Exhibit-Tab)</t>
    </r>
  </si>
  <si>
    <r>
      <t xml:space="preserve">2030 DSM Budget Item
</t>
    </r>
    <r>
      <rPr>
        <i/>
        <sz val="10"/>
        <color theme="1"/>
        <rFont val="Arial"/>
        <family val="2"/>
      </rPr>
      <t>(Reference: Exhibit-Tab)</t>
    </r>
  </si>
  <si>
    <r>
      <t xml:space="preserve">Residential Program </t>
    </r>
    <r>
      <rPr>
        <i/>
        <sz val="10"/>
        <color theme="1"/>
        <rFont val="Arial"/>
        <family val="2"/>
      </rPr>
      <t>(E-2)</t>
    </r>
  </si>
  <si>
    <t>Residential Whole Home</t>
  </si>
  <si>
    <t>Whole Home</t>
  </si>
  <si>
    <t>Residential Single Measure</t>
  </si>
  <si>
    <t>Single Measure</t>
  </si>
  <si>
    <t>Residential Smart Home</t>
  </si>
  <si>
    <t>Smart Home</t>
  </si>
  <si>
    <t>Residential Electric Heat Pumps</t>
  </si>
  <si>
    <t>Moderate Income Direct Install</t>
  </si>
  <si>
    <t>Energy Education &amp; Outreach</t>
  </si>
  <si>
    <t>Low Income Program</t>
  </si>
  <si>
    <t>Residential Program Level Costs</t>
  </si>
  <si>
    <t>Home Winterproofing</t>
  </si>
  <si>
    <r>
      <t>Income Qualified Program</t>
    </r>
    <r>
      <rPr>
        <sz val="10"/>
        <color theme="1"/>
        <rFont val="Arial"/>
        <family val="2"/>
      </rPr>
      <t xml:space="preserve"> </t>
    </r>
    <r>
      <rPr>
        <i/>
        <sz val="10"/>
        <color theme="1"/>
        <rFont val="Arial"/>
        <family val="2"/>
      </rPr>
      <t>(E-3)</t>
    </r>
  </si>
  <si>
    <t>Affordable Housing Multi-Residential</t>
  </si>
  <si>
    <t>Commercial Custom</t>
  </si>
  <si>
    <t>Income Qualified Program Level Costs</t>
  </si>
  <si>
    <t>Prescriptive Downstream</t>
  </si>
  <si>
    <r>
      <t>Commercial Program</t>
    </r>
    <r>
      <rPr>
        <i/>
        <sz val="10"/>
        <color theme="1"/>
        <rFont val="Arial"/>
        <family val="2"/>
      </rPr>
      <t xml:space="preserve"> (E-4)</t>
    </r>
  </si>
  <si>
    <t>Direct Install</t>
  </si>
  <si>
    <t>Prescriptive Midstream</t>
  </si>
  <si>
    <t>Com/Ind Prescriptive Downstream</t>
  </si>
  <si>
    <t>Whole Building Pay For Performance (P4P)</t>
  </si>
  <si>
    <t>Com/Ind Prescriptive Direct Install</t>
  </si>
  <si>
    <t>Com/Ind Prescriptive Upstream</t>
  </si>
  <si>
    <t>Com Existing Building Commissioning</t>
  </si>
  <si>
    <t>Commercial Microbusiness</t>
  </si>
  <si>
    <t>Commercial Strategic Energy Management</t>
  </si>
  <si>
    <t>Industrial Custom</t>
  </si>
  <si>
    <t>Commercial Energy Innovation</t>
  </si>
  <si>
    <t>Commercial Program Level Costs</t>
  </si>
  <si>
    <r>
      <t xml:space="preserve">Industrial Program </t>
    </r>
    <r>
      <rPr>
        <i/>
        <sz val="10"/>
        <color theme="1"/>
        <rFont val="Arial"/>
        <family val="2"/>
      </rPr>
      <t>(E-5)</t>
    </r>
  </si>
  <si>
    <t>Direct Access</t>
  </si>
  <si>
    <t>Large Volume Direct Access</t>
  </si>
  <si>
    <t>Industrial Strategic Energy Management</t>
  </si>
  <si>
    <t>Program Subtotal (as per 2027 Structure)</t>
  </si>
  <si>
    <t>Program Subtotal (as per 2026 Structure)</t>
  </si>
  <si>
    <t>Industrial Energy Innovation</t>
  </si>
  <si>
    <t>Portfolio Administration</t>
  </si>
  <si>
    <t>Industrial Program Level Costs</t>
  </si>
  <si>
    <t>System Maintenance &amp; Improvements</t>
  </si>
  <si>
    <r>
      <t xml:space="preserve">Large Volume Program </t>
    </r>
    <r>
      <rPr>
        <i/>
        <sz val="10"/>
        <color theme="1"/>
        <rFont val="Arial"/>
        <family val="2"/>
      </rPr>
      <t>(E-6)</t>
    </r>
  </si>
  <si>
    <t>Regulatory &amp; Stakeholdering</t>
  </si>
  <si>
    <t>Municipal Engagement</t>
  </si>
  <si>
    <t>Large Volume Program Level Costs</t>
  </si>
  <si>
    <t>Research and Development Costs (Research Innovation Fund + Market Data)</t>
  </si>
  <si>
    <t xml:space="preserve">EM&amp;V </t>
  </si>
  <si>
    <t>Process and Market Evaluation</t>
  </si>
  <si>
    <t>Portfolio Subtotal (as per 2026 Structure)</t>
  </si>
  <si>
    <t>Total (as per 2027 Structure)</t>
  </si>
  <si>
    <t>Total (as Approved/Reported)</t>
  </si>
  <si>
    <t>2021 DSM Actual Spend</t>
  </si>
  <si>
    <t>2021 Total</t>
  </si>
  <si>
    <t>2022 DSM Actual Spend</t>
  </si>
  <si>
    <t>2022 Total</t>
  </si>
  <si>
    <t>2023 DSM Actual Spend</t>
  </si>
  <si>
    <t>2023 Total</t>
  </si>
  <si>
    <t>2024 DSM Draft Spend</t>
  </si>
  <si>
    <t>2024 Total</t>
  </si>
  <si>
    <t>2025 DSM Draft Spend</t>
  </si>
  <si>
    <t>2025 Total</t>
  </si>
  <si>
    <t>Program Level Costs</t>
  </si>
  <si>
    <t>Number of Projects/Units
TOTAL</t>
  </si>
  <si>
    <r>
      <t>Gross Annual Gas Savings (m</t>
    </r>
    <r>
      <rPr>
        <b/>
        <vertAlign val="superscript"/>
        <sz val="10"/>
        <color theme="1"/>
        <rFont val="Arial"/>
        <family val="2"/>
      </rPr>
      <t>3</t>
    </r>
    <r>
      <rPr>
        <b/>
        <sz val="10"/>
        <color theme="1"/>
        <rFont val="Arial"/>
        <family val="2"/>
      </rPr>
      <t>)</t>
    </r>
  </si>
  <si>
    <r>
      <t>Net Annual Gas Savings (m</t>
    </r>
    <r>
      <rPr>
        <b/>
        <vertAlign val="superscript"/>
        <sz val="10"/>
        <color theme="1"/>
        <rFont val="Arial"/>
        <family val="2"/>
      </rPr>
      <t>3</t>
    </r>
    <r>
      <rPr>
        <b/>
        <sz val="10"/>
        <color theme="1"/>
        <rFont val="Arial"/>
        <family val="2"/>
      </rPr>
      <t>)</t>
    </r>
  </si>
  <si>
    <r>
      <t>Net Cumulative Gas Savings (m</t>
    </r>
    <r>
      <rPr>
        <b/>
        <vertAlign val="superscript"/>
        <sz val="10"/>
        <color theme="1"/>
        <rFont val="Arial"/>
        <family val="2"/>
      </rPr>
      <t>3</t>
    </r>
    <r>
      <rPr>
        <b/>
        <sz val="10"/>
        <color theme="1"/>
        <rFont val="Arial"/>
        <family val="2"/>
      </rPr>
      <t>)</t>
    </r>
  </si>
  <si>
    <t>Average Incentive Per Project/Units</t>
  </si>
  <si>
    <t>Average Net Annual Gas Savings Per Project/Units</t>
  </si>
  <si>
    <r>
      <t>BUDGET ($) / Gross Annual Gas Savings (m</t>
    </r>
    <r>
      <rPr>
        <b/>
        <vertAlign val="superscript"/>
        <sz val="10"/>
        <color theme="1"/>
        <rFont val="Arial"/>
        <family val="2"/>
      </rPr>
      <t>3</t>
    </r>
    <r>
      <rPr>
        <b/>
        <sz val="10"/>
        <color theme="1"/>
        <rFont val="Arial"/>
        <family val="2"/>
      </rPr>
      <t>)</t>
    </r>
  </si>
  <si>
    <r>
      <t>BUDGET ($) / Net Annual Gas Savings (m</t>
    </r>
    <r>
      <rPr>
        <b/>
        <vertAlign val="superscript"/>
        <sz val="10"/>
        <color theme="1"/>
        <rFont val="Arial"/>
        <family val="2"/>
      </rPr>
      <t>3</t>
    </r>
    <r>
      <rPr>
        <b/>
        <sz val="10"/>
        <color theme="1"/>
        <rFont val="Arial"/>
        <family val="2"/>
      </rPr>
      <t>)</t>
    </r>
  </si>
  <si>
    <r>
      <t>BUDGET ($) / Net Cumulative Gas Savings (m</t>
    </r>
    <r>
      <rPr>
        <b/>
        <vertAlign val="superscript"/>
        <sz val="10"/>
        <color theme="1"/>
        <rFont val="Arial"/>
        <family val="2"/>
      </rPr>
      <t>3</t>
    </r>
    <r>
      <rPr>
        <b/>
        <sz val="10"/>
        <color theme="1"/>
        <rFont val="Arial"/>
        <family val="2"/>
      </rPr>
      <t>)</t>
    </r>
  </si>
  <si>
    <r>
      <t>ACTUAL ($) / Gross Annual Gas Savings (m</t>
    </r>
    <r>
      <rPr>
        <b/>
        <vertAlign val="superscript"/>
        <sz val="10"/>
        <color theme="1"/>
        <rFont val="Arial"/>
        <family val="2"/>
      </rPr>
      <t>3</t>
    </r>
    <r>
      <rPr>
        <b/>
        <sz val="10"/>
        <color theme="1"/>
        <rFont val="Arial"/>
        <family val="2"/>
      </rPr>
      <t>)</t>
    </r>
  </si>
  <si>
    <r>
      <t>ACTUAL ($) / Net Annual Gas Savings (m</t>
    </r>
    <r>
      <rPr>
        <b/>
        <vertAlign val="superscript"/>
        <sz val="10"/>
        <color theme="1"/>
        <rFont val="Arial"/>
        <family val="2"/>
      </rPr>
      <t>3</t>
    </r>
    <r>
      <rPr>
        <b/>
        <sz val="10"/>
        <color theme="1"/>
        <rFont val="Arial"/>
        <family val="2"/>
      </rPr>
      <t>)</t>
    </r>
  </si>
  <si>
    <r>
      <t>ACTUAL ($) / Net Cumulative Gas Savings (m</t>
    </r>
    <r>
      <rPr>
        <b/>
        <vertAlign val="superscript"/>
        <sz val="10"/>
        <color theme="1"/>
        <rFont val="Arial"/>
        <family val="2"/>
      </rPr>
      <t>3</t>
    </r>
    <r>
      <rPr>
        <b/>
        <sz val="10"/>
        <color theme="1"/>
        <rFont val="Arial"/>
        <family val="2"/>
      </rPr>
      <t>)</t>
    </r>
  </si>
  <si>
    <t>TRC-Plus Benefits</t>
  </si>
  <si>
    <t>TRC-Plus Costs</t>
  </si>
  <si>
    <t>TRC-Plus Ratio</t>
  </si>
  <si>
    <t>2027 TRC-Plus Forecast</t>
  </si>
  <si>
    <t>2028 TRC-Plus Forecast</t>
  </si>
  <si>
    <t>2029 TRC-Plus Forecast</t>
  </si>
  <si>
    <t>2030 TRC-Plus Forecast</t>
  </si>
  <si>
    <t>Residential Whole Home (excl. HER+)</t>
  </si>
  <si>
    <t>Residential Sector Admin</t>
  </si>
  <si>
    <t>Low Income Sector Admin</t>
  </si>
  <si>
    <t>Commercial Sector Admin</t>
  </si>
  <si>
    <t>Industrial Sector Admin</t>
  </si>
  <si>
    <t>Large Volume Sector Admin</t>
  </si>
  <si>
    <t>Energy Performance Program</t>
  </si>
  <si>
    <t>Commercial Whole Building P4P</t>
  </si>
  <si>
    <t>Energy Performance Sector Admin</t>
  </si>
  <si>
    <t>Building Beyond Code Program</t>
  </si>
  <si>
    <t>Portfolio Costs</t>
  </si>
  <si>
    <t>PAC Benefits</t>
  </si>
  <si>
    <t>PAC Costs</t>
  </si>
  <si>
    <t>PAC Ratio</t>
  </si>
  <si>
    <t>2027 PAC Forecast</t>
  </si>
  <si>
    <t>2028 PAC Forecast</t>
  </si>
  <si>
    <t>2029 PAC Forecast</t>
  </si>
  <si>
    <t>2030 PAC Forecast</t>
  </si>
  <si>
    <t>Offering</t>
  </si>
  <si>
    <t>Metric</t>
  </si>
  <si>
    <t>Metric
Weighting</t>
  </si>
  <si>
    <t>100% Target</t>
  </si>
  <si>
    <t>DSMI
Allocation</t>
  </si>
  <si>
    <t>DSMI below
75% Score</t>
  </si>
  <si>
    <t>DSMI at 100%
Score</t>
  </si>
  <si>
    <t>DSMI at 150%
Score</t>
  </si>
  <si>
    <t>Achievement</t>
  </si>
  <si>
    <t>Score Achieved</t>
  </si>
  <si>
    <t>DSM Incentive
Achieved</t>
  </si>
  <si>
    <t>Score
Achieved</t>
  </si>
  <si>
    <t>2026 Annual Scorecards</t>
  </si>
  <si>
    <t>Total Available DSM Shareholder Incentive</t>
  </si>
  <si>
    <t>2027 Annual Scorecards</t>
  </si>
  <si>
    <t>2028 Annual Scorecards</t>
  </si>
  <si>
    <t>2029 Annual Scorecards</t>
  </si>
  <si>
    <t>2030 Annual Scorecards</t>
  </si>
  <si>
    <t xml:space="preserve">Commercial &amp; Industrial Custom
Commercial &amp; Industrial Prescriptive
Commercial &amp; Industrial Direct Install
Run it Right
Comprehensive Energy Management
Energy Leaders
Small Commercial New Construction </t>
  </si>
  <si>
    <t>Residential Whole Home
Residential Single Measure
Residential Smart Home</t>
  </si>
  <si>
    <t>Net Annual Natural Gas Savings (m3)</t>
  </si>
  <si>
    <t>Whole Home
Smart Home
Single Measure
Moderate Income Direct Install
Energy Education &amp; Outreach</t>
  </si>
  <si>
    <t>Home Efficiency Rebate</t>
  </si>
  <si>
    <t>Single Family Net Annual Gas Savings (m3)</t>
  </si>
  <si>
    <t>Residential Adaptive Thermostats</t>
  </si>
  <si>
    <t>Commercial Custom
Prescriptive Downstream
Direct Install
Prescriptive Midstream</t>
  </si>
  <si>
    <t>Large Volume Net Annual Natural Gas Savings (m3)</t>
  </si>
  <si>
    <t>Multi-Residential Net Annual Gas Savings (m3)</t>
  </si>
  <si>
    <t>Residential Deep Savings</t>
  </si>
  <si>
    <t>Participants</t>
  </si>
  <si>
    <t>Small Volume Net Annual Natural Gas Savings (m3)</t>
  </si>
  <si>
    <t>Commercial Custom
Com/Ind Prescriptive Downstream
Com/Ind Prescriptive Upstream
Com/Ind Prescriptive Direct Install
Commercial Existing Building Commissioning Commercial Microbusiness</t>
  </si>
  <si>
    <t>Low Income</t>
  </si>
  <si>
    <t>Home Winterproofing - Single Family
(Part 9)</t>
  </si>
  <si>
    <t>Multi-Residential (Part 3)</t>
  </si>
  <si>
    <t>Net Annual Gas Savings (m3)</t>
  </si>
  <si>
    <t>Affordable Housing New Construction</t>
  </si>
  <si>
    <t>Whole Building Pay for Performance</t>
  </si>
  <si>
    <t>Number of Participants</t>
  </si>
  <si>
    <t>Market Transformation</t>
  </si>
  <si>
    <t>Residential Savings by Design</t>
  </si>
  <si>
    <t>Builders Enrolled</t>
  </si>
  <si>
    <t>Homes Built</t>
  </si>
  <si>
    <t>Number of Energy Star Homes</t>
  </si>
  <si>
    <t>Commercial Savings by Design</t>
  </si>
  <si>
    <t>New Developments Enrolled</t>
  </si>
  <si>
    <t>Number of Net Zero Ready Homes</t>
  </si>
  <si>
    <t>School Energy Competition</t>
  </si>
  <si>
    <t>Schools</t>
  </si>
  <si>
    <t>Run it Right</t>
  </si>
  <si>
    <t>Affordable Housing Savings by Design</t>
  </si>
  <si>
    <t>Comprehensive Energy Management</t>
  </si>
  <si>
    <t>Commercial Air Tightness Testing</t>
  </si>
  <si>
    <t>Program Scorecard</t>
  </si>
  <si>
    <t>DSM Shareholder Incentive at 100% Target on Scorecard</t>
  </si>
  <si>
    <t>DSM Budget ($)</t>
  </si>
  <si>
    <t>DSMSI at 100% Target as a Percentage of Budget</t>
  </si>
  <si>
    <t>see note 1</t>
  </si>
  <si>
    <t>Program Budget ($)</t>
  </si>
  <si>
    <t>2026 to 2027</t>
  </si>
  <si>
    <t>2027 to 2028</t>
  </si>
  <si>
    <t>2028 to 2029</t>
  </si>
  <si>
    <t>2029 to 2030</t>
  </si>
  <si>
    <t>Budget ($)</t>
  </si>
  <si>
    <r>
      <t>$/m</t>
    </r>
    <r>
      <rPr>
        <b/>
        <vertAlign val="superscript"/>
        <sz val="10"/>
        <color theme="1"/>
        <rFont val="Arial"/>
        <family val="2"/>
      </rPr>
      <t>3</t>
    </r>
  </si>
  <si>
    <t>TRC+ Ratio</t>
  </si>
  <si>
    <t>Budget ($) % Change</t>
  </si>
  <si>
    <t>$/m3 % Change</t>
  </si>
  <si>
    <t>PAC Ratio % Change</t>
  </si>
  <si>
    <t>-</t>
  </si>
  <si>
    <t>Program Total</t>
  </si>
  <si>
    <t>EM&amp;V</t>
  </si>
  <si>
    <t>Process Evaluation</t>
  </si>
  <si>
    <t>Research and Market Data</t>
  </si>
  <si>
    <t>Grand Total</t>
  </si>
  <si>
    <t>Notes</t>
  </si>
  <si>
    <t>Excludes 2026 Programs/Offerings not being proposed for 2027 - 2030 (Energy Performance and Building Beyond Code).</t>
  </si>
  <si>
    <t>The Large Volume Direct Access Offering has a total target for the four-year term in 2030. For illustrative purposes, forecast values shown are yearly estimates and assume all eligible customers remain in the offering.</t>
  </si>
  <si>
    <t xml:space="preserve">2026 TRC-Plus Forecast is the 2025 TRC-Plus Forecast filed in EB-2024-0198 Exhibit C, Tab 2, Schedule 3, Page 4 (filed: 2025-06-20). </t>
  </si>
  <si>
    <t xml:space="preserve">2026 Forecast PAC ratio comparison is based on 2025 forecast in alignment with the TRC-Plus Forecast refered to in EB-2024-0198 Exhibit C, Tab 2, Schedule 3, Page 4 (filed: 2025-06-20). </t>
  </si>
  <si>
    <t>2026 
100% Target</t>
  </si>
  <si>
    <t>2027 
100% Target</t>
  </si>
  <si>
    <t>2026 to 2027
% Change</t>
  </si>
  <si>
    <t>2027 to 2028
% Change</t>
  </si>
  <si>
    <t>2028 to 2029
% Change</t>
  </si>
  <si>
    <t>2029 to 2030
% Change</t>
  </si>
  <si>
    <t>Resource Acquisition</t>
  </si>
  <si>
    <t>Commercial &amp; Industrial Prescriptive
Commercial &amp; Industrial Direct Install
Commercial &amp; Industrial Custom
Home Efficiency Rebate
Residential Adaptive Thermostats</t>
  </si>
  <si>
    <t>Home Weatherization
Furnace End-of-Life
Indigenous</t>
  </si>
  <si>
    <t>Multi-Family</t>
  </si>
  <si>
    <t>Adaptive Thermostats</t>
  </si>
  <si>
    <t>Large Volume</t>
  </si>
  <si>
    <t>Optimum Home</t>
  </si>
  <si>
    <t>Percentage of Homes Built (&gt;15% above
OBC 2017) by Participating Builders</t>
  </si>
  <si>
    <t>Performance-Based</t>
  </si>
  <si>
    <t>RunSmart</t>
  </si>
  <si>
    <t>Savings (%)</t>
  </si>
  <si>
    <t>Portfolio Subtotal (as per 2027 Structure)</t>
  </si>
  <si>
    <r>
      <t xml:space="preserve">Incentive + Promotion Costs </t>
    </r>
    <r>
      <rPr>
        <b/>
        <vertAlign val="superscript"/>
        <sz val="10"/>
        <color theme="1"/>
        <rFont val="Arial"/>
        <family val="2"/>
      </rPr>
      <t>(1)</t>
    </r>
  </si>
  <si>
    <r>
      <t>Residential Single Measure</t>
    </r>
    <r>
      <rPr>
        <i/>
        <vertAlign val="superscript"/>
        <sz val="10"/>
        <color theme="1"/>
        <rFont val="Arial"/>
        <family val="2"/>
      </rPr>
      <t xml:space="preserve"> (2)</t>
    </r>
  </si>
  <si>
    <r>
      <t>Prescriptive Midstream</t>
    </r>
    <r>
      <rPr>
        <vertAlign val="superscript"/>
        <sz val="10"/>
        <color theme="1"/>
        <rFont val="Arial"/>
        <family val="2"/>
      </rPr>
      <t xml:space="preserve"> (3)</t>
    </r>
  </si>
  <si>
    <r>
      <t>Industrial Custom</t>
    </r>
    <r>
      <rPr>
        <vertAlign val="superscript"/>
        <sz val="10"/>
        <color theme="1"/>
        <rFont val="Arial"/>
        <family val="2"/>
      </rPr>
      <t xml:space="preserve"> (4) (5)</t>
    </r>
  </si>
  <si>
    <t>(1) DSM OEB Approved Budgets do not separate the components of "Program Costs" between "Incentive Costs" and "Promotion Costs"</t>
  </si>
  <si>
    <t>(3) Midstream costs have been tracked within Prescriptive Downstream since it not a stand alone offering during the 2021-2022 period</t>
  </si>
  <si>
    <t>(4) Includes Comprehensive Energy Management - Resource Acquisition (EGD)</t>
  </si>
  <si>
    <t>(5) EGD Custom budget is split between Commercial and Industrial using estimates derived from 2020 actual spending</t>
  </si>
  <si>
    <t>(6) These costs were not tracked separately historically</t>
  </si>
  <si>
    <t>(1) Administration Costs include Portfolio Administration, System Maintenance &amp; Improvements and Municipal Engagement</t>
  </si>
  <si>
    <t xml:space="preserve">(2) Evaluation and Regulatory Costs include Regulatory &amp; Stakeholdering costs, EM&amp;V costs and Process Evaluation costs. </t>
  </si>
  <si>
    <t>Resdential Savings by Design</t>
  </si>
  <si>
    <t>Affordable Housing Savings By Design</t>
  </si>
  <si>
    <t>Run It Right / RunSmart</t>
  </si>
  <si>
    <t>Comprehensive / Strategic Energy Management</t>
  </si>
  <si>
    <t>Furnace End-of-Life (2016-2022)</t>
  </si>
  <si>
    <t>Indigenous (2016-2022)</t>
  </si>
  <si>
    <t>2027 Gas Savings Forecast</t>
  </si>
  <si>
    <t>2028 Gas Savings Forecast</t>
  </si>
  <si>
    <t>2029 Gas Savings Forecast</t>
  </si>
  <si>
    <t>2030 Gas Savings Forecast</t>
  </si>
  <si>
    <t>Energy Performance Program Level Costs</t>
  </si>
  <si>
    <r>
      <t>Commercial Program</t>
    </r>
    <r>
      <rPr>
        <vertAlign val="superscript"/>
        <sz val="10"/>
        <color theme="1"/>
        <rFont val="Arial"/>
        <family val="2"/>
      </rPr>
      <t xml:space="preserve"> (3)</t>
    </r>
  </si>
  <si>
    <t>Other</t>
  </si>
  <si>
    <t>Open Bill Project</t>
  </si>
  <si>
    <t>Items not included in 2027+ Offerings Total</t>
  </si>
  <si>
    <t>Market Transformation &amp; Energy Management Programs</t>
  </si>
  <si>
    <t>2015-2022 Other</t>
  </si>
  <si>
    <t>Indigenous</t>
  </si>
  <si>
    <t>2021 </t>
  </si>
  <si>
    <t>2022 </t>
  </si>
  <si>
    <t>2023 </t>
  </si>
  <si>
    <t>2024 </t>
  </si>
  <si>
    <t>2025 </t>
  </si>
  <si>
    <t>2026 </t>
  </si>
  <si>
    <t>2027 </t>
  </si>
  <si>
    <t>2028 </t>
  </si>
  <si>
    <t>2029 </t>
  </si>
  <si>
    <t>2030 </t>
  </si>
  <si>
    <t>Residential</t>
  </si>
  <si>
    <t>Commercial/Industrial (C/I)</t>
  </si>
  <si>
    <t>C/I Custom</t>
  </si>
  <si>
    <t>C/I Direct Install</t>
  </si>
  <si>
    <t>Low Income Multi-Family</t>
  </si>
  <si>
    <t>Furnace End-of-Life Upgrade</t>
  </si>
  <si>
    <t>Home Weatherization</t>
  </si>
  <si>
    <t>Resource Acquisition Program</t>
  </si>
  <si>
    <t>Run it Right - RA</t>
  </si>
  <si>
    <t>CEM - RA</t>
  </si>
  <si>
    <t>Commercial &amp; Industrial Custom</t>
  </si>
  <si>
    <t>Commercial &amp; Industrial Direct Install</t>
  </si>
  <si>
    <t>Energy Leaders</t>
  </si>
  <si>
    <t>Performance Based Program</t>
  </si>
  <si>
    <t>Total Portfolio</t>
  </si>
  <si>
    <t>Low Income Multi Residential</t>
  </si>
  <si>
    <t xml:space="preserve">Total Portfolio </t>
  </si>
  <si>
    <t>WAML (years)</t>
  </si>
  <si>
    <t>Average Net Annual Gas Savings Per  Unique Participant</t>
  </si>
  <si>
    <t>(2) Offer did not exist before 2023</t>
  </si>
  <si>
    <t>Total not included in 2027+ Offerings</t>
  </si>
  <si>
    <r>
      <t xml:space="preserve">Delivery Costs </t>
    </r>
    <r>
      <rPr>
        <b/>
        <vertAlign val="superscript"/>
        <sz val="10"/>
        <color theme="1"/>
        <rFont val="Arial"/>
        <family val="2"/>
      </rPr>
      <t>(7)</t>
    </r>
  </si>
  <si>
    <r>
      <t xml:space="preserve">Market Transformation &amp; Energy Management Programs </t>
    </r>
    <r>
      <rPr>
        <b/>
        <vertAlign val="superscript"/>
        <sz val="10"/>
        <rFont val="Arial"/>
        <family val="2"/>
      </rPr>
      <t>(8)</t>
    </r>
  </si>
  <si>
    <r>
      <t>2015-2022 Other</t>
    </r>
    <r>
      <rPr>
        <b/>
        <vertAlign val="superscript"/>
        <sz val="10"/>
        <color theme="1"/>
        <rFont val="Arial"/>
        <family val="2"/>
      </rPr>
      <t xml:space="preserve"> (8)</t>
    </r>
  </si>
  <si>
    <r>
      <t xml:space="preserve">2015-2022 Other </t>
    </r>
    <r>
      <rPr>
        <b/>
        <vertAlign val="superscript"/>
        <sz val="10"/>
        <color theme="1"/>
        <rFont val="Arial"/>
        <family val="2"/>
      </rPr>
      <t>(8)</t>
    </r>
  </si>
  <si>
    <t>(7) New cost categorization in 2023. Previously included in other cost categories, such as Promotion.</t>
  </si>
  <si>
    <t>(8) Where administration costs were tracked centrally, they have been allocated based on program spend for the above described programs. EGD did not track Portfolio Administration separately in 2021-2022.</t>
  </si>
  <si>
    <t>(1) Does not exist prior to 2023</t>
  </si>
  <si>
    <t>(2) Midstream costs have been tracked within Prescriptive Downstream since it not a stand alone offering during the 2021-2022 period</t>
  </si>
  <si>
    <t>(3) Includes Comprehensive Energy Management - Resource Acquisition (EGD)</t>
  </si>
  <si>
    <t>(6) New cost categorization in 2023. Previously included in other cost categories, such as Promotion.</t>
  </si>
  <si>
    <t>(7) Where administration costs were tracked centrally, they have been allocated based on program spend for the above described programs. EGD did not track Portfolio Administration separately in 2021-2022.</t>
  </si>
  <si>
    <t>(5) Costs moved to a separate section to align with format for 2027-2030 Offerings</t>
  </si>
  <si>
    <t>Home Winterproofing - Single Family</t>
  </si>
  <si>
    <r>
      <t>Delivery Costs</t>
    </r>
    <r>
      <rPr>
        <b/>
        <vertAlign val="superscript"/>
        <sz val="10"/>
        <color theme="1"/>
        <rFont val="Arial"/>
        <family val="2"/>
      </rPr>
      <t xml:space="preserve"> (6)</t>
    </r>
  </si>
  <si>
    <r>
      <t>Admin Costs</t>
    </r>
    <r>
      <rPr>
        <b/>
        <vertAlign val="superscript"/>
        <sz val="10"/>
        <color theme="1"/>
        <rFont val="Arial"/>
        <family val="2"/>
      </rPr>
      <t xml:space="preserve"> (7)</t>
    </r>
  </si>
  <si>
    <r>
      <t>Residential Single Measure</t>
    </r>
    <r>
      <rPr>
        <i/>
        <vertAlign val="superscript"/>
        <sz val="10"/>
        <color theme="1"/>
        <rFont val="Arial"/>
        <family val="2"/>
      </rPr>
      <t xml:space="preserve"> (1)</t>
    </r>
  </si>
  <si>
    <r>
      <t>Commercial Custom</t>
    </r>
    <r>
      <rPr>
        <i/>
        <vertAlign val="superscript"/>
        <sz val="10"/>
        <color theme="1"/>
        <rFont val="Arial"/>
        <family val="2"/>
      </rPr>
      <t xml:space="preserve"> (3)</t>
    </r>
  </si>
  <si>
    <r>
      <t>Prescriptive Midstream</t>
    </r>
    <r>
      <rPr>
        <i/>
        <vertAlign val="superscript"/>
        <sz val="10"/>
        <color theme="1"/>
        <rFont val="Arial"/>
        <family val="2"/>
      </rPr>
      <t xml:space="preserve"> (2)</t>
    </r>
  </si>
  <si>
    <r>
      <t>Industrial Custom</t>
    </r>
    <r>
      <rPr>
        <i/>
        <vertAlign val="superscript"/>
        <sz val="10"/>
        <color theme="1"/>
        <rFont val="Arial"/>
        <family val="2"/>
      </rPr>
      <t xml:space="preserve"> (4)</t>
    </r>
  </si>
  <si>
    <r>
      <t>Portfolio Administration</t>
    </r>
    <r>
      <rPr>
        <i/>
        <vertAlign val="superscript"/>
        <sz val="10"/>
        <rFont val="Arial"/>
        <family val="2"/>
      </rPr>
      <t xml:space="preserve"> </t>
    </r>
  </si>
  <si>
    <r>
      <t>System Maintenance &amp; Improvements</t>
    </r>
    <r>
      <rPr>
        <i/>
        <vertAlign val="superscript"/>
        <sz val="10"/>
        <rFont val="Arial"/>
        <family val="2"/>
      </rPr>
      <t xml:space="preserve"> </t>
    </r>
  </si>
  <si>
    <r>
      <t>Regulatory &amp; Stakeholdering</t>
    </r>
    <r>
      <rPr>
        <i/>
        <vertAlign val="superscript"/>
        <sz val="10"/>
        <rFont val="Arial"/>
        <family val="2"/>
      </rPr>
      <t xml:space="preserve"> (4)</t>
    </r>
  </si>
  <si>
    <r>
      <t>Municipal Engagement</t>
    </r>
    <r>
      <rPr>
        <i/>
        <vertAlign val="superscript"/>
        <sz val="10"/>
        <rFont val="Arial"/>
        <family val="2"/>
      </rPr>
      <t xml:space="preserve"> (4)</t>
    </r>
  </si>
  <si>
    <r>
      <t>Process and Market Evaluation</t>
    </r>
    <r>
      <rPr>
        <i/>
        <vertAlign val="superscript"/>
        <sz val="10"/>
        <rFont val="Arial"/>
        <family val="2"/>
      </rPr>
      <t xml:space="preserve"> (4)</t>
    </r>
  </si>
  <si>
    <r>
      <t>Items not included in 2027+ Offerings</t>
    </r>
    <r>
      <rPr>
        <b/>
        <vertAlign val="superscript"/>
        <sz val="10"/>
        <color theme="1"/>
        <rFont val="Arial"/>
        <family val="2"/>
      </rPr>
      <t xml:space="preserve"> (5)</t>
    </r>
  </si>
  <si>
    <r>
      <t>Net Annual Gas Savings (m</t>
    </r>
    <r>
      <rPr>
        <vertAlign val="superscript"/>
        <sz val="10"/>
        <rFont val="Arial"/>
        <family val="2"/>
      </rPr>
      <t>3</t>
    </r>
    <r>
      <rPr>
        <sz val="10"/>
        <rFont val="Arial"/>
        <family val="2"/>
      </rPr>
      <t>) (excluding Large Volume Program)</t>
    </r>
  </si>
  <si>
    <r>
      <t>Net Cumulative Gas Savings (m</t>
    </r>
    <r>
      <rPr>
        <vertAlign val="superscript"/>
        <sz val="10"/>
        <rFont val="Arial"/>
        <family val="2"/>
      </rPr>
      <t>3</t>
    </r>
    <r>
      <rPr>
        <sz val="10"/>
        <rFont val="Arial"/>
        <family val="2"/>
      </rPr>
      <t>) (excluding Large Volume Program)</t>
    </r>
  </si>
  <si>
    <t>Metric Achievement</t>
  </si>
  <si>
    <t>Number of Qualified Agents</t>
  </si>
  <si>
    <t>Strategic Energy Management</t>
  </si>
  <si>
    <t>Pre-2027 Programs/Offerings</t>
  </si>
  <si>
    <t>Incentive Budget Only ($)</t>
  </si>
  <si>
    <t>m3 % Change</t>
  </si>
  <si>
    <t>TRC-Plus % Change</t>
  </si>
  <si>
    <t>NA</t>
  </si>
  <si>
    <t>2027 to 2030</t>
  </si>
  <si>
    <t xml:space="preserve">Column No. </t>
  </si>
  <si>
    <t>Line No.</t>
  </si>
  <si>
    <t>Budget TOTAL ($000s)</t>
  </si>
  <si>
    <t>Actual Spend TOTAL ($000s)</t>
  </si>
  <si>
    <t>Budget INCENTIVE ($000s)</t>
  </si>
  <si>
    <t>Actual Spend
INCENTIVE ($000s)</t>
  </si>
  <si>
    <t>(4) These costs were not tracked separately historically.</t>
  </si>
  <si>
    <t>LUG Subtotal</t>
  </si>
  <si>
    <t>Legacy Enbridge Gas Distribution</t>
  </si>
  <si>
    <t>LEGD Subtotal</t>
  </si>
  <si>
    <t>Legacy Union Gas</t>
  </si>
  <si>
    <t>Portfolio</t>
  </si>
  <si>
    <t>2026 Program Year</t>
  </si>
  <si>
    <t>2027 Program Year</t>
  </si>
  <si>
    <t>2028 Program Year</t>
  </si>
  <si>
    <t>2029 Program Year</t>
  </si>
  <si>
    <t>2030 Program Year</t>
  </si>
  <si>
    <r>
      <t xml:space="preserve">2021 Program Year </t>
    </r>
    <r>
      <rPr>
        <b/>
        <vertAlign val="superscript"/>
        <sz val="10"/>
        <color theme="1"/>
        <rFont val="Arial"/>
        <family val="2"/>
      </rPr>
      <t>(1)</t>
    </r>
  </si>
  <si>
    <r>
      <t xml:space="preserve">2022 Program Year </t>
    </r>
    <r>
      <rPr>
        <b/>
        <vertAlign val="superscript"/>
        <sz val="10"/>
        <color theme="1"/>
        <rFont val="Arial"/>
        <family val="2"/>
      </rPr>
      <t>(1)</t>
    </r>
  </si>
  <si>
    <r>
      <t xml:space="preserve">2023 Program Year </t>
    </r>
    <r>
      <rPr>
        <b/>
        <vertAlign val="superscript"/>
        <sz val="10"/>
        <color theme="1"/>
        <rFont val="Arial"/>
        <family val="2"/>
      </rPr>
      <t>(1)</t>
    </r>
  </si>
  <si>
    <r>
      <t xml:space="preserve">Residential Electric Heat Pumps </t>
    </r>
    <r>
      <rPr>
        <i/>
        <vertAlign val="superscript"/>
        <sz val="10"/>
        <color theme="1"/>
        <rFont val="Arial"/>
        <family val="2"/>
      </rPr>
      <t>(2)</t>
    </r>
  </si>
  <si>
    <r>
      <t xml:space="preserve">Energy Education &amp; Outreach </t>
    </r>
    <r>
      <rPr>
        <i/>
        <vertAlign val="superscript"/>
        <sz val="10"/>
        <color theme="1"/>
        <rFont val="Arial"/>
        <family val="2"/>
      </rPr>
      <t>(2)</t>
    </r>
  </si>
  <si>
    <r>
      <t xml:space="preserve">Industrial Energy Innovation </t>
    </r>
    <r>
      <rPr>
        <i/>
        <vertAlign val="superscript"/>
        <sz val="10"/>
        <color theme="1"/>
        <rFont val="Arial"/>
        <family val="2"/>
      </rPr>
      <t>(2)</t>
    </r>
  </si>
  <si>
    <r>
      <t xml:space="preserve">Industrial Strategic Energy Management </t>
    </r>
    <r>
      <rPr>
        <i/>
        <vertAlign val="superscript"/>
        <sz val="10"/>
        <color theme="1"/>
        <rFont val="Arial"/>
        <family val="2"/>
      </rPr>
      <t>(2)</t>
    </r>
  </si>
  <si>
    <r>
      <t xml:space="preserve">Commercial Energy Innovation </t>
    </r>
    <r>
      <rPr>
        <i/>
        <vertAlign val="superscript"/>
        <sz val="10"/>
        <color theme="1"/>
        <rFont val="Arial"/>
        <family val="2"/>
      </rPr>
      <t>(2)</t>
    </r>
  </si>
  <si>
    <r>
      <t xml:space="preserve">Commercial Strategic Energy Management </t>
    </r>
    <r>
      <rPr>
        <i/>
        <vertAlign val="superscript"/>
        <sz val="10"/>
        <color theme="1"/>
        <rFont val="Arial"/>
        <family val="2"/>
      </rPr>
      <t>(2)</t>
    </r>
  </si>
  <si>
    <r>
      <t xml:space="preserve">Commercial Microbusiness </t>
    </r>
    <r>
      <rPr>
        <i/>
        <vertAlign val="superscript"/>
        <sz val="10"/>
        <color theme="1"/>
        <rFont val="Arial"/>
        <family val="2"/>
      </rPr>
      <t>(2)</t>
    </r>
  </si>
  <si>
    <r>
      <t xml:space="preserve">Com Existing Building Commissioning </t>
    </r>
    <r>
      <rPr>
        <i/>
        <vertAlign val="superscript"/>
        <sz val="10"/>
        <color theme="1"/>
        <rFont val="Arial"/>
        <family val="2"/>
      </rPr>
      <t>(2)</t>
    </r>
  </si>
  <si>
    <r>
      <t xml:space="preserve">Com/Ind Prescriptive Upstream </t>
    </r>
    <r>
      <rPr>
        <i/>
        <vertAlign val="superscript"/>
        <sz val="10"/>
        <color theme="1"/>
        <rFont val="Arial"/>
        <family val="2"/>
      </rPr>
      <t>(3)</t>
    </r>
  </si>
  <si>
    <r>
      <t xml:space="preserve">Market Transformation &amp; Energy Management Programs </t>
    </r>
    <r>
      <rPr>
        <b/>
        <vertAlign val="superscript"/>
        <sz val="10"/>
        <color theme="1"/>
        <rFont val="Arial"/>
        <family val="2"/>
      </rPr>
      <t>(4)</t>
    </r>
  </si>
  <si>
    <r>
      <t xml:space="preserve">Comprehensive / Strategic Energy Management (2021-2022) </t>
    </r>
    <r>
      <rPr>
        <i/>
        <vertAlign val="superscript"/>
        <sz val="10"/>
        <color theme="1"/>
        <rFont val="Arial"/>
        <family val="2"/>
      </rPr>
      <t>(5)</t>
    </r>
  </si>
  <si>
    <r>
      <t xml:space="preserve">Run It Right / RunSmart (2021-2022) </t>
    </r>
    <r>
      <rPr>
        <i/>
        <vertAlign val="superscript"/>
        <sz val="10"/>
        <color theme="1"/>
        <rFont val="Arial"/>
        <family val="2"/>
      </rPr>
      <t>(6)</t>
    </r>
  </si>
  <si>
    <r>
      <t xml:space="preserve">Building Beyond Code Program </t>
    </r>
    <r>
      <rPr>
        <b/>
        <vertAlign val="superscript"/>
        <sz val="10"/>
        <color theme="1"/>
        <rFont val="Arial"/>
        <family val="2"/>
      </rPr>
      <t>(7)</t>
    </r>
  </si>
  <si>
    <r>
      <t xml:space="preserve">Number of 
Unique Participants </t>
    </r>
    <r>
      <rPr>
        <b/>
        <vertAlign val="superscript"/>
        <sz val="10"/>
        <color theme="1"/>
        <rFont val="Arial"/>
        <family val="2"/>
      </rPr>
      <t>(8)</t>
    </r>
  </si>
  <si>
    <r>
      <t xml:space="preserve">Number of Projects/Units
REPEAT 2x </t>
    </r>
    <r>
      <rPr>
        <b/>
        <vertAlign val="superscript"/>
        <sz val="10"/>
        <color theme="1"/>
        <rFont val="Arial"/>
        <family val="2"/>
      </rPr>
      <t>(8)</t>
    </r>
  </si>
  <si>
    <r>
      <t xml:space="preserve">Number of Projects/Units
REPEAT 3+ </t>
    </r>
    <r>
      <rPr>
        <b/>
        <vertAlign val="superscript"/>
        <sz val="10"/>
        <color theme="1"/>
        <rFont val="Arial"/>
        <family val="2"/>
      </rPr>
      <t>(8)</t>
    </r>
  </si>
  <si>
    <r>
      <t xml:space="preserve">Whole Building Pay For Performance (P4P) </t>
    </r>
    <r>
      <rPr>
        <i/>
        <vertAlign val="superscript"/>
        <sz val="10"/>
        <color theme="1"/>
        <rFont val="Arial"/>
        <family val="2"/>
      </rPr>
      <t>(9)</t>
    </r>
  </si>
  <si>
    <r>
      <t xml:space="preserve">Building Beyond Code Program </t>
    </r>
    <r>
      <rPr>
        <b/>
        <vertAlign val="superscript"/>
        <sz val="10"/>
        <color theme="1"/>
        <rFont val="Arial"/>
        <family val="2"/>
      </rPr>
      <t>(10)</t>
    </r>
  </si>
  <si>
    <r>
      <t xml:space="preserve">2024 Program Year </t>
    </r>
    <r>
      <rPr>
        <b/>
        <vertAlign val="superscript"/>
        <sz val="10"/>
        <color theme="1"/>
        <rFont val="Arial"/>
        <family val="2"/>
      </rPr>
      <t>(11)</t>
    </r>
  </si>
  <si>
    <r>
      <t xml:space="preserve">2025 Program Year </t>
    </r>
    <r>
      <rPr>
        <b/>
        <vertAlign val="superscript"/>
        <sz val="10"/>
        <color theme="1"/>
        <rFont val="Arial"/>
        <family val="2"/>
      </rPr>
      <t>(12)</t>
    </r>
  </si>
  <si>
    <r>
      <t>Net Annual Gas Savings (m</t>
    </r>
    <r>
      <rPr>
        <b/>
        <vertAlign val="superscript"/>
        <sz val="10"/>
        <color theme="1"/>
        <rFont val="Arial"/>
        <family val="2"/>
      </rPr>
      <t>3</t>
    </r>
    <r>
      <rPr>
        <b/>
        <sz val="10"/>
        <color theme="1"/>
        <rFont val="Arial"/>
        <family val="2"/>
      </rPr>
      <t xml:space="preserve">) </t>
    </r>
    <r>
      <rPr>
        <b/>
        <vertAlign val="superscript"/>
        <sz val="10"/>
        <color theme="1"/>
        <rFont val="Arial"/>
        <family val="2"/>
      </rPr>
      <t>(13)</t>
    </r>
  </si>
  <si>
    <r>
      <t>Net Cumulative Gas Savings (m</t>
    </r>
    <r>
      <rPr>
        <b/>
        <vertAlign val="superscript"/>
        <sz val="10"/>
        <color theme="1"/>
        <rFont val="Arial"/>
        <family val="2"/>
      </rPr>
      <t>3</t>
    </r>
    <r>
      <rPr>
        <b/>
        <sz val="10"/>
        <color theme="1"/>
        <rFont val="Arial"/>
        <family val="2"/>
      </rPr>
      <t xml:space="preserve">) </t>
    </r>
    <r>
      <rPr>
        <b/>
        <vertAlign val="superscript"/>
        <sz val="10"/>
        <color theme="1"/>
        <rFont val="Arial"/>
        <family val="2"/>
      </rPr>
      <t>(14)</t>
    </r>
  </si>
  <si>
    <r>
      <t>Gross Annual Gas Savings (m</t>
    </r>
    <r>
      <rPr>
        <b/>
        <vertAlign val="superscript"/>
        <sz val="10"/>
        <color theme="1"/>
        <rFont val="Arial"/>
        <family val="2"/>
      </rPr>
      <t>3</t>
    </r>
    <r>
      <rPr>
        <b/>
        <sz val="10"/>
        <color theme="1"/>
        <rFont val="Arial"/>
        <family val="2"/>
      </rPr>
      <t xml:space="preserve">) </t>
    </r>
    <r>
      <rPr>
        <b/>
        <vertAlign val="superscript"/>
        <sz val="10"/>
        <color theme="1"/>
        <rFont val="Arial"/>
        <family val="2"/>
      </rPr>
      <t>(14)</t>
    </r>
  </si>
  <si>
    <r>
      <t xml:space="preserve">Number of Projects/Units
TOTAL </t>
    </r>
    <r>
      <rPr>
        <b/>
        <vertAlign val="superscript"/>
        <sz val="10"/>
        <color theme="1"/>
        <rFont val="Arial"/>
        <family val="2"/>
      </rPr>
      <t>(14)</t>
    </r>
  </si>
  <si>
    <r>
      <t xml:space="preserve">Building Beyond Code Program </t>
    </r>
    <r>
      <rPr>
        <b/>
        <vertAlign val="superscript"/>
        <sz val="10"/>
        <color theme="1"/>
        <rFont val="Arial"/>
        <family val="2"/>
      </rPr>
      <t>(16)</t>
    </r>
  </si>
  <si>
    <t>(3) Net benefits are the difference between the TRC-Plus benefits and the TRC costs.</t>
  </si>
  <si>
    <t xml:space="preserve">(4) TRC-Plus benefits and TRC costs were calculated using avoided costs applicable to the respective program year with the exception of 2026, which is using 2025 avoided costs avaliable at the time of the forecast. </t>
  </si>
  <si>
    <r>
      <t>Cumulative Natural Gas
Savings (m</t>
    </r>
    <r>
      <rPr>
        <vertAlign val="superscript"/>
        <sz val="10"/>
        <color theme="1"/>
        <rFont val="Arial"/>
        <family val="2"/>
      </rPr>
      <t>3</t>
    </r>
    <r>
      <rPr>
        <sz val="10"/>
        <color theme="1"/>
        <rFont val="Arial"/>
        <family val="2"/>
      </rPr>
      <t>)</t>
    </r>
  </si>
  <si>
    <r>
      <t>Single Family Cumulative Natural Gas
Savings (m</t>
    </r>
    <r>
      <rPr>
        <vertAlign val="superscript"/>
        <sz val="10"/>
        <color theme="1"/>
        <rFont val="Arial"/>
        <family val="2"/>
      </rPr>
      <t>3</t>
    </r>
    <r>
      <rPr>
        <sz val="10"/>
        <color theme="1"/>
        <rFont val="Arial"/>
        <family val="2"/>
      </rPr>
      <t>)</t>
    </r>
  </si>
  <si>
    <r>
      <t>Social and Assisted Multi-Family
Cumulative Natural Gas Savings (m</t>
    </r>
    <r>
      <rPr>
        <vertAlign val="superscript"/>
        <sz val="10"/>
        <color theme="1"/>
        <rFont val="Arial"/>
        <family val="2"/>
      </rPr>
      <t>3</t>
    </r>
    <r>
      <rPr>
        <sz val="10"/>
        <color theme="1"/>
        <rFont val="Arial"/>
        <family val="2"/>
      </rPr>
      <t>)</t>
    </r>
  </si>
  <si>
    <r>
      <t>Market Rate Multi-Family Cumulative
Natural Gas Savings (m</t>
    </r>
    <r>
      <rPr>
        <vertAlign val="superscript"/>
        <sz val="10"/>
        <color theme="1"/>
        <rFont val="Arial"/>
        <family val="2"/>
      </rPr>
      <t>3</t>
    </r>
    <r>
      <rPr>
        <sz val="10"/>
        <color theme="1"/>
        <rFont val="Arial"/>
        <family val="2"/>
      </rPr>
      <t>)</t>
    </r>
  </si>
  <si>
    <r>
      <t>Cumulative Natural Gas Savings (m</t>
    </r>
    <r>
      <rPr>
        <vertAlign val="superscript"/>
        <sz val="10"/>
        <color theme="1"/>
        <rFont val="Arial"/>
        <family val="2"/>
      </rPr>
      <t>3</t>
    </r>
    <r>
      <rPr>
        <sz val="10"/>
        <color theme="1"/>
        <rFont val="Arial"/>
        <family val="2"/>
      </rPr>
      <t>)</t>
    </r>
  </si>
  <si>
    <r>
      <t>Large Volume Customers -Cumulative Natural Gas Savings (m</t>
    </r>
    <r>
      <rPr>
        <vertAlign val="superscript"/>
        <sz val="10"/>
        <color theme="1"/>
        <rFont val="Arial"/>
        <family val="2"/>
      </rPr>
      <t>3</t>
    </r>
    <r>
      <rPr>
        <sz val="10"/>
        <color theme="1"/>
        <rFont val="Arial"/>
        <family val="2"/>
      </rPr>
      <t xml:space="preserve">) </t>
    </r>
    <r>
      <rPr>
        <vertAlign val="superscript"/>
        <sz val="10"/>
        <color theme="1"/>
        <rFont val="Arial"/>
        <family val="2"/>
      </rPr>
      <t>(2)</t>
    </r>
  </si>
  <si>
    <r>
      <t>Small Volume Customers -Cumulative Natural Gas Savings (m</t>
    </r>
    <r>
      <rPr>
        <vertAlign val="superscript"/>
        <sz val="10"/>
        <color theme="1"/>
        <rFont val="Arial"/>
        <family val="2"/>
      </rPr>
      <t>3</t>
    </r>
    <r>
      <rPr>
        <sz val="10"/>
        <color theme="1"/>
        <rFont val="Arial"/>
        <family val="2"/>
      </rPr>
      <t xml:space="preserve">) </t>
    </r>
    <r>
      <rPr>
        <vertAlign val="superscript"/>
        <sz val="10"/>
        <color theme="1"/>
        <rFont val="Arial"/>
        <family val="2"/>
      </rPr>
      <t>(2)</t>
    </r>
  </si>
  <si>
    <r>
      <t>Large Volume Net Annual Natural Gas Savings (m</t>
    </r>
    <r>
      <rPr>
        <vertAlign val="superscript"/>
        <sz val="10"/>
        <color theme="1"/>
        <rFont val="Arial"/>
        <family val="2"/>
      </rPr>
      <t>3</t>
    </r>
    <r>
      <rPr>
        <sz val="10"/>
        <color theme="1"/>
        <rFont val="Arial"/>
        <family val="2"/>
      </rPr>
      <t xml:space="preserve">) </t>
    </r>
    <r>
      <rPr>
        <vertAlign val="superscript"/>
        <sz val="10"/>
        <color theme="1"/>
        <rFont val="Arial"/>
        <family val="2"/>
      </rPr>
      <t>(2)</t>
    </r>
  </si>
  <si>
    <r>
      <t>Small Volume Net Annual Natural Gas Savings (m</t>
    </r>
    <r>
      <rPr>
        <vertAlign val="superscript"/>
        <sz val="10"/>
        <color theme="1"/>
        <rFont val="Arial"/>
        <family val="2"/>
      </rPr>
      <t>3</t>
    </r>
    <r>
      <rPr>
        <sz val="10"/>
        <color theme="1"/>
        <rFont val="Arial"/>
        <family val="2"/>
      </rPr>
      <t xml:space="preserve">) </t>
    </r>
    <r>
      <rPr>
        <vertAlign val="superscript"/>
        <sz val="10"/>
        <color theme="1"/>
        <rFont val="Arial"/>
        <family val="2"/>
      </rPr>
      <t>(2)</t>
    </r>
  </si>
  <si>
    <r>
      <t>Net Annual Natural Gas Savings (m</t>
    </r>
    <r>
      <rPr>
        <vertAlign val="superscript"/>
        <sz val="10"/>
        <color theme="1"/>
        <rFont val="Arial"/>
        <family val="2"/>
      </rPr>
      <t>3</t>
    </r>
    <r>
      <rPr>
        <sz val="10"/>
        <color theme="1"/>
        <rFont val="Arial"/>
        <family val="2"/>
      </rPr>
      <t>)</t>
    </r>
  </si>
  <si>
    <t>2021-2023 program year results are OEB approved.</t>
  </si>
  <si>
    <t xml:space="preserve">(1) 2021-2023 TRC-Plus aligns with OEB approved results. 2024 TRC-Plus aligns with the OEB's Evaluation Contractor's audited results, but remain subject to OEB approval. 2025 TRC-Plus aligns with the Draft Annual Report. </t>
  </si>
  <si>
    <t xml:space="preserve">(1) Tables are aligned with the proposed 2027+ programming - therefore the details of the following programs are not shown: Energy Performance, Energy Management, Building Beyond Code, Market Transformation, Other 2021-2022 Offerings. Please see the Other Consolidated Data tab or Scorecards tab as applicable. </t>
  </si>
  <si>
    <t>(2) 2021-2023 program year results are OEB approved.</t>
  </si>
  <si>
    <t>(3) Matching offer does not exist prior to 2027.</t>
  </si>
  <si>
    <t xml:space="preserve">(4) Previously tracked as Prescriptive Midstream prior to 2027. </t>
  </si>
  <si>
    <t>(5) 2024 program year results have been audited by the OEB's Evaluation Contractor but remain subject to OEB approval</t>
  </si>
  <si>
    <t xml:space="preserve">(6) 2025 program year results are draft. </t>
  </si>
  <si>
    <t xml:space="preserve">(7) The forecast 2026 net gas savings are the 100% OEB Target calculated using the TAM and 2025 results as of the Draft Annual Report (April 1, 2026). The scorecard target is allocated to the offer level in proportion to 2025 offer level results. </t>
  </si>
  <si>
    <r>
      <t xml:space="preserve">2021 Gas Savings Results </t>
    </r>
    <r>
      <rPr>
        <b/>
        <vertAlign val="superscript"/>
        <sz val="10"/>
        <color theme="1"/>
        <rFont val="Arial"/>
        <family val="2"/>
      </rPr>
      <t>(1)(2)</t>
    </r>
  </si>
  <si>
    <t>Indigenous Offer (2021-2022)</t>
  </si>
  <si>
    <r>
      <t xml:space="preserve">2022 Gas Savings Results </t>
    </r>
    <r>
      <rPr>
        <b/>
        <vertAlign val="superscript"/>
        <sz val="10"/>
        <color theme="1"/>
        <rFont val="Arial"/>
        <family val="2"/>
      </rPr>
      <t>(1)(2)</t>
    </r>
  </si>
  <si>
    <r>
      <t xml:space="preserve">2023 Gas Savings Results </t>
    </r>
    <r>
      <rPr>
        <b/>
        <vertAlign val="superscript"/>
        <sz val="10"/>
        <color theme="1"/>
        <rFont val="Arial"/>
        <family val="2"/>
      </rPr>
      <t>(1)(2)</t>
    </r>
  </si>
  <si>
    <r>
      <t xml:space="preserve">2026 Gas Savings Forecast </t>
    </r>
    <r>
      <rPr>
        <b/>
        <vertAlign val="superscript"/>
        <sz val="10"/>
        <color theme="1"/>
        <rFont val="Arial"/>
        <family val="2"/>
      </rPr>
      <t>(1)</t>
    </r>
  </si>
  <si>
    <r>
      <t xml:space="preserve">Moderate Income Direct Install </t>
    </r>
    <r>
      <rPr>
        <i/>
        <vertAlign val="superscript"/>
        <sz val="10"/>
        <color theme="1"/>
        <rFont val="Arial"/>
        <family val="2"/>
      </rPr>
      <t>(2)</t>
    </r>
  </si>
  <si>
    <r>
      <t xml:space="preserve">Residential Electric Heat Pumps </t>
    </r>
    <r>
      <rPr>
        <i/>
        <vertAlign val="superscript"/>
        <sz val="10"/>
        <color theme="1"/>
        <rFont val="Arial"/>
        <family val="2"/>
      </rPr>
      <t>(3)</t>
    </r>
  </si>
  <si>
    <r>
      <t xml:space="preserve">Moderate Income Direct Install </t>
    </r>
    <r>
      <rPr>
        <i/>
        <vertAlign val="superscript"/>
        <sz val="10"/>
        <color theme="1"/>
        <rFont val="Arial"/>
        <family val="2"/>
      </rPr>
      <t>(3)</t>
    </r>
  </si>
  <si>
    <r>
      <t xml:space="preserve">Energy Education &amp; Outreach </t>
    </r>
    <r>
      <rPr>
        <i/>
        <vertAlign val="superscript"/>
        <sz val="10"/>
        <color theme="1"/>
        <rFont val="Arial"/>
        <family val="2"/>
      </rPr>
      <t>(3)</t>
    </r>
  </si>
  <si>
    <r>
      <t xml:space="preserve">Com Existing Building Commissioning </t>
    </r>
    <r>
      <rPr>
        <i/>
        <vertAlign val="superscript"/>
        <sz val="10"/>
        <color theme="1"/>
        <rFont val="Arial"/>
        <family val="2"/>
      </rPr>
      <t>(3)</t>
    </r>
  </si>
  <si>
    <r>
      <t xml:space="preserve">Commercial Microbusiness </t>
    </r>
    <r>
      <rPr>
        <i/>
        <vertAlign val="superscript"/>
        <sz val="10"/>
        <color theme="1"/>
        <rFont val="Arial"/>
        <family val="2"/>
      </rPr>
      <t>(3)</t>
    </r>
  </si>
  <si>
    <r>
      <t xml:space="preserve">Commercial Strategic Energy Management </t>
    </r>
    <r>
      <rPr>
        <i/>
        <vertAlign val="superscript"/>
        <sz val="10"/>
        <color theme="1"/>
        <rFont val="Arial"/>
        <family val="2"/>
      </rPr>
      <t>(3)</t>
    </r>
  </si>
  <si>
    <r>
      <t xml:space="preserve">Commercial Energy Innovation </t>
    </r>
    <r>
      <rPr>
        <i/>
        <vertAlign val="superscript"/>
        <sz val="10"/>
        <color theme="1"/>
        <rFont val="Arial"/>
        <family val="2"/>
      </rPr>
      <t>(3)</t>
    </r>
  </si>
  <si>
    <r>
      <t xml:space="preserve">Industrial Strategic Energy Management </t>
    </r>
    <r>
      <rPr>
        <i/>
        <vertAlign val="superscript"/>
        <sz val="10"/>
        <color theme="1"/>
        <rFont val="Arial"/>
        <family val="2"/>
      </rPr>
      <t>(3)</t>
    </r>
  </si>
  <si>
    <r>
      <t xml:space="preserve">Industrial Energy Innovation </t>
    </r>
    <r>
      <rPr>
        <i/>
        <vertAlign val="superscript"/>
        <sz val="10"/>
        <color theme="1"/>
        <rFont val="Arial"/>
        <family val="2"/>
      </rPr>
      <t>(3)</t>
    </r>
  </si>
  <si>
    <r>
      <t xml:space="preserve">Com/Ind Prescriptive Upstream </t>
    </r>
    <r>
      <rPr>
        <i/>
        <vertAlign val="superscript"/>
        <sz val="10"/>
        <color theme="1"/>
        <rFont val="Arial"/>
        <family val="2"/>
      </rPr>
      <t>(4)</t>
    </r>
  </si>
  <si>
    <r>
      <t xml:space="preserve">2024 Gas Savings Results </t>
    </r>
    <r>
      <rPr>
        <b/>
        <vertAlign val="superscript"/>
        <sz val="10"/>
        <color theme="1"/>
        <rFont val="Arial"/>
        <family val="2"/>
      </rPr>
      <t>(1)(5)</t>
    </r>
  </si>
  <si>
    <r>
      <t xml:space="preserve">2025 Gas Savings Results </t>
    </r>
    <r>
      <rPr>
        <b/>
        <vertAlign val="superscript"/>
        <sz val="10"/>
        <color theme="1"/>
        <rFont val="Arial"/>
        <family val="2"/>
      </rPr>
      <t>(1)(6)</t>
    </r>
  </si>
  <si>
    <r>
      <t>(8) 2026 Gross Annual Gas Savings (m</t>
    </r>
    <r>
      <rPr>
        <vertAlign val="superscript"/>
        <sz val="10"/>
        <color theme="1"/>
        <rFont val="Arial"/>
        <family val="2"/>
      </rPr>
      <t>3</t>
    </r>
    <r>
      <rPr>
        <sz val="10"/>
        <color theme="1"/>
        <rFont val="Arial"/>
        <family val="2"/>
      </rPr>
      <t>), Net Cumulative Gas Savings (m</t>
    </r>
    <r>
      <rPr>
        <vertAlign val="superscript"/>
        <sz val="10"/>
        <color theme="1"/>
        <rFont val="Arial"/>
        <family val="2"/>
      </rPr>
      <t>3</t>
    </r>
    <r>
      <rPr>
        <sz val="10"/>
        <color theme="1"/>
        <rFont val="Arial"/>
        <family val="2"/>
      </rPr>
      <t>) are based on adjusting 2025 results relative to 2026 Net Annual Gas Savings (m</t>
    </r>
    <r>
      <rPr>
        <vertAlign val="superscript"/>
        <sz val="10"/>
        <color theme="1"/>
        <rFont val="Arial"/>
        <family val="2"/>
      </rPr>
      <t>3</t>
    </r>
    <r>
      <rPr>
        <sz val="10"/>
        <color theme="1"/>
        <rFont val="Arial"/>
        <family val="2"/>
      </rPr>
      <t xml:space="preserve">). </t>
    </r>
  </si>
  <si>
    <t>(2) Midstream costs have been tracked within Commercial &amp; Industrial Prescriptive since it not a stand alone offer during the 2021-2022 period.</t>
  </si>
  <si>
    <r>
      <t xml:space="preserve">Commercial &amp; Industrial Prescriptive </t>
    </r>
    <r>
      <rPr>
        <i/>
        <vertAlign val="superscript"/>
        <sz val="10"/>
        <color theme="1"/>
        <rFont val="Arial"/>
        <family val="2"/>
      </rPr>
      <t>(2)</t>
    </r>
  </si>
  <si>
    <r>
      <t xml:space="preserve">Net Benefits </t>
    </r>
    <r>
      <rPr>
        <b/>
        <vertAlign val="superscript"/>
        <sz val="10"/>
        <color theme="1"/>
        <rFont val="Arial"/>
        <family val="2"/>
      </rPr>
      <t>(3)</t>
    </r>
  </si>
  <si>
    <r>
      <t xml:space="preserve">2021 TRC-Plus Results </t>
    </r>
    <r>
      <rPr>
        <b/>
        <vertAlign val="superscript"/>
        <sz val="10"/>
        <color theme="1"/>
        <rFont val="Arial"/>
        <family val="2"/>
      </rPr>
      <t>(1)(4)</t>
    </r>
  </si>
  <si>
    <r>
      <t xml:space="preserve">2022 TRC-Plus Results </t>
    </r>
    <r>
      <rPr>
        <b/>
        <vertAlign val="superscript"/>
        <sz val="10"/>
        <color theme="1"/>
        <rFont val="Arial"/>
        <family val="2"/>
      </rPr>
      <t>(1)(4)</t>
    </r>
  </si>
  <si>
    <r>
      <t xml:space="preserve">2023 TRC-Plus Results </t>
    </r>
    <r>
      <rPr>
        <b/>
        <vertAlign val="superscript"/>
        <sz val="10"/>
        <color theme="1"/>
        <rFont val="Arial"/>
        <family val="2"/>
      </rPr>
      <t>(1)(4)</t>
    </r>
  </si>
  <si>
    <r>
      <t xml:space="preserve">2024 TRC-Plus Results </t>
    </r>
    <r>
      <rPr>
        <b/>
        <vertAlign val="superscript"/>
        <sz val="10"/>
        <color theme="1"/>
        <rFont val="Arial"/>
        <family val="2"/>
      </rPr>
      <t>(1)(4)</t>
    </r>
  </si>
  <si>
    <r>
      <t xml:space="preserve">2025 TRC-Plus Results </t>
    </r>
    <r>
      <rPr>
        <b/>
        <vertAlign val="superscript"/>
        <sz val="10"/>
        <color theme="1"/>
        <rFont val="Arial"/>
        <family val="2"/>
      </rPr>
      <t>(1)(4)</t>
    </r>
  </si>
  <si>
    <t xml:space="preserve">(5) This 2026 TRC-Plus Forecast is the 2025 TRC-Plus Forecast filed in EB-2024-0198 Exhibit C, Tab 2, Schedule 3, Page 4 (filed: 2025-06-20). </t>
  </si>
  <si>
    <t>(3) Net benefits are the difference between the PAC benefits and the PAC costs.</t>
  </si>
  <si>
    <r>
      <t xml:space="preserve">C/I Prescriptive </t>
    </r>
    <r>
      <rPr>
        <i/>
        <vertAlign val="superscript"/>
        <sz val="10"/>
        <color theme="1"/>
        <rFont val="Arial"/>
        <family val="2"/>
      </rPr>
      <t>(2)</t>
    </r>
  </si>
  <si>
    <r>
      <t xml:space="preserve">2021 PAC Results </t>
    </r>
    <r>
      <rPr>
        <b/>
        <vertAlign val="superscript"/>
        <sz val="10"/>
        <color theme="1"/>
        <rFont val="Arial"/>
        <family val="2"/>
      </rPr>
      <t>(1)(4)</t>
    </r>
  </si>
  <si>
    <r>
      <t xml:space="preserve">2022 PAC Results </t>
    </r>
    <r>
      <rPr>
        <b/>
        <vertAlign val="superscript"/>
        <sz val="10"/>
        <color theme="1"/>
        <rFont val="Arial"/>
        <family val="2"/>
      </rPr>
      <t>(1)(4)</t>
    </r>
  </si>
  <si>
    <r>
      <t xml:space="preserve">2023 PAC Results </t>
    </r>
    <r>
      <rPr>
        <b/>
        <vertAlign val="superscript"/>
        <sz val="10"/>
        <color theme="1"/>
        <rFont val="Arial"/>
        <family val="2"/>
      </rPr>
      <t>(1)(4)</t>
    </r>
  </si>
  <si>
    <r>
      <t xml:space="preserve">2024 PAC Results </t>
    </r>
    <r>
      <rPr>
        <b/>
        <vertAlign val="superscript"/>
        <sz val="10"/>
        <color theme="1"/>
        <rFont val="Arial"/>
        <family val="2"/>
      </rPr>
      <t>(1)(4)</t>
    </r>
  </si>
  <si>
    <r>
      <t xml:space="preserve">2025 PAC Results </t>
    </r>
    <r>
      <rPr>
        <b/>
        <vertAlign val="superscript"/>
        <sz val="10"/>
        <color theme="1"/>
        <rFont val="Arial"/>
        <family val="2"/>
      </rPr>
      <t>(1)(4)</t>
    </r>
  </si>
  <si>
    <r>
      <t xml:space="preserve">2026 PAC Forecast </t>
    </r>
    <r>
      <rPr>
        <b/>
        <vertAlign val="superscript"/>
        <sz val="10"/>
        <color theme="1"/>
        <rFont val="Arial"/>
        <family val="2"/>
      </rPr>
      <t>(4)(5)</t>
    </r>
  </si>
  <si>
    <t xml:space="preserve">(1) 2021-2023 PAC calculation uses results that align with OEB approved results. 2024 PAC calculation uses results that align with the OEB's Evaluation Contractor's audited results, but remain subject to OEB approval. 2025 PAC calculation uses results that align with the Draft Annual Report. </t>
  </si>
  <si>
    <t xml:space="preserve">(5) The 2026 PAC Forecast uses forecasted results that align with the 2025 TRC-Plus Forecast filed in EB-2024-0198 Exhibit C, Tab 2, Schedule 3, Page 4 (filed: 2025-06-20). </t>
  </si>
  <si>
    <t xml:space="preserve">(4) PAC benefits were calculated using avoided costs applicable to the respective program year with the exception of 2026, which is using 2025 avoided costs available at the time of the forecast. </t>
  </si>
  <si>
    <t>(1) 2021-2023 program year results are OEB approved.</t>
  </si>
  <si>
    <t>(4) 2024 program year results have been audited by the OEB's Evaluation Contractor but remain subject to OEB approval</t>
  </si>
  <si>
    <t xml:space="preserve">(5) 2025 program year results are draft. </t>
  </si>
  <si>
    <t>(6) The calculation of the DSMI earned for the Heat Pump Offering is independent of the calculation of the DSMI for the balance 
of the Residential Program.</t>
  </si>
  <si>
    <r>
      <t xml:space="preserve">2021 Annual Scorecards 
(LEG) </t>
    </r>
    <r>
      <rPr>
        <b/>
        <vertAlign val="superscript"/>
        <sz val="10"/>
        <color theme="1"/>
        <rFont val="Arial"/>
        <family val="2"/>
      </rPr>
      <t>(1)</t>
    </r>
  </si>
  <si>
    <r>
      <t xml:space="preserve">2021 Annual Scorecards 
(LUG) </t>
    </r>
    <r>
      <rPr>
        <b/>
        <vertAlign val="superscript"/>
        <sz val="10"/>
        <color theme="1"/>
        <rFont val="Arial"/>
        <family val="2"/>
      </rPr>
      <t>(1)</t>
    </r>
  </si>
  <si>
    <r>
      <t>21%</t>
    </r>
    <r>
      <rPr>
        <vertAlign val="superscript"/>
        <sz val="10"/>
        <color theme="1"/>
        <rFont val="Arial"/>
        <family val="2"/>
      </rPr>
      <t>(6)</t>
    </r>
  </si>
  <si>
    <r>
      <t>4%</t>
    </r>
    <r>
      <rPr>
        <vertAlign val="superscript"/>
        <sz val="10"/>
        <color theme="1"/>
        <rFont val="Arial"/>
        <family val="2"/>
      </rPr>
      <t>(6)</t>
    </r>
  </si>
  <si>
    <r>
      <t>20.16%</t>
    </r>
    <r>
      <rPr>
        <vertAlign val="superscript"/>
        <sz val="10"/>
        <color theme="1"/>
        <rFont val="Arial"/>
        <family val="2"/>
      </rPr>
      <t>(6)</t>
    </r>
  </si>
  <si>
    <r>
      <t>3.84%</t>
    </r>
    <r>
      <rPr>
        <vertAlign val="superscript"/>
        <sz val="10"/>
        <color theme="1"/>
        <rFont val="Arial"/>
        <family val="2"/>
      </rPr>
      <t>(6)</t>
    </r>
  </si>
  <si>
    <r>
      <t xml:space="preserve">2025 Annual Scorecards </t>
    </r>
    <r>
      <rPr>
        <b/>
        <vertAlign val="superscript"/>
        <sz val="10"/>
        <color theme="1"/>
        <rFont val="Arial"/>
        <family val="2"/>
      </rPr>
      <t>(5)</t>
    </r>
  </si>
  <si>
    <r>
      <t xml:space="preserve">2024 Annual Scorecards </t>
    </r>
    <r>
      <rPr>
        <b/>
        <vertAlign val="superscript"/>
        <sz val="10"/>
        <color theme="1"/>
        <rFont val="Arial"/>
        <family val="2"/>
      </rPr>
      <t>(4)</t>
    </r>
  </si>
  <si>
    <t>(3) When the calculation of the Upper and Lower Bands of the 100% Targets result in non-integer amounts, the Scorecard 
Incentive will be calculated based on these precise thresholds</t>
  </si>
  <si>
    <r>
      <t>(2) Large commercial customers have a three-year average annual consumption greater than/or equal to 100,000 m</t>
    </r>
    <r>
      <rPr>
        <vertAlign val="superscript"/>
        <sz val="10"/>
        <color theme="1"/>
        <rFont val="Arial"/>
        <family val="2"/>
      </rPr>
      <t>3</t>
    </r>
    <r>
      <rPr>
        <sz val="10"/>
        <color theme="1"/>
        <rFont val="Arial"/>
        <family val="2"/>
      </rPr>
      <t>/yr. Small commercial customers have a three-year average annual consumption below 100,000 m</t>
    </r>
    <r>
      <rPr>
        <vertAlign val="superscript"/>
        <sz val="10"/>
        <color theme="1"/>
        <rFont val="Arial"/>
        <family val="2"/>
      </rPr>
      <t>3</t>
    </r>
    <r>
      <rPr>
        <sz val="10"/>
        <color theme="1"/>
        <rFont val="Arial"/>
        <family val="2"/>
      </rPr>
      <t>/yr.</t>
    </r>
  </si>
  <si>
    <r>
      <t xml:space="preserve">Lower Band
(75%) </t>
    </r>
    <r>
      <rPr>
        <b/>
        <vertAlign val="superscript"/>
        <sz val="10"/>
        <color theme="1"/>
        <rFont val="Arial"/>
        <family val="2"/>
      </rPr>
      <t>(3)</t>
    </r>
  </si>
  <si>
    <r>
      <t xml:space="preserve">Upper Band
(150%) </t>
    </r>
    <r>
      <rPr>
        <b/>
        <vertAlign val="superscript"/>
        <sz val="10"/>
        <color theme="1"/>
        <rFont val="Arial"/>
        <family val="2"/>
      </rPr>
      <t>(3)</t>
    </r>
  </si>
  <si>
    <r>
      <t xml:space="preserve">Upper Band
(125%) </t>
    </r>
    <r>
      <rPr>
        <b/>
        <vertAlign val="superscript"/>
        <sz val="10"/>
        <color theme="1"/>
        <rFont val="Arial"/>
        <family val="2"/>
      </rPr>
      <t>(3)</t>
    </r>
  </si>
  <si>
    <r>
      <t xml:space="preserve">2022 Annual Scorecards 
(LEG) </t>
    </r>
    <r>
      <rPr>
        <b/>
        <vertAlign val="superscript"/>
        <sz val="10"/>
        <color theme="1"/>
        <rFont val="Arial"/>
        <family val="2"/>
      </rPr>
      <t>(1)</t>
    </r>
  </si>
  <si>
    <r>
      <t xml:space="preserve">2022 Annual Scorecards 
(LUG) </t>
    </r>
    <r>
      <rPr>
        <b/>
        <vertAlign val="superscript"/>
        <sz val="10"/>
        <color theme="1"/>
        <rFont val="Arial"/>
        <family val="2"/>
      </rPr>
      <t>(1)</t>
    </r>
  </si>
  <si>
    <r>
      <t xml:space="preserve">2023 Annual Scorecards </t>
    </r>
    <r>
      <rPr>
        <b/>
        <vertAlign val="superscript"/>
        <sz val="10"/>
        <color theme="1"/>
        <rFont val="Arial"/>
        <family val="2"/>
      </rPr>
      <t>(1)</t>
    </r>
  </si>
  <si>
    <t>Heat Pump Net Annual Natural Gas Savings (m3)</t>
  </si>
  <si>
    <t>Single Family Cumulative Natural Gas Savings (m3)</t>
  </si>
  <si>
    <t>Social and Assisted Multi-Family Cumulative Natural Gas Savings (m3)</t>
  </si>
  <si>
    <t>Market Rate Multi-Family Cumulative Natural Gas Savings (m3)</t>
  </si>
  <si>
    <t>Single Family Net Annual Natural Gas Savings (m3)</t>
  </si>
  <si>
    <t>Multi-Residential Net Annual Natural Gas Savings (m3)</t>
  </si>
  <si>
    <t>Large Volume Customers - Cumulative Natural Gas Savings (m3)</t>
  </si>
  <si>
    <t>Small Volume Customers - Cumulative Natural Gas Savings (m3)</t>
  </si>
  <si>
    <t>Residential Deep Savings / Home Efficiency Rebate Participants</t>
  </si>
  <si>
    <t>2023 
100% Target</t>
  </si>
  <si>
    <t>2024 
100% Target</t>
  </si>
  <si>
    <t>2025 
100% Target</t>
  </si>
  <si>
    <t>2028 
100% Target</t>
  </si>
  <si>
    <t>2029 
100% Target</t>
  </si>
  <si>
    <t>2030 
100% Target</t>
  </si>
  <si>
    <t>LEGD 2021 
100% Target</t>
  </si>
  <si>
    <t>LUG 2021 
100% Target</t>
  </si>
  <si>
    <t>EGI Combined 2021 Target</t>
  </si>
  <si>
    <t>LEGD 2022 
100% Target</t>
  </si>
  <si>
    <t>LUG 2022 
100% Target</t>
  </si>
  <si>
    <t>EGI Combined 2022 Target</t>
  </si>
  <si>
    <t>Note:</t>
  </si>
  <si>
    <t>see note (1)</t>
  </si>
  <si>
    <t>(1) The Large Volume Direct Access scorecard achievement is assessed in the final year of the four-year term based on a target savings for the four year period. This target will be adjusted proportional to the volumes of customers that remain in the offering subject to any approved Opt-out provision. For the purpose of this comparison, the budget has been reported only in year 4.</t>
  </si>
  <si>
    <t>Table 1</t>
  </si>
  <si>
    <t>(excludes Program Admin and Portfolio Budget)</t>
  </si>
  <si>
    <t>Table 2</t>
  </si>
  <si>
    <t>(includes Program Admin and Portfolio Budget)</t>
  </si>
  <si>
    <t>Lower Band (75%) (1)</t>
  </si>
  <si>
    <t>Upper Band
(130%) (1)</t>
  </si>
  <si>
    <t>DSMI
Allocation (2)</t>
  </si>
  <si>
    <t>Large Volume Net Annual Natural Gas Savings (m3) (3)</t>
  </si>
  <si>
    <t>Small Volume Net Annual Natural Gas Savings (m3) (3)</t>
  </si>
  <si>
    <t>(2) The calculation of the DSMI earned on the Residential Heat Pumps target is independent of the calculation of the DSMI for the balance of the Residential Program (i.e. the metrics for Heat Pumps and the balance of the Residential Program are not weighted for the purposes of the Residential scorecard calculation).</t>
  </si>
  <si>
    <r>
      <rPr>
        <u/>
        <sz val="10"/>
        <color theme="1"/>
        <rFont val="Arial"/>
        <family val="2"/>
      </rPr>
      <t>Notes:</t>
    </r>
    <r>
      <rPr>
        <sz val="10"/>
        <color theme="1"/>
        <rFont val="Arial"/>
        <family val="2"/>
      </rPr>
      <t xml:space="preserve">
'(1) When the calculation of the Upper and Lower Bands of the 100% targets result in non-integer amounts, the Scorecard Incentive will be calculated based on these precise thresholds.</t>
    </r>
  </si>
  <si>
    <t>(3) Large commercial customers have a three-year average annual consumption greater than/or equal to 100,000 m3/yr. Small commercial customers have a three-year average annual consumption below 100,000 m3/yr.</t>
  </si>
  <si>
    <r>
      <rPr>
        <u/>
        <sz val="10"/>
        <color theme="1"/>
        <rFont val="Arial"/>
        <family val="2"/>
      </rPr>
      <t>Notes:</t>
    </r>
    <r>
      <rPr>
        <sz val="10"/>
        <color theme="1"/>
        <rFont val="Arial"/>
        <family val="2"/>
      </rPr>
      <t xml:space="preserve">
(1) When the calculation of the Upper and Lower Bands of the 100% targets result in non-integer amounts, the Scorecard Incentive will be calculated based on these precise thresholds.</t>
    </r>
  </si>
  <si>
    <t>(3) Large commercial customers have a three-year average annual consumption greater than/or equal to 100,000 m3/yr. Small commercial customers have a three-year average annual consumption below 100,000 m3/yr.
(4) The Large Volume Direct Access scorecard achievement is assessed in the final year of the four-year term based on a target savings for the four year period. This target will be adjusted proportional to the volumes of customers that remain in the offering subject to any approved Opt-out provision.</t>
  </si>
  <si>
    <t>Large Volume Program (4)</t>
  </si>
  <si>
    <r>
      <rPr>
        <u/>
        <sz val="10"/>
        <color theme="1"/>
        <rFont val="Arial"/>
        <family val="2"/>
      </rPr>
      <t>Notes:</t>
    </r>
  </si>
  <si>
    <t xml:space="preserve">(1) Forecast TRC-Plus Benefits and TRC Costs are calculated using avoided costs in Exhibit E, Tab 2, Schedule 1, Attachment 3. </t>
  </si>
  <si>
    <t xml:space="preserve">(1) Forecast PAC Benefits are calculated using avoided costs in Exhibit E, Tab 2, Schedule 1, Attachment 3. </t>
  </si>
  <si>
    <t>PAC Benefits (1)</t>
  </si>
  <si>
    <t>Net Benefits</t>
  </si>
  <si>
    <t xml:space="preserve">(2) The Large Volume Direct Access Offering has a total target for the 4-year term in 2030. For illustrative purposes, forecast values shown are yearly estimates and assume all eligible customers remain in the offering. </t>
  </si>
  <si>
    <t>Large Volume Direct Access (2)</t>
  </si>
  <si>
    <t>TRC-Plus Benefits (1)</t>
  </si>
  <si>
    <t>TRC Costs</t>
  </si>
  <si>
    <t>Weighted Average Measure Life (WAML) 2021 - 2030</t>
  </si>
  <si>
    <t>Residential Program (E-2)</t>
  </si>
  <si>
    <t>Income Qualified Program (E-3)</t>
  </si>
  <si>
    <t>Commercial Program (E-4)</t>
  </si>
  <si>
    <t>Industrial Program (E-5)</t>
  </si>
  <si>
    <t>Large Volume Program (E-6)</t>
  </si>
  <si>
    <t>CPI Factor % to 2027 (3)</t>
  </si>
  <si>
    <t>CPI Factor % to 2027 (4)
(Non-Incentive Amounts 2028-2030)</t>
  </si>
  <si>
    <t>Total DSM Portfolio Budget</t>
  </si>
  <si>
    <t>Total DSM Budget in $2027</t>
  </si>
  <si>
    <t>Incentive Budget</t>
  </si>
  <si>
    <t>Notes:</t>
  </si>
  <si>
    <t>Administration Costs (1)</t>
  </si>
  <si>
    <t>Evaluation and Regulatory Costs (2)</t>
  </si>
  <si>
    <t>(3) 2021-2026 applies the CPI Factor from the Bank of Canada as of April. 2027 assumes an annual 2% inflation factor, 2028-2030 assumes an annual 2% inflation factor on incentive budgets and 1.72% on non-incentive budgets. See Exhibit D, Tab 2, Schedule 2, Section 2.1 for details.</t>
  </si>
  <si>
    <t>(4) 2028-2030 assumes an annual 1.72% inflation factor on non-incentive budgets. See Exhibit D, Tab 2, Schedule 2, Section 2.1 for details.</t>
  </si>
  <si>
    <t>2026 DSM Budget Item</t>
  </si>
  <si>
    <t>2021 - 2030 DSM Plan Budget ($000s)</t>
  </si>
  <si>
    <t>2027 DSM Plan Budget ($000s)</t>
  </si>
  <si>
    <t>2021 DSM Plan Budget ($000s)</t>
  </si>
  <si>
    <t>2022 DSM Plan Budget ($000s)</t>
  </si>
  <si>
    <t>2023 DSM Plan Budget ($000s)</t>
  </si>
  <si>
    <t>2024 DSM Plan Budget ($000s)</t>
  </si>
  <si>
    <t>2025 DSM Plan Budget ($000s)</t>
  </si>
  <si>
    <t>2026 DSM Plan Budget ($000s)</t>
  </si>
  <si>
    <t>2028 DSM Plan Budget ($000s)</t>
  </si>
  <si>
    <t>2029 DSM Plan Budget ($000s)</t>
  </si>
  <si>
    <t>2030 DSM Plan Budget ($000s)</t>
  </si>
  <si>
    <t>Table 3</t>
  </si>
  <si>
    <t>Table 4</t>
  </si>
  <si>
    <t>Table 5</t>
  </si>
  <si>
    <t>Table 6</t>
  </si>
  <si>
    <t>Table 7</t>
  </si>
  <si>
    <t>Table 8</t>
  </si>
  <si>
    <t>Table 9</t>
  </si>
  <si>
    <t>Table 10</t>
  </si>
  <si>
    <t>2021 DSM Actual Spend ($000s)</t>
  </si>
  <si>
    <t>2022 DSM Actual Spend ($000s)</t>
  </si>
  <si>
    <t>2023 DSM Actual Spend ($000s)</t>
  </si>
  <si>
    <t>2024 DSM Actual Spend ($000s)</t>
  </si>
  <si>
    <t>2025 DSM Actual Spend ($000s)</t>
  </si>
  <si>
    <r>
      <t>Gross Annual Gas Savings (m</t>
    </r>
    <r>
      <rPr>
        <b/>
        <vertAlign val="superscript"/>
        <sz val="10"/>
        <color theme="1"/>
        <rFont val="Arial"/>
        <family val="2"/>
      </rPr>
      <t>3</t>
    </r>
    <r>
      <rPr>
        <b/>
        <sz val="10"/>
        <color theme="1"/>
        <rFont val="Arial"/>
        <family val="2"/>
      </rPr>
      <t xml:space="preserve">) </t>
    </r>
    <r>
      <rPr>
        <b/>
        <vertAlign val="superscript"/>
        <sz val="10"/>
        <color theme="1"/>
        <rFont val="Arial"/>
        <family val="2"/>
      </rPr>
      <t>(8)</t>
    </r>
  </si>
  <si>
    <r>
      <t>Net Annual Gas Savings (m</t>
    </r>
    <r>
      <rPr>
        <b/>
        <vertAlign val="superscript"/>
        <sz val="10"/>
        <color theme="1"/>
        <rFont val="Arial"/>
        <family val="2"/>
      </rPr>
      <t>3</t>
    </r>
    <r>
      <rPr>
        <b/>
        <sz val="10"/>
        <color theme="1"/>
        <rFont val="Arial"/>
        <family val="2"/>
      </rPr>
      <t xml:space="preserve">) </t>
    </r>
    <r>
      <rPr>
        <b/>
        <vertAlign val="superscript"/>
        <sz val="10"/>
        <color theme="1"/>
        <rFont val="Arial"/>
        <family val="2"/>
      </rPr>
      <t>(7)</t>
    </r>
  </si>
  <si>
    <r>
      <t>Net Cumulative Gas Savings (m</t>
    </r>
    <r>
      <rPr>
        <b/>
        <vertAlign val="superscript"/>
        <sz val="10"/>
        <color theme="1"/>
        <rFont val="Arial"/>
        <family val="2"/>
      </rPr>
      <t>3</t>
    </r>
    <r>
      <rPr>
        <b/>
        <sz val="10"/>
        <color theme="1"/>
        <rFont val="Arial"/>
        <family val="2"/>
      </rPr>
      <t xml:space="preserve">) </t>
    </r>
    <r>
      <rPr>
        <b/>
        <vertAlign val="superscript"/>
        <sz val="10"/>
        <color theme="1"/>
        <rFont val="Arial"/>
        <family val="2"/>
      </rPr>
      <t>(8)</t>
    </r>
  </si>
  <si>
    <r>
      <t>2023 DSM Natural Gas Savings Results (m</t>
    </r>
    <r>
      <rPr>
        <u/>
        <vertAlign val="superscript"/>
        <sz val="10"/>
        <color theme="1"/>
        <rFont val="Arial"/>
        <family val="2"/>
      </rPr>
      <t>3</t>
    </r>
    <r>
      <rPr>
        <u/>
        <sz val="10"/>
        <color theme="1"/>
        <rFont val="Arial"/>
        <family val="2"/>
      </rPr>
      <t>)</t>
    </r>
  </si>
  <si>
    <r>
      <t>2022 DSM Natural Gas Savings Results (m</t>
    </r>
    <r>
      <rPr>
        <u/>
        <vertAlign val="superscript"/>
        <sz val="10"/>
        <color theme="1"/>
        <rFont val="Arial"/>
        <family val="2"/>
      </rPr>
      <t>3</t>
    </r>
    <r>
      <rPr>
        <u/>
        <sz val="10"/>
        <color theme="1"/>
        <rFont val="Arial"/>
        <family val="2"/>
      </rPr>
      <t>)</t>
    </r>
  </si>
  <si>
    <r>
      <t>2021 DSM Natural Gas Savings Results (m</t>
    </r>
    <r>
      <rPr>
        <u/>
        <vertAlign val="superscript"/>
        <sz val="10"/>
        <color theme="1"/>
        <rFont val="Arial"/>
        <family val="2"/>
      </rPr>
      <t>3</t>
    </r>
    <r>
      <rPr>
        <u/>
        <sz val="10"/>
        <color theme="1"/>
        <rFont val="Arial"/>
        <family val="2"/>
      </rPr>
      <t>)</t>
    </r>
  </si>
  <si>
    <r>
      <t>2024 DSM Natural Gas Savings Results (m</t>
    </r>
    <r>
      <rPr>
        <u/>
        <vertAlign val="superscript"/>
        <sz val="10"/>
        <color theme="1"/>
        <rFont val="Arial"/>
        <family val="2"/>
      </rPr>
      <t>3</t>
    </r>
    <r>
      <rPr>
        <u/>
        <sz val="10"/>
        <color theme="1"/>
        <rFont val="Arial"/>
        <family val="2"/>
      </rPr>
      <t>)</t>
    </r>
  </si>
  <si>
    <r>
      <t>2025 DSM Natural Gas Savings Results (m</t>
    </r>
    <r>
      <rPr>
        <u/>
        <vertAlign val="superscript"/>
        <sz val="10"/>
        <color theme="1"/>
        <rFont val="Arial"/>
        <family val="2"/>
      </rPr>
      <t>3</t>
    </r>
    <r>
      <rPr>
        <u/>
        <sz val="10"/>
        <color theme="1"/>
        <rFont val="Arial"/>
        <family val="2"/>
      </rPr>
      <t>)</t>
    </r>
  </si>
  <si>
    <r>
      <t>2026 DSM Natural Gas Savings Forecast (m</t>
    </r>
    <r>
      <rPr>
        <u/>
        <vertAlign val="superscript"/>
        <sz val="10"/>
        <color theme="1"/>
        <rFont val="Arial"/>
        <family val="2"/>
      </rPr>
      <t>3</t>
    </r>
    <r>
      <rPr>
        <u/>
        <sz val="10"/>
        <color theme="1"/>
        <rFont val="Arial"/>
        <family val="2"/>
      </rPr>
      <t>)</t>
    </r>
  </si>
  <si>
    <r>
      <t>2027 DSM Natural Gas Savings Forecast (m</t>
    </r>
    <r>
      <rPr>
        <u/>
        <vertAlign val="superscript"/>
        <sz val="10"/>
        <color theme="1"/>
        <rFont val="Arial"/>
        <family val="2"/>
      </rPr>
      <t>3</t>
    </r>
    <r>
      <rPr>
        <u/>
        <sz val="10"/>
        <color theme="1"/>
        <rFont val="Arial"/>
        <family val="2"/>
      </rPr>
      <t>)</t>
    </r>
  </si>
  <si>
    <r>
      <t>2028 DSM Natural Gas Savings Forecast (m</t>
    </r>
    <r>
      <rPr>
        <u/>
        <vertAlign val="superscript"/>
        <sz val="10"/>
        <color theme="1"/>
        <rFont val="Arial"/>
        <family val="2"/>
      </rPr>
      <t>3</t>
    </r>
    <r>
      <rPr>
        <u/>
        <sz val="10"/>
        <color theme="1"/>
        <rFont val="Arial"/>
        <family val="2"/>
      </rPr>
      <t>)</t>
    </r>
  </si>
  <si>
    <r>
      <t>2029 DSM Natural Gas Savings Forecast (m</t>
    </r>
    <r>
      <rPr>
        <u/>
        <vertAlign val="superscript"/>
        <sz val="10"/>
        <color theme="1"/>
        <rFont val="Arial"/>
        <family val="2"/>
      </rPr>
      <t>3</t>
    </r>
    <r>
      <rPr>
        <u/>
        <sz val="10"/>
        <color theme="1"/>
        <rFont val="Arial"/>
        <family val="2"/>
      </rPr>
      <t>)</t>
    </r>
  </si>
  <si>
    <r>
      <t>2030 DSM Natural Gas Savings Forecast (m</t>
    </r>
    <r>
      <rPr>
        <u/>
        <vertAlign val="superscript"/>
        <sz val="10"/>
        <color theme="1"/>
        <rFont val="Arial"/>
        <family val="2"/>
      </rPr>
      <t>3</t>
    </r>
    <r>
      <rPr>
        <u/>
        <sz val="10"/>
        <color theme="1"/>
        <rFont val="Arial"/>
        <family val="2"/>
      </rPr>
      <t>)</t>
    </r>
  </si>
  <si>
    <t>2021 TRC-Plus Results ($000s)</t>
  </si>
  <si>
    <t>2022 TRC-Plus Results ($000s)</t>
  </si>
  <si>
    <t>2024 TRC-Plus Results ($000s)</t>
  </si>
  <si>
    <t>2023 TRC-Plus Results ($000s)</t>
  </si>
  <si>
    <t>2025 TRC-Plus Results ($000s)</t>
  </si>
  <si>
    <t>2026 TRC-Plus Forecast ($000s)</t>
  </si>
  <si>
    <r>
      <t xml:space="preserve">2026 TRC-Plus Forecast </t>
    </r>
    <r>
      <rPr>
        <b/>
        <vertAlign val="superscript"/>
        <sz val="10"/>
        <color theme="1"/>
        <rFont val="Arial"/>
        <family val="2"/>
      </rPr>
      <t>(4)(5)</t>
    </r>
  </si>
  <si>
    <t>2027 TRC-Plus Forecast ($000s)</t>
  </si>
  <si>
    <t>2028 TRC-Plus Forecast ($000s)</t>
  </si>
  <si>
    <t>2029 TRC-Plus Forecast ($000s)</t>
  </si>
  <si>
    <t>2030 TRC-Plus Forecast ($000s)</t>
  </si>
  <si>
    <t>2021 PAC Results ($000s)</t>
  </si>
  <si>
    <t>2022 PAC Results ($000s)</t>
  </si>
  <si>
    <t>2023 PAC Results ($000s)</t>
  </si>
  <si>
    <t>2024 PAC Results ($000s)</t>
  </si>
  <si>
    <t>2025 PAC Results ($000s)</t>
  </si>
  <si>
    <t>2026 PAC Forecast ($000s)</t>
  </si>
  <si>
    <t>2027 PAC Forecast ($000s)</t>
  </si>
  <si>
    <t>2028 PAC Forecast ($000s)</t>
  </si>
  <si>
    <t>2029 PAC Forecast ($000s)</t>
  </si>
  <si>
    <t>2030 PAC Forecast ($000s)</t>
  </si>
  <si>
    <t>2026 Annual Scorecard Targets and Available DSMSI</t>
  </si>
  <si>
    <t>2027 Annual Scorecard Targets and Available DSMSI</t>
  </si>
  <si>
    <t>2028 Annual Scorecard Targets and Available DSMSI</t>
  </si>
  <si>
    <t>2029 Annual Scorecard Targets and Available DSMSI</t>
  </si>
  <si>
    <t>2030 Annual Scorecard Targets and Available DSMSI</t>
  </si>
  <si>
    <t>2021 Annual Scorecard Targets, Achievement and DSMSI</t>
  </si>
  <si>
    <t>2022 Annual Scorecard Targets, Achievement and DSMSI</t>
  </si>
  <si>
    <t>2023 Annual Scorecard Targets, Achievement and DSMSI</t>
  </si>
  <si>
    <t>2024 Annual Scorecard Targets, Achievement and DSMSI</t>
  </si>
  <si>
    <t>2025 Annual Scorecard Targets, Achievement and DSMSI</t>
  </si>
  <si>
    <t>2021 - 2022 Annual Scorecards 100% Target</t>
  </si>
  <si>
    <t>2023 - 2030 Annual Scorecards 100% Target</t>
  </si>
  <si>
    <t>Scorecards (1)</t>
  </si>
  <si>
    <t>Large Volume Program (2)</t>
  </si>
  <si>
    <t>(2) The Large Volume Direct Access scorecard achievement is assessed in the final year of the four-year term based on a target savings for the four year period. This target will be adjusted proportional to the volumes of customers that remain in the offering subject to any approved Opt-out provision.</t>
  </si>
  <si>
    <t>(1) Excludes Scorecards/Programs/Offerings not being proposed for 2027 - 2030 (Energy Performance and Building Beyond Code)</t>
  </si>
  <si>
    <t>(1) Excludes Scorecards/Programs/Offerings not being proposed for 2027 - 2030 (Market Transformation &amp; Energy Management. Energy Performance and Building Beyond Code)</t>
  </si>
  <si>
    <t>2021 Requested Consolidated DSM Data</t>
  </si>
  <si>
    <t>2022 Requested Consolidated DSM Data</t>
  </si>
  <si>
    <t>2023 Requested Consolidated DSM Data</t>
  </si>
  <si>
    <t>2024 Requested Consolidated DSM Data</t>
  </si>
  <si>
    <t>2025 Requested Consolidated DSM Data</t>
  </si>
  <si>
    <t>2026 Requested Consolidated DSM Data</t>
  </si>
  <si>
    <t>2027 Requested Consolidated DSM Data</t>
  </si>
  <si>
    <t>2028 Requested Consolidated DSM Data</t>
  </si>
  <si>
    <t>2029 Requested Consolidated DSM Data</t>
  </si>
  <si>
    <t>2030 Requested Consolidated DSM Data</t>
  </si>
  <si>
    <t>Column No:</t>
  </si>
  <si>
    <t>Budget ($)
TOTAL ($000s)</t>
  </si>
  <si>
    <t>Budget ($)
INCENTIVE ($000s)</t>
  </si>
  <si>
    <t>(2) Matching offer does not exist prior to 2027.</t>
  </si>
  <si>
    <t xml:space="preserve">(3) Previously tracked as Prescriptive Midstream prior to 2027. </t>
  </si>
  <si>
    <t>(4) Market Transformation &amp; Energy Management Programs also account for budget/spending for School Energy Completion and Optimum Home, but no new participants entered these programs in 2021-2022.</t>
  </si>
  <si>
    <t xml:space="preserve">(5) Includes Comprehensive Energy Management - Resource Acquisition (EGD) for savings. Project/participant count only consider the CEM - Market Transformation (MT) (EGD) and SEM (UG) offers. </t>
  </si>
  <si>
    <t xml:space="preserve">(6) Includes Run it Right - Resource Acquisition (EGD) for savings. Participants only count the Run it Right - Market Transformation (MT) and RunSmart (UG) offers. </t>
  </si>
  <si>
    <t>(7) 2021-2022 Building Beyond Code Program projects/participants accounts for Affordable Housing New Construction participants, Residential SBD builders enrolled, Commercial SBD projects.</t>
  </si>
  <si>
    <t>(8) Number of Unique Participants and Repeat Participants is specific to within an offering in that year and since this view is counting participants at an offering level, it could result in the same customer being counted more than once if they participated in multiple offerings.</t>
  </si>
  <si>
    <t xml:space="preserve">(9) Number of projects and unique participants for Whole Building Pay For Performance (P4P) is specific to new participants to the program in that respective program year, not relating to previous year participants and their associated savings. </t>
  </si>
  <si>
    <t>(10) 2023-2025 Building Beyond Code Program number of customers/participants is shown in Exhibit I.D-STAFF-48, part b.</t>
  </si>
  <si>
    <t>(11) 2024 program year results have been audited by the OEB's Evaluation Contractor but remain subject to OEB approval</t>
  </si>
  <si>
    <t xml:space="preserve">(12) 2025 program year results are draft. </t>
  </si>
  <si>
    <t xml:space="preserve">(13) The forecast 2026 net gas savings are the 100% OEB Target calculated using the TAM and 2025 results as of the Draft Annual Report (April 1, 2026). The scorecard target is allocated to the offer level in proportion to 2025 offer level results. </t>
  </si>
  <si>
    <t xml:space="preserve">(14) 2026 number of Projects/Units TOTAL, Gross Annual Gas Savings (m3), Net Cumulative Gas Savings (m3) are based on adjusting 2025 results relative to 2026 Net Annual Gas Savings (m3). </t>
  </si>
  <si>
    <t>(15) An estimate of 2026 Building Beyond Code Program total participants is based on the 100% OEB Target adjusting for the 2025 number of participating builders / customers in Exhibit I.D-STAFF-48, part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</si>
</sst>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5" formatCode="&quot;$&quot;#,##0_);\(&quot;$&quot;#,##0\)"/>
    <numFmt numFmtId="7" formatCode="&quot;$&quot;#,##0.00_);\(&quot;$&quot;#,##0.00\)"/>
    <numFmt numFmtId="44" formatCode="_(&quot;$&quot;* #,##0.00_);_(&quot;$&quot;* \(#,##0.00\);_(&quot;$&quot;* &quot;-&quot;??_);_(@_)"/>
    <numFmt numFmtId="43" formatCode="_(* #,##0.00_);_(* \(#,##0.00\);_(* &quot;-&quot;??_);_(@_)"/>
    <numFmt numFmtId="164" formatCode="_-&quot;$&quot;* #,##0.00_-;\-&quot;$&quot;* #,##0.00_-;_-&quot;$&quot;* &quot;-&quot;??_-;_-@_-"/>
    <numFmt numFmtId="165" formatCode="&quot;$&quot;#,##0,"/>
    <numFmt numFmtId="166" formatCode="&quot;$&quot;#,##0,;\(&quot;$&quot;#,##0,\);&quot;-&quot;"/>
    <numFmt numFmtId="167" formatCode="#,##0.00;\-#,##0.00;&quot;-&quot;"/>
    <numFmt numFmtId="168" formatCode="&quot;$&quot;#,##0.00;\ &quot;$&quot;\(#,##0.00\);&quot;-&quot;"/>
    <numFmt numFmtId="169" formatCode="#,##0;\ \(#,##0\);&quot;-&quot;"/>
    <numFmt numFmtId="170" formatCode="&quot;$&quot;#,##0,;&quot;$&quot;\(#,##0,\);&quot;-&quot;"/>
    <numFmt numFmtId="171" formatCode="&quot;$&quot;#,##0;\ &quot;$&quot;\(#,##0\);&quot;-&quot;"/>
    <numFmt numFmtId="172" formatCode="#,##0;\(#,##0\);&quot;-&quot;"/>
    <numFmt numFmtId="173" formatCode="&quot;$&quot;#,##0;\(&quot;$&quot;#,##0\);&quot;-&quot;"/>
    <numFmt numFmtId="174" formatCode="#,##0.00;\(#,##0.00\);&quot;-&quot;"/>
    <numFmt numFmtId="175" formatCode="&quot;$&quot;#,##0,;\(&quot;$&quot;#,##0,\)"/>
    <numFmt numFmtId="176" formatCode="&quot;$&quot;#,##0"/>
    <numFmt numFmtId="177" formatCode="&quot;$&quot;#,##0.00;\(&quot;$&quot;#,##0.00\);&quot;-&quot;"/>
    <numFmt numFmtId="178" formatCode="\ #,##0;\(#,##0\);&quot;-&quot;"/>
    <numFmt numFmtId="179" formatCode="0.0%"/>
    <numFmt numFmtId="180" formatCode="_-* #,##0_-;\-* #,##0_-;_-* &quot;-&quot;??_-;_-@_-"/>
    <numFmt numFmtId="181" formatCode="0%;\-0%;&quot;-&quot;"/>
    <numFmt numFmtId="182" formatCode="&quot;$&quot;#,##0.00"/>
    <numFmt numFmtId="183" formatCode="0.00000"/>
    <numFmt numFmtId="184" formatCode="&quot;$&quot;#,##0.000,"/>
    <numFmt numFmtId="185" formatCode="&quot;$&quot;#,##0,;\(&quot;$&quot;#,##0,\);&quot;&quot;"/>
    <numFmt numFmtId="186" formatCode="\ &quot;$&quot;#,##0,;\(&quot;$&quot;#,##0,\);&quot;-&quot;"/>
  </numFmts>
  <fonts count="30" x14ac:knownFonts="1">
    <font>
      <sz val="11"/>
      <color theme="1"/>
      <name val="Aptos Narrow"/>
      <family val="2"/>
      <scheme val="minor"/>
    </font>
    <font>
      <sz val="11"/>
      <color theme="1"/>
      <name val="Aptos Narrow"/>
      <family val="2"/>
      <scheme val="minor"/>
    </font>
    <font>
      <b/>
      <sz val="10"/>
      <color theme="1"/>
      <name val="Arial"/>
      <family val="2"/>
    </font>
    <font>
      <sz val="10"/>
      <color theme="1"/>
      <name val="Arial"/>
      <family val="2"/>
    </font>
    <font>
      <i/>
      <sz val="10"/>
      <color theme="1"/>
      <name val="Arial"/>
      <family val="2"/>
    </font>
    <font>
      <b/>
      <sz val="10"/>
      <name val="Arial"/>
      <family val="2"/>
    </font>
    <font>
      <sz val="10"/>
      <name val="Arial"/>
      <family val="2"/>
    </font>
    <font>
      <sz val="10"/>
      <color rgb="FFFF0000"/>
      <name val="Arial"/>
      <family val="2"/>
    </font>
    <font>
      <b/>
      <vertAlign val="superscript"/>
      <sz val="10"/>
      <color theme="1"/>
      <name val="Arial"/>
      <family val="2"/>
    </font>
    <font>
      <i/>
      <vertAlign val="superscript"/>
      <sz val="10"/>
      <color theme="1"/>
      <name val="Arial"/>
      <family val="2"/>
    </font>
    <font>
      <u/>
      <sz val="10"/>
      <color theme="1"/>
      <name val="Arial"/>
      <family val="2"/>
    </font>
    <font>
      <vertAlign val="superscript"/>
      <sz val="10"/>
      <color theme="1"/>
      <name val="Arial"/>
      <family val="2"/>
    </font>
    <font>
      <i/>
      <sz val="10"/>
      <name val="Arial"/>
      <family val="2"/>
    </font>
    <font>
      <sz val="10"/>
      <color theme="1"/>
      <name val="Arial"/>
      <family val="2"/>
    </font>
    <font>
      <sz val="8"/>
      <name val="Aptos Narrow"/>
      <family val="2"/>
      <scheme val="minor"/>
    </font>
    <font>
      <b/>
      <u/>
      <sz val="10"/>
      <color theme="1"/>
      <name val="Arial"/>
      <family val="2"/>
    </font>
    <font>
      <sz val="8"/>
      <color theme="1"/>
      <name val="Arial"/>
      <family val="2"/>
    </font>
    <font>
      <b/>
      <sz val="10"/>
      <color theme="1"/>
      <name val="Arial"/>
      <family val="2"/>
    </font>
    <font>
      <i/>
      <sz val="10"/>
      <color theme="1"/>
      <name val="Arial"/>
      <family val="2"/>
    </font>
    <font>
      <b/>
      <sz val="10"/>
      <name val="Arial"/>
      <family val="2"/>
    </font>
    <font>
      <sz val="10"/>
      <name val="Arial"/>
      <family val="2"/>
    </font>
    <font>
      <b/>
      <i/>
      <sz val="10"/>
      <color theme="1"/>
      <name val="Arial"/>
      <family val="2"/>
    </font>
    <font>
      <b/>
      <vertAlign val="superscript"/>
      <sz val="10"/>
      <name val="Arial"/>
      <family val="2"/>
    </font>
    <font>
      <i/>
      <vertAlign val="superscript"/>
      <sz val="10"/>
      <name val="Arial"/>
      <family val="2"/>
    </font>
    <font>
      <vertAlign val="superscript"/>
      <sz val="10"/>
      <name val="Arial"/>
      <family val="2"/>
    </font>
    <font>
      <b/>
      <sz val="10"/>
      <color rgb="FF000000"/>
      <name val="Arial"/>
      <family val="2"/>
    </font>
    <font>
      <sz val="10"/>
      <color rgb="FF000000"/>
      <name val="Arial"/>
      <family val="2"/>
    </font>
    <font>
      <u/>
      <sz val="10"/>
      <color rgb="FF000000"/>
      <name val="Arial"/>
      <family val="2"/>
    </font>
    <font>
      <u/>
      <sz val="11"/>
      <color theme="1"/>
      <name val="Aptos Narrow"/>
      <family val="2"/>
      <scheme val="minor"/>
    </font>
    <font>
      <u/>
      <vertAlign val="superscript"/>
      <sz val="10"/>
      <color theme="1"/>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0"/>
        <bgColor indexed="64"/>
      </patternFill>
    </fill>
  </fills>
  <borders count="44">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bottom style="thin">
        <color auto="1"/>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auto="1"/>
      </right>
      <top style="thin">
        <color auto="1"/>
      </top>
      <bottom style="double">
        <color auto="1"/>
      </bottom>
      <diagonal/>
    </border>
    <border>
      <left style="thin">
        <color indexed="64"/>
      </left>
      <right style="thin">
        <color indexed="64"/>
      </right>
      <top style="double">
        <color indexed="64"/>
      </top>
      <bottom style="thin">
        <color indexed="64"/>
      </bottom>
      <diagonal/>
    </border>
    <border>
      <left style="thin">
        <color rgb="FF000000"/>
      </left>
      <right style="thin">
        <color auto="1"/>
      </right>
      <top style="thin">
        <color auto="1"/>
      </top>
      <bottom style="thin">
        <color auto="1"/>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style="thin">
        <color auto="1"/>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auto="1"/>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thin">
        <color auto="1"/>
      </left>
      <right style="medium">
        <color indexed="64"/>
      </right>
      <top style="thin">
        <color auto="1"/>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indexed="64"/>
      </left>
      <right style="medium">
        <color indexed="64"/>
      </right>
      <top/>
      <bottom style="thin">
        <color indexed="64"/>
      </bottom>
      <diagonal/>
    </border>
    <border>
      <left/>
      <right/>
      <top style="medium">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5">
    <xf numFmtId="0" fontId="0" fillId="0" borderId="0"/>
    <xf numFmtId="4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587">
    <xf numFmtId="0" fontId="0" fillId="0" borderId="0" xfId="0"/>
    <xf numFmtId="0" fontId="2"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3" borderId="7" xfId="0" applyFont="1" applyFill="1" applyBorder="1" applyAlignment="1">
      <alignment vertical="center"/>
    </xf>
    <xf numFmtId="0" fontId="2" fillId="2" borderId="14" xfId="0" applyFont="1" applyFill="1" applyBorder="1" applyAlignment="1">
      <alignment vertical="center"/>
    </xf>
    <xf numFmtId="0" fontId="4" fillId="0" borderId="5" xfId="0" applyFont="1" applyBorder="1" applyAlignment="1">
      <alignment vertical="center"/>
    </xf>
    <xf numFmtId="0" fontId="4" fillId="0" borderId="8" xfId="0" applyFont="1" applyBorder="1" applyAlignment="1">
      <alignment horizontal="left"/>
    </xf>
    <xf numFmtId="0" fontId="4" fillId="0" borderId="5" xfId="0" applyFont="1" applyBorder="1" applyAlignment="1">
      <alignment horizontal="left" vertical="center"/>
    </xf>
    <xf numFmtId="0" fontId="2" fillId="2" borderId="1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0" xfId="0" applyFont="1"/>
    <xf numFmtId="0" fontId="3" fillId="0" borderId="0" xfId="0" applyFont="1" applyAlignment="1">
      <alignment vertical="center"/>
    </xf>
    <xf numFmtId="168" fontId="2" fillId="2" borderId="7" xfId="0" applyNumberFormat="1" applyFont="1" applyFill="1" applyBorder="1" applyAlignment="1">
      <alignment horizontal="center" vertical="center" wrapText="1"/>
    </xf>
    <xf numFmtId="169" fontId="2" fillId="2" borderId="7" xfId="0" applyNumberFormat="1" applyFont="1" applyFill="1" applyBorder="1" applyAlignment="1">
      <alignment horizontal="center" vertical="center" wrapText="1"/>
    </xf>
    <xf numFmtId="169" fontId="2" fillId="3" borderId="7" xfId="0" applyNumberFormat="1" applyFont="1" applyFill="1" applyBorder="1" applyAlignment="1">
      <alignment horizontal="right" vertical="center" wrapText="1"/>
    </xf>
    <xf numFmtId="169" fontId="3" fillId="0" borderId="5" xfId="0" applyNumberFormat="1" applyFont="1" applyBorder="1" applyAlignment="1">
      <alignment horizontal="right" vertical="center"/>
    </xf>
    <xf numFmtId="169" fontId="2" fillId="2" borderId="14" xfId="0" applyNumberFormat="1" applyFont="1" applyFill="1" applyBorder="1" applyAlignment="1">
      <alignment horizontal="right" vertical="center"/>
    </xf>
    <xf numFmtId="171" fontId="2" fillId="2" borderId="7" xfId="0" applyNumberFormat="1" applyFont="1" applyFill="1" applyBorder="1" applyAlignment="1">
      <alignment horizontal="center" vertical="center" wrapText="1"/>
    </xf>
    <xf numFmtId="172" fontId="2" fillId="3" borderId="7" xfId="0" applyNumberFormat="1" applyFont="1" applyFill="1" applyBorder="1" applyAlignment="1">
      <alignment horizontal="right" vertical="center" wrapText="1"/>
    </xf>
    <xf numFmtId="172" fontId="2" fillId="2" borderId="14" xfId="0" applyNumberFormat="1" applyFont="1" applyFill="1" applyBorder="1" applyAlignment="1">
      <alignment horizontal="right" vertical="center"/>
    </xf>
    <xf numFmtId="172" fontId="3" fillId="0" borderId="5" xfId="0" applyNumberFormat="1" applyFont="1" applyBorder="1" applyAlignment="1">
      <alignment horizontal="right" vertical="center"/>
    </xf>
    <xf numFmtId="172" fontId="2" fillId="3" borderId="7" xfId="0" applyNumberFormat="1" applyFont="1" applyFill="1" applyBorder="1" applyAlignment="1">
      <alignment horizontal="right" vertical="center"/>
    </xf>
    <xf numFmtId="172" fontId="2" fillId="2" borderId="7" xfId="0" applyNumberFormat="1" applyFont="1" applyFill="1" applyBorder="1" applyAlignment="1">
      <alignment horizontal="center" vertical="center" wrapText="1"/>
    </xf>
    <xf numFmtId="173" fontId="2" fillId="2" borderId="7" xfId="0" applyNumberFormat="1" applyFont="1" applyFill="1" applyBorder="1" applyAlignment="1">
      <alignment horizontal="center" vertical="center" wrapText="1"/>
    </xf>
    <xf numFmtId="173" fontId="2" fillId="3" borderId="7" xfId="0" applyNumberFormat="1" applyFont="1" applyFill="1" applyBorder="1" applyAlignment="1">
      <alignment horizontal="right" vertical="center" wrapText="1"/>
    </xf>
    <xf numFmtId="173" fontId="3" fillId="0" borderId="5" xfId="0" applyNumberFormat="1" applyFont="1" applyBorder="1" applyAlignment="1">
      <alignment horizontal="right" vertical="center"/>
    </xf>
    <xf numFmtId="173" fontId="2" fillId="2" borderId="14" xfId="0" applyNumberFormat="1" applyFont="1" applyFill="1" applyBorder="1" applyAlignment="1">
      <alignment horizontal="right" vertical="center"/>
    </xf>
    <xf numFmtId="173" fontId="2" fillId="3" borderId="7" xfId="0" applyNumberFormat="1" applyFont="1" applyFill="1" applyBorder="1" applyAlignment="1">
      <alignment horizontal="right" vertical="center"/>
    </xf>
    <xf numFmtId="7" fontId="3" fillId="0" borderId="0" xfId="0" applyNumberFormat="1" applyFont="1"/>
    <xf numFmtId="0" fontId="3" fillId="0" borderId="0" xfId="0" applyFont="1" applyAlignment="1">
      <alignment horizontal="center" vertical="center"/>
    </xf>
    <xf numFmtId="0" fontId="2" fillId="0" borderId="0" xfId="0" applyFont="1" applyAlignment="1">
      <alignment horizontal="center" vertical="center"/>
    </xf>
    <xf numFmtId="0" fontId="2" fillId="2" borderId="7" xfId="0" applyFont="1" applyFill="1" applyBorder="1" applyAlignment="1">
      <alignment horizontal="center" vertical="center" wrapText="1"/>
    </xf>
    <xf numFmtId="177" fontId="2" fillId="3" borderId="7" xfId="0" applyNumberFormat="1" applyFont="1" applyFill="1" applyBorder="1" applyAlignment="1">
      <alignment horizontal="right" vertical="center" wrapText="1"/>
    </xf>
    <xf numFmtId="174" fontId="2" fillId="3" borderId="7" xfId="0" applyNumberFormat="1" applyFont="1" applyFill="1" applyBorder="1" applyAlignment="1">
      <alignment horizontal="right" vertical="center" wrapText="1"/>
    </xf>
    <xf numFmtId="0" fontId="2" fillId="0" borderId="0" xfId="0" applyFont="1"/>
    <xf numFmtId="0" fontId="3" fillId="0" borderId="5" xfId="0" applyFont="1" applyBorder="1" applyAlignment="1">
      <alignment vertical="center"/>
    </xf>
    <xf numFmtId="177" fontId="3" fillId="0" borderId="5" xfId="0" applyNumberFormat="1" applyFont="1" applyBorder="1" applyAlignment="1">
      <alignment horizontal="right" vertical="center"/>
    </xf>
    <xf numFmtId="174" fontId="3" fillId="0" borderId="5" xfId="0" applyNumberFormat="1" applyFont="1" applyBorder="1" applyAlignment="1">
      <alignment horizontal="right" vertical="center"/>
    </xf>
    <xf numFmtId="0" fontId="3" fillId="0" borderId="5" xfId="0" applyFont="1" applyBorder="1" applyAlignment="1">
      <alignment horizontal="left" vertical="center"/>
    </xf>
    <xf numFmtId="0" fontId="3" fillId="0" borderId="10" xfId="0" applyFont="1" applyBorder="1" applyAlignment="1">
      <alignment horizontal="left" vertical="center"/>
    </xf>
    <xf numFmtId="177" fontId="3" fillId="0" borderId="10" xfId="0" applyNumberFormat="1" applyFont="1" applyBorder="1" applyAlignment="1">
      <alignment horizontal="right" vertical="center"/>
    </xf>
    <xf numFmtId="174" fontId="3" fillId="0" borderId="10" xfId="0" applyNumberFormat="1" applyFont="1" applyBorder="1" applyAlignment="1">
      <alignment horizontal="right" vertical="center"/>
    </xf>
    <xf numFmtId="177" fontId="2" fillId="2" borderId="14" xfId="0" applyNumberFormat="1" applyFont="1" applyFill="1" applyBorder="1" applyAlignment="1">
      <alignment horizontal="right" vertical="center"/>
    </xf>
    <xf numFmtId="174" fontId="2" fillId="2" borderId="14" xfId="0" applyNumberFormat="1" applyFont="1" applyFill="1" applyBorder="1" applyAlignment="1">
      <alignment horizontal="right" vertical="center"/>
    </xf>
    <xf numFmtId="177" fontId="3" fillId="2" borderId="5" xfId="0" applyNumberFormat="1" applyFont="1" applyFill="1" applyBorder="1" applyAlignment="1">
      <alignment horizontal="right" vertical="center"/>
    </xf>
    <xf numFmtId="174" fontId="3" fillId="2" borderId="5" xfId="0" applyNumberFormat="1" applyFont="1" applyFill="1" applyBorder="1" applyAlignment="1">
      <alignment horizontal="right" vertical="center"/>
    </xf>
    <xf numFmtId="0" fontId="3" fillId="3" borderId="13" xfId="0" applyFont="1" applyFill="1" applyBorder="1"/>
    <xf numFmtId="177" fontId="3" fillId="3" borderId="7" xfId="0" applyNumberFormat="1" applyFont="1" applyFill="1" applyBorder="1" applyAlignment="1">
      <alignment horizontal="right" vertical="center" wrapText="1"/>
    </xf>
    <xf numFmtId="174" fontId="3" fillId="3" borderId="7" xfId="0" applyNumberFormat="1" applyFont="1" applyFill="1" applyBorder="1" applyAlignment="1">
      <alignment horizontal="right" vertical="center" wrapText="1"/>
    </xf>
    <xf numFmtId="0" fontId="10" fillId="0" borderId="0" xfId="0" applyFont="1"/>
    <xf numFmtId="176" fontId="3" fillId="0" borderId="0" xfId="0" applyNumberFormat="1" applyFont="1"/>
    <xf numFmtId="0" fontId="3" fillId="0" borderId="8" xfId="0" applyFont="1" applyBorder="1"/>
    <xf numFmtId="169" fontId="3" fillId="0" borderId="0" xfId="0" applyNumberFormat="1" applyFont="1"/>
    <xf numFmtId="168" fontId="3" fillId="0" borderId="0" xfId="0" applyNumberFormat="1" applyFont="1"/>
    <xf numFmtId="0" fontId="2" fillId="2" borderId="25"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3" fillId="0" borderId="26" xfId="0" applyFont="1" applyBorder="1" applyAlignment="1">
      <alignment vertical="center"/>
    </xf>
    <xf numFmtId="0" fontId="3" fillId="0" borderId="18" xfId="0" applyFont="1" applyBorder="1" applyAlignment="1">
      <alignment vertical="center" wrapText="1"/>
    </xf>
    <xf numFmtId="9" fontId="3" fillId="0" borderId="18" xfId="3" applyFont="1" applyFill="1" applyBorder="1" applyAlignment="1">
      <alignment horizontal="center" vertical="center"/>
    </xf>
    <xf numFmtId="3" fontId="3" fillId="0" borderId="18" xfId="0" applyNumberFormat="1" applyFont="1" applyBorder="1" applyAlignment="1">
      <alignment horizontal="center" vertical="center"/>
    </xf>
    <xf numFmtId="176" fontId="3" fillId="0" borderId="18" xfId="0" applyNumberFormat="1" applyFont="1" applyBorder="1" applyAlignment="1">
      <alignment horizontal="center" vertical="center"/>
    </xf>
    <xf numFmtId="3" fontId="3" fillId="0" borderId="18" xfId="3" applyNumberFormat="1" applyFont="1" applyFill="1" applyBorder="1" applyAlignment="1">
      <alignment horizontal="center" vertical="center"/>
    </xf>
    <xf numFmtId="10" fontId="3" fillId="0" borderId="18" xfId="3" applyNumberFormat="1" applyFont="1" applyFill="1" applyBorder="1" applyAlignment="1">
      <alignment horizontal="center" vertical="center"/>
    </xf>
    <xf numFmtId="176" fontId="3" fillId="0" borderId="32" xfId="0" applyNumberFormat="1" applyFont="1" applyBorder="1" applyAlignment="1">
      <alignment horizontal="center" vertical="center"/>
    </xf>
    <xf numFmtId="3" fontId="3" fillId="0" borderId="19" xfId="3" applyNumberFormat="1" applyFont="1" applyFill="1" applyBorder="1" applyAlignment="1">
      <alignment horizontal="center" vertical="center"/>
    </xf>
    <xf numFmtId="0" fontId="3" fillId="0" borderId="20" xfId="0" applyFont="1" applyBorder="1" applyAlignment="1">
      <alignment vertical="center"/>
    </xf>
    <xf numFmtId="0" fontId="3" fillId="0" borderId="20" xfId="0" applyFont="1" applyBorder="1" applyAlignment="1">
      <alignment vertical="center" wrapText="1"/>
    </xf>
    <xf numFmtId="9" fontId="3" fillId="0" borderId="20" xfId="3" applyFont="1" applyFill="1" applyBorder="1" applyAlignment="1">
      <alignment horizontal="center" vertical="center"/>
    </xf>
    <xf numFmtId="3" fontId="3" fillId="0" borderId="20" xfId="0" applyNumberFormat="1" applyFont="1" applyBorder="1" applyAlignment="1">
      <alignment horizontal="center" vertical="center"/>
    </xf>
    <xf numFmtId="3" fontId="3" fillId="0" borderId="1" xfId="3" applyNumberFormat="1" applyFont="1" applyFill="1" applyBorder="1" applyAlignment="1">
      <alignment horizontal="center" vertical="center"/>
    </xf>
    <xf numFmtId="0" fontId="3" fillId="0" borderId="1" xfId="0" applyFont="1" applyBorder="1" applyAlignment="1">
      <alignment vertical="center" wrapText="1"/>
    </xf>
    <xf numFmtId="9" fontId="3" fillId="0" borderId="1" xfId="3" applyFont="1" applyFill="1" applyBorder="1" applyAlignment="1">
      <alignment horizontal="center" vertical="center"/>
    </xf>
    <xf numFmtId="3" fontId="3" fillId="0" borderId="1" xfId="0" applyNumberFormat="1" applyFont="1" applyBorder="1" applyAlignment="1">
      <alignment horizontal="center" vertical="center"/>
    </xf>
    <xf numFmtId="0" fontId="3" fillId="0" borderId="19" xfId="0" applyFont="1" applyBorder="1" applyAlignment="1">
      <alignment vertical="center"/>
    </xf>
    <xf numFmtId="9" fontId="3" fillId="0" borderId="19" xfId="3" applyFont="1" applyFill="1" applyBorder="1" applyAlignment="1">
      <alignment horizontal="center" vertical="center"/>
    </xf>
    <xf numFmtId="3" fontId="3" fillId="0" borderId="19" xfId="0" applyNumberFormat="1" applyFont="1" applyBorder="1" applyAlignment="1">
      <alignment horizontal="center" vertical="center"/>
    </xf>
    <xf numFmtId="0" fontId="3" fillId="0" borderId="21" xfId="0" applyFont="1" applyBorder="1" applyAlignment="1">
      <alignment vertical="center" wrapText="1"/>
    </xf>
    <xf numFmtId="9" fontId="3" fillId="0" borderId="21" xfId="3" applyFont="1" applyFill="1" applyBorder="1" applyAlignment="1">
      <alignment horizontal="center" vertical="center"/>
    </xf>
    <xf numFmtId="3" fontId="3" fillId="0" borderId="21" xfId="0" applyNumberFormat="1" applyFont="1" applyBorder="1" applyAlignment="1">
      <alignment horizontal="center" vertical="center"/>
    </xf>
    <xf numFmtId="3" fontId="3" fillId="0" borderId="20" xfId="3" applyNumberFormat="1" applyFont="1" applyFill="1" applyBorder="1" applyAlignment="1">
      <alignment horizontal="center" vertical="center"/>
    </xf>
    <xf numFmtId="0" fontId="3" fillId="0" borderId="19" xfId="0" applyFont="1" applyBorder="1" applyAlignment="1">
      <alignment vertical="center" wrapText="1"/>
    </xf>
    <xf numFmtId="0" fontId="3" fillId="0" borderId="18" xfId="0" applyFont="1" applyBorder="1" applyAlignment="1">
      <alignment vertical="center"/>
    </xf>
    <xf numFmtId="9" fontId="3" fillId="0" borderId="7" xfId="3" applyFont="1" applyFill="1" applyBorder="1" applyAlignment="1">
      <alignment horizontal="center" vertical="center"/>
    </xf>
    <xf numFmtId="3" fontId="3" fillId="0" borderId="7" xfId="0" applyNumberFormat="1" applyFont="1" applyBorder="1" applyAlignment="1">
      <alignment horizontal="center" vertical="center"/>
    </xf>
    <xf numFmtId="0" fontId="0" fillId="0" borderId="0" xfId="0" applyAlignment="1">
      <alignment vertical="center"/>
    </xf>
    <xf numFmtId="9" fontId="3" fillId="0" borderId="1" xfId="3" applyFont="1" applyBorder="1" applyAlignment="1">
      <alignment horizontal="center" vertical="center"/>
    </xf>
    <xf numFmtId="0" fontId="3" fillId="0" borderId="5" xfId="0" applyFont="1" applyBorder="1" applyAlignment="1">
      <alignment vertical="center" wrapText="1"/>
    </xf>
    <xf numFmtId="9" fontId="3" fillId="0" borderId="20" xfId="3" applyFont="1" applyBorder="1" applyAlignment="1">
      <alignment horizontal="center" vertical="center"/>
    </xf>
    <xf numFmtId="9" fontId="3" fillId="0" borderId="10" xfId="3" applyFont="1" applyBorder="1" applyAlignment="1">
      <alignment horizontal="center" vertical="center"/>
    </xf>
    <xf numFmtId="49" fontId="3" fillId="0" borderId="0" xfId="0" applyNumberFormat="1" applyFont="1"/>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15" fillId="0" borderId="0" xfId="0" applyFont="1"/>
    <xf numFmtId="165" fontId="3" fillId="0" borderId="1" xfId="1" applyNumberFormat="1" applyFont="1" applyFill="1" applyBorder="1" applyAlignment="1">
      <alignment horizontal="right" vertical="center"/>
    </xf>
    <xf numFmtId="170" fontId="2" fillId="2" borderId="7" xfId="0" applyNumberFormat="1" applyFont="1" applyFill="1" applyBorder="1" applyAlignment="1">
      <alignment horizontal="center" vertical="center" wrapText="1"/>
    </xf>
    <xf numFmtId="0" fontId="17" fillId="2" borderId="15"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4" fillId="0" borderId="8" xfId="0" applyFont="1" applyBorder="1" applyAlignment="1">
      <alignment horizontal="left" vertical="center"/>
    </xf>
    <xf numFmtId="0" fontId="2" fillId="3" borderId="11" xfId="0" applyFont="1" applyFill="1" applyBorder="1" applyAlignment="1">
      <alignment vertical="center"/>
    </xf>
    <xf numFmtId="0" fontId="3" fillId="0" borderId="11" xfId="0" applyFont="1" applyBorder="1" applyAlignment="1">
      <alignment horizontal="left"/>
    </xf>
    <xf numFmtId="0" fontId="3" fillId="0" borderId="8" xfId="0" applyFont="1" applyBorder="1" applyAlignment="1">
      <alignment horizontal="left"/>
    </xf>
    <xf numFmtId="0" fontId="6" fillId="0" borderId="1" xfId="0" applyFont="1" applyBorder="1" applyAlignment="1">
      <alignment horizontal="left" vertical="center" wrapText="1"/>
    </xf>
    <xf numFmtId="0" fontId="3" fillId="0" borderId="18" xfId="0" applyFont="1" applyBorder="1" applyAlignment="1">
      <alignment horizontal="left" vertical="center" wrapText="1"/>
    </xf>
    <xf numFmtId="0" fontId="3" fillId="0" borderId="18" xfId="0" applyFont="1" applyBorder="1" applyAlignment="1">
      <alignment horizontal="left" vertical="center"/>
    </xf>
    <xf numFmtId="0" fontId="3" fillId="0" borderId="1" xfId="0" applyFont="1" applyBorder="1" applyAlignment="1">
      <alignment horizontal="left" vertical="center"/>
    </xf>
    <xf numFmtId="0" fontId="3" fillId="0" borderId="22" xfId="0" applyFont="1" applyBorder="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1" xfId="0" applyFont="1" applyBorder="1" applyAlignment="1">
      <alignment vertical="center"/>
    </xf>
    <xf numFmtId="0" fontId="5" fillId="3" borderId="11" xfId="0" applyFont="1" applyFill="1" applyBorder="1" applyAlignment="1">
      <alignment vertical="center" wrapText="1"/>
    </xf>
    <xf numFmtId="0" fontId="3" fillId="0" borderId="7" xfId="0" applyFont="1" applyBorder="1" applyAlignment="1">
      <alignment horizontal="left" vertical="center" wrapText="1"/>
    </xf>
    <xf numFmtId="3" fontId="3" fillId="0" borderId="7" xfId="3" applyNumberFormat="1" applyFont="1" applyFill="1" applyBorder="1" applyAlignment="1">
      <alignment horizontal="center" vertical="center"/>
    </xf>
    <xf numFmtId="49" fontId="3" fillId="0" borderId="0" xfId="0" quotePrefix="1" applyNumberFormat="1" applyFont="1"/>
    <xf numFmtId="0" fontId="2" fillId="2" borderId="6"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3" fillId="0" borderId="21" xfId="0" applyFont="1" applyBorder="1" applyAlignment="1">
      <alignment horizontal="left" vertical="center" wrapText="1"/>
    </xf>
    <xf numFmtId="176" fontId="3" fillId="0" borderId="33" xfId="0" applyNumberFormat="1" applyFont="1" applyBorder="1" applyAlignment="1">
      <alignment horizontal="center" vertical="center"/>
    </xf>
    <xf numFmtId="176" fontId="3" fillId="0" borderId="0" xfId="0" applyNumberFormat="1" applyFont="1" applyAlignment="1">
      <alignment vertical="center"/>
    </xf>
    <xf numFmtId="0" fontId="4" fillId="0" borderId="10" xfId="0" applyFont="1" applyBorder="1" applyAlignment="1">
      <alignment horizontal="left" vertical="center"/>
    </xf>
    <xf numFmtId="0" fontId="12" fillId="0" borderId="0" xfId="0" applyFont="1" applyAlignment="1">
      <alignment horizontal="left" vertical="center"/>
    </xf>
    <xf numFmtId="0" fontId="2" fillId="3" borderId="7" xfId="0" applyFont="1" applyFill="1" applyBorder="1" applyAlignment="1">
      <alignment vertical="center" wrapText="1"/>
    </xf>
    <xf numFmtId="0" fontId="2" fillId="2" borderId="1" xfId="0" applyFont="1" applyFill="1" applyBorder="1" applyAlignment="1">
      <alignment vertical="center"/>
    </xf>
    <xf numFmtId="0" fontId="12" fillId="0" borderId="5" xfId="0" applyFont="1" applyBorder="1" applyAlignment="1">
      <alignment horizontal="left" vertical="center"/>
    </xf>
    <xf numFmtId="0" fontId="2" fillId="2" borderId="7" xfId="0" applyFont="1" applyFill="1" applyBorder="1" applyAlignment="1">
      <alignment vertical="center"/>
    </xf>
    <xf numFmtId="0" fontId="2" fillId="3" borderId="11" xfId="0" applyFont="1" applyFill="1" applyBorder="1" applyAlignment="1">
      <alignment vertical="center" wrapText="1"/>
    </xf>
    <xf numFmtId="0" fontId="4" fillId="0" borderId="0" xfId="0" applyFont="1" applyAlignment="1">
      <alignment horizontal="left" vertical="center"/>
    </xf>
    <xf numFmtId="0" fontId="2" fillId="0" borderId="0" xfId="0" applyFont="1" applyAlignment="1">
      <alignment vertical="center"/>
    </xf>
    <xf numFmtId="0" fontId="6" fillId="0" borderId="1" xfId="0" applyFont="1" applyBorder="1" applyAlignment="1">
      <alignment horizontal="center" vertical="center" wrapText="1"/>
    </xf>
    <xf numFmtId="0" fontId="3" fillId="0" borderId="10" xfId="0" applyFont="1" applyBorder="1" applyAlignment="1">
      <alignment horizontal="left" vertical="center" wrapText="1"/>
    </xf>
    <xf numFmtId="9" fontId="3" fillId="0" borderId="10" xfId="3" applyFont="1" applyFill="1" applyBorder="1" applyAlignment="1">
      <alignment horizontal="center" vertical="center"/>
    </xf>
    <xf numFmtId="3" fontId="3" fillId="0" borderId="10" xfId="0" applyNumberFormat="1" applyFont="1" applyBorder="1" applyAlignment="1">
      <alignment horizontal="center" vertical="center"/>
    </xf>
    <xf numFmtId="0" fontId="2" fillId="2" borderId="31" xfId="0" applyFont="1" applyFill="1" applyBorder="1" applyAlignment="1">
      <alignment horizontal="center" vertical="center" wrapText="1"/>
    </xf>
    <xf numFmtId="0" fontId="3" fillId="0" borderId="29" xfId="0" applyFont="1" applyBorder="1" applyAlignment="1">
      <alignment vertical="center"/>
    </xf>
    <xf numFmtId="0" fontId="5" fillId="2" borderId="26"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32" xfId="0" applyFont="1" applyFill="1" applyBorder="1" applyAlignment="1">
      <alignment horizontal="center" vertical="center" wrapText="1"/>
    </xf>
    <xf numFmtId="176" fontId="3" fillId="0" borderId="39" xfId="0" applyNumberFormat="1" applyFont="1" applyBorder="1" applyAlignment="1">
      <alignment horizontal="center" vertical="center"/>
    </xf>
    <xf numFmtId="0" fontId="3" fillId="0" borderId="10" xfId="0" applyFont="1" applyBorder="1" applyAlignment="1">
      <alignment vertical="center" wrapText="1"/>
    </xf>
    <xf numFmtId="9" fontId="3" fillId="0" borderId="18" xfId="3" applyFont="1" applyBorder="1" applyAlignment="1">
      <alignment horizontal="center" vertical="center"/>
    </xf>
    <xf numFmtId="3" fontId="3" fillId="0" borderId="18" xfId="3" applyNumberFormat="1" applyFont="1" applyBorder="1" applyAlignment="1">
      <alignment horizontal="center" vertical="center"/>
    </xf>
    <xf numFmtId="10" fontId="3" fillId="0" borderId="18" xfId="3" applyNumberFormat="1" applyFont="1" applyBorder="1" applyAlignment="1">
      <alignment horizontal="center" vertical="center"/>
    </xf>
    <xf numFmtId="9" fontId="3" fillId="0" borderId="19" xfId="3" applyFont="1" applyBorder="1" applyAlignment="1">
      <alignment horizontal="center" vertical="center"/>
    </xf>
    <xf numFmtId="3" fontId="3" fillId="0" borderId="19" xfId="3" applyNumberFormat="1" applyFont="1" applyBorder="1" applyAlignment="1">
      <alignment horizontal="center" vertical="center"/>
    </xf>
    <xf numFmtId="3" fontId="3" fillId="0" borderId="20" xfId="3" applyNumberFormat="1" applyFont="1" applyBorder="1" applyAlignment="1">
      <alignment horizontal="center" vertical="center"/>
    </xf>
    <xf numFmtId="9" fontId="3" fillId="0" borderId="7" xfId="3" applyFont="1" applyBorder="1" applyAlignment="1">
      <alignment horizontal="center" vertical="center"/>
    </xf>
    <xf numFmtId="3" fontId="3" fillId="0" borderId="7" xfId="3" applyNumberFormat="1" applyFont="1" applyBorder="1" applyAlignment="1">
      <alignment horizontal="center" vertical="center"/>
    </xf>
    <xf numFmtId="3" fontId="3" fillId="0" borderId="1" xfId="3" applyNumberFormat="1" applyFont="1" applyBorder="1" applyAlignment="1">
      <alignment horizontal="center" vertical="center"/>
    </xf>
    <xf numFmtId="181" fontId="2" fillId="3" borderId="7" xfId="3" applyNumberFormat="1" applyFont="1" applyFill="1" applyBorder="1" applyAlignment="1">
      <alignment horizontal="right" vertical="center" wrapText="1"/>
    </xf>
    <xf numFmtId="181" fontId="3" fillId="0" borderId="5" xfId="3" applyNumberFormat="1" applyFont="1" applyBorder="1" applyAlignment="1">
      <alignment horizontal="right" vertical="center"/>
    </xf>
    <xf numFmtId="181" fontId="3" fillId="0" borderId="10" xfId="3" applyNumberFormat="1" applyFont="1" applyBorder="1" applyAlignment="1">
      <alignment horizontal="right" vertical="center"/>
    </xf>
    <xf numFmtId="181" fontId="2" fillId="2" borderId="14" xfId="3" applyNumberFormat="1" applyFont="1" applyFill="1" applyBorder="1" applyAlignment="1">
      <alignment horizontal="right" vertical="center"/>
    </xf>
    <xf numFmtId="181" fontId="3" fillId="2" borderId="5" xfId="3" applyNumberFormat="1" applyFont="1" applyFill="1" applyBorder="1" applyAlignment="1">
      <alignment horizontal="right" vertical="center"/>
    </xf>
    <xf numFmtId="181" fontId="3" fillId="3" borderId="7" xfId="3" applyNumberFormat="1" applyFont="1" applyFill="1" applyBorder="1" applyAlignment="1">
      <alignment horizontal="right" vertical="center" wrapText="1"/>
    </xf>
    <xf numFmtId="7" fontId="0" fillId="0" borderId="0" xfId="0" applyNumberFormat="1"/>
    <xf numFmtId="0" fontId="0" fillId="0" borderId="0" xfId="0"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right" vertical="center"/>
    </xf>
    <xf numFmtId="182" fontId="3" fillId="0" borderId="0" xfId="0" applyNumberFormat="1" applyFont="1"/>
    <xf numFmtId="10" fontId="3" fillId="0" borderId="19" xfId="3" applyNumberFormat="1" applyFont="1" applyBorder="1" applyAlignment="1">
      <alignment horizontal="center" vertical="center"/>
    </xf>
    <xf numFmtId="10" fontId="3" fillId="0" borderId="1" xfId="3" applyNumberFormat="1" applyFont="1" applyBorder="1" applyAlignment="1">
      <alignment horizontal="center" vertical="center"/>
    </xf>
    <xf numFmtId="10" fontId="3" fillId="0" borderId="20" xfId="3" applyNumberFormat="1" applyFont="1" applyBorder="1" applyAlignment="1">
      <alignment horizontal="center" vertical="center"/>
    </xf>
    <xf numFmtId="0" fontId="3" fillId="0" borderId="0" xfId="0" quotePrefix="1" applyFont="1"/>
    <xf numFmtId="179" fontId="3" fillId="0" borderId="19" xfId="3" applyNumberFormat="1" applyFont="1" applyBorder="1" applyAlignment="1">
      <alignment horizontal="center" vertical="center"/>
    </xf>
    <xf numFmtId="179" fontId="3" fillId="0" borderId="1" xfId="3" applyNumberFormat="1" applyFont="1" applyBorder="1" applyAlignment="1">
      <alignment horizontal="center" vertical="center"/>
    </xf>
    <xf numFmtId="179" fontId="3" fillId="0" borderId="20" xfId="3" applyNumberFormat="1" applyFont="1" applyBorder="1" applyAlignment="1">
      <alignment horizontal="center" vertical="center"/>
    </xf>
    <xf numFmtId="0" fontId="3" fillId="0" borderId="7" xfId="0" applyFont="1" applyBorder="1" applyAlignment="1">
      <alignment vertical="center" wrapText="1"/>
    </xf>
    <xf numFmtId="0" fontId="2" fillId="2" borderId="26"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3" fillId="0" borderId="26" xfId="0" applyFont="1" applyBorder="1" applyAlignment="1">
      <alignment horizontal="left" vertical="center"/>
    </xf>
    <xf numFmtId="179" fontId="3" fillId="0" borderId="18" xfId="3" applyNumberFormat="1" applyFont="1" applyBorder="1" applyAlignment="1">
      <alignment horizontal="center" vertical="center"/>
    </xf>
    <xf numFmtId="10" fontId="3" fillId="0" borderId="21" xfId="3" applyNumberFormat="1" applyFont="1" applyBorder="1" applyAlignment="1">
      <alignment horizontal="center" vertical="center"/>
    </xf>
    <xf numFmtId="9" fontId="3" fillId="0" borderId="21" xfId="3" applyFont="1" applyBorder="1" applyAlignment="1">
      <alignment horizontal="center" vertical="center"/>
    </xf>
    <xf numFmtId="9" fontId="3" fillId="0" borderId="17" xfId="3" applyFont="1" applyBorder="1" applyAlignment="1">
      <alignment horizontal="center" vertical="center"/>
    </xf>
    <xf numFmtId="10" fontId="3" fillId="0" borderId="10" xfId="3" applyNumberFormat="1" applyFont="1" applyBorder="1" applyAlignment="1">
      <alignment horizontal="center" vertical="center"/>
    </xf>
    <xf numFmtId="0" fontId="3" fillId="0" borderId="5" xfId="0" applyFont="1" applyBorder="1" applyAlignment="1">
      <alignment horizontal="left" vertical="center" wrapText="1"/>
    </xf>
    <xf numFmtId="0" fontId="3" fillId="0" borderId="0" xfId="0" applyFont="1" applyAlignment="1">
      <alignment horizontal="center"/>
    </xf>
    <xf numFmtId="0" fontId="3" fillId="0" borderId="17" xfId="0" applyFont="1" applyBorder="1" applyAlignment="1">
      <alignment vertical="center" wrapText="1"/>
    </xf>
    <xf numFmtId="166" fontId="2" fillId="3" borderId="7" xfId="0" applyNumberFormat="1" applyFont="1" applyFill="1" applyBorder="1" applyAlignment="1">
      <alignment horizontal="right" vertical="center" wrapText="1"/>
    </xf>
    <xf numFmtId="166" fontId="3" fillId="0" borderId="5" xfId="0" applyNumberFormat="1" applyFont="1" applyBorder="1" applyAlignment="1">
      <alignment horizontal="right" vertical="center"/>
    </xf>
    <xf numFmtId="166" fontId="2" fillId="2" borderId="14" xfId="0" applyNumberFormat="1" applyFont="1" applyFill="1" applyBorder="1" applyAlignment="1">
      <alignment horizontal="right" vertical="center"/>
    </xf>
    <xf numFmtId="166" fontId="3" fillId="2" borderId="5" xfId="0" applyNumberFormat="1" applyFont="1" applyFill="1" applyBorder="1" applyAlignment="1">
      <alignment horizontal="right" vertical="center"/>
    </xf>
    <xf numFmtId="176" fontId="2" fillId="3" borderId="7" xfId="1" applyNumberFormat="1" applyFont="1" applyFill="1" applyBorder="1" applyAlignment="1">
      <alignment horizontal="right" vertical="center" wrapText="1"/>
    </xf>
    <xf numFmtId="176" fontId="3" fillId="0" borderId="5" xfId="1" applyNumberFormat="1" applyFont="1" applyBorder="1" applyAlignment="1">
      <alignment horizontal="right" vertical="center"/>
    </xf>
    <xf numFmtId="176" fontId="2" fillId="2" borderId="14" xfId="1" applyNumberFormat="1" applyFont="1" applyFill="1" applyBorder="1" applyAlignment="1">
      <alignment horizontal="right" vertical="center"/>
    </xf>
    <xf numFmtId="176" fontId="3" fillId="2" borderId="5" xfId="1" applyNumberFormat="1" applyFont="1" applyFill="1" applyBorder="1" applyAlignment="1">
      <alignment horizontal="right" vertical="center"/>
    </xf>
    <xf numFmtId="176" fontId="3" fillId="3" borderId="7" xfId="1" applyNumberFormat="1" applyFont="1" applyFill="1" applyBorder="1" applyAlignment="1">
      <alignment horizontal="right" vertical="center" wrapText="1"/>
    </xf>
    <xf numFmtId="5" fontId="2" fillId="3" borderId="7" xfId="0" applyNumberFormat="1" applyFont="1" applyFill="1" applyBorder="1" applyAlignment="1">
      <alignment horizontal="right" vertical="center" wrapText="1"/>
    </xf>
    <xf numFmtId="5" fontId="3" fillId="0" borderId="5" xfId="0" applyNumberFormat="1" applyFont="1" applyBorder="1" applyAlignment="1">
      <alignment horizontal="right" vertical="center"/>
    </xf>
    <xf numFmtId="5" fontId="2" fillId="2" borderId="14" xfId="0" applyNumberFormat="1" applyFont="1" applyFill="1" applyBorder="1" applyAlignment="1">
      <alignment horizontal="right" vertical="center"/>
    </xf>
    <xf numFmtId="5" fontId="3" fillId="2" borderId="5" xfId="0" applyNumberFormat="1" applyFont="1" applyFill="1" applyBorder="1" applyAlignment="1">
      <alignment horizontal="right" vertical="center"/>
    </xf>
    <xf numFmtId="5" fontId="3" fillId="3" borderId="7" xfId="0" applyNumberFormat="1" applyFont="1" applyFill="1" applyBorder="1" applyAlignment="1">
      <alignment horizontal="right" vertical="center" wrapText="1"/>
    </xf>
    <xf numFmtId="3" fontId="2" fillId="3" borderId="7" xfId="0" applyNumberFormat="1" applyFont="1" applyFill="1" applyBorder="1" applyAlignment="1">
      <alignment horizontal="right" vertical="center" wrapText="1"/>
    </xf>
    <xf numFmtId="3" fontId="3" fillId="0" borderId="5" xfId="0" applyNumberFormat="1" applyFont="1" applyBorder="1" applyAlignment="1">
      <alignment horizontal="right" vertical="center"/>
    </xf>
    <xf numFmtId="3" fontId="3" fillId="0" borderId="10" xfId="0" applyNumberFormat="1" applyFont="1" applyBorder="1" applyAlignment="1">
      <alignment horizontal="right" vertical="center"/>
    </xf>
    <xf numFmtId="3" fontId="2" fillId="2" borderId="14" xfId="0" applyNumberFormat="1" applyFont="1" applyFill="1" applyBorder="1" applyAlignment="1">
      <alignment horizontal="right" vertical="center"/>
    </xf>
    <xf numFmtId="3" fontId="3" fillId="2" borderId="5" xfId="0" applyNumberFormat="1" applyFont="1" applyFill="1" applyBorder="1" applyAlignment="1">
      <alignment horizontal="right" vertical="center"/>
    </xf>
    <xf numFmtId="3" fontId="3" fillId="3" borderId="7" xfId="0" applyNumberFormat="1" applyFont="1" applyFill="1" applyBorder="1" applyAlignment="1">
      <alignment horizontal="right" vertical="center" wrapText="1"/>
    </xf>
    <xf numFmtId="0" fontId="5" fillId="2" borderId="1" xfId="0" applyFont="1" applyFill="1" applyBorder="1" applyAlignment="1">
      <alignment horizontal="center" vertical="center" wrapText="1"/>
    </xf>
    <xf numFmtId="9" fontId="5" fillId="2" borderId="1" xfId="0" applyNumberFormat="1" applyFont="1" applyFill="1" applyBorder="1" applyAlignment="1">
      <alignment horizontal="center" vertical="center" wrapText="1"/>
    </xf>
    <xf numFmtId="0" fontId="25" fillId="0" borderId="7" xfId="0" applyFont="1" applyBorder="1" applyAlignment="1">
      <alignment vertical="center" wrapText="1"/>
    </xf>
    <xf numFmtId="176" fontId="26" fillId="0" borderId="7" xfId="0" applyNumberFormat="1" applyFont="1" applyBorder="1" applyAlignment="1">
      <alignment horizontal="center" vertical="center" wrapText="1"/>
    </xf>
    <xf numFmtId="9" fontId="26" fillId="0" borderId="7" xfId="3" applyFont="1" applyFill="1" applyBorder="1" applyAlignment="1">
      <alignment horizontal="center" vertical="center" wrapText="1"/>
    </xf>
    <xf numFmtId="176" fontId="26" fillId="0" borderId="1" xfId="0" applyNumberFormat="1" applyFont="1" applyBorder="1" applyAlignment="1">
      <alignment horizontal="center" vertical="center" wrapText="1"/>
    </xf>
    <xf numFmtId="9" fontId="26" fillId="0" borderId="1" xfId="3" applyFont="1" applyFill="1" applyBorder="1" applyAlignment="1">
      <alignment horizontal="center" vertical="center" wrapText="1"/>
    </xf>
    <xf numFmtId="0" fontId="25" fillId="0" borderId="11" xfId="0" applyFont="1" applyBorder="1" applyAlignment="1">
      <alignment vertical="center" wrapText="1"/>
    </xf>
    <xf numFmtId="0" fontId="2" fillId="2" borderId="2" xfId="0" applyFont="1" applyFill="1" applyBorder="1" applyAlignment="1">
      <alignment horizontal="right" vertical="center" wrapText="1"/>
    </xf>
    <xf numFmtId="176" fontId="25" fillId="4" borderId="1" xfId="0" applyNumberFormat="1" applyFont="1" applyFill="1" applyBorder="1" applyAlignment="1">
      <alignment horizontal="center" vertical="center" wrapText="1"/>
    </xf>
    <xf numFmtId="9" fontId="25" fillId="4" borderId="1" xfId="3" applyFont="1" applyFill="1" applyBorder="1" applyAlignment="1">
      <alignment horizontal="center" vertical="center" wrapText="1"/>
    </xf>
    <xf numFmtId="0" fontId="27" fillId="0" borderId="6" xfId="0" applyFont="1" applyBorder="1" applyAlignment="1">
      <alignment vertical="center"/>
    </xf>
    <xf numFmtId="0" fontId="0" fillId="0" borderId="6" xfId="0" applyBorder="1"/>
    <xf numFmtId="0" fontId="26" fillId="0" borderId="0" xfId="0" quotePrefix="1" applyFont="1" applyAlignment="1">
      <alignment horizontal="left" vertical="center" wrapText="1"/>
    </xf>
    <xf numFmtId="0" fontId="6" fillId="0" borderId="0" xfId="0" applyFont="1" applyAlignment="1">
      <alignment vertical="center"/>
    </xf>
    <xf numFmtId="0" fontId="13" fillId="0" borderId="0" xfId="0" applyFont="1" applyAlignment="1">
      <alignment vertical="center"/>
    </xf>
    <xf numFmtId="0" fontId="2" fillId="3" borderId="8" xfId="0" applyFont="1" applyFill="1" applyBorder="1" applyAlignment="1">
      <alignment vertical="center"/>
    </xf>
    <xf numFmtId="166" fontId="5" fillId="3" borderId="11" xfId="0" applyNumberFormat="1" applyFont="1" applyFill="1" applyBorder="1" applyAlignment="1">
      <alignment horizontal="right" vertical="center"/>
    </xf>
    <xf numFmtId="166" fontId="5" fillId="3" borderId="7" xfId="0" applyNumberFormat="1" applyFont="1" applyFill="1" applyBorder="1" applyAlignment="1">
      <alignment horizontal="right" vertical="center"/>
    </xf>
    <xf numFmtId="174" fontId="5" fillId="3" borderId="9" xfId="0" applyNumberFormat="1" applyFont="1" applyFill="1" applyBorder="1" applyAlignment="1">
      <alignment horizontal="right" vertical="center"/>
    </xf>
    <xf numFmtId="166" fontId="5" fillId="3" borderId="5" xfId="0" applyNumberFormat="1" applyFont="1" applyFill="1" applyBorder="1" applyAlignment="1">
      <alignment horizontal="right" vertical="center"/>
    </xf>
    <xf numFmtId="166" fontId="19" fillId="3" borderId="7" xfId="0" applyNumberFormat="1" applyFont="1" applyFill="1" applyBorder="1" applyAlignment="1">
      <alignment horizontal="right" vertical="center"/>
    </xf>
    <xf numFmtId="174" fontId="19" fillId="3" borderId="7" xfId="0" applyNumberFormat="1" applyFont="1" applyFill="1" applyBorder="1" applyAlignment="1">
      <alignment horizontal="right" vertical="center"/>
    </xf>
    <xf numFmtId="166" fontId="6" fillId="0" borderId="5" xfId="0" applyNumberFormat="1" applyFont="1" applyBorder="1" applyAlignment="1">
      <alignment horizontal="right" vertical="center"/>
    </xf>
    <xf numFmtId="174" fontId="6" fillId="0" borderId="9" xfId="0" applyNumberFormat="1" applyFont="1" applyBorder="1" applyAlignment="1">
      <alignment horizontal="right" vertical="center"/>
    </xf>
    <xf numFmtId="0" fontId="4" fillId="2" borderId="8" xfId="0" applyFont="1" applyFill="1" applyBorder="1" applyAlignment="1">
      <alignment horizontal="left" vertical="center"/>
    </xf>
    <xf numFmtId="166" fontId="6" fillId="2" borderId="5" xfId="0" applyNumberFormat="1" applyFont="1" applyFill="1" applyBorder="1" applyAlignment="1">
      <alignment horizontal="right" vertical="center"/>
    </xf>
    <xf numFmtId="174" fontId="6" fillId="2" borderId="9" xfId="0" applyNumberFormat="1" applyFont="1" applyFill="1" applyBorder="1" applyAlignment="1">
      <alignment horizontal="right" vertical="center"/>
    </xf>
    <xf numFmtId="0" fontId="2" fillId="0" borderId="11" xfId="0" applyFont="1" applyBorder="1" applyAlignment="1">
      <alignment vertical="center"/>
    </xf>
    <xf numFmtId="166" fontId="19" fillId="0" borderId="11" xfId="0" applyNumberFormat="1" applyFont="1" applyBorder="1" applyAlignment="1">
      <alignment horizontal="right" vertical="center"/>
    </xf>
    <xf numFmtId="166" fontId="19" fillId="0" borderId="7" xfId="0" applyNumberFormat="1" applyFont="1" applyBorder="1" applyAlignment="1">
      <alignment horizontal="right" vertical="center"/>
    </xf>
    <xf numFmtId="174" fontId="19" fillId="0" borderId="12" xfId="0" applyNumberFormat="1" applyFont="1" applyBorder="1" applyAlignment="1">
      <alignment horizontal="right" vertical="center"/>
    </xf>
    <xf numFmtId="0" fontId="18" fillId="0" borderId="8" xfId="0" applyFont="1" applyBorder="1" applyAlignment="1">
      <alignment horizontal="left" vertical="center"/>
    </xf>
    <xf numFmtId="166" fontId="20" fillId="0" borderId="5" xfId="0" applyNumberFormat="1" applyFont="1" applyBorder="1" applyAlignment="1">
      <alignment horizontal="right" vertical="center"/>
    </xf>
    <xf numFmtId="174" fontId="20" fillId="0" borderId="9" xfId="0" applyNumberFormat="1" applyFont="1" applyBorder="1" applyAlignment="1">
      <alignment horizontal="right" vertical="center"/>
    </xf>
    <xf numFmtId="0" fontId="17" fillId="0" borderId="11" xfId="0" applyFont="1" applyBorder="1" applyAlignment="1">
      <alignment vertical="center"/>
    </xf>
    <xf numFmtId="174" fontId="19" fillId="0" borderId="7" xfId="0" applyNumberFormat="1" applyFont="1" applyBorder="1" applyAlignment="1">
      <alignment horizontal="right" vertical="center"/>
    </xf>
    <xf numFmtId="174" fontId="5" fillId="3" borderId="7" xfId="0" applyNumberFormat="1" applyFont="1" applyFill="1" applyBorder="1" applyAlignment="1">
      <alignment horizontal="right" vertical="center"/>
    </xf>
    <xf numFmtId="174" fontId="6" fillId="0" borderId="5" xfId="0" quotePrefix="1" applyNumberFormat="1" applyFont="1" applyBorder="1" applyAlignment="1">
      <alignment horizontal="right" vertical="center"/>
    </xf>
    <xf numFmtId="0" fontId="21" fillId="2" borderId="2" xfId="0" applyFont="1" applyFill="1" applyBorder="1" applyAlignment="1">
      <alignment horizontal="left" vertical="center"/>
    </xf>
    <xf numFmtId="166" fontId="5" fillId="2" borderId="1" xfId="0" applyNumberFormat="1" applyFont="1" applyFill="1" applyBorder="1" applyAlignment="1">
      <alignment horizontal="right" vertical="center"/>
    </xf>
    <xf numFmtId="174" fontId="5" fillId="2" borderId="4" xfId="0" applyNumberFormat="1" applyFont="1" applyFill="1" applyBorder="1" applyAlignment="1">
      <alignment horizontal="right" vertical="center"/>
    </xf>
    <xf numFmtId="0" fontId="2" fillId="6" borderId="11" xfId="0" applyFont="1" applyFill="1" applyBorder="1" applyAlignment="1">
      <alignment vertical="center"/>
    </xf>
    <xf numFmtId="166" fontId="19" fillId="6" borderId="11" xfId="0" applyNumberFormat="1" applyFont="1" applyFill="1" applyBorder="1" applyAlignment="1">
      <alignment horizontal="right" vertical="center"/>
    </xf>
    <xf numFmtId="166" fontId="19" fillId="6" borderId="7" xfId="0" applyNumberFormat="1" applyFont="1" applyFill="1" applyBorder="1" applyAlignment="1">
      <alignment horizontal="right" vertical="center"/>
    </xf>
    <xf numFmtId="174" fontId="19" fillId="6" borderId="12" xfId="0" applyNumberFormat="1" applyFont="1" applyFill="1" applyBorder="1" applyAlignment="1">
      <alignment horizontal="right" vertical="center"/>
    </xf>
    <xf numFmtId="174" fontId="5" fillId="3" borderId="12" xfId="0" applyNumberFormat="1" applyFont="1" applyFill="1" applyBorder="1" applyAlignment="1">
      <alignment horizontal="right" vertical="center"/>
    </xf>
    <xf numFmtId="0" fontId="2" fillId="2" borderId="2" xfId="0" applyFont="1" applyFill="1" applyBorder="1" applyAlignment="1">
      <alignment vertical="center"/>
    </xf>
    <xf numFmtId="0" fontId="4" fillId="0" borderId="11" xfId="0" applyFont="1" applyBorder="1" applyAlignment="1">
      <alignment vertical="center"/>
    </xf>
    <xf numFmtId="166" fontId="5" fillId="2" borderId="14" xfId="0" applyNumberFormat="1" applyFont="1" applyFill="1" applyBorder="1" applyAlignment="1">
      <alignment horizontal="right" vertical="center"/>
    </xf>
    <xf numFmtId="174" fontId="5" fillId="2" borderId="14" xfId="0" applyNumberFormat="1" applyFont="1" applyFill="1" applyBorder="1" applyAlignment="1">
      <alignment horizontal="right" vertical="center"/>
    </xf>
    <xf numFmtId="174" fontId="19" fillId="3" borderId="12" xfId="0" applyNumberFormat="1" applyFont="1" applyFill="1" applyBorder="1" applyAlignment="1">
      <alignment horizontal="right" vertical="center"/>
    </xf>
    <xf numFmtId="166" fontId="19" fillId="2" borderId="14" xfId="0" applyNumberFormat="1" applyFont="1" applyFill="1" applyBorder="1" applyAlignment="1">
      <alignment horizontal="right" vertical="center"/>
    </xf>
    <xf numFmtId="174" fontId="19" fillId="2" borderId="14" xfId="0" applyNumberFormat="1" applyFont="1" applyFill="1" applyBorder="1" applyAlignment="1">
      <alignment horizontal="right" vertical="center"/>
    </xf>
    <xf numFmtId="5" fontId="3" fillId="0" borderId="0" xfId="0" applyNumberFormat="1" applyFont="1" applyAlignment="1">
      <alignment vertical="center"/>
    </xf>
    <xf numFmtId="0" fontId="3" fillId="0" borderId="0" xfId="0" quotePrefix="1" applyFont="1" applyAlignment="1">
      <alignment vertical="center"/>
    </xf>
    <xf numFmtId="0" fontId="16" fillId="0" borderId="0" xfId="0" applyFont="1" applyAlignment="1">
      <alignment vertical="center"/>
    </xf>
    <xf numFmtId="0" fontId="6" fillId="0" borderId="0" xfId="0" quotePrefix="1" applyFont="1" applyAlignment="1">
      <alignment vertical="center"/>
    </xf>
    <xf numFmtId="168" fontId="3" fillId="0" borderId="0" xfId="0" applyNumberFormat="1" applyFont="1" applyAlignment="1">
      <alignment vertical="center"/>
    </xf>
    <xf numFmtId="166" fontId="3" fillId="0" borderId="0" xfId="0" applyNumberFormat="1" applyFont="1" applyAlignment="1">
      <alignment vertical="center"/>
    </xf>
    <xf numFmtId="0" fontId="4" fillId="5" borderId="8" xfId="0" applyFont="1" applyFill="1" applyBorder="1" applyAlignment="1">
      <alignment horizontal="left" vertical="center"/>
    </xf>
    <xf numFmtId="166" fontId="5" fillId="0" borderId="11" xfId="0" applyNumberFormat="1" applyFont="1" applyBorder="1" applyAlignment="1">
      <alignment horizontal="right" vertical="center"/>
    </xf>
    <xf numFmtId="166" fontId="5" fillId="0" borderId="7" xfId="0" applyNumberFormat="1" applyFont="1" applyBorder="1" applyAlignment="1">
      <alignment horizontal="right" vertical="center"/>
    </xf>
    <xf numFmtId="174" fontId="5" fillId="0" borderId="12" xfId="0" applyNumberFormat="1" applyFont="1" applyBorder="1" applyAlignment="1">
      <alignment horizontal="right" vertical="center"/>
    </xf>
    <xf numFmtId="174" fontId="5" fillId="0" borderId="7" xfId="0" applyNumberFormat="1" applyFont="1" applyBorder="1" applyAlignment="1">
      <alignment horizontal="right" vertical="center"/>
    </xf>
    <xf numFmtId="43" fontId="3" fillId="0" borderId="0" xfId="4" applyFont="1" applyAlignment="1">
      <alignment vertical="center"/>
    </xf>
    <xf numFmtId="166" fontId="5" fillId="6" borderId="11" xfId="0" applyNumberFormat="1" applyFont="1" applyFill="1" applyBorder="1" applyAlignment="1">
      <alignment horizontal="right" vertical="center"/>
    </xf>
    <xf numFmtId="166" fontId="5" fillId="6" borderId="7" xfId="0" applyNumberFormat="1" applyFont="1" applyFill="1" applyBorder="1" applyAlignment="1">
      <alignment horizontal="right" vertical="center"/>
    </xf>
    <xf numFmtId="174" fontId="5" fillId="6" borderId="12" xfId="0" applyNumberFormat="1" applyFont="1" applyFill="1" applyBorder="1" applyAlignment="1">
      <alignment horizontal="right" vertical="center"/>
    </xf>
    <xf numFmtId="167" fontId="3" fillId="0" borderId="0" xfId="0" applyNumberFormat="1" applyFont="1" applyAlignment="1">
      <alignment vertical="center"/>
    </xf>
    <xf numFmtId="0" fontId="3" fillId="0" borderId="0" xfId="0" applyFont="1" applyAlignment="1">
      <alignment vertical="center" wrapText="1"/>
    </xf>
    <xf numFmtId="0" fontId="15" fillId="0" borderId="0" xfId="0" applyFont="1" applyAlignment="1">
      <alignment vertical="center"/>
    </xf>
    <xf numFmtId="175" fontId="3" fillId="0" borderId="0" xfId="0" applyNumberFormat="1" applyFont="1" applyAlignment="1">
      <alignment vertical="center"/>
    </xf>
    <xf numFmtId="0" fontId="7" fillId="0" borderId="0" xfId="0" applyFont="1" applyAlignment="1">
      <alignment vertical="center"/>
    </xf>
    <xf numFmtId="180" fontId="3" fillId="0" borderId="1" xfId="4" applyNumberFormat="1" applyFont="1" applyBorder="1" applyAlignment="1">
      <alignment vertical="center"/>
    </xf>
    <xf numFmtId="39" fontId="3" fillId="0" borderId="1" xfId="4" applyNumberFormat="1" applyFont="1" applyBorder="1" applyAlignment="1">
      <alignment horizontal="center" vertical="center"/>
    </xf>
    <xf numFmtId="0" fontId="12" fillId="0" borderId="8" xfId="0" applyFont="1" applyBorder="1" applyAlignment="1">
      <alignment horizontal="left" vertical="center"/>
    </xf>
    <xf numFmtId="0" fontId="12" fillId="0" borderId="8" xfId="0" applyFont="1" applyBorder="1" applyAlignment="1">
      <alignment horizontal="left" vertical="center" wrapText="1"/>
    </xf>
    <xf numFmtId="0" fontId="12" fillId="0" borderId="23" xfId="0" applyFont="1" applyBorder="1" applyAlignment="1">
      <alignment horizontal="left" vertical="center"/>
    </xf>
    <xf numFmtId="0" fontId="2" fillId="4" borderId="10" xfId="0" applyFont="1" applyFill="1" applyBorder="1" applyAlignment="1">
      <alignment vertical="center"/>
    </xf>
    <xf numFmtId="0" fontId="2" fillId="2" borderId="23" xfId="0" applyFont="1" applyFill="1" applyBorder="1" applyAlignment="1">
      <alignment vertical="center"/>
    </xf>
    <xf numFmtId="5" fontId="2" fillId="2" borderId="24" xfId="0" applyNumberFormat="1" applyFont="1" applyFill="1" applyBorder="1" applyAlignment="1">
      <alignment vertical="center"/>
    </xf>
    <xf numFmtId="5" fontId="2" fillId="2" borderId="16" xfId="0" applyNumberFormat="1" applyFont="1" applyFill="1" applyBorder="1" applyAlignment="1">
      <alignment vertical="center"/>
    </xf>
    <xf numFmtId="0" fontId="2" fillId="3" borderId="5" xfId="0" applyFont="1" applyFill="1" applyBorder="1" applyAlignment="1">
      <alignment vertical="center"/>
    </xf>
    <xf numFmtId="0" fontId="5" fillId="3" borderId="7" xfId="0" applyFont="1" applyFill="1" applyBorder="1" applyAlignment="1">
      <alignment vertical="center" wrapText="1"/>
    </xf>
    <xf numFmtId="165" fontId="2" fillId="3" borderId="6" xfId="0" applyNumberFormat="1" applyFont="1" applyFill="1" applyBorder="1" applyAlignment="1">
      <alignment vertical="center"/>
    </xf>
    <xf numFmtId="165" fontId="2" fillId="3" borderId="7" xfId="0" applyNumberFormat="1" applyFont="1" applyFill="1" applyBorder="1" applyAlignment="1">
      <alignment vertical="center"/>
    </xf>
    <xf numFmtId="185" fontId="2" fillId="3" borderId="6" xfId="0" applyNumberFormat="1" applyFont="1" applyFill="1" applyBorder="1" applyAlignment="1">
      <alignment vertical="center"/>
    </xf>
    <xf numFmtId="165" fontId="3" fillId="0" borderId="0" xfId="0" applyNumberFormat="1" applyFont="1" applyAlignment="1">
      <alignment vertical="center"/>
    </xf>
    <xf numFmtId="185" fontId="3" fillId="0" borderId="8" xfId="0" applyNumberFormat="1" applyFont="1" applyBorder="1" applyAlignment="1">
      <alignment vertical="center"/>
    </xf>
    <xf numFmtId="185" fontId="3" fillId="0" borderId="0" xfId="0" applyNumberFormat="1" applyFont="1" applyAlignment="1">
      <alignment vertical="center"/>
    </xf>
    <xf numFmtId="185" fontId="3" fillId="0" borderId="9" xfId="0" quotePrefix="1" applyNumberFormat="1" applyFont="1" applyBorder="1" applyAlignment="1">
      <alignment horizontal="right" vertical="center"/>
    </xf>
    <xf numFmtId="185" fontId="3" fillId="0" borderId="9" xfId="0" applyNumberFormat="1" applyFont="1" applyBorder="1" applyAlignment="1">
      <alignment vertical="center"/>
    </xf>
    <xf numFmtId="165" fontId="3" fillId="0" borderId="8" xfId="0" applyNumberFormat="1" applyFont="1" applyBorder="1" applyAlignment="1">
      <alignment vertical="center"/>
    </xf>
    <xf numFmtId="165" fontId="3" fillId="0" borderId="9" xfId="0" applyNumberFormat="1" applyFont="1" applyBorder="1" applyAlignment="1">
      <alignment vertical="center"/>
    </xf>
    <xf numFmtId="185" fontId="3" fillId="2" borderId="8" xfId="0" applyNumberFormat="1" applyFont="1" applyFill="1" applyBorder="1" applyAlignment="1">
      <alignment vertical="center"/>
    </xf>
    <xf numFmtId="185" fontId="3" fillId="2" borderId="0" xfId="0" applyNumberFormat="1" applyFont="1" applyFill="1" applyAlignment="1">
      <alignment vertical="center"/>
    </xf>
    <xf numFmtId="185" fontId="3" fillId="2" borderId="9" xfId="0" quotePrefix="1" applyNumberFormat="1" applyFont="1" applyFill="1" applyBorder="1" applyAlignment="1">
      <alignment horizontal="right" vertical="center"/>
    </xf>
    <xf numFmtId="185" fontId="3" fillId="2" borderId="9" xfId="0" applyNumberFormat="1" applyFont="1" applyFill="1" applyBorder="1" applyAlignment="1">
      <alignment vertical="center"/>
    </xf>
    <xf numFmtId="165" fontId="3" fillId="2" borderId="9" xfId="0" applyNumberFormat="1" applyFont="1" applyFill="1" applyBorder="1" applyAlignment="1">
      <alignment vertical="center"/>
    </xf>
    <xf numFmtId="165" fontId="2" fillId="3" borderId="11" xfId="0" applyNumberFormat="1" applyFont="1" applyFill="1" applyBorder="1" applyAlignment="1">
      <alignment vertical="center"/>
    </xf>
    <xf numFmtId="165" fontId="2" fillId="3" borderId="12" xfId="0" applyNumberFormat="1" applyFont="1" applyFill="1" applyBorder="1" applyAlignment="1">
      <alignment vertical="center"/>
    </xf>
    <xf numFmtId="185" fontId="2" fillId="3" borderId="12" xfId="0" applyNumberFormat="1" applyFont="1" applyFill="1" applyBorder="1" applyAlignment="1">
      <alignment vertical="center"/>
    </xf>
    <xf numFmtId="165" fontId="2" fillId="2" borderId="11" xfId="0" applyNumberFormat="1" applyFont="1" applyFill="1" applyBorder="1" applyAlignment="1">
      <alignment vertical="center"/>
    </xf>
    <xf numFmtId="165" fontId="2" fillId="2" borderId="6" xfId="0" applyNumberFormat="1" applyFont="1" applyFill="1" applyBorder="1" applyAlignment="1">
      <alignment vertical="center"/>
    </xf>
    <xf numFmtId="165" fontId="2" fillId="2" borderId="12" xfId="0" applyNumberFormat="1" applyFont="1" applyFill="1" applyBorder="1" applyAlignment="1">
      <alignment vertical="center"/>
    </xf>
    <xf numFmtId="185" fontId="2" fillId="2" borderId="12" xfId="0" applyNumberFormat="1" applyFont="1" applyFill="1" applyBorder="1" applyAlignment="1">
      <alignment vertical="center"/>
    </xf>
    <xf numFmtId="0" fontId="3" fillId="0" borderId="11" xfId="0" applyFont="1" applyBorder="1" applyAlignment="1">
      <alignment horizontal="left" vertical="center"/>
    </xf>
    <xf numFmtId="185" fontId="3" fillId="0" borderId="11" xfId="0" applyNumberFormat="1" applyFont="1" applyBorder="1" applyAlignment="1">
      <alignment horizontal="right" vertical="center"/>
    </xf>
    <xf numFmtId="185" fontId="3" fillId="0" borderId="6" xfId="0" applyNumberFormat="1" applyFont="1" applyBorder="1" applyAlignment="1">
      <alignment horizontal="right" vertical="center"/>
    </xf>
    <xf numFmtId="185" fontId="3" fillId="0" borderId="6" xfId="0" applyNumberFormat="1" applyFont="1" applyBorder="1" applyAlignment="1">
      <alignment vertical="center"/>
    </xf>
    <xf numFmtId="185" fontId="3" fillId="0" borderId="7" xfId="0" applyNumberFormat="1" applyFont="1" applyBorder="1" applyAlignment="1">
      <alignment vertical="center"/>
    </xf>
    <xf numFmtId="165" fontId="3" fillId="0" borderId="7" xfId="0" applyNumberFormat="1" applyFont="1" applyBorder="1" applyAlignment="1">
      <alignment vertical="center"/>
    </xf>
    <xf numFmtId="165" fontId="3" fillId="0" borderId="6" xfId="0" applyNumberFormat="1" applyFont="1" applyBorder="1" applyAlignment="1">
      <alignment vertical="center"/>
    </xf>
    <xf numFmtId="0" fontId="3" fillId="0" borderId="8" xfId="0" applyFont="1" applyBorder="1" applyAlignment="1">
      <alignment horizontal="left" vertical="center"/>
    </xf>
    <xf numFmtId="185" fontId="3" fillId="0" borderId="8" xfId="0" applyNumberFormat="1" applyFont="1" applyBorder="1" applyAlignment="1">
      <alignment horizontal="right" vertical="center"/>
    </xf>
    <xf numFmtId="185" fontId="3" fillId="0" borderId="0" xfId="0" applyNumberFormat="1" applyFont="1" applyAlignment="1">
      <alignment horizontal="right" vertical="center"/>
    </xf>
    <xf numFmtId="185" fontId="3" fillId="0" borderId="5" xfId="0" applyNumberFormat="1" applyFont="1" applyBorder="1" applyAlignment="1">
      <alignment vertical="center"/>
    </xf>
    <xf numFmtId="165" fontId="3" fillId="0" borderId="5" xfId="0" applyNumberFormat="1" applyFont="1" applyBorder="1" applyAlignment="1">
      <alignment vertical="center"/>
    </xf>
    <xf numFmtId="185" fontId="3" fillId="2" borderId="8" xfId="0" applyNumberFormat="1" applyFont="1" applyFill="1" applyBorder="1" applyAlignment="1">
      <alignment horizontal="right" vertical="center"/>
    </xf>
    <xf numFmtId="185" fontId="3" fillId="2" borderId="0" xfId="0" applyNumberFormat="1" applyFont="1" applyFill="1" applyAlignment="1">
      <alignment horizontal="right" vertical="center"/>
    </xf>
    <xf numFmtId="185" fontId="3" fillId="2" borderId="5" xfId="0" applyNumberFormat="1" applyFont="1" applyFill="1" applyBorder="1" applyAlignment="1">
      <alignment vertical="center"/>
    </xf>
    <xf numFmtId="0" fontId="3" fillId="0" borderId="8" xfId="0" applyFont="1" applyBorder="1" applyAlignment="1">
      <alignment vertical="center" wrapText="1"/>
    </xf>
    <xf numFmtId="0" fontId="3" fillId="0" borderId="8" xfId="0" applyFont="1" applyBorder="1" applyAlignment="1">
      <alignment vertical="center"/>
    </xf>
    <xf numFmtId="185" fontId="2" fillId="2" borderId="2" xfId="0" applyNumberFormat="1" applyFont="1" applyFill="1" applyBorder="1" applyAlignment="1">
      <alignment vertical="center"/>
    </xf>
    <xf numFmtId="185" fontId="2" fillId="2" borderId="3" xfId="0" applyNumberFormat="1" applyFont="1" applyFill="1" applyBorder="1" applyAlignment="1">
      <alignment vertical="center"/>
    </xf>
    <xf numFmtId="165" fontId="2" fillId="2" borderId="3" xfId="0" applyNumberFormat="1" applyFont="1" applyFill="1" applyBorder="1" applyAlignment="1">
      <alignment vertical="center"/>
    </xf>
    <xf numFmtId="185" fontId="2" fillId="2" borderId="6" xfId="0" applyNumberFormat="1" applyFont="1" applyFill="1" applyBorder="1" applyAlignment="1">
      <alignment vertical="center"/>
    </xf>
    <xf numFmtId="165" fontId="2" fillId="4" borderId="2" xfId="0" applyNumberFormat="1" applyFont="1" applyFill="1" applyBorder="1" applyAlignment="1">
      <alignment vertical="center"/>
    </xf>
    <xf numFmtId="165" fontId="2" fillId="4" borderId="3" xfId="0" applyNumberFormat="1" applyFont="1" applyFill="1" applyBorder="1" applyAlignment="1">
      <alignment vertical="center"/>
    </xf>
    <xf numFmtId="165" fontId="2" fillId="4" borderId="1" xfId="0" applyNumberFormat="1" applyFont="1" applyFill="1" applyBorder="1" applyAlignment="1">
      <alignment vertical="center"/>
    </xf>
    <xf numFmtId="185" fontId="2" fillId="4" borderId="3" xfId="0" applyNumberFormat="1" applyFont="1" applyFill="1" applyBorder="1" applyAlignment="1">
      <alignment vertical="center"/>
    </xf>
    <xf numFmtId="0" fontId="2" fillId="4" borderId="14" xfId="0" applyFont="1" applyFill="1" applyBorder="1" applyAlignment="1">
      <alignment vertical="center"/>
    </xf>
    <xf numFmtId="165" fontId="2" fillId="4" borderId="41" xfId="0" applyNumberFormat="1" applyFont="1" applyFill="1" applyBorder="1" applyAlignment="1">
      <alignment vertical="center"/>
    </xf>
    <xf numFmtId="165" fontId="2" fillId="4" borderId="42" xfId="0" applyNumberFormat="1" applyFont="1" applyFill="1" applyBorder="1" applyAlignment="1">
      <alignment vertical="center"/>
    </xf>
    <xf numFmtId="165" fontId="2" fillId="4" borderId="14" xfId="0" applyNumberFormat="1" applyFont="1" applyFill="1" applyBorder="1" applyAlignment="1">
      <alignment vertical="center"/>
    </xf>
    <xf numFmtId="185" fontId="2" fillId="2" borderId="24" xfId="0" applyNumberFormat="1" applyFont="1" applyFill="1" applyBorder="1" applyAlignment="1">
      <alignment vertical="center"/>
    </xf>
    <xf numFmtId="185" fontId="2" fillId="2" borderId="16" xfId="0" applyNumberFormat="1" applyFont="1" applyFill="1" applyBorder="1" applyAlignment="1">
      <alignment vertical="center"/>
    </xf>
    <xf numFmtId="185" fontId="2" fillId="3" borderId="11" xfId="0" applyNumberFormat="1" applyFont="1" applyFill="1" applyBorder="1" applyAlignment="1">
      <alignment vertical="center"/>
    </xf>
    <xf numFmtId="165" fontId="3" fillId="0" borderId="0" xfId="0" applyNumberFormat="1" applyFont="1" applyAlignment="1">
      <alignment horizontal="right" vertical="center"/>
    </xf>
    <xf numFmtId="185" fontId="3" fillId="0" borderId="23" xfId="0" applyNumberFormat="1" applyFont="1" applyBorder="1" applyAlignment="1">
      <alignment vertical="center"/>
    </xf>
    <xf numFmtId="185" fontId="3" fillId="0" borderId="24" xfId="0" applyNumberFormat="1" applyFont="1" applyBorder="1" applyAlignment="1">
      <alignment vertical="center"/>
    </xf>
    <xf numFmtId="185" fontId="3" fillId="0" borderId="16" xfId="0" quotePrefix="1" applyNumberFormat="1" applyFont="1" applyBorder="1" applyAlignment="1">
      <alignment horizontal="right" vertical="center"/>
    </xf>
    <xf numFmtId="185" fontId="2" fillId="4" borderId="42" xfId="0" applyNumberFormat="1" applyFont="1" applyFill="1" applyBorder="1" applyAlignment="1">
      <alignment vertical="center"/>
    </xf>
    <xf numFmtId="185" fontId="2" fillId="3" borderId="8" xfId="0" applyNumberFormat="1" applyFont="1" applyFill="1" applyBorder="1" applyAlignment="1">
      <alignment vertical="center"/>
    </xf>
    <xf numFmtId="185" fontId="2" fillId="3" borderId="0" xfId="0" applyNumberFormat="1" applyFont="1" applyFill="1" applyAlignment="1">
      <alignment vertical="center"/>
    </xf>
    <xf numFmtId="185" fontId="2" fillId="3" borderId="9" xfId="0" applyNumberFormat="1" applyFont="1" applyFill="1" applyBorder="1" applyAlignment="1">
      <alignment vertical="center"/>
    </xf>
    <xf numFmtId="184" fontId="3" fillId="0" borderId="0" xfId="0" applyNumberFormat="1" applyFont="1" applyAlignment="1">
      <alignment vertical="center"/>
    </xf>
    <xf numFmtId="0" fontId="12" fillId="0" borderId="5" xfId="0" applyFont="1" applyBorder="1" applyAlignment="1">
      <alignment horizontal="left" vertical="center" wrapText="1"/>
    </xf>
    <xf numFmtId="165" fontId="2" fillId="2" borderId="1" xfId="1" applyNumberFormat="1" applyFont="1" applyFill="1" applyBorder="1" applyAlignment="1">
      <alignment horizontal="right" vertical="center"/>
    </xf>
    <xf numFmtId="165" fontId="3" fillId="0" borderId="7" xfId="1" applyNumberFormat="1" applyFont="1" applyFill="1" applyBorder="1" applyAlignment="1">
      <alignment horizontal="right" vertical="center"/>
    </xf>
    <xf numFmtId="165" fontId="3" fillId="0" borderId="5" xfId="1" applyNumberFormat="1" applyFont="1" applyFill="1" applyBorder="1" applyAlignment="1">
      <alignment horizontal="right" vertical="center"/>
    </xf>
    <xf numFmtId="165" fontId="2" fillId="3" borderId="5" xfId="1" applyNumberFormat="1" applyFont="1" applyFill="1" applyBorder="1" applyAlignment="1">
      <alignment horizontal="right" vertical="center"/>
    </xf>
    <xf numFmtId="0" fontId="2" fillId="3" borderId="5" xfId="0" applyFont="1" applyFill="1" applyBorder="1" applyAlignment="1">
      <alignment vertical="center" wrapText="1"/>
    </xf>
    <xf numFmtId="0" fontId="3" fillId="2" borderId="5" xfId="0" applyFont="1" applyFill="1" applyBorder="1" applyAlignment="1">
      <alignment horizontal="left" vertical="center" wrapText="1"/>
    </xf>
    <xf numFmtId="0" fontId="2" fillId="2" borderId="7" xfId="0" applyFont="1" applyFill="1" applyBorder="1" applyAlignment="1">
      <alignment vertical="center" wrapText="1"/>
    </xf>
    <xf numFmtId="0" fontId="3" fillId="0" borderId="11" xfId="0" applyFont="1" applyBorder="1" applyAlignment="1">
      <alignment horizontal="left" vertical="center" wrapText="1"/>
    </xf>
    <xf numFmtId="0" fontId="3" fillId="0" borderId="8" xfId="0" applyFont="1" applyBorder="1" applyAlignment="1">
      <alignment horizontal="left" vertical="center" wrapText="1"/>
    </xf>
    <xf numFmtId="0" fontId="3" fillId="2" borderId="8" xfId="0" applyFont="1" applyFill="1" applyBorder="1" applyAlignment="1">
      <alignment horizontal="left" vertical="center" wrapText="1"/>
    </xf>
    <xf numFmtId="0" fontId="2" fillId="4" borderId="1" xfId="0" applyFont="1" applyFill="1" applyBorder="1" applyAlignment="1">
      <alignment vertical="center" wrapText="1"/>
    </xf>
    <xf numFmtId="0" fontId="2" fillId="2" borderId="10" xfId="0" applyFont="1" applyFill="1" applyBorder="1" applyAlignment="1">
      <alignment vertical="center" wrapText="1"/>
    </xf>
    <xf numFmtId="0" fontId="4" fillId="0" borderId="8" xfId="0" applyFont="1" applyBorder="1" applyAlignment="1">
      <alignment horizontal="left" vertical="center" wrapText="1"/>
    </xf>
    <xf numFmtId="0" fontId="2" fillId="4" borderId="14" xfId="0" applyFont="1" applyFill="1" applyBorder="1" applyAlignment="1">
      <alignment vertical="center" wrapText="1"/>
    </xf>
    <xf numFmtId="49" fontId="3" fillId="0" borderId="0" xfId="0" applyNumberFormat="1" applyFont="1" applyAlignment="1">
      <alignment vertical="center" wrapText="1"/>
    </xf>
    <xf numFmtId="0" fontId="2" fillId="2" borderId="23" xfId="0" applyFont="1" applyFill="1" applyBorder="1" applyAlignment="1">
      <alignment vertical="center" wrapText="1"/>
    </xf>
    <xf numFmtId="0" fontId="4" fillId="0" borderId="5" xfId="0" applyFont="1" applyBorder="1" applyAlignment="1">
      <alignment horizontal="left" vertical="center" wrapText="1"/>
    </xf>
    <xf numFmtId="0" fontId="2" fillId="2" borderId="1" xfId="0" applyFont="1" applyFill="1" applyBorder="1" applyAlignment="1">
      <alignment vertical="center" wrapText="1"/>
    </xf>
    <xf numFmtId="10" fontId="26" fillId="0" borderId="1" xfId="3" applyNumberFormat="1" applyFont="1" applyFill="1" applyBorder="1" applyAlignment="1">
      <alignment horizontal="right" vertical="center" wrapText="1"/>
    </xf>
    <xf numFmtId="185" fontId="2" fillId="4" borderId="5" xfId="1" applyNumberFormat="1" applyFont="1" applyFill="1" applyBorder="1" applyAlignment="1">
      <alignment horizontal="right" vertical="center"/>
    </xf>
    <xf numFmtId="0" fontId="0" fillId="0" borderId="0" xfId="0" applyAlignment="1">
      <alignment horizontal="right" vertical="center"/>
    </xf>
    <xf numFmtId="165" fontId="0" fillId="0" borderId="0" xfId="0" applyNumberFormat="1" applyAlignment="1">
      <alignment vertical="center"/>
    </xf>
    <xf numFmtId="0" fontId="2" fillId="3" borderId="2" xfId="0" applyFont="1" applyFill="1" applyBorder="1" applyAlignment="1">
      <alignment horizontal="left" vertical="center" wrapText="1"/>
    </xf>
    <xf numFmtId="165" fontId="2" fillId="3" borderId="4" xfId="0" applyNumberFormat="1" applyFont="1" applyFill="1" applyBorder="1" applyAlignment="1">
      <alignment horizontal="right" vertical="center" wrapText="1"/>
    </xf>
    <xf numFmtId="165" fontId="2" fillId="3" borderId="1" xfId="0" applyNumberFormat="1" applyFont="1" applyFill="1" applyBorder="1" applyAlignment="1">
      <alignment horizontal="right" vertical="center" wrapText="1"/>
    </xf>
    <xf numFmtId="0" fontId="2" fillId="3" borderId="5" xfId="0" applyFont="1" applyFill="1" applyBorder="1" applyAlignment="1">
      <alignment horizontal="left" vertical="center" wrapText="1"/>
    </xf>
    <xf numFmtId="0" fontId="28" fillId="0" borderId="0" xfId="0" applyFont="1" applyAlignment="1">
      <alignment vertical="center"/>
    </xf>
    <xf numFmtId="0" fontId="4" fillId="4" borderId="5" xfId="0" applyFont="1" applyFill="1" applyBorder="1" applyAlignment="1">
      <alignment horizontal="left" vertical="center"/>
    </xf>
    <xf numFmtId="169" fontId="3" fillId="4" borderId="5" xfId="0" applyNumberFormat="1" applyFont="1" applyFill="1" applyBorder="1" applyAlignment="1">
      <alignment horizontal="right" vertical="center"/>
    </xf>
    <xf numFmtId="183" fontId="3" fillId="0" borderId="0" xfId="4" applyNumberFormat="1" applyFont="1"/>
    <xf numFmtId="0" fontId="10" fillId="0" borderId="0" xfId="0" applyFont="1" applyAlignment="1">
      <alignment vertical="center"/>
    </xf>
    <xf numFmtId="178" fontId="3" fillId="0" borderId="0" xfId="0" applyNumberFormat="1" applyFont="1" applyAlignment="1">
      <alignment vertical="center"/>
    </xf>
    <xf numFmtId="0" fontId="2" fillId="0" borderId="0" xfId="0" applyFont="1" applyAlignment="1">
      <alignment horizontal="center" vertical="center" wrapText="1"/>
    </xf>
    <xf numFmtId="178" fontId="3" fillId="0" borderId="7" xfId="0" applyNumberFormat="1" applyFont="1" applyBorder="1" applyAlignment="1">
      <alignment horizontal="right" vertical="center"/>
    </xf>
    <xf numFmtId="178" fontId="3" fillId="0" borderId="21" xfId="0" applyNumberFormat="1" applyFont="1" applyBorder="1" applyAlignment="1">
      <alignment horizontal="right" vertical="center"/>
    </xf>
    <xf numFmtId="178" fontId="3" fillId="0" borderId="17" xfId="0" applyNumberFormat="1" applyFont="1" applyBorder="1" applyAlignment="1">
      <alignment horizontal="right" vertical="center"/>
    </xf>
    <xf numFmtId="178" fontId="3" fillId="0" borderId="18" xfId="0" applyNumberFormat="1" applyFont="1" applyBorder="1" applyAlignment="1">
      <alignment horizontal="right" vertical="center"/>
    </xf>
    <xf numFmtId="178" fontId="3" fillId="0" borderId="5" xfId="0" applyNumberFormat="1" applyFont="1" applyBorder="1" applyAlignment="1">
      <alignment horizontal="right" vertical="center"/>
    </xf>
    <xf numFmtId="168" fontId="3" fillId="0" borderId="0" xfId="0" applyNumberFormat="1" applyFont="1" applyAlignment="1">
      <alignment horizontal="center" vertical="center"/>
    </xf>
    <xf numFmtId="168" fontId="10" fillId="0" borderId="0" xfId="0" applyNumberFormat="1" applyFont="1" applyAlignment="1">
      <alignment vertical="center"/>
    </xf>
    <xf numFmtId="172" fontId="3" fillId="0" borderId="0" xfId="0" applyNumberFormat="1" applyFont="1" applyAlignment="1">
      <alignment vertical="center"/>
    </xf>
    <xf numFmtId="173" fontId="3" fillId="0" borderId="0" xfId="0" applyNumberFormat="1" applyFont="1" applyAlignment="1">
      <alignment vertical="center"/>
    </xf>
    <xf numFmtId="169" fontId="3" fillId="0" borderId="0" xfId="0" applyNumberFormat="1" applyFont="1" applyAlignment="1">
      <alignment vertical="center"/>
    </xf>
    <xf numFmtId="172" fontId="3" fillId="0" borderId="8" xfId="0" applyNumberFormat="1" applyFont="1" applyBorder="1" applyAlignment="1">
      <alignment horizontal="right" vertical="center"/>
    </xf>
    <xf numFmtId="172" fontId="2" fillId="0" borderId="0" xfId="0" applyNumberFormat="1" applyFont="1" applyAlignment="1">
      <alignment vertical="center"/>
    </xf>
    <xf numFmtId="168" fontId="3" fillId="0" borderId="0" xfId="0" quotePrefix="1" applyNumberFormat="1" applyFont="1" applyAlignment="1">
      <alignment vertical="center"/>
    </xf>
    <xf numFmtId="170" fontId="3" fillId="0" borderId="0" xfId="0" applyNumberFormat="1" applyFont="1" applyAlignment="1">
      <alignment vertical="center"/>
    </xf>
    <xf numFmtId="0" fontId="2" fillId="0" borderId="0" xfId="0" applyFont="1" applyAlignment="1">
      <alignment horizontal="right"/>
    </xf>
    <xf numFmtId="172" fontId="3" fillId="0" borderId="5" xfId="4" applyNumberFormat="1" applyFont="1" applyBorder="1" applyAlignment="1">
      <alignment vertical="center"/>
    </xf>
    <xf numFmtId="172" fontId="3" fillId="0" borderId="9" xfId="4" applyNumberFormat="1" applyFont="1" applyFill="1" applyBorder="1" applyAlignment="1">
      <alignment vertical="center"/>
    </xf>
    <xf numFmtId="172" fontId="3" fillId="0" borderId="5" xfId="0" applyNumberFormat="1" applyFont="1" applyBorder="1" applyAlignment="1">
      <alignment vertical="center"/>
    </xf>
    <xf numFmtId="172" fontId="3" fillId="2" borderId="5" xfId="0" applyNumberFormat="1" applyFont="1" applyFill="1" applyBorder="1" applyAlignment="1">
      <alignment vertical="center"/>
    </xf>
    <xf numFmtId="172" fontId="3" fillId="0" borderId="5" xfId="4" applyNumberFormat="1" applyFont="1" applyFill="1" applyBorder="1" applyAlignment="1">
      <alignment vertical="center"/>
    </xf>
    <xf numFmtId="172" fontId="3" fillId="0" borderId="9" xfId="4" applyNumberFormat="1" applyFont="1" applyBorder="1" applyAlignment="1">
      <alignment vertical="center"/>
    </xf>
    <xf numFmtId="172" fontId="3" fillId="0" borderId="0" xfId="4" applyNumberFormat="1" applyFont="1" applyBorder="1" applyAlignment="1">
      <alignment vertical="center"/>
    </xf>
    <xf numFmtId="172" fontId="2" fillId="3" borderId="7" xfId="0" applyNumberFormat="1" applyFont="1" applyFill="1" applyBorder="1" applyAlignment="1">
      <alignment vertical="center"/>
    </xf>
    <xf numFmtId="172" fontId="3" fillId="0" borderId="5" xfId="0" applyNumberFormat="1" applyFont="1" applyBorder="1" applyAlignment="1">
      <alignment horizontal="left" vertical="center"/>
    </xf>
    <xf numFmtId="172" fontId="3" fillId="2" borderId="5" xfId="0" applyNumberFormat="1" applyFont="1" applyFill="1" applyBorder="1" applyAlignment="1">
      <alignment horizontal="right" vertical="center"/>
    </xf>
    <xf numFmtId="166" fontId="3" fillId="2" borderId="5" xfId="0" applyNumberFormat="1" applyFont="1" applyFill="1" applyBorder="1" applyAlignment="1">
      <alignment vertical="center"/>
    </xf>
    <xf numFmtId="177" fontId="2" fillId="3" borderId="7" xfId="0" applyNumberFormat="1" applyFont="1" applyFill="1" applyBorder="1" applyAlignment="1">
      <alignment horizontal="right" vertical="center"/>
    </xf>
    <xf numFmtId="172" fontId="2" fillId="3" borderId="7" xfId="0" applyNumberFormat="1" applyFont="1" applyFill="1" applyBorder="1" applyAlignment="1">
      <alignment vertical="center" wrapText="1"/>
    </xf>
    <xf numFmtId="172" fontId="2" fillId="2" borderId="14" xfId="0" applyNumberFormat="1" applyFont="1" applyFill="1" applyBorder="1" applyAlignment="1">
      <alignment vertical="center"/>
    </xf>
    <xf numFmtId="166" fontId="2" fillId="3" borderId="7" xfId="0" applyNumberFormat="1" applyFont="1" applyFill="1" applyBorder="1" applyAlignment="1">
      <alignment vertical="center" wrapText="1"/>
    </xf>
    <xf numFmtId="166" fontId="3" fillId="0" borderId="5" xfId="0" applyNumberFormat="1" applyFont="1" applyBorder="1" applyAlignment="1">
      <alignment vertical="center"/>
    </xf>
    <xf numFmtId="166" fontId="2" fillId="2" borderId="14" xfId="0" applyNumberFormat="1" applyFont="1" applyFill="1" applyBorder="1" applyAlignment="1">
      <alignment vertical="center"/>
    </xf>
    <xf numFmtId="177" fontId="2" fillId="3" borderId="7" xfId="0" applyNumberFormat="1" applyFont="1" applyFill="1" applyBorder="1" applyAlignment="1">
      <alignment vertical="center" wrapText="1"/>
    </xf>
    <xf numFmtId="177" fontId="3" fillId="0" borderId="5" xfId="0" applyNumberFormat="1" applyFont="1" applyBorder="1" applyAlignment="1">
      <alignment vertical="center"/>
    </xf>
    <xf numFmtId="177" fontId="3" fillId="2" borderId="5" xfId="0" applyNumberFormat="1" applyFont="1" applyFill="1" applyBorder="1" applyAlignment="1">
      <alignment vertical="center"/>
    </xf>
    <xf numFmtId="177" fontId="2" fillId="3" borderId="7" xfId="0" applyNumberFormat="1" applyFont="1" applyFill="1" applyBorder="1" applyAlignment="1">
      <alignment vertical="center"/>
    </xf>
    <xf numFmtId="177" fontId="2" fillId="2" borderId="14" xfId="0" applyNumberFormat="1" applyFont="1" applyFill="1" applyBorder="1" applyAlignment="1">
      <alignment vertical="center"/>
    </xf>
    <xf numFmtId="173" fontId="2" fillId="3" borderId="7" xfId="0" applyNumberFormat="1" applyFont="1" applyFill="1" applyBorder="1" applyAlignment="1">
      <alignment vertical="center" wrapText="1"/>
    </xf>
    <xf numFmtId="173" fontId="3" fillId="0" borderId="5" xfId="0" applyNumberFormat="1" applyFont="1" applyBorder="1" applyAlignment="1">
      <alignment vertical="center"/>
    </xf>
    <xf numFmtId="173" fontId="3" fillId="2" borderId="5" xfId="0" applyNumberFormat="1" applyFont="1" applyFill="1" applyBorder="1" applyAlignment="1">
      <alignment vertical="center"/>
    </xf>
    <xf numFmtId="173" fontId="2" fillId="3" borderId="7" xfId="0" applyNumberFormat="1" applyFont="1" applyFill="1" applyBorder="1" applyAlignment="1">
      <alignment vertical="center"/>
    </xf>
    <xf numFmtId="173" fontId="2" fillId="2" borderId="14" xfId="0" applyNumberFormat="1" applyFont="1" applyFill="1" applyBorder="1" applyAlignment="1">
      <alignment vertical="center"/>
    </xf>
    <xf numFmtId="173" fontId="3" fillId="2" borderId="5" xfId="0" applyNumberFormat="1" applyFont="1" applyFill="1" applyBorder="1" applyAlignment="1">
      <alignment horizontal="right" vertical="center"/>
    </xf>
    <xf numFmtId="172" fontId="2" fillId="3" borderId="13" xfId="0" applyNumberFormat="1" applyFont="1" applyFill="1" applyBorder="1" applyAlignment="1">
      <alignment horizontal="right" vertical="center"/>
    </xf>
    <xf numFmtId="166" fontId="2" fillId="3" borderId="13" xfId="0" applyNumberFormat="1" applyFont="1" applyFill="1" applyBorder="1" applyAlignment="1">
      <alignment horizontal="right" vertical="center" wrapText="1"/>
    </xf>
    <xf numFmtId="172" fontId="2" fillId="3" borderId="13" xfId="0" applyNumberFormat="1" applyFont="1" applyFill="1" applyBorder="1" applyAlignment="1">
      <alignment horizontal="right" vertical="center" wrapText="1"/>
    </xf>
    <xf numFmtId="177" fontId="2" fillId="3" borderId="13" xfId="0" applyNumberFormat="1" applyFont="1" applyFill="1" applyBorder="1" applyAlignment="1">
      <alignment horizontal="right" vertical="center"/>
    </xf>
    <xf numFmtId="166" fontId="2" fillId="2" borderId="14" xfId="0" applyNumberFormat="1" applyFont="1" applyFill="1" applyBorder="1" applyAlignment="1">
      <alignment horizontal="right" vertical="center" wrapText="1"/>
    </xf>
    <xf numFmtId="172" fontId="2" fillId="2" borderId="14" xfId="0" applyNumberFormat="1" applyFont="1" applyFill="1" applyBorder="1" applyAlignment="1">
      <alignment horizontal="right" vertical="center" wrapText="1"/>
    </xf>
    <xf numFmtId="173" fontId="2" fillId="3" borderId="13" xfId="0" applyNumberFormat="1" applyFont="1" applyFill="1" applyBorder="1" applyAlignment="1">
      <alignment horizontal="right" vertical="center"/>
    </xf>
    <xf numFmtId="2" fontId="2" fillId="3" borderId="7" xfId="4" applyNumberFormat="1" applyFont="1" applyFill="1" applyBorder="1" applyAlignment="1">
      <alignment horizontal="right" vertical="center" wrapText="1"/>
    </xf>
    <xf numFmtId="186" fontId="2" fillId="3" borderId="11" xfId="0" applyNumberFormat="1" applyFont="1" applyFill="1" applyBorder="1" applyAlignment="1">
      <alignment vertical="center"/>
    </xf>
    <xf numFmtId="186" fontId="2" fillId="3" borderId="6" xfId="0" applyNumberFormat="1" applyFont="1" applyFill="1" applyBorder="1" applyAlignment="1">
      <alignment vertical="center"/>
    </xf>
    <xf numFmtId="186" fontId="2" fillId="3" borderId="12" xfId="0" applyNumberFormat="1" applyFont="1" applyFill="1" applyBorder="1" applyAlignment="1">
      <alignment vertical="center"/>
    </xf>
    <xf numFmtId="186" fontId="3" fillId="0" borderId="8" xfId="0" applyNumberFormat="1" applyFont="1" applyBorder="1" applyAlignment="1">
      <alignment vertical="center"/>
    </xf>
    <xf numFmtId="186" fontId="3" fillId="0" borderId="0" xfId="0" applyNumberFormat="1" applyFont="1" applyAlignment="1">
      <alignment vertical="center"/>
    </xf>
    <xf numFmtId="186" fontId="3" fillId="0" borderId="9" xfId="0" applyNumberFormat="1" applyFont="1" applyBorder="1" applyAlignment="1">
      <alignment vertical="center"/>
    </xf>
    <xf numFmtId="186" fontId="6" fillId="0" borderId="9" xfId="0" applyNumberFormat="1" applyFont="1" applyBorder="1" applyAlignment="1">
      <alignment vertical="center"/>
    </xf>
    <xf numFmtId="186" fontId="2" fillId="2" borderId="2" xfId="0" applyNumberFormat="1" applyFont="1" applyFill="1" applyBorder="1" applyAlignment="1">
      <alignment vertical="center"/>
    </xf>
    <xf numFmtId="186" fontId="2" fillId="2" borderId="3" xfId="0" applyNumberFormat="1" applyFont="1" applyFill="1" applyBorder="1" applyAlignment="1">
      <alignment vertical="center"/>
    </xf>
    <xf numFmtId="186" fontId="2" fillId="2" borderId="4" xfId="0" applyNumberFormat="1" applyFont="1" applyFill="1" applyBorder="1" applyAlignment="1">
      <alignment vertical="center"/>
    </xf>
    <xf numFmtId="186" fontId="3" fillId="0" borderId="11" xfId="0" applyNumberFormat="1" applyFont="1" applyBorder="1" applyAlignment="1">
      <alignment vertical="center"/>
    </xf>
    <xf numFmtId="186" fontId="3" fillId="0" borderId="6" xfId="0" applyNumberFormat="1" applyFont="1" applyBorder="1" applyAlignment="1">
      <alignment vertical="center"/>
    </xf>
    <xf numFmtId="186" fontId="3" fillId="0" borderId="23" xfId="0" applyNumberFormat="1" applyFont="1" applyBorder="1" applyAlignment="1">
      <alignment vertical="center"/>
    </xf>
    <xf numFmtId="186" fontId="3" fillId="0" borderId="24" xfId="0" applyNumberFormat="1" applyFont="1" applyBorder="1" applyAlignment="1">
      <alignment vertical="center"/>
    </xf>
    <xf numFmtId="186" fontId="3" fillId="0" borderId="16" xfId="0" applyNumberFormat="1" applyFont="1" applyBorder="1" applyAlignment="1">
      <alignment vertical="center"/>
    </xf>
    <xf numFmtId="186" fontId="2" fillId="4" borderId="23" xfId="0" applyNumberFormat="1" applyFont="1" applyFill="1" applyBorder="1" applyAlignment="1">
      <alignment vertical="center"/>
    </xf>
    <xf numFmtId="186" fontId="2" fillId="4" borderId="24" xfId="0" applyNumberFormat="1" applyFont="1" applyFill="1" applyBorder="1" applyAlignment="1">
      <alignment vertical="center"/>
    </xf>
    <xf numFmtId="186" fontId="2" fillId="4" borderId="16" xfId="0" applyNumberFormat="1" applyFont="1" applyFill="1" applyBorder="1" applyAlignment="1">
      <alignment vertical="center"/>
    </xf>
    <xf numFmtId="186" fontId="2" fillId="2" borderId="24" xfId="0" applyNumberFormat="1" applyFont="1" applyFill="1" applyBorder="1" applyAlignment="1">
      <alignment vertical="center"/>
    </xf>
    <xf numFmtId="186" fontId="2" fillId="2" borderId="16" xfId="0" applyNumberFormat="1" applyFont="1" applyFill="1" applyBorder="1" applyAlignment="1">
      <alignment vertical="center"/>
    </xf>
    <xf numFmtId="186" fontId="2" fillId="3" borderId="0" xfId="0" applyNumberFormat="1" applyFont="1" applyFill="1" applyAlignment="1">
      <alignment vertical="center"/>
    </xf>
    <xf numFmtId="186" fontId="2" fillId="3" borderId="9" xfId="0" applyNumberFormat="1" applyFont="1" applyFill="1" applyBorder="1" applyAlignment="1">
      <alignment vertical="center"/>
    </xf>
    <xf numFmtId="186" fontId="3" fillId="4" borderId="9" xfId="0" applyNumberFormat="1" applyFont="1" applyFill="1" applyBorder="1" applyAlignment="1">
      <alignment vertical="center"/>
    </xf>
    <xf numFmtId="186" fontId="3" fillId="4" borderId="16" xfId="0" applyNumberFormat="1" applyFont="1" applyFill="1" applyBorder="1" applyAlignment="1">
      <alignment vertical="center"/>
    </xf>
    <xf numFmtId="186" fontId="2" fillId="2" borderId="11" xfId="0" applyNumberFormat="1" applyFont="1" applyFill="1" applyBorder="1" applyAlignment="1">
      <alignment vertical="center"/>
    </xf>
    <xf numFmtId="186" fontId="2" fillId="2" borderId="6" xfId="0" applyNumberFormat="1" applyFont="1" applyFill="1" applyBorder="1" applyAlignment="1">
      <alignment vertical="center"/>
    </xf>
    <xf numFmtId="186" fontId="2" fillId="2" borderId="12" xfId="0" applyNumberFormat="1" applyFont="1" applyFill="1" applyBorder="1" applyAlignment="1">
      <alignment vertical="center"/>
    </xf>
    <xf numFmtId="186" fontId="2" fillId="2" borderId="2" xfId="0" applyNumberFormat="1" applyFont="1" applyFill="1" applyBorder="1" applyAlignment="1">
      <alignment horizontal="right" vertical="center"/>
    </xf>
    <xf numFmtId="186" fontId="2" fillId="2" borderId="3" xfId="0" applyNumberFormat="1" applyFont="1" applyFill="1" applyBorder="1" applyAlignment="1">
      <alignment horizontal="right" vertical="center"/>
    </xf>
    <xf numFmtId="186" fontId="3" fillId="0" borderId="10" xfId="0" applyNumberFormat="1" applyFont="1" applyBorder="1" applyAlignment="1">
      <alignment vertical="center"/>
    </xf>
    <xf numFmtId="186" fontId="2" fillId="0" borderId="9" xfId="0" applyNumberFormat="1" applyFont="1" applyBorder="1" applyAlignment="1">
      <alignment vertical="center"/>
    </xf>
    <xf numFmtId="186" fontId="3" fillId="2" borderId="8" xfId="0" applyNumberFormat="1" applyFont="1" applyFill="1" applyBorder="1" applyAlignment="1">
      <alignment vertical="center"/>
    </xf>
    <xf numFmtId="186" fontId="3" fillId="2" borderId="0" xfId="0" applyNumberFormat="1" applyFont="1" applyFill="1" applyAlignment="1">
      <alignment vertical="center"/>
    </xf>
    <xf numFmtId="186" fontId="3" fillId="2" borderId="9" xfId="0" applyNumberFormat="1" applyFont="1" applyFill="1" applyBorder="1" applyAlignment="1">
      <alignment vertical="center"/>
    </xf>
    <xf numFmtId="186" fontId="3" fillId="2" borderId="23" xfId="0" applyNumberFormat="1" applyFont="1" applyFill="1" applyBorder="1" applyAlignment="1">
      <alignment vertical="center"/>
    </xf>
    <xf numFmtId="186" fontId="3" fillId="2" borderId="24" xfId="0" applyNumberFormat="1" applyFont="1" applyFill="1" applyBorder="1" applyAlignment="1">
      <alignment vertical="center"/>
    </xf>
    <xf numFmtId="186" fontId="3" fillId="2" borderId="16" xfId="0" applyNumberFormat="1" applyFont="1" applyFill="1" applyBorder="1" applyAlignment="1">
      <alignment vertical="center"/>
    </xf>
    <xf numFmtId="186" fontId="2" fillId="4" borderId="41" xfId="0" applyNumberFormat="1" applyFont="1" applyFill="1" applyBorder="1" applyAlignment="1">
      <alignment vertical="center"/>
    </xf>
    <xf numFmtId="186" fontId="2" fillId="4" borderId="42" xfId="0" applyNumberFormat="1" applyFont="1" applyFill="1" applyBorder="1" applyAlignment="1">
      <alignment vertical="center"/>
    </xf>
    <xf numFmtId="186" fontId="2" fillId="4" borderId="43" xfId="0" applyNumberFormat="1" applyFont="1" applyFill="1" applyBorder="1" applyAlignment="1">
      <alignment vertical="center"/>
    </xf>
    <xf numFmtId="186" fontId="5" fillId="4" borderId="43" xfId="0" applyNumberFormat="1" applyFont="1" applyFill="1" applyBorder="1" applyAlignment="1">
      <alignment vertical="center"/>
    </xf>
    <xf numFmtId="186" fontId="2" fillId="2" borderId="7" xfId="0" applyNumberFormat="1" applyFont="1" applyFill="1" applyBorder="1" applyAlignment="1">
      <alignment vertical="center"/>
    </xf>
    <xf numFmtId="1" fontId="3" fillId="0" borderId="0" xfId="0" quotePrefix="1" applyNumberFormat="1" applyFont="1" applyAlignment="1">
      <alignment horizontal="left" vertical="center"/>
    </xf>
    <xf numFmtId="0" fontId="3" fillId="0" borderId="0" xfId="0" applyFont="1" applyAlignment="1">
      <alignment horizontal="left" vertical="center" wrapText="1"/>
    </xf>
    <xf numFmtId="0" fontId="10" fillId="0" borderId="0" xfId="0" applyFont="1" applyAlignment="1">
      <alignment horizontal="center" vertical="center"/>
    </xf>
    <xf numFmtId="0" fontId="10" fillId="0" borderId="0" xfId="0" applyFont="1" applyAlignment="1">
      <alignment horizontal="center"/>
    </xf>
    <xf numFmtId="168" fontId="10" fillId="0" borderId="0" xfId="0" applyNumberFormat="1" applyFont="1" applyAlignment="1">
      <alignment horizontal="center" vertical="center"/>
    </xf>
    <xf numFmtId="0" fontId="3" fillId="0" borderId="0" xfId="0" applyFont="1" applyAlignment="1">
      <alignment vertical="center"/>
    </xf>
    <xf numFmtId="0" fontId="3" fillId="0" borderId="6" xfId="0" quotePrefix="1" applyFont="1" applyBorder="1" applyAlignment="1">
      <alignment vertical="center" wrapText="1"/>
    </xf>
    <xf numFmtId="0" fontId="3" fillId="0" borderId="0" xfId="0" quotePrefix="1" applyFont="1" applyAlignment="1">
      <alignment horizontal="left" vertical="center" wrapText="1"/>
    </xf>
    <xf numFmtId="0" fontId="3" fillId="0" borderId="0" xfId="0" quotePrefix="1" applyFont="1" applyAlignment="1">
      <alignment vertical="center" wrapText="1"/>
    </xf>
    <xf numFmtId="0" fontId="3" fillId="0" borderId="0" xfId="0" applyFont="1" applyAlignment="1">
      <alignment vertical="center" wrapText="1"/>
    </xf>
    <xf numFmtId="0" fontId="3" fillId="0" borderId="0" xfId="0" quotePrefix="1" applyFont="1" applyAlignment="1">
      <alignment vertical="center"/>
    </xf>
    <xf numFmtId="0" fontId="2" fillId="2" borderId="1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3" fillId="0" borderId="0" xfId="0" quotePrefix="1" applyFont="1"/>
    <xf numFmtId="0" fontId="3" fillId="0" borderId="0" xfId="0" applyFont="1"/>
    <xf numFmtId="0" fontId="3" fillId="0" borderId="0" xfId="0" quotePrefix="1" applyFont="1" applyAlignment="1">
      <alignment horizontal="left" wrapText="1"/>
    </xf>
    <xf numFmtId="0" fontId="3" fillId="0" borderId="6" xfId="0" quotePrefix="1" applyFont="1" applyBorder="1" applyAlignment="1">
      <alignment wrapText="1"/>
    </xf>
    <xf numFmtId="0" fontId="3" fillId="0" borderId="6" xfId="0" applyFont="1" applyBorder="1" applyAlignment="1">
      <alignment wrapText="1"/>
    </xf>
    <xf numFmtId="10" fontId="3" fillId="0" borderId="17" xfId="3" applyNumberFormat="1" applyFont="1" applyBorder="1" applyAlignment="1">
      <alignment horizontal="center" vertical="center"/>
    </xf>
    <xf numFmtId="10" fontId="3" fillId="0" borderId="5" xfId="3" applyNumberFormat="1" applyFont="1" applyBorder="1" applyAlignment="1">
      <alignment horizontal="center" vertical="center"/>
    </xf>
    <xf numFmtId="10" fontId="3" fillId="0" borderId="21" xfId="3" applyNumberFormat="1" applyFont="1" applyBorder="1" applyAlignment="1">
      <alignment horizontal="center" vertical="center"/>
    </xf>
    <xf numFmtId="10" fontId="6" fillId="0" borderId="17" xfId="0" applyNumberFormat="1" applyFont="1" applyBorder="1" applyAlignment="1">
      <alignment horizontal="center" vertical="center"/>
    </xf>
    <xf numFmtId="10" fontId="6" fillId="0" borderId="21" xfId="0" applyNumberFormat="1" applyFont="1" applyBorder="1" applyAlignment="1">
      <alignment horizontal="center" vertical="center"/>
    </xf>
    <xf numFmtId="176" fontId="3" fillId="0" borderId="31" xfId="0" applyNumberFormat="1" applyFont="1" applyBorder="1" applyAlignment="1">
      <alignment horizontal="center" vertical="center"/>
    </xf>
    <xf numFmtId="176" fontId="3" fillId="0" borderId="33" xfId="0" applyNumberFormat="1" applyFont="1" applyBorder="1" applyAlignment="1">
      <alignment horizontal="center" vertical="center"/>
    </xf>
    <xf numFmtId="0" fontId="3" fillId="0" borderId="25" xfId="0" applyFont="1" applyBorder="1" applyAlignment="1">
      <alignment horizontal="left" vertical="center"/>
    </xf>
    <xf numFmtId="0" fontId="3" fillId="0" borderId="29" xfId="0" applyFont="1" applyBorder="1" applyAlignment="1">
      <alignment horizontal="left" vertical="center"/>
    </xf>
    <xf numFmtId="0" fontId="3" fillId="0" borderId="17" xfId="0" applyFont="1" applyBorder="1" applyAlignment="1">
      <alignment horizontal="left" vertical="center" wrapText="1"/>
    </xf>
    <xf numFmtId="0" fontId="3" fillId="0" borderId="21" xfId="0" applyFont="1" applyBorder="1" applyAlignment="1">
      <alignment horizontal="left" vertical="center" wrapText="1"/>
    </xf>
    <xf numFmtId="176" fontId="3" fillId="0" borderId="17" xfId="0" applyNumberFormat="1" applyFont="1" applyBorder="1" applyAlignment="1">
      <alignment horizontal="center" vertical="center"/>
    </xf>
    <xf numFmtId="176" fontId="3" fillId="0" borderId="21" xfId="0" applyNumberFormat="1" applyFont="1" applyBorder="1" applyAlignment="1">
      <alignment horizontal="center" vertical="center"/>
    </xf>
    <xf numFmtId="176" fontId="3" fillId="0" borderId="19" xfId="0" applyNumberFormat="1" applyFont="1" applyBorder="1" applyAlignment="1">
      <alignment horizontal="center" vertical="center"/>
    </xf>
    <xf numFmtId="176" fontId="3" fillId="0" borderId="1" xfId="0" applyNumberFormat="1" applyFont="1" applyBorder="1" applyAlignment="1">
      <alignment horizontal="center" vertical="center"/>
    </xf>
    <xf numFmtId="176" fontId="3" fillId="0" borderId="20" xfId="0" applyNumberFormat="1" applyFont="1" applyBorder="1" applyAlignment="1">
      <alignment horizontal="center" vertical="center"/>
    </xf>
    <xf numFmtId="176" fontId="3" fillId="0" borderId="5" xfId="0" applyNumberFormat="1" applyFont="1" applyBorder="1" applyAlignment="1">
      <alignment horizontal="center" vertical="center"/>
    </xf>
    <xf numFmtId="0" fontId="3" fillId="0" borderId="7" xfId="0" applyFont="1" applyBorder="1" applyAlignment="1">
      <alignment horizontal="left" vertical="center"/>
    </xf>
    <xf numFmtId="0" fontId="3" fillId="0" borderId="21" xfId="0" applyFont="1" applyBorder="1" applyAlignment="1">
      <alignment horizontal="left" vertical="center"/>
    </xf>
    <xf numFmtId="9" fontId="3" fillId="0" borderId="17" xfId="3" applyFont="1" applyBorder="1" applyAlignment="1">
      <alignment horizontal="center" vertical="center"/>
    </xf>
    <xf numFmtId="9" fontId="3" fillId="0" borderId="21" xfId="3" applyFont="1" applyBorder="1" applyAlignment="1">
      <alignment horizontal="center" vertical="center"/>
    </xf>
    <xf numFmtId="3" fontId="3" fillId="0" borderId="1" xfId="0" applyNumberFormat="1" applyFont="1" applyBorder="1" applyAlignment="1">
      <alignment horizontal="center" vertical="center"/>
    </xf>
    <xf numFmtId="10" fontId="3" fillId="0" borderId="19" xfId="3" applyNumberFormat="1" applyFont="1" applyBorder="1" applyAlignment="1">
      <alignment horizontal="center" vertical="center"/>
    </xf>
    <xf numFmtId="10" fontId="3" fillId="0" borderId="1" xfId="3" applyNumberFormat="1" applyFont="1" applyBorder="1" applyAlignment="1">
      <alignment horizontal="center" vertical="center"/>
    </xf>
    <xf numFmtId="10" fontId="3" fillId="0" borderId="20" xfId="3" applyNumberFormat="1" applyFont="1" applyBorder="1" applyAlignment="1">
      <alignment horizontal="center" vertical="center"/>
    </xf>
    <xf numFmtId="176" fontId="3" fillId="0" borderId="35" xfId="0" applyNumberFormat="1" applyFont="1" applyBorder="1" applyAlignment="1">
      <alignment horizontal="center" vertical="center"/>
    </xf>
    <xf numFmtId="176" fontId="3" fillId="0" borderId="37" xfId="0" applyNumberFormat="1" applyFont="1" applyBorder="1" applyAlignment="1">
      <alignment horizontal="center" vertical="center"/>
    </xf>
    <xf numFmtId="176" fontId="3" fillId="0" borderId="36" xfId="0" applyNumberFormat="1" applyFont="1" applyBorder="1" applyAlignment="1">
      <alignment horizontal="center" vertical="center"/>
    </xf>
    <xf numFmtId="0" fontId="3" fillId="0" borderId="25" xfId="0" applyFont="1" applyBorder="1" applyAlignment="1">
      <alignment horizontal="center" vertical="center"/>
    </xf>
    <xf numFmtId="0" fontId="3" fillId="0" borderId="30" xfId="0" applyFont="1" applyBorder="1" applyAlignment="1">
      <alignment horizontal="center" vertical="center"/>
    </xf>
    <xf numFmtId="0" fontId="3" fillId="0" borderId="29" xfId="0" applyFont="1" applyBorder="1" applyAlignment="1">
      <alignment horizontal="center" vertical="center"/>
    </xf>
    <xf numFmtId="0" fontId="3" fillId="0" borderId="1" xfId="0" applyFont="1" applyBorder="1" applyAlignment="1">
      <alignment horizontal="left" vertical="center" wrapText="1"/>
    </xf>
    <xf numFmtId="9" fontId="3" fillId="0" borderId="1" xfId="3" applyFont="1" applyBorder="1" applyAlignment="1">
      <alignment horizontal="center" vertical="center"/>
    </xf>
    <xf numFmtId="0" fontId="3" fillId="0" borderId="27" xfId="0" applyFont="1" applyBorder="1" applyAlignment="1">
      <alignment horizontal="center" vertical="center"/>
    </xf>
    <xf numFmtId="0" fontId="3" fillId="0" borderId="38" xfId="0" applyFont="1" applyBorder="1" applyAlignment="1">
      <alignment horizontal="center" vertical="center"/>
    </xf>
    <xf numFmtId="0" fontId="3" fillId="0" borderId="28" xfId="0" applyFont="1" applyBorder="1" applyAlignment="1">
      <alignment horizontal="center" vertical="center"/>
    </xf>
    <xf numFmtId="176" fontId="3" fillId="0" borderId="34" xfId="0" applyNumberFormat="1" applyFont="1" applyBorder="1" applyAlignment="1">
      <alignment horizontal="center" vertical="center"/>
    </xf>
    <xf numFmtId="179" fontId="3" fillId="0" borderId="17" xfId="3" applyNumberFormat="1" applyFont="1" applyBorder="1" applyAlignment="1">
      <alignment horizontal="center" vertical="center"/>
    </xf>
    <xf numFmtId="179" fontId="3" fillId="0" borderId="5" xfId="3" applyNumberFormat="1" applyFont="1" applyBorder="1" applyAlignment="1">
      <alignment horizontal="center" vertical="center"/>
    </xf>
    <xf numFmtId="179" fontId="3" fillId="0" borderId="19" xfId="3" applyNumberFormat="1" applyFont="1" applyBorder="1" applyAlignment="1">
      <alignment horizontal="center" vertical="center"/>
    </xf>
    <xf numFmtId="179" fontId="3" fillId="0" borderId="1" xfId="3" applyNumberFormat="1" applyFont="1" applyBorder="1" applyAlignment="1">
      <alignment horizontal="center" vertical="center"/>
    </xf>
    <xf numFmtId="179" fontId="3" fillId="0" borderId="20" xfId="3" applyNumberFormat="1" applyFont="1" applyBorder="1" applyAlignment="1">
      <alignment horizontal="center" vertical="center"/>
    </xf>
    <xf numFmtId="10" fontId="3" fillId="0" borderId="17" xfId="3" applyNumberFormat="1" applyFont="1" applyFill="1" applyBorder="1" applyAlignment="1">
      <alignment horizontal="center" vertical="center"/>
    </xf>
    <xf numFmtId="10" fontId="3" fillId="0" borderId="5" xfId="3" applyNumberFormat="1" applyFont="1" applyFill="1" applyBorder="1" applyAlignment="1">
      <alignment horizontal="center" vertical="center"/>
    </xf>
    <xf numFmtId="179" fontId="3" fillId="0" borderId="21" xfId="3" applyNumberFormat="1" applyFont="1" applyBorder="1" applyAlignment="1">
      <alignment horizontal="center" vertical="center"/>
    </xf>
    <xf numFmtId="0" fontId="3" fillId="0" borderId="30" xfId="0" applyFont="1" applyBorder="1" applyAlignment="1">
      <alignment horizontal="left" vertical="center"/>
    </xf>
    <xf numFmtId="0" fontId="3" fillId="0" borderId="10" xfId="0" applyFont="1" applyBorder="1" applyAlignment="1">
      <alignment horizontal="left" vertical="center" wrapText="1"/>
    </xf>
    <xf numFmtId="0" fontId="3" fillId="0" borderId="7" xfId="0" applyFont="1" applyBorder="1" applyAlignment="1">
      <alignment horizontal="left" vertical="center" wrapText="1"/>
    </xf>
    <xf numFmtId="0" fontId="3" fillId="0" borderId="19" xfId="0" applyFont="1" applyBorder="1" applyAlignment="1">
      <alignment horizontal="left" vertical="center" wrapText="1"/>
    </xf>
    <xf numFmtId="10" fontId="3" fillId="0" borderId="21" xfId="3" applyNumberFormat="1" applyFont="1" applyFill="1" applyBorder="1" applyAlignment="1">
      <alignment horizontal="center"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3" fillId="0" borderId="20" xfId="0" applyFont="1" applyBorder="1" applyAlignment="1">
      <alignment horizontal="left" vertical="center" wrapText="1"/>
    </xf>
    <xf numFmtId="9" fontId="3" fillId="0" borderId="17" xfId="3" applyFont="1" applyFill="1" applyBorder="1" applyAlignment="1">
      <alignment horizontal="center" vertical="center"/>
    </xf>
    <xf numFmtId="9" fontId="3" fillId="0" borderId="21" xfId="3" applyFont="1" applyFill="1" applyBorder="1" applyAlignment="1">
      <alignment horizontal="center" vertical="center"/>
    </xf>
    <xf numFmtId="9" fontId="3" fillId="0" borderId="5" xfId="3" applyFont="1" applyBorder="1" applyAlignment="1">
      <alignment horizontal="center" vertical="center"/>
    </xf>
    <xf numFmtId="0" fontId="3" fillId="0" borderId="38" xfId="0" applyFont="1" applyBorder="1" applyAlignment="1">
      <alignment horizontal="left" vertical="center"/>
    </xf>
    <xf numFmtId="0" fontId="3" fillId="0" borderId="10" xfId="0" applyFont="1" applyBorder="1" applyAlignment="1">
      <alignment horizontal="left" vertical="center"/>
    </xf>
    <xf numFmtId="0" fontId="3" fillId="0" borderId="1" xfId="0" applyFont="1" applyBorder="1" applyAlignment="1">
      <alignment horizontal="left" vertical="center"/>
    </xf>
    <xf numFmtId="9" fontId="3" fillId="0" borderId="10" xfId="3" applyFont="1" applyFill="1" applyBorder="1" applyAlignment="1">
      <alignment horizontal="center" vertical="center"/>
    </xf>
    <xf numFmtId="9" fontId="3" fillId="0" borderId="1" xfId="3" applyFont="1" applyFill="1" applyBorder="1" applyAlignment="1">
      <alignment horizontal="center" vertical="center"/>
    </xf>
    <xf numFmtId="9" fontId="3" fillId="0" borderId="20" xfId="3" applyFont="1" applyFill="1" applyBorder="1" applyAlignment="1">
      <alignment horizontal="center" vertical="center"/>
    </xf>
    <xf numFmtId="176" fontId="3" fillId="0" borderId="39" xfId="0" applyNumberFormat="1" applyFont="1" applyBorder="1" applyAlignment="1">
      <alignment horizontal="center" vertical="center"/>
    </xf>
    <xf numFmtId="0" fontId="3" fillId="0" borderId="19" xfId="0" applyFont="1" applyBorder="1" applyAlignment="1">
      <alignment horizontal="left" vertical="center"/>
    </xf>
    <xf numFmtId="9" fontId="3" fillId="0" borderId="19" xfId="3" applyFont="1" applyBorder="1" applyAlignment="1">
      <alignment horizontal="center" vertical="center"/>
    </xf>
    <xf numFmtId="9" fontId="3" fillId="0" borderId="20" xfId="3" applyFont="1" applyBorder="1" applyAlignment="1">
      <alignment horizontal="center" vertical="center"/>
    </xf>
    <xf numFmtId="0" fontId="3" fillId="0" borderId="17" xfId="0" applyFont="1" applyBorder="1" applyAlignment="1">
      <alignment horizontal="left" vertical="center"/>
    </xf>
    <xf numFmtId="0" fontId="3" fillId="0" borderId="5" xfId="0" applyFont="1" applyBorder="1" applyAlignment="1">
      <alignment horizontal="left" vertical="center"/>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3" fillId="0" borderId="30" xfId="0" applyFont="1" applyBorder="1" applyAlignment="1">
      <alignment horizontal="left" vertical="center" wrapText="1"/>
    </xf>
    <xf numFmtId="0" fontId="3" fillId="0" borderId="29" xfId="0" applyFont="1" applyBorder="1" applyAlignment="1">
      <alignment horizontal="left" vertical="center" wrapText="1"/>
    </xf>
    <xf numFmtId="9" fontId="3" fillId="0" borderId="5" xfId="3" applyFont="1" applyFill="1" applyBorder="1" applyAlignment="1">
      <alignment horizontal="center" vertical="center"/>
    </xf>
    <xf numFmtId="9" fontId="3" fillId="0" borderId="19" xfId="3" applyFont="1" applyFill="1" applyBorder="1" applyAlignment="1">
      <alignment horizontal="center" vertical="center"/>
    </xf>
    <xf numFmtId="10" fontId="3" fillId="0" borderId="19" xfId="3" applyNumberFormat="1" applyFont="1" applyFill="1" applyBorder="1" applyAlignment="1">
      <alignment horizontal="center" vertical="center"/>
    </xf>
    <xf numFmtId="10" fontId="3" fillId="0" borderId="1" xfId="3" applyNumberFormat="1" applyFont="1" applyFill="1" applyBorder="1" applyAlignment="1">
      <alignment horizontal="center" vertical="center"/>
    </xf>
    <xf numFmtId="10" fontId="3" fillId="0" borderId="20" xfId="3" applyNumberFormat="1" applyFont="1" applyFill="1" applyBorder="1" applyAlignment="1">
      <alignment horizontal="center" vertical="center"/>
    </xf>
    <xf numFmtId="0" fontId="3" fillId="0" borderId="0" xfId="0" quotePrefix="1" applyFont="1" applyAlignment="1">
      <alignment horizontal="left" vertical="top" wrapText="1"/>
    </xf>
    <xf numFmtId="0" fontId="3" fillId="0" borderId="0" xfId="0" quotePrefix="1" applyFont="1" applyAlignment="1">
      <alignment horizontal="left" vertical="top"/>
    </xf>
    <xf numFmtId="0" fontId="3" fillId="0" borderId="40" xfId="0" applyFont="1" applyBorder="1" applyAlignment="1">
      <alignment horizontal="left" wrapText="1"/>
    </xf>
    <xf numFmtId="0" fontId="3" fillId="0" borderId="0" xfId="0" applyFont="1" applyAlignment="1">
      <alignment horizontal="left" wrapText="1"/>
    </xf>
    <xf numFmtId="0" fontId="26" fillId="0" borderId="0" xfId="0" quotePrefix="1" applyFont="1" applyAlignment="1">
      <alignment horizontal="left" vertical="center"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3" fillId="0" borderId="20" xfId="0" applyFont="1" applyBorder="1" applyAlignment="1">
      <alignment horizontal="left" vertical="center"/>
    </xf>
    <xf numFmtId="0" fontId="3" fillId="0" borderId="5" xfId="0" applyFont="1" applyBorder="1" applyAlignment="1">
      <alignment horizontal="left" vertical="center" wrapText="1"/>
    </xf>
  </cellXfs>
  <cellStyles count="5">
    <cellStyle name="Comma" xfId="4" builtinId="3"/>
    <cellStyle name="Currency" xfId="1" builtinId="4"/>
    <cellStyle name="Currency 12" xfId="2" xr:uid="{5B75B7EB-7628-4176-8FAA-D81D24CE71B9}"/>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CEFFD-7DF9-4D8E-B917-A9432FE4BB53}">
  <sheetPr codeName="Sheet2">
    <pageSetUpPr fitToPage="1"/>
  </sheetPr>
  <dimension ref="B1:M29"/>
  <sheetViews>
    <sheetView showGridLines="0" tabSelected="1" zoomScaleNormal="100" workbookViewId="0">
      <selection activeCell="B5" sqref="B5"/>
    </sheetView>
  </sheetViews>
  <sheetFormatPr defaultColWidth="9.140625" defaultRowHeight="12.75" x14ac:dyDescent="0.25"/>
  <cols>
    <col min="1" max="1" width="5.7109375" style="15" customWidth="1"/>
    <col min="2" max="2" width="36.140625" style="15" customWidth="1"/>
    <col min="3" max="12" width="14.7109375" style="15" customWidth="1"/>
    <col min="13" max="13" width="5.7109375" style="15" customWidth="1"/>
    <col min="14" max="16384" width="9.140625" style="15"/>
  </cols>
  <sheetData>
    <row r="1" spans="2:13" x14ac:dyDescent="0.25">
      <c r="C1" s="385"/>
      <c r="D1" s="385"/>
      <c r="E1" s="483" t="s">
        <v>466</v>
      </c>
      <c r="F1" s="483"/>
      <c r="G1" s="483"/>
      <c r="H1" s="385"/>
      <c r="I1" s="385"/>
      <c r="J1" s="385"/>
      <c r="K1" s="385"/>
      <c r="L1" s="385"/>
    </row>
    <row r="2" spans="2:13" x14ac:dyDescent="0.25">
      <c r="C2" s="385"/>
      <c r="D2" s="385"/>
      <c r="E2" s="483" t="s">
        <v>507</v>
      </c>
      <c r="F2" s="483"/>
      <c r="G2" s="483"/>
      <c r="H2" s="385"/>
      <c r="I2" s="385"/>
      <c r="J2" s="385"/>
      <c r="K2" s="385"/>
      <c r="L2" s="385"/>
    </row>
    <row r="4" spans="2:13" ht="18" customHeight="1" x14ac:dyDescent="0.25">
      <c r="B4" s="12" t="s">
        <v>0</v>
      </c>
      <c r="C4" s="12">
        <v>2021</v>
      </c>
      <c r="D4" s="12">
        <v>2022</v>
      </c>
      <c r="E4" s="12">
        <v>2023</v>
      </c>
      <c r="F4" s="12">
        <v>2024</v>
      </c>
      <c r="G4" s="12">
        <v>2025</v>
      </c>
      <c r="H4" s="12">
        <v>2026</v>
      </c>
      <c r="I4" s="12">
        <v>2027</v>
      </c>
      <c r="J4" s="12">
        <v>2028</v>
      </c>
      <c r="K4" s="12">
        <v>2029</v>
      </c>
      <c r="L4" s="12">
        <v>2030</v>
      </c>
    </row>
    <row r="5" spans="2:13" x14ac:dyDescent="0.25">
      <c r="B5" s="118" t="s">
        <v>1</v>
      </c>
      <c r="C5" s="356">
        <f>'Budget by Cost Category'!G5</f>
        <v>36954195</v>
      </c>
      <c r="D5" s="356">
        <f>'Budget by Cost Category'!N5</f>
        <v>36954195</v>
      </c>
      <c r="E5" s="356">
        <f>'Budget by Cost Category'!U5</f>
        <v>70378563.721242011</v>
      </c>
      <c r="F5" s="356">
        <f>'Budget by Cost Category'!AB5</f>
        <v>78855831.059486523</v>
      </c>
      <c r="G5" s="356">
        <f>'Budget by Cost Category'!AI5</f>
        <v>84573225.565705881</v>
      </c>
      <c r="H5" s="356">
        <f>'Budget by Cost Category'!AP5</f>
        <v>86602982.940486655</v>
      </c>
      <c r="I5" s="356">
        <f>'Budget by Cost Category'!AW5</f>
        <v>72787256</v>
      </c>
      <c r="J5" s="356">
        <f>'Budget by Cost Category'!BD5</f>
        <v>75691912</v>
      </c>
      <c r="K5" s="356">
        <f>'Budget by Cost Category'!BK5</f>
        <v>78555425</v>
      </c>
      <c r="L5" s="356">
        <f>'Budget by Cost Category'!BR5</f>
        <v>81536209</v>
      </c>
    </row>
    <row r="6" spans="2:13" x14ac:dyDescent="0.25">
      <c r="B6" s="183" t="s">
        <v>2</v>
      </c>
      <c r="C6" s="357">
        <f>'Budget by Cost Category'!G12</f>
        <v>25421780</v>
      </c>
      <c r="D6" s="357">
        <f>'Budget by Cost Category'!N12</f>
        <v>25421780</v>
      </c>
      <c r="E6" s="357">
        <f>'Budget by Cost Category'!U12</f>
        <v>22987684.995222218</v>
      </c>
      <c r="F6" s="357">
        <f>'Budget by Cost Category'!AB12</f>
        <v>24550847.881497335</v>
      </c>
      <c r="G6" s="357">
        <f>'Budget by Cost Category'!AI12</f>
        <v>25508330.948875725</v>
      </c>
      <c r="H6" s="357">
        <f>'Budget by Cost Category'!AP12</f>
        <v>26120530.411794331</v>
      </c>
      <c r="I6" s="357">
        <f>'Budget by Cost Category'!AW12</f>
        <v>27336368</v>
      </c>
      <c r="J6" s="357">
        <f>'Budget by Cost Category'!BD12</f>
        <v>29790341</v>
      </c>
      <c r="K6" s="357">
        <f>'Budget by Cost Category'!BK12</f>
        <v>32879507</v>
      </c>
      <c r="L6" s="357">
        <f>'Budget by Cost Category'!BR12</f>
        <v>35656823</v>
      </c>
    </row>
    <row r="7" spans="2:13" ht="14.25" x14ac:dyDescent="0.25">
      <c r="B7" s="183" t="s">
        <v>243</v>
      </c>
      <c r="C7" s="357">
        <f>'Budget by Cost Category'!G15</f>
        <v>30166090</v>
      </c>
      <c r="D7" s="357">
        <f>'Budget by Cost Category'!N15</f>
        <v>30166090</v>
      </c>
      <c r="E7" s="357">
        <f>'Budget by Cost Category'!U15</f>
        <v>25262774.996288802</v>
      </c>
      <c r="F7" s="357">
        <f>'Budget by Cost Category'!AB15</f>
        <v>26838855.204338517</v>
      </c>
      <c r="G7" s="357">
        <f>'Budget by Cost Category'!AI15</f>
        <v>27885570.55730772</v>
      </c>
      <c r="H7" s="357">
        <f>'Budget by Cost Category'!AP15</f>
        <v>28554824.200402837</v>
      </c>
      <c r="I7" s="357">
        <f>'Budget by Cost Category'!AW15</f>
        <v>43048033</v>
      </c>
      <c r="J7" s="357">
        <f>'Budget by Cost Category'!BD15</f>
        <v>48468329</v>
      </c>
      <c r="K7" s="357">
        <f>'Budget by Cost Category'!BK15</f>
        <v>52453915</v>
      </c>
      <c r="L7" s="357">
        <f>'Budget by Cost Category'!BR15</f>
        <v>55837414</v>
      </c>
    </row>
    <row r="8" spans="2:13" x14ac:dyDescent="0.25">
      <c r="B8" s="183" t="s">
        <v>4</v>
      </c>
      <c r="C8" s="357">
        <f>'Budget by Cost Category'!G24</f>
        <v>11051215</v>
      </c>
      <c r="D8" s="357">
        <f>'Budget by Cost Category'!N24</f>
        <v>11051215</v>
      </c>
      <c r="E8" s="357">
        <f>'Budget by Cost Category'!U24</f>
        <v>17828114.004956</v>
      </c>
      <c r="F8" s="357">
        <f>'Budget by Cost Category'!AB24</f>
        <v>19040425.474093009</v>
      </c>
      <c r="G8" s="357">
        <f>'Budget by Cost Category'!AI24</f>
        <v>19783002.067582641</v>
      </c>
      <c r="H8" s="357">
        <f>'Budget by Cost Category'!AP24</f>
        <v>20257793.765055999</v>
      </c>
      <c r="I8" s="357">
        <f>'Budget by Cost Category'!AW24</f>
        <v>26885759</v>
      </c>
      <c r="J8" s="357">
        <f>'Budget by Cost Category'!BD24</f>
        <v>28709693</v>
      </c>
      <c r="K8" s="357">
        <f>'Budget by Cost Category'!BK24</f>
        <v>29971421</v>
      </c>
      <c r="L8" s="357">
        <f>'Budget by Cost Category'!BR24</f>
        <v>31444661</v>
      </c>
    </row>
    <row r="9" spans="2:13" x14ac:dyDescent="0.25">
      <c r="B9" s="183" t="s">
        <v>5</v>
      </c>
      <c r="C9" s="357">
        <f>'Budget by Cost Category'!G28</f>
        <v>3937000</v>
      </c>
      <c r="D9" s="357">
        <f>'Budget by Cost Category'!N28</f>
        <v>3937000</v>
      </c>
      <c r="E9" s="357">
        <f>'Budget by Cost Category'!U28</f>
        <v>2766624.0003840011</v>
      </c>
      <c r="F9" s="357">
        <f>'Budget by Cost Category'!AB28</f>
        <v>2954754.9564101133</v>
      </c>
      <c r="G9" s="357">
        <f>'Budget by Cost Category'!AI28</f>
        <v>3069990.3997101076</v>
      </c>
      <c r="H9" s="357">
        <f>'Budget by Cost Category'!AP28</f>
        <v>3143670.3023999999</v>
      </c>
      <c r="I9" s="357">
        <f>'Budget by Cost Category'!AW28</f>
        <v>3479654</v>
      </c>
      <c r="J9" s="357">
        <f>'Budget by Cost Category'!BD28</f>
        <v>3613250</v>
      </c>
      <c r="K9" s="357">
        <f>'Budget by Cost Category'!BK28</f>
        <v>3752123</v>
      </c>
      <c r="L9" s="357">
        <f>'Budget by Cost Category'!BR28</f>
        <v>3896485</v>
      </c>
    </row>
    <row r="10" spans="2:13" ht="18" customHeight="1" x14ac:dyDescent="0.25">
      <c r="B10" s="1" t="s">
        <v>6</v>
      </c>
      <c r="C10" s="355">
        <f t="shared" ref="C10" si="0">SUM(C5:C9)</f>
        <v>107530280</v>
      </c>
      <c r="D10" s="355">
        <f t="shared" ref="D10:E10" si="1">SUM(D5:D9)</f>
        <v>107530280</v>
      </c>
      <c r="E10" s="355">
        <f t="shared" si="1"/>
        <v>139223761.71809304</v>
      </c>
      <c r="F10" s="355">
        <f t="shared" ref="F10:H10" si="2">SUM(F5:F9)</f>
        <v>152240714.57582551</v>
      </c>
      <c r="G10" s="355">
        <f t="shared" si="2"/>
        <v>160820119.5391821</v>
      </c>
      <c r="H10" s="355">
        <f t="shared" si="2"/>
        <v>164679801.62013984</v>
      </c>
      <c r="I10" s="355">
        <f t="shared" ref="I10:L10" si="3">SUM(I5:I9)</f>
        <v>173537070</v>
      </c>
      <c r="J10" s="355">
        <f t="shared" si="3"/>
        <v>186273525</v>
      </c>
      <c r="K10" s="355">
        <f t="shared" si="3"/>
        <v>197612391</v>
      </c>
      <c r="L10" s="355">
        <f t="shared" si="3"/>
        <v>208371592</v>
      </c>
    </row>
    <row r="11" spans="2:13" ht="15" x14ac:dyDescent="0.25">
      <c r="B11" s="183" t="s">
        <v>502</v>
      </c>
      <c r="C11" s="357">
        <f>'Budget by Cost Category'!G31+'Budget by Cost Category'!G32+'Budget by Cost Category'!G34</f>
        <v>3842000</v>
      </c>
      <c r="D11" s="357">
        <f>'Budget by Cost Category'!N31+'Budget by Cost Category'!N32+'Budget by Cost Category'!N34</f>
        <v>3842000</v>
      </c>
      <c r="E11" s="357">
        <f>'Budget by Cost Category'!U31+'Budget by Cost Category'!U32+'Budget by Cost Category'!U34</f>
        <v>11252521.678982839</v>
      </c>
      <c r="F11" s="357">
        <f>'Budget by Cost Category'!AB31+'Budget by Cost Category'!AB32+'Budget by Cost Category'!AB34</f>
        <v>12017693.153153673</v>
      </c>
      <c r="G11" s="357">
        <f>'Budget by Cost Category'!AI31+'Budget by Cost Category'!AI32+'Budget by Cost Category'!AI34</f>
        <v>12486382.770926664</v>
      </c>
      <c r="H11" s="357">
        <f>'Budget by Cost Category'!AP31+'Budget by Cost Category'!AP32+'Budget by Cost Category'!AP34</f>
        <v>12786055.957428904</v>
      </c>
      <c r="I11" s="357">
        <f>'Budget by Cost Category'!AW31+'Budget by Cost Category'!AW32+'Budget by Cost Category'!AW34</f>
        <v>9896652</v>
      </c>
      <c r="J11" s="357">
        <f>'Budget by Cost Category'!BD31+'Budget by Cost Category'!BD32+'Budget by Cost Category'!BD34</f>
        <v>9863435</v>
      </c>
      <c r="K11" s="357">
        <f>'Budget by Cost Category'!BK31+'Budget by Cost Category'!BK32+'Budget by Cost Category'!BK34</f>
        <v>10033085</v>
      </c>
      <c r="L11" s="357">
        <f>'Budget by Cost Category'!BR31+'Budget by Cost Category'!BR32+'Budget by Cost Category'!BR34</f>
        <v>10205654</v>
      </c>
      <c r="M11" s="89"/>
    </row>
    <row r="12" spans="2:13" ht="15" x14ac:dyDescent="0.25">
      <c r="B12" s="183" t="s">
        <v>503</v>
      </c>
      <c r="C12" s="357">
        <f>'Budget by Cost Category'!G33+'Budget by Cost Category'!G36+'Budget by Cost Category'!G37</f>
        <v>4520056</v>
      </c>
      <c r="D12" s="357">
        <f>'Budget by Cost Category'!N33+'Budget by Cost Category'!N36+'Budget by Cost Category'!N37</f>
        <v>4520056</v>
      </c>
      <c r="E12" s="357">
        <f>'Budget by Cost Category'!U33+'Budget by Cost Category'!U36+'Budget by Cost Category'!U37</f>
        <v>3876000</v>
      </c>
      <c r="F12" s="357">
        <f>'Budget by Cost Category'!AB33+'Budget by Cost Category'!AB36+'Budget by Cost Category'!AB37</f>
        <v>4139568</v>
      </c>
      <c r="G12" s="357">
        <f>'Budget by Cost Category'!AI33+'Budget by Cost Category'!AI36+'Budget by Cost Category'!AI37</f>
        <v>4301011.1519999998</v>
      </c>
      <c r="H12" s="357">
        <f>'Budget by Cost Category'!AP33+'Budget by Cost Category'!AP36+'Budget by Cost Category'!AP37</f>
        <v>4404235.419648</v>
      </c>
      <c r="I12" s="357">
        <f>'Budget by Cost Category'!AW33+'Budget by Cost Category'!AW36+'Budget by Cost Category'!AW37</f>
        <v>4518000</v>
      </c>
      <c r="J12" s="357">
        <f>'Budget by Cost Category'!BD33+'Budget by Cost Category'!BD36+'Budget by Cost Category'!BD37</f>
        <v>4595710</v>
      </c>
      <c r="K12" s="357">
        <f>'Budget by Cost Category'!BK33+'Budget by Cost Category'!BK36+'Budget by Cost Category'!BK37</f>
        <v>4674756</v>
      </c>
      <c r="L12" s="357">
        <f>'Budget by Cost Category'!BR33+'Budget by Cost Category'!BR36+'Budget by Cost Category'!BR37</f>
        <v>4755162</v>
      </c>
      <c r="M12" s="89"/>
    </row>
    <row r="13" spans="2:13" ht="15" x14ac:dyDescent="0.25">
      <c r="B13" s="183" t="s">
        <v>7</v>
      </c>
      <c r="C13" s="357">
        <f>'Budget by Cost Category'!G35</f>
        <v>2543663</v>
      </c>
      <c r="D13" s="357">
        <f>'Budget by Cost Category'!N35</f>
        <v>2543663</v>
      </c>
      <c r="E13" s="357">
        <f>'Budget by Cost Category'!U35</f>
        <v>3231478.3200000003</v>
      </c>
      <c r="F13" s="357">
        <f>'Budget by Cost Category'!AB35</f>
        <v>3451218.8457599999</v>
      </c>
      <c r="G13" s="357">
        <f>'Budget by Cost Category'!AI35</f>
        <v>3585816.3807446398</v>
      </c>
      <c r="H13" s="357">
        <f>'Budget by Cost Category'!AP35</f>
        <v>3671875.9738825113</v>
      </c>
      <c r="I13" s="357">
        <f>'Budget by Cost Category'!AW35</f>
        <v>3223200</v>
      </c>
      <c r="J13" s="357">
        <f>'Budget by Cost Category'!BD35</f>
        <v>3278639</v>
      </c>
      <c r="K13" s="357">
        <f>'Budget by Cost Category'!BK35</f>
        <v>3335032</v>
      </c>
      <c r="L13" s="357">
        <f>'Budget by Cost Category'!BR35</f>
        <v>3392393</v>
      </c>
      <c r="M13" s="89"/>
    </row>
    <row r="14" spans="2:13" ht="18" customHeight="1" x14ac:dyDescent="0.25">
      <c r="B14" s="1" t="s">
        <v>8</v>
      </c>
      <c r="C14" s="355">
        <f t="shared" ref="C14" si="4">SUM(C11:C13)</f>
        <v>10905719</v>
      </c>
      <c r="D14" s="355">
        <f t="shared" ref="D14:E14" si="5">SUM(D11:D13)</f>
        <v>10905719</v>
      </c>
      <c r="E14" s="355">
        <f t="shared" si="5"/>
        <v>18359999.998982839</v>
      </c>
      <c r="F14" s="355">
        <f t="shared" ref="F14:H14" si="6">SUM(F11:F13)</f>
        <v>19608479.998913672</v>
      </c>
      <c r="G14" s="355">
        <f t="shared" si="6"/>
        <v>20373210.303671304</v>
      </c>
      <c r="H14" s="355">
        <f t="shared" si="6"/>
        <v>20862167.350959416</v>
      </c>
      <c r="I14" s="355">
        <f t="shared" ref="I14:L14" si="7">SUM(I11:I13)</f>
        <v>17637852</v>
      </c>
      <c r="J14" s="355">
        <f t="shared" si="7"/>
        <v>17737784</v>
      </c>
      <c r="K14" s="355">
        <f t="shared" si="7"/>
        <v>18042873</v>
      </c>
      <c r="L14" s="355">
        <f t="shared" si="7"/>
        <v>18353209</v>
      </c>
      <c r="M14" s="89"/>
    </row>
    <row r="15" spans="2:13" ht="18" customHeight="1" x14ac:dyDescent="0.25">
      <c r="B15" s="1" t="s">
        <v>73</v>
      </c>
      <c r="C15" s="355">
        <f t="shared" ref="C15" si="8">C10+C14</f>
        <v>118435999</v>
      </c>
      <c r="D15" s="355">
        <f t="shared" ref="D15:E15" si="9">D10+D14</f>
        <v>118435999</v>
      </c>
      <c r="E15" s="355">
        <f t="shared" si="9"/>
        <v>157583761.71707588</v>
      </c>
      <c r="F15" s="355">
        <f t="shared" ref="F15:H15" si="10">F10+F14</f>
        <v>171849194.57473919</v>
      </c>
      <c r="G15" s="355">
        <f t="shared" si="10"/>
        <v>181193329.8428534</v>
      </c>
      <c r="H15" s="355">
        <f t="shared" si="10"/>
        <v>185541968.97109926</v>
      </c>
      <c r="I15" s="355">
        <f t="shared" ref="I15:L15" si="11">I10+I14</f>
        <v>191174922</v>
      </c>
      <c r="J15" s="355">
        <f t="shared" si="11"/>
        <v>204011309</v>
      </c>
      <c r="K15" s="355">
        <f t="shared" si="11"/>
        <v>215655264</v>
      </c>
      <c r="L15" s="355">
        <f t="shared" si="11"/>
        <v>226724801</v>
      </c>
      <c r="M15" s="89"/>
    </row>
    <row r="16" spans="2:13" ht="15" x14ac:dyDescent="0.25">
      <c r="B16" s="380" t="s">
        <v>10</v>
      </c>
      <c r="C16" s="358">
        <f>'Budget by Cost Category'!G53</f>
        <v>13670918</v>
      </c>
      <c r="D16" s="358">
        <f>'Budget by Cost Category'!N53</f>
        <v>13670918</v>
      </c>
      <c r="E16" s="358">
        <f>'Budget by Cost Category'!U48</f>
        <v>9659158.9980540369</v>
      </c>
      <c r="F16" s="358">
        <f>'Budget by Cost Category'!AB48</f>
        <v>11232732.135921711</v>
      </c>
      <c r="G16" s="358">
        <f>'Budget by Cost Category'!AI48</f>
        <v>13921600.733551225</v>
      </c>
      <c r="H16" s="358">
        <f>'Budget by Cost Category'!AP48</f>
        <v>14255719.285911702</v>
      </c>
      <c r="I16" s="374">
        <v>0</v>
      </c>
      <c r="J16" s="374">
        <v>0</v>
      </c>
      <c r="K16" s="374">
        <v>0</v>
      </c>
      <c r="L16" s="374">
        <v>0</v>
      </c>
      <c r="M16" s="89"/>
    </row>
    <row r="17" spans="2:13" ht="18" customHeight="1" x14ac:dyDescent="0.25">
      <c r="B17" s="1" t="s">
        <v>498</v>
      </c>
      <c r="C17" s="355">
        <f t="shared" ref="C17:L17" si="12">C15+C16</f>
        <v>132106917</v>
      </c>
      <c r="D17" s="355">
        <f t="shared" si="12"/>
        <v>132106917</v>
      </c>
      <c r="E17" s="355">
        <f t="shared" si="12"/>
        <v>167242920.71512991</v>
      </c>
      <c r="F17" s="355">
        <f t="shared" si="12"/>
        <v>183081926.7106609</v>
      </c>
      <c r="G17" s="355">
        <f t="shared" si="12"/>
        <v>195114930.57640463</v>
      </c>
      <c r="H17" s="355">
        <f t="shared" si="12"/>
        <v>199797688.25701097</v>
      </c>
      <c r="I17" s="355">
        <f t="shared" si="12"/>
        <v>191174922</v>
      </c>
      <c r="J17" s="355">
        <f t="shared" si="12"/>
        <v>204011309</v>
      </c>
      <c r="K17" s="355">
        <f t="shared" si="12"/>
        <v>215655264</v>
      </c>
      <c r="L17" s="355">
        <f t="shared" si="12"/>
        <v>226724801</v>
      </c>
      <c r="M17" s="89"/>
    </row>
    <row r="18" spans="2:13" ht="30.75" customHeight="1" x14ac:dyDescent="0.25">
      <c r="B18" s="377" t="s">
        <v>499</v>
      </c>
      <c r="C18" s="379">
        <f>(1+C22)*C17</f>
        <v>161353109.74426231</v>
      </c>
      <c r="D18" s="379">
        <f t="shared" ref="D18:I18" si="13">(1+D22)*D17</f>
        <v>151120435.89532709</v>
      </c>
      <c r="E18" s="379">
        <f t="shared" si="13"/>
        <v>183240069.65309888</v>
      </c>
      <c r="F18" s="379">
        <f t="shared" si="13"/>
        <v>195348187.80285716</v>
      </c>
      <c r="G18" s="379">
        <f t="shared" si="13"/>
        <v>204619917.40252569</v>
      </c>
      <c r="H18" s="379">
        <f t="shared" si="13"/>
        <v>203793642.0221512</v>
      </c>
      <c r="I18" s="379">
        <f t="shared" si="13"/>
        <v>191174922</v>
      </c>
      <c r="J18" s="379">
        <f>(1+J23)*(J17-J20)+(1+J22)*J20</f>
        <v>200165604.04416582</v>
      </c>
      <c r="K18" s="379">
        <f t="shared" ref="K18:L18" si="14">(1+K23)*(K17-K20)+(1+K22)*K20</f>
        <v>207592811.47260487</v>
      </c>
      <c r="L18" s="378">
        <f t="shared" si="14"/>
        <v>214119855.54742312</v>
      </c>
      <c r="M18" s="89"/>
    </row>
    <row r="19" spans="2:13" ht="15" x14ac:dyDescent="0.25">
      <c r="B19" s="89"/>
      <c r="C19" s="89"/>
      <c r="D19" s="89"/>
      <c r="E19" s="89"/>
      <c r="F19" s="89"/>
      <c r="G19" s="89"/>
      <c r="H19" s="89"/>
      <c r="I19" s="89"/>
      <c r="J19" s="89"/>
      <c r="K19" s="89"/>
      <c r="L19" s="89"/>
      <c r="M19" s="89"/>
    </row>
    <row r="20" spans="2:13" ht="15" x14ac:dyDescent="0.25">
      <c r="B20" s="89"/>
      <c r="C20" s="89"/>
      <c r="D20" s="89"/>
      <c r="E20" s="89"/>
      <c r="F20" s="89"/>
      <c r="G20" s="89"/>
      <c r="H20" s="89"/>
      <c r="I20" s="375" t="s">
        <v>500</v>
      </c>
      <c r="J20" s="100">
        <f>'Budget by Cost Category'!AZ30</f>
        <v>146754892</v>
      </c>
      <c r="K20" s="100">
        <f>'Budget by Cost Category'!BG30</f>
        <v>156829983</v>
      </c>
      <c r="L20" s="100">
        <f>'Budget by Cost Category'!BN30</f>
        <v>166234535</v>
      </c>
      <c r="M20" s="89"/>
    </row>
    <row r="21" spans="2:13" ht="15" x14ac:dyDescent="0.25">
      <c r="B21" s="89"/>
      <c r="C21" s="89"/>
      <c r="D21" s="89"/>
      <c r="E21" s="89"/>
      <c r="F21" s="89"/>
      <c r="G21" s="89"/>
      <c r="H21" s="89"/>
      <c r="I21" s="89"/>
      <c r="J21" s="89"/>
      <c r="K21" s="89"/>
      <c r="L21" s="89"/>
      <c r="M21" s="89"/>
    </row>
    <row r="22" spans="2:13" ht="15" x14ac:dyDescent="0.25">
      <c r="B22" s="75" t="s">
        <v>496</v>
      </c>
      <c r="C22" s="373">
        <v>0.2213827512473272</v>
      </c>
      <c r="D22" s="373">
        <v>0.14392523364485976</v>
      </c>
      <c r="E22" s="373">
        <v>9.5652173913043592E-2</v>
      </c>
      <c r="F22" s="373">
        <v>6.6998754669987726E-2</v>
      </c>
      <c r="G22" s="373">
        <v>4.8714810281517806E-2</v>
      </c>
      <c r="H22" s="373">
        <v>2.0000000000000018E-2</v>
      </c>
      <c r="I22" s="373">
        <v>0</v>
      </c>
      <c r="J22" s="373">
        <v>-1.9607843137254943E-2</v>
      </c>
      <c r="K22" s="373">
        <v>-3.8831218762014563E-2</v>
      </c>
      <c r="L22" s="373">
        <v>-5.7677665452955496E-2</v>
      </c>
      <c r="M22" s="89"/>
    </row>
    <row r="23" spans="2:13" ht="25.5" x14ac:dyDescent="0.25">
      <c r="B23" s="75" t="s">
        <v>497</v>
      </c>
      <c r="C23" s="373">
        <v>0.2213827512473272</v>
      </c>
      <c r="D23" s="373">
        <v>0.14392523364485976</v>
      </c>
      <c r="E23" s="373">
        <v>9.5652173913043592E-2</v>
      </c>
      <c r="F23" s="373">
        <v>6.6998754669987726E-2</v>
      </c>
      <c r="G23" s="373">
        <v>4.8714810281517806E-2</v>
      </c>
      <c r="H23" s="373">
        <v>2.0000000000000018E-2</v>
      </c>
      <c r="I23" s="373">
        <v>0</v>
      </c>
      <c r="J23" s="373">
        <v>-1.6909162406606448E-2</v>
      </c>
      <c r="K23" s="373">
        <v>-3.3532405039919833E-2</v>
      </c>
      <c r="L23" s="373">
        <v>-4.9874562563822167E-2</v>
      </c>
      <c r="M23" s="89"/>
    </row>
    <row r="24" spans="2:13" ht="15" x14ac:dyDescent="0.25">
      <c r="B24" s="89"/>
      <c r="C24" s="89"/>
      <c r="D24" s="89"/>
      <c r="E24" s="89"/>
      <c r="F24" s="89"/>
      <c r="G24" s="89"/>
      <c r="H24" s="89"/>
      <c r="I24" s="89"/>
      <c r="J24" s="89"/>
      <c r="K24" s="89"/>
      <c r="L24" s="89"/>
      <c r="M24" s="89"/>
    </row>
    <row r="25" spans="2:13" ht="15" x14ac:dyDescent="0.25">
      <c r="B25" s="381" t="s">
        <v>501</v>
      </c>
      <c r="C25" s="89"/>
      <c r="D25" s="89"/>
      <c r="E25" s="89"/>
      <c r="F25" s="89"/>
      <c r="G25" s="89"/>
      <c r="H25" s="89"/>
      <c r="I25" s="89"/>
      <c r="J25" s="376"/>
      <c r="K25" s="89"/>
      <c r="L25" s="89"/>
      <c r="M25" s="89"/>
    </row>
    <row r="26" spans="2:13" ht="15" x14ac:dyDescent="0.25">
      <c r="B26" s="261" t="s">
        <v>230</v>
      </c>
      <c r="C26" s="89"/>
      <c r="D26" s="89"/>
      <c r="E26" s="89"/>
      <c r="F26" s="89"/>
      <c r="G26" s="89"/>
      <c r="H26" s="89"/>
      <c r="I26" s="89"/>
      <c r="J26" s="89"/>
      <c r="K26" s="89"/>
      <c r="L26" s="89"/>
      <c r="M26" s="89"/>
    </row>
    <row r="27" spans="2:13" ht="15" x14ac:dyDescent="0.25">
      <c r="B27" s="261" t="s">
        <v>231</v>
      </c>
      <c r="C27" s="89"/>
      <c r="D27" s="89"/>
      <c r="E27" s="89"/>
      <c r="F27" s="89"/>
      <c r="G27" s="89"/>
      <c r="H27" s="89"/>
      <c r="I27" s="89"/>
      <c r="J27" s="89"/>
      <c r="K27" s="89"/>
      <c r="L27" s="89"/>
      <c r="M27" s="89"/>
    </row>
    <row r="28" spans="2:13" ht="30" customHeight="1" x14ac:dyDescent="0.25">
      <c r="B28" s="482" t="s">
        <v>504</v>
      </c>
      <c r="C28" s="482"/>
      <c r="D28" s="482"/>
      <c r="E28" s="482"/>
      <c r="F28" s="482"/>
      <c r="G28" s="482"/>
      <c r="H28" s="482"/>
      <c r="I28" s="482"/>
      <c r="J28" s="482"/>
      <c r="K28" s="482"/>
      <c r="L28" s="482"/>
      <c r="M28" s="276"/>
    </row>
    <row r="29" spans="2:13" ht="15" customHeight="1" x14ac:dyDescent="0.25">
      <c r="B29" s="482" t="s">
        <v>505</v>
      </c>
      <c r="C29" s="482"/>
      <c r="D29" s="482"/>
      <c r="E29" s="482"/>
      <c r="F29" s="482"/>
      <c r="G29" s="482"/>
      <c r="H29" s="482"/>
      <c r="I29" s="482"/>
      <c r="J29" s="482"/>
      <c r="K29" s="482"/>
      <c r="L29" s="482"/>
      <c r="M29" s="276"/>
    </row>
  </sheetData>
  <mergeCells count="4">
    <mergeCell ref="B28:L28"/>
    <mergeCell ref="B29:L29"/>
    <mergeCell ref="E1:G1"/>
    <mergeCell ref="E2:G2"/>
  </mergeCells>
  <phoneticPr fontId="14" type="noConversion"/>
  <printOptions horizontalCentered="1"/>
  <pageMargins left="0.7" right="0.7" top="0.75" bottom="0.75" header="0.3" footer="0.3"/>
  <pageSetup scale="64"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12BB5-8F91-49E6-8391-72BFE131DD75}">
  <sheetPr codeName="Sheet11"/>
  <dimension ref="B1:O33"/>
  <sheetViews>
    <sheetView showGridLines="0" zoomScaleNormal="100" workbookViewId="0"/>
  </sheetViews>
  <sheetFormatPr defaultRowHeight="12.75" x14ac:dyDescent="0.2"/>
  <cols>
    <col min="1" max="1" width="5.7109375" style="14" customWidth="1"/>
    <col min="2" max="2" width="25.7109375" style="14" customWidth="1"/>
    <col min="3" max="14" width="15.7109375" style="14" customWidth="1"/>
    <col min="15" max="15" width="5.7109375" style="14" customWidth="1"/>
    <col min="16" max="16384" width="9.140625" style="14"/>
  </cols>
  <sheetData>
    <row r="1" spans="2:15" x14ac:dyDescent="0.2">
      <c r="C1" s="53"/>
      <c r="D1" s="53"/>
      <c r="E1" s="53"/>
      <c r="F1" s="484" t="s">
        <v>466</v>
      </c>
      <c r="G1" s="484"/>
      <c r="H1" s="484"/>
      <c r="I1" s="484"/>
      <c r="J1" s="53"/>
      <c r="K1" s="53"/>
      <c r="L1" s="53"/>
      <c r="M1" s="53"/>
      <c r="N1" s="53"/>
    </row>
    <row r="2" spans="2:15" x14ac:dyDescent="0.2">
      <c r="C2" s="53"/>
      <c r="D2" s="53"/>
      <c r="E2" s="53"/>
      <c r="F2" s="484" t="s">
        <v>179</v>
      </c>
      <c r="G2" s="484"/>
      <c r="H2" s="484"/>
      <c r="I2" s="484"/>
      <c r="J2" s="53"/>
      <c r="K2" s="53"/>
      <c r="L2" s="53"/>
      <c r="M2" s="53"/>
      <c r="N2" s="53"/>
    </row>
    <row r="3" spans="2:15" x14ac:dyDescent="0.2">
      <c r="C3" s="53"/>
      <c r="D3" s="53"/>
      <c r="E3" s="53"/>
      <c r="F3" s="484" t="s">
        <v>469</v>
      </c>
      <c r="G3" s="484"/>
      <c r="H3" s="484"/>
      <c r="I3" s="484"/>
      <c r="J3" s="53"/>
      <c r="K3" s="53"/>
      <c r="L3" s="53"/>
      <c r="M3" s="53"/>
      <c r="N3" s="53"/>
    </row>
    <row r="6" spans="2:15" x14ac:dyDescent="0.2">
      <c r="C6" s="582">
        <v>2027</v>
      </c>
      <c r="D6" s="583"/>
      <c r="E6" s="584"/>
      <c r="F6" s="582">
        <v>2028</v>
      </c>
      <c r="G6" s="583"/>
      <c r="H6" s="584"/>
      <c r="I6" s="582">
        <v>2029</v>
      </c>
      <c r="J6" s="583"/>
      <c r="K6" s="584"/>
      <c r="L6" s="582">
        <v>2030</v>
      </c>
      <c r="M6" s="583"/>
      <c r="N6" s="584"/>
    </row>
    <row r="7" spans="2:15" ht="63.75" x14ac:dyDescent="0.2">
      <c r="B7" s="206" t="s">
        <v>176</v>
      </c>
      <c r="C7" s="207" t="s">
        <v>177</v>
      </c>
      <c r="D7" s="207" t="s">
        <v>178</v>
      </c>
      <c r="E7" s="207" t="s">
        <v>179</v>
      </c>
      <c r="F7" s="207" t="s">
        <v>177</v>
      </c>
      <c r="G7" s="207" t="s">
        <v>178</v>
      </c>
      <c r="H7" s="207" t="s">
        <v>179</v>
      </c>
      <c r="I7" s="207" t="s">
        <v>177</v>
      </c>
      <c r="J7" s="207" t="s">
        <v>178</v>
      </c>
      <c r="K7" s="207" t="s">
        <v>179</v>
      </c>
      <c r="L7" s="207" t="s">
        <v>177</v>
      </c>
      <c r="M7" s="207" t="s">
        <v>178</v>
      </c>
      <c r="N7" s="207" t="s">
        <v>179</v>
      </c>
    </row>
    <row r="8" spans="2:15" x14ac:dyDescent="0.2">
      <c r="B8" s="208" t="s">
        <v>1</v>
      </c>
      <c r="C8" s="209">
        <v>2389686.5249999999</v>
      </c>
      <c r="D8" s="209">
        <v>72787256</v>
      </c>
      <c r="E8" s="210">
        <f>IFERROR(C8/D8,0)</f>
        <v>3.2831111602833328E-2</v>
      </c>
      <c r="F8" s="209">
        <v>2550141.3625000003</v>
      </c>
      <c r="G8" s="209">
        <v>75691912</v>
      </c>
      <c r="H8" s="210">
        <f>IFERROR(F8/G8,0)</f>
        <v>3.3691068109099956E-2</v>
      </c>
      <c r="I8" s="209">
        <v>2695690.8000000003</v>
      </c>
      <c r="J8" s="209">
        <v>78555425</v>
      </c>
      <c r="K8" s="210">
        <f>IFERROR(I8/J8,0)</f>
        <v>3.4315781500768409E-2</v>
      </c>
      <c r="L8" s="209">
        <v>2720697.6120000002</v>
      </c>
      <c r="M8" s="209">
        <v>81536209</v>
      </c>
      <c r="N8" s="210">
        <f>IFERROR(L8/M8,0)</f>
        <v>3.3367967990761013E-2</v>
      </c>
    </row>
    <row r="9" spans="2:15" x14ac:dyDescent="0.2">
      <c r="B9" s="208" t="s">
        <v>2</v>
      </c>
      <c r="C9" s="209">
        <v>2389686.5249999999</v>
      </c>
      <c r="D9" s="209">
        <v>27336368</v>
      </c>
      <c r="E9" s="210">
        <f t="shared" ref="E9:E14" si="0">IFERROR(C9/D9,0)</f>
        <v>8.7417850279159243E-2</v>
      </c>
      <c r="F9" s="209">
        <v>2550141.3625000003</v>
      </c>
      <c r="G9" s="209">
        <v>29790341</v>
      </c>
      <c r="H9" s="210">
        <f t="shared" ref="H9:H14" si="1">IFERROR(F9/G9,0)</f>
        <v>8.5602959781494292E-2</v>
      </c>
      <c r="I9" s="209">
        <v>2695690.8000000003</v>
      </c>
      <c r="J9" s="209">
        <v>32879507</v>
      </c>
      <c r="K9" s="210">
        <f t="shared" ref="K9:K14" si="2">IFERROR(I9/J9,0)</f>
        <v>8.198695923269167E-2</v>
      </c>
      <c r="L9" s="209">
        <v>2720697.6120000002</v>
      </c>
      <c r="M9" s="209">
        <v>35656823</v>
      </c>
      <c r="N9" s="210">
        <f t="shared" ref="N9:N14" si="3">IFERROR(L9/M9,0)</f>
        <v>7.6302300179687921E-2</v>
      </c>
    </row>
    <row r="10" spans="2:15" x14ac:dyDescent="0.2">
      <c r="B10" s="208" t="s">
        <v>3</v>
      </c>
      <c r="C10" s="209">
        <v>2389686.5249999999</v>
      </c>
      <c r="D10" s="209">
        <v>43048033</v>
      </c>
      <c r="E10" s="210">
        <f t="shared" si="0"/>
        <v>5.5512095639770574E-2</v>
      </c>
      <c r="F10" s="209">
        <v>2550141.3625000003</v>
      </c>
      <c r="G10" s="209">
        <v>48468329</v>
      </c>
      <c r="H10" s="210">
        <f t="shared" si="1"/>
        <v>5.2614592149442585E-2</v>
      </c>
      <c r="I10" s="209">
        <v>2695690.8000000003</v>
      </c>
      <c r="J10" s="209">
        <v>52453915</v>
      </c>
      <c r="K10" s="210">
        <f t="shared" si="2"/>
        <v>5.1391603467539085E-2</v>
      </c>
      <c r="L10" s="209">
        <v>2720697.6120000002</v>
      </c>
      <c r="M10" s="209">
        <v>55837414</v>
      </c>
      <c r="N10" s="210">
        <f t="shared" si="3"/>
        <v>4.8725351285072049E-2</v>
      </c>
    </row>
    <row r="11" spans="2:15" x14ac:dyDescent="0.2">
      <c r="B11" s="208" t="s">
        <v>4</v>
      </c>
      <c r="C11" s="209">
        <v>2389686.5249999999</v>
      </c>
      <c r="D11" s="209">
        <v>26885759</v>
      </c>
      <c r="E11" s="210">
        <f t="shared" si="0"/>
        <v>8.8882985412463159E-2</v>
      </c>
      <c r="F11" s="209">
        <v>2550141.3625000003</v>
      </c>
      <c r="G11" s="209">
        <v>28709693</v>
      </c>
      <c r="H11" s="210">
        <f t="shared" si="1"/>
        <v>8.8825100376378113E-2</v>
      </c>
      <c r="I11" s="209">
        <v>2695690.8000000003</v>
      </c>
      <c r="J11" s="209">
        <v>29971421</v>
      </c>
      <c r="K11" s="210">
        <f t="shared" si="2"/>
        <v>8.9942041787074434E-2</v>
      </c>
      <c r="L11" s="209">
        <v>2720697.6120000002</v>
      </c>
      <c r="M11" s="209">
        <v>31444661</v>
      </c>
      <c r="N11" s="210">
        <f t="shared" si="3"/>
        <v>8.6523356445152966E-2</v>
      </c>
    </row>
    <row r="12" spans="2:15" x14ac:dyDescent="0.2">
      <c r="B12" s="208" t="s">
        <v>5</v>
      </c>
      <c r="C12" s="211">
        <v>0</v>
      </c>
      <c r="D12" s="211" t="s">
        <v>464</v>
      </c>
      <c r="E12" s="212">
        <f t="shared" si="0"/>
        <v>0</v>
      </c>
      <c r="F12" s="211">
        <v>0</v>
      </c>
      <c r="G12" s="211" t="s">
        <v>464</v>
      </c>
      <c r="H12" s="212">
        <f t="shared" si="1"/>
        <v>0</v>
      </c>
      <c r="I12" s="211">
        <v>0</v>
      </c>
      <c r="J12" s="211" t="s">
        <v>464</v>
      </c>
      <c r="K12" s="212">
        <f t="shared" si="2"/>
        <v>0</v>
      </c>
      <c r="L12" s="211">
        <v>453449.60200000001</v>
      </c>
      <c r="M12" s="211">
        <v>14741512</v>
      </c>
      <c r="N12" s="212">
        <f t="shared" si="3"/>
        <v>3.0760047001962894E-2</v>
      </c>
    </row>
    <row r="13" spans="2:15" x14ac:dyDescent="0.2">
      <c r="B13" s="213" t="s">
        <v>328</v>
      </c>
      <c r="C13" s="211">
        <v>0</v>
      </c>
      <c r="D13" s="211">
        <v>17637852</v>
      </c>
      <c r="E13" s="212">
        <f t="shared" si="0"/>
        <v>0</v>
      </c>
      <c r="F13" s="211">
        <v>0</v>
      </c>
      <c r="G13" s="211">
        <v>17737784</v>
      </c>
      <c r="H13" s="212">
        <f t="shared" si="1"/>
        <v>0</v>
      </c>
      <c r="I13" s="211">
        <v>0</v>
      </c>
      <c r="J13" s="211">
        <v>18042873</v>
      </c>
      <c r="K13" s="212">
        <f t="shared" si="2"/>
        <v>0</v>
      </c>
      <c r="L13" s="211">
        <v>0</v>
      </c>
      <c r="M13" s="211">
        <v>18353209</v>
      </c>
      <c r="N13" s="212">
        <f t="shared" si="3"/>
        <v>0</v>
      </c>
    </row>
    <row r="14" spans="2:15" x14ac:dyDescent="0.2">
      <c r="B14" s="214" t="s">
        <v>9</v>
      </c>
      <c r="C14" s="215">
        <f>SUM(C8:C13)</f>
        <v>9558746.0999999996</v>
      </c>
      <c r="D14" s="215">
        <f>SUM(D8:D13)</f>
        <v>187695268</v>
      </c>
      <c r="E14" s="216">
        <f t="shared" si="0"/>
        <v>5.0926942388339808E-2</v>
      </c>
      <c r="F14" s="215">
        <f>SUM(F8:F13)</f>
        <v>10200565.450000001</v>
      </c>
      <c r="G14" s="215">
        <f>SUM(G8:G13)</f>
        <v>200398059</v>
      </c>
      <c r="H14" s="216">
        <f t="shared" si="1"/>
        <v>5.0901518212808645E-2</v>
      </c>
      <c r="I14" s="215">
        <f>SUM(I8:I13)</f>
        <v>10782763.200000001</v>
      </c>
      <c r="J14" s="215">
        <f>SUM(J8:J13)</f>
        <v>211903141</v>
      </c>
      <c r="K14" s="216">
        <f t="shared" si="2"/>
        <v>5.0885339165406711E-2</v>
      </c>
      <c r="L14" s="215">
        <f>SUM(L8:L13)</f>
        <v>11336240.050000001</v>
      </c>
      <c r="M14" s="215">
        <f>SUM(M8:M13)</f>
        <v>237569828</v>
      </c>
      <c r="N14" s="216">
        <f t="shared" si="3"/>
        <v>4.7717507502678329E-2</v>
      </c>
      <c r="O14" s="54"/>
    </row>
    <row r="15" spans="2:15" ht="15" x14ac:dyDescent="0.25">
      <c r="B15" s="217" t="s">
        <v>463</v>
      </c>
      <c r="C15" s="218"/>
      <c r="D15"/>
      <c r="E15"/>
      <c r="F15"/>
      <c r="G15"/>
      <c r="H15"/>
      <c r="I15"/>
      <c r="J15"/>
      <c r="K15"/>
      <c r="L15"/>
      <c r="M15"/>
      <c r="N15"/>
      <c r="O15"/>
    </row>
    <row r="16" spans="2:15" ht="30" customHeight="1" x14ac:dyDescent="0.2">
      <c r="B16" s="581" t="s">
        <v>465</v>
      </c>
      <c r="C16" s="581"/>
      <c r="D16" s="581"/>
      <c r="E16" s="581"/>
      <c r="F16" s="581"/>
      <c r="G16" s="581"/>
      <c r="H16" s="581"/>
      <c r="I16" s="581"/>
      <c r="J16" s="581"/>
      <c r="K16" s="581"/>
      <c r="L16" s="581"/>
      <c r="M16" s="581"/>
      <c r="N16" s="581"/>
    </row>
    <row r="17" spans="2:15" ht="12.75" customHeight="1" x14ac:dyDescent="0.2">
      <c r="B17" s="219"/>
      <c r="C17" s="219"/>
      <c r="D17" s="219"/>
      <c r="E17" s="219"/>
      <c r="F17" s="219"/>
      <c r="G17" s="219"/>
      <c r="H17" s="219"/>
      <c r="I17" s="219"/>
      <c r="J17" s="219"/>
      <c r="K17" s="219"/>
      <c r="L17" s="219"/>
      <c r="M17" s="219"/>
      <c r="N17" s="219"/>
    </row>
    <row r="18" spans="2:15" ht="12.75" customHeight="1" x14ac:dyDescent="0.2">
      <c r="B18" s="219"/>
      <c r="C18" s="219"/>
      <c r="D18" s="219"/>
      <c r="E18" s="219"/>
      <c r="F18" s="219"/>
      <c r="G18" s="219"/>
      <c r="H18" s="219"/>
      <c r="I18" s="219"/>
      <c r="J18" s="219"/>
      <c r="K18" s="219"/>
      <c r="L18" s="219"/>
      <c r="M18" s="219"/>
      <c r="N18" s="219"/>
    </row>
    <row r="19" spans="2:15" ht="12.75" customHeight="1" x14ac:dyDescent="0.2">
      <c r="B19" s="219"/>
      <c r="C19" s="219"/>
      <c r="D19" s="219"/>
      <c r="E19" s="219"/>
      <c r="F19" s="219"/>
      <c r="G19" s="219"/>
      <c r="H19" s="219"/>
      <c r="I19" s="219"/>
      <c r="J19" s="219"/>
      <c r="K19" s="219"/>
      <c r="L19" s="219"/>
      <c r="M19" s="219"/>
      <c r="N19" s="219"/>
    </row>
    <row r="20" spans="2:15" ht="12.75" customHeight="1" x14ac:dyDescent="0.2">
      <c r="C20" s="53"/>
      <c r="D20" s="53"/>
      <c r="E20" s="53"/>
      <c r="F20" s="484" t="s">
        <v>468</v>
      </c>
      <c r="G20" s="484"/>
      <c r="H20" s="484"/>
      <c r="I20" s="484"/>
      <c r="J20" s="53"/>
      <c r="K20" s="53"/>
      <c r="L20" s="53"/>
      <c r="M20" s="53"/>
      <c r="N20" s="53"/>
    </row>
    <row r="21" spans="2:15" ht="12.75" customHeight="1" x14ac:dyDescent="0.2">
      <c r="C21" s="53"/>
      <c r="D21" s="53"/>
      <c r="E21" s="53"/>
      <c r="F21" s="484" t="s">
        <v>179</v>
      </c>
      <c r="G21" s="484"/>
      <c r="H21" s="484"/>
      <c r="I21" s="484"/>
      <c r="J21" s="53"/>
      <c r="K21" s="53"/>
      <c r="L21" s="53"/>
      <c r="M21" s="53"/>
      <c r="N21" s="53"/>
    </row>
    <row r="22" spans="2:15" ht="12.75" customHeight="1" x14ac:dyDescent="0.2">
      <c r="C22" s="53"/>
      <c r="D22" s="53"/>
      <c r="E22" s="53"/>
      <c r="F22" s="484" t="s">
        <v>467</v>
      </c>
      <c r="G22" s="484"/>
      <c r="H22" s="484"/>
      <c r="I22" s="484"/>
      <c r="J22" s="53"/>
      <c r="K22" s="53"/>
      <c r="L22" s="53"/>
      <c r="M22" s="53"/>
      <c r="N22" s="53"/>
    </row>
    <row r="23" spans="2:15" ht="12.75" customHeight="1" x14ac:dyDescent="0.2">
      <c r="B23" s="219"/>
      <c r="C23" s="219"/>
      <c r="D23" s="219"/>
      <c r="E23" s="219"/>
      <c r="F23" s="219"/>
      <c r="G23" s="219"/>
      <c r="H23" s="219"/>
      <c r="I23" s="219"/>
      <c r="J23" s="219"/>
      <c r="K23" s="219"/>
      <c r="L23" s="219"/>
      <c r="M23" s="219"/>
      <c r="N23" s="219"/>
    </row>
    <row r="24" spans="2:15" x14ac:dyDescent="0.2">
      <c r="C24" s="582">
        <v>2027</v>
      </c>
      <c r="D24" s="583"/>
      <c r="E24" s="584"/>
      <c r="F24" s="582">
        <v>2028</v>
      </c>
      <c r="G24" s="583"/>
      <c r="H24" s="584"/>
      <c r="I24" s="582">
        <v>2029</v>
      </c>
      <c r="J24" s="583"/>
      <c r="K24" s="584"/>
      <c r="L24" s="582">
        <v>2030</v>
      </c>
      <c r="M24" s="583"/>
      <c r="N24" s="584"/>
    </row>
    <row r="25" spans="2:15" ht="63.75" x14ac:dyDescent="0.2">
      <c r="B25" s="206" t="s">
        <v>176</v>
      </c>
      <c r="C25" s="207" t="s">
        <v>177</v>
      </c>
      <c r="D25" s="207" t="s">
        <v>181</v>
      </c>
      <c r="E25" s="207" t="s">
        <v>179</v>
      </c>
      <c r="F25" s="207" t="s">
        <v>177</v>
      </c>
      <c r="G25" s="207" t="s">
        <v>181</v>
      </c>
      <c r="H25" s="207" t="s">
        <v>179</v>
      </c>
      <c r="I25" s="207" t="s">
        <v>177</v>
      </c>
      <c r="J25" s="207" t="s">
        <v>181</v>
      </c>
      <c r="K25" s="207" t="s">
        <v>179</v>
      </c>
      <c r="L25" s="207" t="s">
        <v>177</v>
      </c>
      <c r="M25" s="207" t="s">
        <v>181</v>
      </c>
      <c r="N25" s="207" t="s">
        <v>179</v>
      </c>
    </row>
    <row r="26" spans="2:15" x14ac:dyDescent="0.2">
      <c r="B26" s="208" t="s">
        <v>1</v>
      </c>
      <c r="C26" s="209">
        <v>2389686.5249999999</v>
      </c>
      <c r="D26" s="209">
        <v>70213518</v>
      </c>
      <c r="E26" s="210">
        <f>IFERROR(C26/D26,0)</f>
        <v>3.4034564754325515E-2</v>
      </c>
      <c r="F26" s="209">
        <v>2550141.3625000003</v>
      </c>
      <c r="G26" s="209">
        <v>73073906</v>
      </c>
      <c r="H26" s="210">
        <f>IFERROR(F26/G26,0)</f>
        <v>3.4898112090792029E-2</v>
      </c>
      <c r="I26" s="209">
        <v>2695690.8000000003</v>
      </c>
      <c r="J26" s="209">
        <v>75892389</v>
      </c>
      <c r="K26" s="210">
        <f>IFERROR(I26/J26,0)</f>
        <v>3.5519909644694411E-2</v>
      </c>
      <c r="L26" s="209">
        <v>2720697.6120000002</v>
      </c>
      <c r="M26" s="209">
        <v>78827368</v>
      </c>
      <c r="N26" s="210">
        <f>IFERROR(L26/M26,0)</f>
        <v>3.451463217698706E-2</v>
      </c>
    </row>
    <row r="27" spans="2:15" x14ac:dyDescent="0.2">
      <c r="B27" s="208" t="s">
        <v>2</v>
      </c>
      <c r="C27" s="209">
        <v>2389686.5249999999</v>
      </c>
      <c r="D27" s="209">
        <v>25498027</v>
      </c>
      <c r="E27" s="210">
        <f t="shared" ref="E27:E31" si="4">IFERROR(C27/D27,0)</f>
        <v>9.3720448448815274E-2</v>
      </c>
      <c r="F27" s="209">
        <v>2550141.3625000003</v>
      </c>
      <c r="G27" s="209">
        <v>27920380</v>
      </c>
      <c r="H27" s="210">
        <f t="shared" ref="H27:H31" si="5">IFERROR(F27/G27,0)</f>
        <v>9.1336198235840646E-2</v>
      </c>
      <c r="I27" s="209">
        <v>2695690.8000000003</v>
      </c>
      <c r="J27" s="209">
        <v>30977382</v>
      </c>
      <c r="K27" s="210">
        <f t="shared" ref="K27:K31" si="6">IFERROR(I27/J27,0)</f>
        <v>8.7021259575776944E-2</v>
      </c>
      <c r="L27" s="209">
        <v>2720697.6120000002</v>
      </c>
      <c r="M27" s="209">
        <v>33721982</v>
      </c>
      <c r="N27" s="210">
        <f t="shared" ref="N27:N31" si="7">IFERROR(L27/M27,0)</f>
        <v>8.0680240325138666E-2</v>
      </c>
    </row>
    <row r="28" spans="2:15" x14ac:dyDescent="0.2">
      <c r="B28" s="208" t="s">
        <v>3</v>
      </c>
      <c r="C28" s="209">
        <v>2389686.5249999999</v>
      </c>
      <c r="D28" s="209">
        <v>37520884</v>
      </c>
      <c r="E28" s="210">
        <f t="shared" si="4"/>
        <v>6.3689504890129991E-2</v>
      </c>
      <c r="F28" s="209">
        <v>2550141.3625000003</v>
      </c>
      <c r="G28" s="209">
        <v>42846114</v>
      </c>
      <c r="H28" s="210">
        <f t="shared" si="5"/>
        <v>5.9518614978711963E-2</v>
      </c>
      <c r="I28" s="209">
        <v>2695690.8000000003</v>
      </c>
      <c r="J28" s="209">
        <v>46734997</v>
      </c>
      <c r="K28" s="210">
        <f t="shared" si="6"/>
        <v>5.7680346058436686E-2</v>
      </c>
      <c r="L28" s="209">
        <v>2720697.6120000002</v>
      </c>
      <c r="M28" s="209">
        <v>50020131</v>
      </c>
      <c r="N28" s="210">
        <f t="shared" si="7"/>
        <v>5.4392052911656712E-2</v>
      </c>
    </row>
    <row r="29" spans="2:15" x14ac:dyDescent="0.2">
      <c r="B29" s="208" t="s">
        <v>4</v>
      </c>
      <c r="C29" s="209">
        <v>2389686.5249999999</v>
      </c>
      <c r="D29" s="209">
        <v>22071597</v>
      </c>
      <c r="E29" s="210">
        <f t="shared" si="4"/>
        <v>0.108269760679302</v>
      </c>
      <c r="F29" s="209">
        <v>2550141.3625000003</v>
      </c>
      <c r="G29" s="209">
        <v>23812727</v>
      </c>
      <c r="H29" s="210">
        <f t="shared" si="5"/>
        <v>0.10709152977313351</v>
      </c>
      <c r="I29" s="209">
        <v>2695690.8000000003</v>
      </c>
      <c r="J29" s="209">
        <v>24990228</v>
      </c>
      <c r="K29" s="210">
        <f t="shared" si="6"/>
        <v>0.10786979614591753</v>
      </c>
      <c r="L29" s="209">
        <v>2720697.6120000002</v>
      </c>
      <c r="M29" s="209">
        <v>26377791</v>
      </c>
      <c r="N29" s="210">
        <f t="shared" si="7"/>
        <v>0.10314349719428743</v>
      </c>
    </row>
    <row r="30" spans="2:15" x14ac:dyDescent="0.2">
      <c r="B30" s="208" t="s">
        <v>5</v>
      </c>
      <c r="C30" s="211">
        <v>0</v>
      </c>
      <c r="D30" s="211" t="s">
        <v>180</v>
      </c>
      <c r="E30" s="212">
        <f t="shared" si="4"/>
        <v>0</v>
      </c>
      <c r="F30" s="211"/>
      <c r="G30" s="211" t="s">
        <v>180</v>
      </c>
      <c r="H30" s="212">
        <f t="shared" si="5"/>
        <v>0</v>
      </c>
      <c r="I30" s="211">
        <v>0</v>
      </c>
      <c r="J30" s="211" t="s">
        <v>180</v>
      </c>
      <c r="K30" s="212">
        <f t="shared" si="6"/>
        <v>0</v>
      </c>
      <c r="L30" s="211">
        <v>13608927</v>
      </c>
      <c r="M30" s="211">
        <v>13608927</v>
      </c>
      <c r="N30" s="212">
        <f t="shared" si="7"/>
        <v>1</v>
      </c>
    </row>
    <row r="31" spans="2:15" x14ac:dyDescent="0.2">
      <c r="B31" s="214" t="s">
        <v>9</v>
      </c>
      <c r="C31" s="215">
        <f>SUM(C26:C30)</f>
        <v>9558746.0999999996</v>
      </c>
      <c r="D31" s="215">
        <f>SUM(D26:D30)</f>
        <v>155304026</v>
      </c>
      <c r="E31" s="216">
        <f t="shared" si="4"/>
        <v>6.1548604670428823E-2</v>
      </c>
      <c r="F31" s="215">
        <f>SUM(F26:F30)</f>
        <v>10200565.450000001</v>
      </c>
      <c r="G31" s="215">
        <f>SUM(G26:G30)</f>
        <v>167653127</v>
      </c>
      <c r="H31" s="216">
        <f t="shared" si="5"/>
        <v>6.0843275831055636E-2</v>
      </c>
      <c r="I31" s="215">
        <f>SUM(I26:I30)</f>
        <v>10782763.200000001</v>
      </c>
      <c r="J31" s="215">
        <f>SUM(J26:J30)</f>
        <v>178594996</v>
      </c>
      <c r="K31" s="216">
        <f t="shared" si="6"/>
        <v>6.0375505705658188E-2</v>
      </c>
      <c r="L31" s="215">
        <f>SUM(L26:L30)</f>
        <v>24491717.447999999</v>
      </c>
      <c r="M31" s="215">
        <f>SUM(M26:M30)</f>
        <v>202556199</v>
      </c>
      <c r="N31" s="216">
        <f t="shared" si="7"/>
        <v>0.12091319628287456</v>
      </c>
      <c r="O31" s="54"/>
    </row>
    <row r="32" spans="2:15" ht="15" x14ac:dyDescent="0.25">
      <c r="B32" s="217" t="s">
        <v>463</v>
      </c>
      <c r="C32" s="218"/>
      <c r="D32"/>
      <c r="E32"/>
      <c r="F32"/>
      <c r="G32"/>
      <c r="H32"/>
      <c r="I32"/>
      <c r="J32"/>
      <c r="K32"/>
      <c r="L32"/>
      <c r="M32"/>
      <c r="N32"/>
    </row>
    <row r="33" spans="2:14" ht="30" customHeight="1" x14ac:dyDescent="0.2">
      <c r="B33" s="581" t="s">
        <v>465</v>
      </c>
      <c r="C33" s="581"/>
      <c r="D33" s="581"/>
      <c r="E33" s="581"/>
      <c r="F33" s="581"/>
      <c r="G33" s="581"/>
      <c r="H33" s="581"/>
      <c r="I33" s="581"/>
      <c r="J33" s="581"/>
      <c r="K33" s="581"/>
      <c r="L33" s="581"/>
      <c r="M33" s="581"/>
      <c r="N33" s="581"/>
    </row>
  </sheetData>
  <mergeCells count="16">
    <mergeCell ref="B16:N16"/>
    <mergeCell ref="B33:N33"/>
    <mergeCell ref="F1:I1"/>
    <mergeCell ref="F2:I2"/>
    <mergeCell ref="F3:I3"/>
    <mergeCell ref="F20:I20"/>
    <mergeCell ref="F21:I21"/>
    <mergeCell ref="F22:I22"/>
    <mergeCell ref="C6:E6"/>
    <mergeCell ref="F6:H6"/>
    <mergeCell ref="I6:K6"/>
    <mergeCell ref="L6:N6"/>
    <mergeCell ref="C24:E24"/>
    <mergeCell ref="F24:H24"/>
    <mergeCell ref="I24:K24"/>
    <mergeCell ref="L24:N24"/>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3FB7A-97FF-4DB3-8A80-AD6847F62D2F}">
  <sheetPr codeName="Sheet12"/>
  <dimension ref="A1:BU48"/>
  <sheetViews>
    <sheetView showGridLines="0" zoomScaleNormal="100" workbookViewId="0">
      <pane xSplit="2" ySplit="3" topLeftCell="C4" activePane="bottomRight" state="frozen"/>
      <selection pane="topRight" activeCell="F1" sqref="F1"/>
      <selection pane="bottomLeft" activeCell="D6" sqref="D6"/>
      <selection pane="bottomRight" activeCell="C4" sqref="C4"/>
    </sheetView>
  </sheetViews>
  <sheetFormatPr defaultColWidth="9.140625" defaultRowHeight="15" x14ac:dyDescent="0.25"/>
  <cols>
    <col min="1" max="1" width="9.85546875" style="33" customWidth="1"/>
    <col min="2" max="2" width="38.42578125" style="14" customWidth="1"/>
    <col min="3" max="7" width="15.7109375" style="14" customWidth="1"/>
    <col min="8" max="8" width="2.7109375" customWidth="1"/>
    <col min="9" max="13" width="12.7109375" style="14" customWidth="1"/>
    <col min="14" max="14" width="8.7109375" customWidth="1"/>
    <col min="15" max="19" width="15.7109375" style="14" customWidth="1"/>
    <col min="20" max="20" width="2.7109375" customWidth="1"/>
    <col min="21" max="25" width="12.7109375" style="14" customWidth="1"/>
    <col min="26" max="26" width="8.7109375" customWidth="1"/>
    <col min="27" max="31" width="15.7109375" style="14" customWidth="1"/>
    <col min="32" max="32" width="2.7109375" customWidth="1"/>
    <col min="33" max="37" width="12.7109375" style="14" customWidth="1"/>
    <col min="38" max="38" width="8.7109375" customWidth="1"/>
    <col min="39" max="43" width="12.7109375" style="14" customWidth="1"/>
    <col min="44" max="44" width="2.7109375" customWidth="1"/>
    <col min="45" max="49" width="12.7109375" style="14" customWidth="1"/>
    <col min="50" max="50" width="8.7109375" customWidth="1"/>
    <col min="51" max="55" width="12.7109375" style="14" customWidth="1"/>
    <col min="56" max="56" width="2.7109375" customWidth="1"/>
    <col min="57" max="61" width="12.7109375" style="14" customWidth="1"/>
    <col min="62" max="62" width="8.7109375" customWidth="1"/>
    <col min="63" max="67" width="12.7109375" style="14" customWidth="1"/>
    <col min="68" max="68" width="2.7109375" customWidth="1"/>
    <col min="69" max="73" width="12.7109375" style="14" customWidth="1"/>
    <col min="74" max="16384" width="9.140625" style="14"/>
  </cols>
  <sheetData>
    <row r="1" spans="1:73" s="33" customFormat="1" ht="30" customHeight="1" x14ac:dyDescent="0.25">
      <c r="B1" s="164" t="s">
        <v>317</v>
      </c>
      <c r="C1" s="33">
        <v>1</v>
      </c>
      <c r="D1" s="33">
        <v>2</v>
      </c>
      <c r="E1" s="33">
        <v>3</v>
      </c>
      <c r="F1" s="33">
        <v>4</v>
      </c>
      <c r="G1" s="33">
        <v>5</v>
      </c>
      <c r="H1" s="162"/>
      <c r="I1" s="33">
        <v>6</v>
      </c>
      <c r="J1" s="33">
        <v>7</v>
      </c>
      <c r="K1" s="33">
        <v>8</v>
      </c>
      <c r="L1" s="33">
        <v>9</v>
      </c>
      <c r="M1" s="33">
        <v>10</v>
      </c>
      <c r="N1" s="162"/>
      <c r="O1" s="33">
        <v>11</v>
      </c>
      <c r="P1" s="33">
        <v>12</v>
      </c>
      <c r="Q1" s="33">
        <v>13</v>
      </c>
      <c r="R1" s="33">
        <v>14</v>
      </c>
      <c r="S1" s="33">
        <v>15</v>
      </c>
      <c r="T1" s="162"/>
      <c r="U1" s="33">
        <v>16</v>
      </c>
      <c r="V1" s="33">
        <v>17</v>
      </c>
      <c r="W1" s="33">
        <v>18</v>
      </c>
      <c r="X1" s="33">
        <v>19</v>
      </c>
      <c r="Y1" s="33">
        <v>20</v>
      </c>
      <c r="Z1" s="162"/>
      <c r="AA1" s="33">
        <v>21</v>
      </c>
      <c r="AB1" s="33">
        <v>22</v>
      </c>
      <c r="AC1" s="33">
        <v>23</v>
      </c>
      <c r="AD1" s="33">
        <v>24</v>
      </c>
      <c r="AE1" s="33">
        <v>25</v>
      </c>
      <c r="AF1" s="162"/>
      <c r="AG1" s="33">
        <v>26</v>
      </c>
      <c r="AH1" s="33">
        <v>27</v>
      </c>
      <c r="AI1" s="33">
        <v>28</v>
      </c>
      <c r="AJ1" s="33">
        <v>29</v>
      </c>
      <c r="AK1" s="33">
        <v>30</v>
      </c>
      <c r="AL1" s="162"/>
      <c r="AM1" s="33">
        <v>31</v>
      </c>
      <c r="AN1" s="33">
        <v>32</v>
      </c>
      <c r="AO1" s="33">
        <v>33</v>
      </c>
      <c r="AP1" s="33">
        <v>34</v>
      </c>
      <c r="AQ1" s="33">
        <v>35</v>
      </c>
      <c r="AR1" s="162"/>
      <c r="AS1" s="33">
        <v>36</v>
      </c>
      <c r="AT1" s="33">
        <v>37</v>
      </c>
      <c r="AU1" s="33">
        <v>38</v>
      </c>
      <c r="AV1" s="33">
        <v>39</v>
      </c>
      <c r="AW1" s="33">
        <v>40</v>
      </c>
      <c r="AX1" s="162"/>
      <c r="AY1" s="33">
        <v>41</v>
      </c>
      <c r="AZ1" s="33">
        <v>42</v>
      </c>
      <c r="BA1" s="33">
        <v>43</v>
      </c>
      <c r="BB1" s="33">
        <v>44</v>
      </c>
      <c r="BC1" s="33">
        <v>45</v>
      </c>
      <c r="BD1" s="162"/>
      <c r="BE1" s="33">
        <v>46</v>
      </c>
      <c r="BF1" s="33">
        <v>47</v>
      </c>
      <c r="BG1" s="33">
        <v>48</v>
      </c>
      <c r="BH1" s="33">
        <v>49</v>
      </c>
      <c r="BI1" s="33">
        <v>50</v>
      </c>
      <c r="BJ1" s="162"/>
      <c r="BK1" s="33">
        <v>51</v>
      </c>
      <c r="BL1" s="33">
        <v>52</v>
      </c>
      <c r="BM1" s="33">
        <v>53</v>
      </c>
      <c r="BN1" s="33">
        <v>54</v>
      </c>
      <c r="BO1" s="33">
        <v>55</v>
      </c>
      <c r="BP1" s="162"/>
      <c r="BQ1" s="33">
        <v>56</v>
      </c>
      <c r="BR1" s="33">
        <v>57</v>
      </c>
      <c r="BS1" s="33">
        <v>58</v>
      </c>
      <c r="BT1" s="33">
        <v>59</v>
      </c>
      <c r="BU1" s="33">
        <v>60</v>
      </c>
    </row>
    <row r="2" spans="1:73" s="33" customFormat="1" x14ac:dyDescent="0.25">
      <c r="A2" s="34" t="s">
        <v>318</v>
      </c>
      <c r="B2"/>
      <c r="C2" s="163">
        <v>2026</v>
      </c>
      <c r="D2" s="163">
        <v>2027</v>
      </c>
      <c r="E2" s="163">
        <v>2028</v>
      </c>
      <c r="F2" s="163">
        <v>2029</v>
      </c>
      <c r="G2" s="163">
        <v>2030</v>
      </c>
      <c r="H2"/>
      <c r="I2" s="163" t="s">
        <v>182</v>
      </c>
      <c r="J2" s="163" t="s">
        <v>183</v>
      </c>
      <c r="K2" s="163" t="s">
        <v>184</v>
      </c>
      <c r="L2" s="163" t="s">
        <v>185</v>
      </c>
      <c r="M2" s="163" t="s">
        <v>316</v>
      </c>
      <c r="N2"/>
      <c r="O2" s="163">
        <v>2026</v>
      </c>
      <c r="P2" s="163">
        <v>2027</v>
      </c>
      <c r="Q2" s="163">
        <v>2028</v>
      </c>
      <c r="R2" s="163">
        <v>2029</v>
      </c>
      <c r="S2" s="163">
        <v>2030</v>
      </c>
      <c r="T2"/>
      <c r="U2" s="163" t="s">
        <v>182</v>
      </c>
      <c r="V2" s="163" t="s">
        <v>183</v>
      </c>
      <c r="W2" s="163" t="s">
        <v>184</v>
      </c>
      <c r="X2" s="163" t="s">
        <v>185</v>
      </c>
      <c r="Y2" s="163" t="s">
        <v>316</v>
      </c>
      <c r="Z2"/>
      <c r="AA2" s="163">
        <v>2026</v>
      </c>
      <c r="AB2" s="163">
        <v>2027</v>
      </c>
      <c r="AC2" s="163">
        <v>2028</v>
      </c>
      <c r="AD2" s="163">
        <v>2029</v>
      </c>
      <c r="AE2" s="163">
        <v>2030</v>
      </c>
      <c r="AF2"/>
      <c r="AG2" s="163" t="s">
        <v>182</v>
      </c>
      <c r="AH2" s="163" t="s">
        <v>183</v>
      </c>
      <c r="AI2" s="163" t="s">
        <v>184</v>
      </c>
      <c r="AJ2" s="163" t="s">
        <v>185</v>
      </c>
      <c r="AK2" s="163" t="s">
        <v>316</v>
      </c>
      <c r="AL2"/>
      <c r="AM2" s="163">
        <v>2026</v>
      </c>
      <c r="AN2" s="163">
        <v>2027</v>
      </c>
      <c r="AO2" s="163">
        <v>2028</v>
      </c>
      <c r="AP2" s="163">
        <v>2029</v>
      </c>
      <c r="AQ2" s="163">
        <v>2030</v>
      </c>
      <c r="AR2"/>
      <c r="AS2" s="163" t="s">
        <v>182</v>
      </c>
      <c r="AT2" s="163" t="s">
        <v>183</v>
      </c>
      <c r="AU2" s="163" t="s">
        <v>184</v>
      </c>
      <c r="AV2" s="163" t="s">
        <v>185</v>
      </c>
      <c r="AW2" s="163" t="s">
        <v>316</v>
      </c>
      <c r="AX2"/>
      <c r="AY2" s="163">
        <v>2026</v>
      </c>
      <c r="AZ2" s="163">
        <v>2027</v>
      </c>
      <c r="BA2" s="163">
        <v>2028</v>
      </c>
      <c r="BB2" s="163">
        <v>2029</v>
      </c>
      <c r="BC2" s="163">
        <v>2030</v>
      </c>
      <c r="BD2"/>
      <c r="BE2" s="163" t="s">
        <v>182</v>
      </c>
      <c r="BF2" s="163" t="s">
        <v>183</v>
      </c>
      <c r="BG2" s="163" t="s">
        <v>184</v>
      </c>
      <c r="BH2" s="163" t="s">
        <v>185</v>
      </c>
      <c r="BI2" s="163" t="s">
        <v>316</v>
      </c>
      <c r="BJ2"/>
      <c r="BK2" s="163">
        <v>2026</v>
      </c>
      <c r="BL2" s="163">
        <v>2027</v>
      </c>
      <c r="BM2" s="163">
        <v>2028</v>
      </c>
      <c r="BN2" s="163">
        <v>2029</v>
      </c>
      <c r="BO2" s="163">
        <v>2030</v>
      </c>
      <c r="BP2"/>
      <c r="BQ2" s="163" t="s">
        <v>182</v>
      </c>
      <c r="BR2" s="163" t="s">
        <v>183</v>
      </c>
      <c r="BS2" s="163" t="s">
        <v>184</v>
      </c>
      <c r="BT2" s="163" t="s">
        <v>185</v>
      </c>
      <c r="BU2" s="163" t="s">
        <v>316</v>
      </c>
    </row>
    <row r="3" spans="1:73" ht="25.5" x14ac:dyDescent="0.25">
      <c r="B3" s="5"/>
      <c r="C3" s="35" t="s">
        <v>186</v>
      </c>
      <c r="D3" s="35" t="s">
        <v>186</v>
      </c>
      <c r="E3" s="35" t="s">
        <v>186</v>
      </c>
      <c r="F3" s="35" t="s">
        <v>186</v>
      </c>
      <c r="G3" s="35" t="s">
        <v>186</v>
      </c>
      <c r="I3" s="35" t="s">
        <v>189</v>
      </c>
      <c r="J3" s="35" t="s">
        <v>189</v>
      </c>
      <c r="K3" s="35" t="s">
        <v>189</v>
      </c>
      <c r="L3" s="35" t="s">
        <v>189</v>
      </c>
      <c r="M3" s="35" t="s">
        <v>189</v>
      </c>
      <c r="O3" s="35" t="s">
        <v>312</v>
      </c>
      <c r="P3" s="35" t="s">
        <v>312</v>
      </c>
      <c r="Q3" s="35" t="s">
        <v>312</v>
      </c>
      <c r="R3" s="35" t="s">
        <v>312</v>
      </c>
      <c r="S3" s="35" t="s">
        <v>312</v>
      </c>
      <c r="U3" s="35" t="s">
        <v>189</v>
      </c>
      <c r="V3" s="35" t="s">
        <v>189</v>
      </c>
      <c r="W3" s="35" t="s">
        <v>189</v>
      </c>
      <c r="X3" s="35" t="s">
        <v>189</v>
      </c>
      <c r="Y3" s="35" t="s">
        <v>189</v>
      </c>
      <c r="AA3" s="35" t="s">
        <v>158</v>
      </c>
      <c r="AB3" s="35" t="s">
        <v>158</v>
      </c>
      <c r="AC3" s="35" t="s">
        <v>158</v>
      </c>
      <c r="AD3" s="35" t="s">
        <v>158</v>
      </c>
      <c r="AE3" s="35" t="s">
        <v>158</v>
      </c>
      <c r="AG3" s="35" t="s">
        <v>313</v>
      </c>
      <c r="AH3" s="35" t="s">
        <v>313</v>
      </c>
      <c r="AI3" s="35" t="s">
        <v>313</v>
      </c>
      <c r="AJ3" s="35" t="s">
        <v>313</v>
      </c>
      <c r="AK3" s="35" t="s">
        <v>313</v>
      </c>
      <c r="AM3" s="35" t="s">
        <v>187</v>
      </c>
      <c r="AN3" s="35" t="s">
        <v>187</v>
      </c>
      <c r="AO3" s="35" t="s">
        <v>187</v>
      </c>
      <c r="AP3" s="35" t="s">
        <v>187</v>
      </c>
      <c r="AQ3" s="35" t="s">
        <v>187</v>
      </c>
      <c r="AS3" s="35" t="s">
        <v>190</v>
      </c>
      <c r="AT3" s="35" t="s">
        <v>190</v>
      </c>
      <c r="AU3" s="35" t="s">
        <v>190</v>
      </c>
      <c r="AV3" s="35" t="s">
        <v>190</v>
      </c>
      <c r="AW3" s="35" t="s">
        <v>313</v>
      </c>
      <c r="AY3" s="35" t="s">
        <v>188</v>
      </c>
      <c r="AZ3" s="35" t="s">
        <v>188</v>
      </c>
      <c r="BA3" s="35" t="s">
        <v>188</v>
      </c>
      <c r="BB3" s="35" t="s">
        <v>188</v>
      </c>
      <c r="BC3" s="35" t="s">
        <v>188</v>
      </c>
      <c r="BE3" s="35" t="s">
        <v>314</v>
      </c>
      <c r="BF3" s="35" t="s">
        <v>314</v>
      </c>
      <c r="BG3" s="35" t="s">
        <v>314</v>
      </c>
      <c r="BH3" s="35" t="s">
        <v>314</v>
      </c>
      <c r="BI3" s="35" t="s">
        <v>314</v>
      </c>
      <c r="BK3" s="35" t="s">
        <v>118</v>
      </c>
      <c r="BL3" s="35" t="s">
        <v>118</v>
      </c>
      <c r="BM3" s="35" t="s">
        <v>118</v>
      </c>
      <c r="BN3" s="35" t="s">
        <v>118</v>
      </c>
      <c r="BO3" s="35" t="s">
        <v>118</v>
      </c>
      <c r="BQ3" s="35" t="s">
        <v>191</v>
      </c>
      <c r="BR3" s="35" t="s">
        <v>191</v>
      </c>
      <c r="BS3" s="35" t="s">
        <v>191</v>
      </c>
      <c r="BT3" s="35" t="s">
        <v>191</v>
      </c>
      <c r="BU3" s="35" t="s">
        <v>191</v>
      </c>
    </row>
    <row r="4" spans="1:73" s="38" customFormat="1" x14ac:dyDescent="0.25">
      <c r="A4" s="33">
        <v>1</v>
      </c>
      <c r="B4" s="6" t="s">
        <v>1</v>
      </c>
      <c r="C4" s="190">
        <f>SUM(C5:C11)</f>
        <v>86602982.94048664</v>
      </c>
      <c r="D4" s="190">
        <f>SUM(D5:D11)</f>
        <v>72787256</v>
      </c>
      <c r="E4" s="190">
        <f>SUM(E5:E11)</f>
        <v>75691912</v>
      </c>
      <c r="F4" s="190">
        <f>SUM(F5:F11)</f>
        <v>78555425</v>
      </c>
      <c r="G4" s="190">
        <f>SUM(G5:G11)</f>
        <v>81536209</v>
      </c>
      <c r="H4" s="161"/>
      <c r="I4" s="155">
        <f>IFERROR(D4/C4-1,0)</f>
        <v>-0.15952945812479435</v>
      </c>
      <c r="J4" s="155">
        <f>IFERROR(E4/D4-1,0)</f>
        <v>3.9906106640426264E-2</v>
      </c>
      <c r="K4" s="155">
        <f>IFERROR(F4/E4-1,0)</f>
        <v>3.7831162198677104E-2</v>
      </c>
      <c r="L4" s="155">
        <f>IFERROR(G4/F4-1,0)</f>
        <v>3.7944979611528984E-2</v>
      </c>
      <c r="M4" s="155">
        <f>IFERROR(G4/D4-1,0)</f>
        <v>0.12019896724778301</v>
      </c>
      <c r="N4"/>
      <c r="O4" s="195">
        <f>SUM(O5:O11)</f>
        <v>76807062.831127897</v>
      </c>
      <c r="P4" s="195">
        <f>SUM(P5:P11)</f>
        <v>57980250</v>
      </c>
      <c r="Q4" s="195">
        <f>SUM(Q5:Q11)</f>
        <v>61144701</v>
      </c>
      <c r="R4" s="195">
        <f>SUM(R5:R11)</f>
        <v>63556848</v>
      </c>
      <c r="S4" s="195">
        <f>SUM(S5:S11)</f>
        <v>66031749</v>
      </c>
      <c r="T4"/>
      <c r="U4" s="155">
        <f>IFERROR(P4/O4-1,0)</f>
        <v>-0.2451182500302288</v>
      </c>
      <c r="V4" s="155">
        <f>IFERROR(Q4/P4-1,0)</f>
        <v>5.4578084778868607E-2</v>
      </c>
      <c r="W4" s="155">
        <f>IFERROR(R4/Q4-1,0)</f>
        <v>3.9449812666513706E-2</v>
      </c>
      <c r="X4" s="155">
        <f>IFERROR(S4/R4-1,0)</f>
        <v>3.893995813008222E-2</v>
      </c>
      <c r="Y4" s="155">
        <f>IFERROR(S4/P4-1,0)</f>
        <v>0.13886623462299652</v>
      </c>
      <c r="Z4"/>
      <c r="AA4" s="200">
        <v>26715185</v>
      </c>
      <c r="AB4" s="200">
        <f>SUM(AB5:AB11)</f>
        <v>19911599.600000001</v>
      </c>
      <c r="AC4" s="200">
        <f>SUM(AC5:AC11)</f>
        <v>22400728.600000001</v>
      </c>
      <c r="AD4" s="200">
        <f>SUM(AD5:AD11)</f>
        <v>23828214.400000002</v>
      </c>
      <c r="AE4" s="200">
        <f>SUM(AE5:AE11)</f>
        <v>25053075.350000001</v>
      </c>
      <c r="AF4"/>
      <c r="AG4" s="155">
        <f>IFERROR(AB4/AA4-1,0)</f>
        <v>-0.25467109436075397</v>
      </c>
      <c r="AH4" s="155">
        <f>IFERROR(AC4/AB4-1,0)</f>
        <v>0.12500899224590678</v>
      </c>
      <c r="AI4" s="155">
        <f>IFERROR(AD4/AC4-1,0)</f>
        <v>6.3724971874352443E-2</v>
      </c>
      <c r="AJ4" s="155">
        <f>IFERROR(AE4/AD4-1,0)</f>
        <v>5.1403807664245349E-2</v>
      </c>
      <c r="AK4" s="155">
        <f>IFERROR(AE4/AB4-1,0)</f>
        <v>0.25821510342142484</v>
      </c>
      <c r="AL4"/>
      <c r="AM4" s="36">
        <f t="shared" ref="AM4:AM43" si="0">IFERROR(C4/AA4,0)</f>
        <v>3.2417137646805232</v>
      </c>
      <c r="AN4" s="36">
        <f t="shared" ref="AN4:AN43" si="1">IFERROR(D4/AB4,0)</f>
        <v>3.6555202727158091</v>
      </c>
      <c r="AO4" s="36">
        <f t="shared" ref="AO4:AO43" si="2">IFERROR(E4/AC4,0)</f>
        <v>3.3789933064945039</v>
      </c>
      <c r="AP4" s="36">
        <f t="shared" ref="AP4:AP43" si="3">IFERROR(F4/AD4,0)</f>
        <v>3.2967398933593612</v>
      </c>
      <c r="AQ4" s="36">
        <f t="shared" ref="AQ4:AQ43" si="4">IFERROR(G4/AE4,0)</f>
        <v>3.2545389282916917</v>
      </c>
      <c r="AR4"/>
      <c r="AS4" s="155">
        <f>IFERROR(AN4/AM4-1,0)</f>
        <v>0.12765053859592301</v>
      </c>
      <c r="AT4" s="155">
        <f>IFERROR(AO4/AN4-1,0)</f>
        <v>-7.5646404777250487E-2</v>
      </c>
      <c r="AU4" s="155">
        <f>IFERROR(AP4/AO4-1,0)</f>
        <v>-2.4342579482785509E-2</v>
      </c>
      <c r="AV4" s="155">
        <f>IFERROR(AQ4/AP4-1,0)</f>
        <v>-1.2800817302170309E-2</v>
      </c>
      <c r="AW4" s="155">
        <f>IFERROR(AQ4/AN4-1,0)</f>
        <v>-0.10969200401293766</v>
      </c>
      <c r="AX4"/>
      <c r="AY4" s="438">
        <f>'TRC-Plus'!AJ5</f>
        <v>0.75433691884194587</v>
      </c>
      <c r="AZ4" s="37">
        <v>0.89478297926784911</v>
      </c>
      <c r="BA4" s="37">
        <v>0.94761238024541927</v>
      </c>
      <c r="BB4" s="37">
        <v>0.98311106567605522</v>
      </c>
      <c r="BC4" s="37">
        <v>1.026045422196608</v>
      </c>
      <c r="BD4"/>
      <c r="BE4" s="155">
        <f>IFERROR(AZ4/AY4-1,0)</f>
        <v>0.18618478947247508</v>
      </c>
      <c r="BF4" s="155">
        <f>IFERROR(BA4/AZ4-1,0)</f>
        <v>5.9041580139127747E-2</v>
      </c>
      <c r="BG4" s="155">
        <f>IFERROR(BB4/BA4-1,0)</f>
        <v>3.7461187897779746E-2</v>
      </c>
      <c r="BH4" s="155">
        <f>IFERROR(BC4/BB4-1,0)</f>
        <v>4.3671928858849851E-2</v>
      </c>
      <c r="BI4" s="155">
        <f>IFERROR(BC4/AZ4-1,0)</f>
        <v>0.14669751880636306</v>
      </c>
      <c r="BJ4"/>
      <c r="BK4" s="37">
        <v>1.124070271574092</v>
      </c>
      <c r="BL4" s="37">
        <v>1.025616418484073</v>
      </c>
      <c r="BM4" s="37">
        <v>1.0695350606332392</v>
      </c>
      <c r="BN4" s="37">
        <v>1.0916518456214908</v>
      </c>
      <c r="BO4" s="37">
        <v>1.1061655733663089</v>
      </c>
      <c r="BP4"/>
      <c r="BQ4" s="155">
        <f>IFERROR(BL4/BK4-1,0)</f>
        <v>-8.7586920123907452E-2</v>
      </c>
      <c r="BR4" s="155">
        <f>IFERROR(BM4/BL4-1,0)</f>
        <v>4.2821703472806005E-2</v>
      </c>
      <c r="BS4" s="155">
        <f>IFERROR(BN4/BM4-1,0)</f>
        <v>2.0678877955769837E-2</v>
      </c>
      <c r="BT4" s="155">
        <f>IFERROR(BO4/BN4-1,0)</f>
        <v>1.3295198284170251E-2</v>
      </c>
      <c r="BU4" s="155">
        <f>IFERROR(BO4/BL4-1,0)</f>
        <v>7.8537310275602623E-2</v>
      </c>
    </row>
    <row r="5" spans="1:73" x14ac:dyDescent="0.25">
      <c r="A5" s="33">
        <v>2</v>
      </c>
      <c r="B5" s="39" t="s">
        <v>26</v>
      </c>
      <c r="C5" s="191">
        <f>'Budget by Cost Category'!$AP6</f>
        <v>74809989.65977706</v>
      </c>
      <c r="D5" s="191">
        <f>_xlfn.XLOOKUP($B5,'Budget by Cost Category'!$AR:$AR,'Budget by Cost Category'!$AW:$AW,0)</f>
        <v>25929400</v>
      </c>
      <c r="E5" s="191">
        <f>_xlfn.XLOOKUP($B5,'Budget by Cost Category'!$AY:$AY,'Budget by Cost Category'!$BD:$BD,0)</f>
        <v>23708569</v>
      </c>
      <c r="F5" s="191">
        <f>_xlfn.XLOOKUP($B5,'Budget by Cost Category'!$BF:$BF,'Budget by Cost Category'!$BK:$BK,0)</f>
        <v>21967357</v>
      </c>
      <c r="G5" s="191">
        <f>_xlfn.XLOOKUP($B5,'Budget by Cost Category'!$BM:$BM,'Budget by Cost Category'!$BR:$BR,0)</f>
        <v>20759542</v>
      </c>
      <c r="I5" s="156">
        <f t="shared" ref="I5:I43" si="5">IFERROR(D5/C5-1,0)</f>
        <v>-0.65339655682453046</v>
      </c>
      <c r="J5" s="156">
        <f t="shared" ref="J5:J43" si="6">IFERROR(E5/D5-1,0)</f>
        <v>-8.5649147299976081E-2</v>
      </c>
      <c r="K5" s="156">
        <f t="shared" ref="K5:K43" si="7">IFERROR(F5/E5-1,0)</f>
        <v>-7.3442306872253615E-2</v>
      </c>
      <c r="L5" s="156">
        <f t="shared" ref="L5:L43" si="8">IFERROR(G5/F5-1,0)</f>
        <v>-5.4982263000505682E-2</v>
      </c>
      <c r="M5" s="156">
        <f t="shared" ref="M5:M43" si="9">IFERROR(G5/D5-1,0)</f>
        <v>-0.19938209137118479</v>
      </c>
      <c r="O5" s="196">
        <f>'Budget by Cost Category'!$AL6</f>
        <v>69598810.546043336</v>
      </c>
      <c r="P5" s="196">
        <f>_xlfn.XLOOKUP($B5,'Budget by Cost Category'!$AR:$AR,'Budget by Cost Category'!$AS:$AS,0)</f>
        <v>23499400</v>
      </c>
      <c r="Q5" s="196">
        <f>_xlfn.XLOOKUP($B5,'Budget by Cost Category'!$AY:$AY,'Budget by Cost Category'!$AZ:$AZ,0)</f>
        <v>21572449</v>
      </c>
      <c r="R5" s="196">
        <f>_xlfn.XLOOKUP($B5,'Budget by Cost Category'!$BF:$BF,'Budget by Cost Category'!$BG:$BG,0)</f>
        <v>20047996</v>
      </c>
      <c r="S5" s="196">
        <f>_xlfn.XLOOKUP($B5,'Budget by Cost Category'!$BM:$BM,'Budget by Cost Category'!$BN:$BN,0)</f>
        <v>19015035</v>
      </c>
      <c r="U5" s="156">
        <f t="shared" ref="U5:U43" si="10">IFERROR(P5/O5-1,0)</f>
        <v>-0.66235917229571206</v>
      </c>
      <c r="V5" s="156">
        <f t="shared" ref="V5:V43" si="11">IFERROR(Q5/P5-1,0)</f>
        <v>-8.2000008510855649E-2</v>
      </c>
      <c r="W5" s="156">
        <f t="shared" ref="W5:W43" si="12">IFERROR(R5/Q5-1,0)</f>
        <v>-7.0666663761726811E-2</v>
      </c>
      <c r="X5" s="156">
        <f t="shared" ref="X5:X43" si="13">IFERROR(S5/R5-1,0)</f>
        <v>-5.1524401740702608E-2</v>
      </c>
      <c r="Y5" s="156">
        <f t="shared" ref="Y5:Y43" si="14">IFERROR(S5/P5-1,0)</f>
        <v>-0.19082891478080288</v>
      </c>
      <c r="AA5" s="201"/>
      <c r="AB5" s="201">
        <f>_xlfn.XLOOKUP($B5,'Savings by Offer'!AF:AF,'Savings by Offer'!AH:AH)</f>
        <v>4576140</v>
      </c>
      <c r="AC5" s="201">
        <f>_xlfn.XLOOKUP($B5,'Savings by Offer'!AK:AK,'Savings by Offer'!AM:AM)</f>
        <v>4118526</v>
      </c>
      <c r="AD5" s="201">
        <f>_xlfn.XLOOKUP($B5,'Savings by Offer'!AP:AP,'Savings by Offer'!AR:AR)</f>
        <v>3752434.8000000003</v>
      </c>
      <c r="AE5" s="201">
        <f>_xlfn.XLOOKUP($B5,'Savings by Offer'!AU:AU,'Savings by Offer'!AW:AW)</f>
        <v>3489306.75</v>
      </c>
      <c r="AG5" s="156">
        <f t="shared" ref="AG5:AG43" si="15">IFERROR(AB5/AA5-1,0)</f>
        <v>0</v>
      </c>
      <c r="AH5" s="156">
        <f t="shared" ref="AH5:AH43" si="16">IFERROR(AC5/AB5-1,0)</f>
        <v>-9.9999999999999978E-2</v>
      </c>
      <c r="AI5" s="156">
        <f t="shared" ref="AI5:AI43" si="17">IFERROR(AD5/AC5-1,0)</f>
        <v>-8.8888888888888795E-2</v>
      </c>
      <c r="AJ5" s="156">
        <f t="shared" ref="AJ5:AJ43" si="18">IFERROR(AE5/AD5-1,0)</f>
        <v>-7.0121951219512257E-2</v>
      </c>
      <c r="AK5" s="156">
        <f t="shared" ref="AK5:AK43" si="19">IFERROR(AE5/AB5-1,0)</f>
        <v>-0.23750000000000004</v>
      </c>
      <c r="AM5" s="40">
        <f t="shared" si="0"/>
        <v>0</v>
      </c>
      <c r="AN5" s="40">
        <f t="shared" si="1"/>
        <v>5.6662165056139013</v>
      </c>
      <c r="AO5" s="40">
        <f t="shared" si="2"/>
        <v>5.7565665483233568</v>
      </c>
      <c r="AP5" s="40">
        <f t="shared" si="3"/>
        <v>5.8541608770923874</v>
      </c>
      <c r="AQ5" s="40">
        <f t="shared" si="4"/>
        <v>5.9494746341805573</v>
      </c>
      <c r="AS5" s="156">
        <f t="shared" ref="AS5:AS43" si="20">IFERROR(AN5/AM5-1,0)</f>
        <v>0</v>
      </c>
      <c r="AT5" s="156">
        <f t="shared" ref="AT5:AT43" si="21">IFERROR(AO5/AN5-1,0)</f>
        <v>1.5945391888915639E-2</v>
      </c>
      <c r="AU5" s="156">
        <f t="shared" ref="AU5:AU43" si="22">IFERROR(AP5/AO5-1,0)</f>
        <v>1.69535656280142E-2</v>
      </c>
      <c r="AV5" s="156">
        <f t="shared" ref="AV5:AV43" si="23">IFERROR(AQ5/AP5-1,0)</f>
        <v>1.6281369625685826E-2</v>
      </c>
      <c r="AW5" s="156">
        <f t="shared" ref="AW5:AW43" si="24">IFERROR(AQ5/AN5-1,0)</f>
        <v>4.9990699841069075E-2</v>
      </c>
      <c r="AY5" s="41">
        <f>'TRC-Plus'!AJ6</f>
        <v>0.61395903849372713</v>
      </c>
      <c r="AZ5" s="41">
        <v>0.58557702364604325</v>
      </c>
      <c r="BA5" s="41">
        <v>0.60881924491847472</v>
      </c>
      <c r="BB5" s="41">
        <v>0.63083726878969915</v>
      </c>
      <c r="BC5" s="41">
        <v>0.65178816033846132</v>
      </c>
      <c r="BE5" s="156">
        <f t="shared" ref="BE5:BE43" si="25">IFERROR(AZ5/AY5-1,0)</f>
        <v>-4.6227863860943685E-2</v>
      </c>
      <c r="BF5" s="156">
        <f t="shared" ref="BF5:BF43" si="26">IFERROR(BA5/AZ5-1,0)</f>
        <v>3.9691142811095759E-2</v>
      </c>
      <c r="BG5" s="156">
        <f t="shared" ref="BG5:BG43" si="27">IFERROR(BB5/BA5-1,0)</f>
        <v>3.6165124632636658E-2</v>
      </c>
      <c r="BH5" s="156">
        <f t="shared" ref="BH5:BH43" si="28">IFERROR(BC5/BB5-1,0)</f>
        <v>3.3211245728962391E-2</v>
      </c>
      <c r="BI5" s="156">
        <f t="shared" ref="BI5:BI43" si="29">IFERROR(BC5/AZ5-1,0)</f>
        <v>0.11306990202614231</v>
      </c>
      <c r="BK5" s="41">
        <v>1.0092488941033886</v>
      </c>
      <c r="BL5" s="41">
        <v>0.89346843130932296</v>
      </c>
      <c r="BM5" s="41">
        <v>0.91360356090662487</v>
      </c>
      <c r="BN5" s="41">
        <v>0.93053537983750556</v>
      </c>
      <c r="BO5" s="41">
        <v>0.94532643336003741</v>
      </c>
      <c r="BQ5" s="156">
        <f t="shared" ref="BQ5:BQ43" si="30">IFERROR(BL5/BK5-1,0)</f>
        <v>-0.11471943488917502</v>
      </c>
      <c r="BR5" s="156">
        <f t="shared" ref="BR5:BR43" si="31">IFERROR(BM5/BL5-1,0)</f>
        <v>2.2535916090280939E-2</v>
      </c>
      <c r="BS5" s="156">
        <f t="shared" ref="BS5:BS43" si="32">IFERROR(BN5/BM5-1,0)</f>
        <v>1.8533004527782504E-2</v>
      </c>
      <c r="BT5" s="156">
        <f t="shared" ref="BT5:BT43" si="33">IFERROR(BO5/BN5-1,0)</f>
        <v>1.5895208116766923E-2</v>
      </c>
      <c r="BU5" s="156">
        <f t="shared" ref="BU5:BU43" si="34">IFERROR(BO5/BL5-1,0)</f>
        <v>5.8041224774690425E-2</v>
      </c>
    </row>
    <row r="6" spans="1:73" x14ac:dyDescent="0.25">
      <c r="A6" s="33">
        <v>3</v>
      </c>
      <c r="B6" s="39" t="s">
        <v>28</v>
      </c>
      <c r="C6" s="191">
        <f>'Budget by Cost Category'!$AP7</f>
        <v>5246702.8667754903</v>
      </c>
      <c r="D6" s="191">
        <f>_xlfn.XLOOKUP($B6,'Budget by Cost Category'!$AR:$AR,'Budget by Cost Category'!$AW:$AW,0)</f>
        <v>15560525</v>
      </c>
      <c r="E6" s="191">
        <f>_xlfn.XLOOKUP($B6,'Budget by Cost Category'!$AY:$AY,'Budget by Cost Category'!$BD:$BD,0)</f>
        <v>18836467</v>
      </c>
      <c r="F6" s="191">
        <f>_xlfn.XLOOKUP($B6,'Budget by Cost Category'!$BF:$BF,'Budget by Cost Category'!$BK:$BK,0)</f>
        <v>20917872</v>
      </c>
      <c r="G6" s="191">
        <f>_xlfn.XLOOKUP($B6,'Budget by Cost Category'!$BM:$BM,'Budget by Cost Category'!$BR:$BR,0)</f>
        <v>22520648</v>
      </c>
      <c r="I6" s="156">
        <f t="shared" si="5"/>
        <v>1.9657721039505254</v>
      </c>
      <c r="J6" s="156">
        <f t="shared" si="6"/>
        <v>0.21052901492719567</v>
      </c>
      <c r="K6" s="156">
        <f t="shared" si="7"/>
        <v>0.11049869383680067</v>
      </c>
      <c r="L6" s="156">
        <f t="shared" si="8"/>
        <v>7.6622325636183319E-2</v>
      </c>
      <c r="M6" s="156">
        <f t="shared" si="9"/>
        <v>0.44729358424603283</v>
      </c>
      <c r="O6" s="196">
        <f>'Budget by Cost Category'!$AL7</f>
        <v>4042707.7580317487</v>
      </c>
      <c r="P6" s="196">
        <f>_xlfn.XLOOKUP($B6,'Budget by Cost Category'!$AR:$AR,'Budget by Cost Category'!$AS:$AS,0)</f>
        <v>13591250</v>
      </c>
      <c r="Q6" s="196">
        <f>_xlfn.XLOOKUP($B6,'Budget by Cost Category'!$AY:$AY,'Budget by Cost Category'!$AZ:$AZ,0)</f>
        <v>16822350</v>
      </c>
      <c r="R6" s="196">
        <f>_xlfn.XLOOKUP($B6,'Budget by Cost Category'!$BF:$BF,'Budget by Cost Category'!$BG:$BG,0)</f>
        <v>18805230</v>
      </c>
      <c r="S6" s="196">
        <f>_xlfn.XLOOKUP($B6,'Budget by Cost Category'!$BM:$BM,'Budget by Cost Category'!$BN:$BN,0)</f>
        <v>20300909</v>
      </c>
      <c r="U6" s="156">
        <f t="shared" si="10"/>
        <v>2.3619175101138397</v>
      </c>
      <c r="V6" s="156">
        <f t="shared" si="11"/>
        <v>0.23773383610778986</v>
      </c>
      <c r="W6" s="156">
        <f t="shared" si="12"/>
        <v>0.11787175989085941</v>
      </c>
      <c r="X6" s="156">
        <f t="shared" si="13"/>
        <v>7.9535267582475644E-2</v>
      </c>
      <c r="Y6" s="156">
        <f t="shared" si="14"/>
        <v>0.49367490113124246</v>
      </c>
      <c r="AA6" s="201"/>
      <c r="AB6" s="201">
        <f>_xlfn.XLOOKUP($B6,'Savings by Offer'!AF:AF,'Savings by Offer'!AH:AH)</f>
        <v>3141255</v>
      </c>
      <c r="AC6" s="201">
        <f>_xlfn.XLOOKUP($B6,'Savings by Offer'!AK:AK,'Savings by Offer'!AM:AM)</f>
        <v>3816765</v>
      </c>
      <c r="AD6" s="201">
        <f>_xlfn.XLOOKUP($B6,'Savings by Offer'!AP:AP,'Savings by Offer'!AR:AR)</f>
        <v>4185225</v>
      </c>
      <c r="AE6" s="201">
        <f>_xlfn.XLOOKUP($B6,'Savings by Offer'!AU:AU,'Savings by Offer'!AW:AW)</f>
        <v>4430865</v>
      </c>
      <c r="AG6" s="156">
        <f t="shared" si="15"/>
        <v>0</v>
      </c>
      <c r="AH6" s="156">
        <f t="shared" si="16"/>
        <v>0.21504462388440282</v>
      </c>
      <c r="AI6" s="156">
        <f t="shared" si="17"/>
        <v>9.6537250786988382E-2</v>
      </c>
      <c r="AJ6" s="156">
        <f t="shared" si="18"/>
        <v>5.8692185007974462E-2</v>
      </c>
      <c r="AK6" s="156">
        <f t="shared" si="19"/>
        <v>0.41053973650658726</v>
      </c>
      <c r="AM6" s="40">
        <f t="shared" si="0"/>
        <v>0</v>
      </c>
      <c r="AN6" s="40">
        <f t="shared" si="1"/>
        <v>4.9536013472322367</v>
      </c>
      <c r="AO6" s="40">
        <f t="shared" si="2"/>
        <v>4.9351917134012702</v>
      </c>
      <c r="AP6" s="40">
        <f t="shared" si="3"/>
        <v>4.9980280630073652</v>
      </c>
      <c r="AQ6" s="40">
        <f t="shared" si="4"/>
        <v>5.0826752789805152</v>
      </c>
      <c r="AS6" s="156">
        <f t="shared" si="20"/>
        <v>0</v>
      </c>
      <c r="AT6" s="156">
        <f t="shared" si="21"/>
        <v>-3.7164140875511897E-3</v>
      </c>
      <c r="AU6" s="156">
        <f t="shared" si="22"/>
        <v>1.2732301652125466E-2</v>
      </c>
      <c r="AV6" s="156">
        <f t="shared" si="23"/>
        <v>1.6936122587958513E-2</v>
      </c>
      <c r="AW6" s="156">
        <f t="shared" si="24"/>
        <v>2.6056584432333718E-2</v>
      </c>
      <c r="AY6" s="41">
        <f>'TRC-Plus'!AJ7</f>
        <v>0.66493027892176271</v>
      </c>
      <c r="AZ6" s="41">
        <v>1.141877528486047</v>
      </c>
      <c r="BA6" s="41">
        <v>1.192357980877488</v>
      </c>
      <c r="BB6" s="41">
        <v>1.2334063991338469</v>
      </c>
      <c r="BC6" s="41">
        <v>1.2700261090742855</v>
      </c>
      <c r="BE6" s="156">
        <f t="shared" si="25"/>
        <v>0.71728911238286841</v>
      </c>
      <c r="BF6" s="156">
        <f t="shared" si="26"/>
        <v>4.420828953379119E-2</v>
      </c>
      <c r="BG6" s="156">
        <f t="shared" si="27"/>
        <v>3.4426253620703839E-2</v>
      </c>
      <c r="BH6" s="156">
        <f t="shared" si="28"/>
        <v>2.9689897803477194E-2</v>
      </c>
      <c r="BI6" s="156">
        <f t="shared" si="29"/>
        <v>0.11222620411677919</v>
      </c>
      <c r="BK6" s="41">
        <v>0.65375016538256658</v>
      </c>
      <c r="BL6" s="41">
        <v>1.1563039394833827</v>
      </c>
      <c r="BM6" s="41">
        <v>1.2038478988814336</v>
      </c>
      <c r="BN6" s="41">
        <v>1.2294685573860087</v>
      </c>
      <c r="BO6" s="41">
        <v>1.2465007336278702</v>
      </c>
      <c r="BQ6" s="156">
        <f t="shared" si="30"/>
        <v>0.76872450778919177</v>
      </c>
      <c r="BR6" s="156">
        <f t="shared" si="31"/>
        <v>4.111718188843394E-2</v>
      </c>
      <c r="BS6" s="156">
        <f t="shared" si="32"/>
        <v>2.1282305288218506E-2</v>
      </c>
      <c r="BT6" s="156">
        <f t="shared" si="33"/>
        <v>1.3853283306466846E-2</v>
      </c>
      <c r="BU6" s="156">
        <f t="shared" si="34"/>
        <v>7.8004399245397149E-2</v>
      </c>
    </row>
    <row r="7" spans="1:73" x14ac:dyDescent="0.25">
      <c r="A7" s="33">
        <v>4</v>
      </c>
      <c r="B7" s="39" t="s">
        <v>31</v>
      </c>
      <c r="C7" s="191" t="s">
        <v>315</v>
      </c>
      <c r="D7" s="191">
        <f>_xlfn.XLOOKUP($B7,'Budget by Cost Category'!$AR:$AR,'Budget by Cost Category'!$AW:$AW,0)</f>
        <v>9304600</v>
      </c>
      <c r="E7" s="191">
        <f>_xlfn.XLOOKUP($B7,'Budget by Cost Category'!$AY:$AY,'Budget by Cost Category'!$BD:$BD,0)</f>
        <v>8998279</v>
      </c>
      <c r="F7" s="191">
        <f>_xlfn.XLOOKUP($B7,'Budget by Cost Category'!$BF:$BF,'Budget by Cost Category'!$BK:$BK,0)</f>
        <v>9225360</v>
      </c>
      <c r="G7" s="191">
        <f>_xlfn.XLOOKUP($B7,'Budget by Cost Category'!$BM:$BM,'Budget by Cost Category'!$BR:$BR,0)</f>
        <v>9453610</v>
      </c>
      <c r="I7" s="156">
        <f t="shared" si="5"/>
        <v>0</v>
      </c>
      <c r="J7" s="156">
        <f t="shared" si="6"/>
        <v>-3.2921458203469256E-2</v>
      </c>
      <c r="K7" s="156">
        <f t="shared" si="7"/>
        <v>2.5236047915384807E-2</v>
      </c>
      <c r="L7" s="156">
        <f t="shared" si="8"/>
        <v>2.4741581900326937E-2</v>
      </c>
      <c r="M7" s="156">
        <f t="shared" si="9"/>
        <v>1.6014659415772847E-2</v>
      </c>
      <c r="O7" s="196" t="s">
        <v>315</v>
      </c>
      <c r="P7" s="196">
        <f>_xlfn.XLOOKUP($B7,'Budget by Cost Category'!$AR:$AR,'Budget by Cost Category'!$AS:$AS,0)</f>
        <v>7650000</v>
      </c>
      <c r="Q7" s="196">
        <f>_xlfn.XLOOKUP($B7,'Budget by Cost Category'!$AY:$AY,'Budget by Cost Category'!$AZ:$AZ,0)</f>
        <v>7813200</v>
      </c>
      <c r="R7" s="196">
        <f>_xlfn.XLOOKUP($B7,'Budget by Cost Category'!$BF:$BF,'Budget by Cost Category'!$BG:$BG,0)</f>
        <v>7985070</v>
      </c>
      <c r="S7" s="196">
        <f>_xlfn.XLOOKUP($B7,'Budget by Cost Category'!$BM:$BM,'Budget by Cost Category'!$BN:$BN,0)</f>
        <v>8150077</v>
      </c>
      <c r="U7" s="156">
        <f t="shared" si="10"/>
        <v>0</v>
      </c>
      <c r="V7" s="156">
        <f t="shared" si="11"/>
        <v>2.1333333333333426E-2</v>
      </c>
      <c r="W7" s="156">
        <f t="shared" si="12"/>
        <v>2.199738903394266E-2</v>
      </c>
      <c r="X7" s="156">
        <f t="shared" si="13"/>
        <v>2.0664440011170848E-2</v>
      </c>
      <c r="Y7" s="156">
        <f t="shared" si="14"/>
        <v>6.5369542483660226E-2</v>
      </c>
      <c r="AA7" s="201"/>
      <c r="AB7" s="201">
        <f>_xlfn.XLOOKUP($B7,'Savings by Offer'!AF:AF,'Savings by Offer'!AH:AH)</f>
        <v>4647327.5999999996</v>
      </c>
      <c r="AC7" s="201">
        <f>_xlfn.XLOOKUP($B7,'Savings by Offer'!AK:AK,'Savings by Offer'!AM:AM)</f>
        <v>4652095.5999999996</v>
      </c>
      <c r="AD7" s="201">
        <f>_xlfn.XLOOKUP($B7,'Savings by Offer'!AP:AP,'Savings by Offer'!AR:AR)</f>
        <v>4659247.5999999996</v>
      </c>
      <c r="AE7" s="201">
        <f>_xlfn.XLOOKUP($B7,'Savings by Offer'!AU:AU,'Savings by Offer'!AW:AW)</f>
        <v>4661631.5999999996</v>
      </c>
      <c r="AG7" s="156">
        <f t="shared" si="15"/>
        <v>0</v>
      </c>
      <c r="AH7" s="156">
        <f t="shared" si="16"/>
        <v>1.0259659766616025E-3</v>
      </c>
      <c r="AI7" s="156">
        <f t="shared" si="17"/>
        <v>1.5373716739612853E-3</v>
      </c>
      <c r="AJ7" s="156">
        <f t="shared" si="18"/>
        <v>5.1167059677181825E-4</v>
      </c>
      <c r="AK7" s="156">
        <f t="shared" si="19"/>
        <v>3.0778979299845854E-3</v>
      </c>
      <c r="AM7" s="40">
        <f t="shared" si="0"/>
        <v>0</v>
      </c>
      <c r="AN7" s="40">
        <f t="shared" si="1"/>
        <v>2.0021398964858861</v>
      </c>
      <c r="AO7" s="40">
        <f t="shared" si="2"/>
        <v>1.9342420650168928</v>
      </c>
      <c r="AP7" s="40">
        <f t="shared" si="3"/>
        <v>1.9800106781189308</v>
      </c>
      <c r="AQ7" s="40">
        <f t="shared" si="4"/>
        <v>2.0279616261396547</v>
      </c>
      <c r="AS7" s="156">
        <f t="shared" si="20"/>
        <v>0</v>
      </c>
      <c r="AT7" s="156">
        <f t="shared" si="21"/>
        <v>-3.3912630974571867E-2</v>
      </c>
      <c r="AU7" s="156">
        <f t="shared" si="22"/>
        <v>2.3662298493978051E-2</v>
      </c>
      <c r="AV7" s="156">
        <f t="shared" si="23"/>
        <v>2.4217519910689989E-2</v>
      </c>
      <c r="AW7" s="156">
        <f t="shared" si="24"/>
        <v>1.2897065634169813E-2</v>
      </c>
      <c r="AY7" s="49">
        <v>0</v>
      </c>
      <c r="AZ7" s="41">
        <v>0.80273425542520949</v>
      </c>
      <c r="BA7" s="41">
        <v>0.78506974499550553</v>
      </c>
      <c r="BB7" s="41">
        <v>0.74946465499227499</v>
      </c>
      <c r="BC7" s="41">
        <v>0.77038466292738905</v>
      </c>
      <c r="BE7" s="156">
        <f t="shared" si="25"/>
        <v>0</v>
      </c>
      <c r="BF7" s="156">
        <f t="shared" si="26"/>
        <v>-2.2005427462849503E-2</v>
      </c>
      <c r="BG7" s="156">
        <f t="shared" si="27"/>
        <v>-4.535277308824881E-2</v>
      </c>
      <c r="BH7" s="156">
        <f t="shared" si="28"/>
        <v>2.7913268218538789E-2</v>
      </c>
      <c r="BI7" s="156">
        <f t="shared" si="29"/>
        <v>-4.0299255051330585E-2</v>
      </c>
      <c r="BK7" s="41">
        <v>0</v>
      </c>
      <c r="BL7" s="41">
        <v>1.797863667419497</v>
      </c>
      <c r="BM7" s="41">
        <v>1.9362364612348673</v>
      </c>
      <c r="BN7" s="41">
        <v>1.9597138265125285</v>
      </c>
      <c r="BO7" s="41">
        <v>1.9757922748877572</v>
      </c>
      <c r="BQ7" s="156">
        <f t="shared" si="30"/>
        <v>0</v>
      </c>
      <c r="BR7" s="156">
        <f t="shared" si="31"/>
        <v>7.6965120505482432E-2</v>
      </c>
      <c r="BS7" s="156">
        <f t="shared" si="32"/>
        <v>1.2125257295634295E-2</v>
      </c>
      <c r="BT7" s="156">
        <f t="shared" si="33"/>
        <v>8.2044878990530368E-3</v>
      </c>
      <c r="BU7" s="156">
        <f t="shared" si="34"/>
        <v>9.8966685123374365E-2</v>
      </c>
    </row>
    <row r="8" spans="1:73" x14ac:dyDescent="0.25">
      <c r="A8" s="33">
        <v>5</v>
      </c>
      <c r="B8" s="39" t="s">
        <v>30</v>
      </c>
      <c r="C8" s="191">
        <f>'Budget by Cost Category'!$AP9</f>
        <v>4519267.4139340799</v>
      </c>
      <c r="D8" s="191">
        <f>_xlfn.XLOOKUP($B8,'Budget by Cost Category'!$AR:$AR,'Budget by Cost Category'!$AW:$AW,0)</f>
        <v>6083993</v>
      </c>
      <c r="E8" s="191">
        <f>_xlfn.XLOOKUP($B8,'Budget by Cost Category'!$AY:$AY,'Budget by Cost Category'!$BD:$BD,0)</f>
        <v>6123301</v>
      </c>
      <c r="F8" s="191">
        <f>_xlfn.XLOOKUP($B8,'Budget by Cost Category'!$BF:$BF,'Budget by Cost Category'!$BK:$BK,0)</f>
        <v>6268247</v>
      </c>
      <c r="G8" s="191">
        <f>_xlfn.XLOOKUP($B8,'Budget by Cost Category'!$BM:$BM,'Budget by Cost Category'!$BR:$BR,0)</f>
        <v>6397663</v>
      </c>
      <c r="I8" s="156">
        <f t="shared" si="5"/>
        <v>0.34623434347820692</v>
      </c>
      <c r="J8" s="156">
        <f t="shared" si="6"/>
        <v>6.4608884329748761E-3</v>
      </c>
      <c r="K8" s="156">
        <f t="shared" si="7"/>
        <v>2.3671219167569868E-2</v>
      </c>
      <c r="L8" s="156">
        <f t="shared" si="8"/>
        <v>2.0646282764543278E-2</v>
      </c>
      <c r="M8" s="156">
        <f t="shared" si="9"/>
        <v>5.1556601067752617E-2</v>
      </c>
      <c r="O8" s="196">
        <f>'Budget by Cost Category'!$AL9</f>
        <v>3165544.5270527997</v>
      </c>
      <c r="P8" s="196">
        <f>_xlfn.XLOOKUP($B8,'Budget by Cost Category'!$AR:$AR,'Budget by Cost Category'!$AS:$AS,0)</f>
        <v>3089600</v>
      </c>
      <c r="Q8" s="196">
        <f>_xlfn.XLOOKUP($B8,'Budget by Cost Category'!$AY:$AY,'Budget by Cost Category'!$AZ:$AZ,0)</f>
        <v>3165902</v>
      </c>
      <c r="R8" s="196">
        <f>_xlfn.XLOOKUP($B8,'Budget by Cost Category'!$BF:$BF,'Budget by Cost Category'!$BG:$BG,0)</f>
        <v>3266180</v>
      </c>
      <c r="S8" s="196">
        <f>_xlfn.XLOOKUP($B8,'Budget by Cost Category'!$BM:$BM,'Budget by Cost Category'!$BN:$BN,0)</f>
        <v>3369229</v>
      </c>
      <c r="U8" s="156">
        <f t="shared" si="10"/>
        <v>-2.3990983669247568E-2</v>
      </c>
      <c r="V8" s="156">
        <f t="shared" si="11"/>
        <v>2.4696400828586151E-2</v>
      </c>
      <c r="W8" s="156">
        <f t="shared" si="12"/>
        <v>3.1674385372636227E-2</v>
      </c>
      <c r="X8" s="156">
        <f t="shared" si="13"/>
        <v>3.1550312597591113E-2</v>
      </c>
      <c r="Y8" s="156">
        <f t="shared" si="14"/>
        <v>9.0506538063179764E-2</v>
      </c>
      <c r="AA8" s="201"/>
      <c r="AB8" s="201">
        <f>_xlfn.XLOOKUP($B8,'Savings by Offer'!AF:AF,'Savings by Offer'!AH:AH)</f>
        <v>3150352</v>
      </c>
      <c r="AC8" s="201">
        <f>_xlfn.XLOOKUP($B8,'Savings by Offer'!AK:AK,'Savings by Offer'!AM:AM)</f>
        <v>3150352.0000000005</v>
      </c>
      <c r="AD8" s="201">
        <f>_xlfn.XLOOKUP($B8,'Savings by Offer'!AP:AP,'Savings by Offer'!AR:AR)</f>
        <v>3150352.0000000009</v>
      </c>
      <c r="AE8" s="201">
        <f>_xlfn.XLOOKUP($B8,'Savings by Offer'!AU:AU,'Savings by Offer'!AW:AW)</f>
        <v>3150352.0000000005</v>
      </c>
      <c r="AG8" s="156">
        <f t="shared" si="15"/>
        <v>0</v>
      </c>
      <c r="AH8" s="156">
        <f t="shared" si="16"/>
        <v>2.2204460492503131E-16</v>
      </c>
      <c r="AI8" s="156">
        <f t="shared" si="17"/>
        <v>2.2204460492503131E-16</v>
      </c>
      <c r="AJ8" s="156">
        <f t="shared" si="18"/>
        <v>-1.1102230246251565E-16</v>
      </c>
      <c r="AK8" s="156">
        <f t="shared" si="19"/>
        <v>2.2204460492503131E-16</v>
      </c>
      <c r="AM8" s="40">
        <f t="shared" si="0"/>
        <v>0</v>
      </c>
      <c r="AN8" s="40">
        <f t="shared" si="1"/>
        <v>1.9312105440915808</v>
      </c>
      <c r="AO8" s="40">
        <f t="shared" si="2"/>
        <v>1.943687879957541</v>
      </c>
      <c r="AP8" s="40">
        <f t="shared" si="3"/>
        <v>1.9896973417573649</v>
      </c>
      <c r="AQ8" s="40">
        <f t="shared" si="4"/>
        <v>2.0307771956911478</v>
      </c>
      <c r="AS8" s="156">
        <f t="shared" si="20"/>
        <v>0</v>
      </c>
      <c r="AT8" s="156">
        <f t="shared" si="21"/>
        <v>6.4608884329748761E-3</v>
      </c>
      <c r="AU8" s="156">
        <f t="shared" si="22"/>
        <v>2.3671219167569646E-2</v>
      </c>
      <c r="AV8" s="156">
        <f t="shared" si="23"/>
        <v>2.06462827645435E-2</v>
      </c>
      <c r="AW8" s="156">
        <f t="shared" si="24"/>
        <v>5.1556601067752617E-2</v>
      </c>
      <c r="AY8" s="41">
        <f>'TRC-Plus'!AJ8</f>
        <v>1.8021789812903681</v>
      </c>
      <c r="AZ8" s="41">
        <v>1.8413352594684789</v>
      </c>
      <c r="BA8" s="41">
        <v>1.922019501580347</v>
      </c>
      <c r="BB8" s="41">
        <v>1.980177325742458</v>
      </c>
      <c r="BC8" s="41">
        <v>1.9863631907245853</v>
      </c>
      <c r="BE8" s="156">
        <f t="shared" si="25"/>
        <v>2.1727186136681453E-2</v>
      </c>
      <c r="BF8" s="156">
        <f t="shared" si="26"/>
        <v>4.3818333297521495E-2</v>
      </c>
      <c r="BG8" s="156">
        <f t="shared" si="27"/>
        <v>3.0258706591838269E-2</v>
      </c>
      <c r="BH8" s="156">
        <f t="shared" si="28"/>
        <v>3.1238944622336007E-3</v>
      </c>
      <c r="BI8" s="156">
        <f t="shared" si="29"/>
        <v>7.8762371225091554E-2</v>
      </c>
      <c r="BK8" s="41">
        <v>3.1130598088239427</v>
      </c>
      <c r="BL8" s="41">
        <v>1.2706471517824678</v>
      </c>
      <c r="BM8" s="41">
        <v>1.3165422773244759</v>
      </c>
      <c r="BN8" s="41">
        <v>1.33318500949464</v>
      </c>
      <c r="BO8" s="41">
        <v>1.3458889722446103</v>
      </c>
      <c r="BQ8" s="156">
        <f t="shared" si="30"/>
        <v>-0.59183336337425041</v>
      </c>
      <c r="BR8" s="156">
        <f t="shared" si="31"/>
        <v>3.6119488779891684E-2</v>
      </c>
      <c r="BS8" s="156">
        <f t="shared" si="32"/>
        <v>1.2641244004701457E-2</v>
      </c>
      <c r="BT8" s="156">
        <f t="shared" si="33"/>
        <v>9.5290320994427802E-3</v>
      </c>
      <c r="BU8" s="156">
        <f t="shared" si="34"/>
        <v>5.9215353653918168E-2</v>
      </c>
    </row>
    <row r="9" spans="1:73" x14ac:dyDescent="0.25">
      <c r="A9" s="33">
        <v>6</v>
      </c>
      <c r="B9" s="39" t="s">
        <v>32</v>
      </c>
      <c r="C9" s="191" t="s">
        <v>315</v>
      </c>
      <c r="D9" s="191">
        <f>_xlfn.XLOOKUP($B9,'Budget by Cost Category'!$AR:$AR,'Budget by Cost Category'!$AW:$AW,0)</f>
        <v>10875000</v>
      </c>
      <c r="E9" s="191">
        <f>_xlfn.XLOOKUP($B9,'Budget by Cost Category'!$AY:$AY,'Budget by Cost Category'!$BD:$BD,0)</f>
        <v>12762570</v>
      </c>
      <c r="F9" s="191">
        <f>_xlfn.XLOOKUP($B9,'Budget by Cost Category'!$BF:$BF,'Budget by Cost Category'!$BK:$BK,0)</f>
        <v>14512935</v>
      </c>
      <c r="G9" s="191">
        <f>_xlfn.XLOOKUP($B9,'Budget by Cost Category'!$BM:$BM,'Budget by Cost Category'!$BR:$BR,0)</f>
        <v>16327928</v>
      </c>
      <c r="I9" s="156">
        <f t="shared" si="5"/>
        <v>0</v>
      </c>
      <c r="J9" s="156">
        <f t="shared" si="6"/>
        <v>0.17356965517241374</v>
      </c>
      <c r="K9" s="156">
        <f t="shared" si="7"/>
        <v>0.13714831730599708</v>
      </c>
      <c r="L9" s="156">
        <f t="shared" si="8"/>
        <v>0.12506036856087355</v>
      </c>
      <c r="M9" s="156">
        <f t="shared" si="9"/>
        <v>0.50141866666666668</v>
      </c>
      <c r="O9" s="196" t="s">
        <v>315</v>
      </c>
      <c r="P9" s="196">
        <f>_xlfn.XLOOKUP($B9,'Budget by Cost Category'!$AR:$AR,'Budget by Cost Category'!$AS:$AS,0)</f>
        <v>10150000</v>
      </c>
      <c r="Q9" s="196">
        <f>_xlfn.XLOOKUP($B9,'Budget by Cost Category'!$AY:$AY,'Budget by Cost Category'!$AZ:$AZ,0)</f>
        <v>11770800</v>
      </c>
      <c r="R9" s="196">
        <f>_xlfn.XLOOKUP($B9,'Budget by Cost Category'!$BF:$BF,'Budget by Cost Category'!$BG:$BG,0)</f>
        <v>13452372</v>
      </c>
      <c r="S9" s="196">
        <f>_xlfn.XLOOKUP($B9,'Budget by Cost Category'!$BM:$BM,'Budget by Cost Category'!$BN:$BN,0)</f>
        <v>15196499</v>
      </c>
      <c r="U9" s="156">
        <f t="shared" si="10"/>
        <v>0</v>
      </c>
      <c r="V9" s="156">
        <f t="shared" si="11"/>
        <v>0.1596847290640393</v>
      </c>
      <c r="W9" s="156">
        <f t="shared" si="12"/>
        <v>0.14285961871750441</v>
      </c>
      <c r="X9" s="156">
        <f t="shared" si="13"/>
        <v>0.12965200486575901</v>
      </c>
      <c r="Y9" s="156">
        <f t="shared" si="14"/>
        <v>0.4971920197044335</v>
      </c>
      <c r="AA9" s="201"/>
      <c r="AB9" s="201">
        <f>_xlfn.XLOOKUP($B9,'Savings by Offer'!AF:AF,'Savings by Offer'!AH:AH)</f>
        <v>1869025</v>
      </c>
      <c r="AC9" s="201">
        <f>_xlfn.XLOOKUP($B9,'Savings by Offer'!AK:AK,'Savings by Offer'!AM:AM)</f>
        <v>2105990</v>
      </c>
      <c r="AD9" s="201">
        <f>_xlfn.XLOOKUP($B9,'Savings by Offer'!AP:AP,'Savings by Offer'!AR:AR)</f>
        <v>2342955</v>
      </c>
      <c r="AE9" s="201">
        <f>_xlfn.XLOOKUP($B9,'Savings by Offer'!AU:AU,'Savings by Offer'!AW:AW)</f>
        <v>2579920</v>
      </c>
      <c r="AG9" s="156">
        <f t="shared" si="15"/>
        <v>0</v>
      </c>
      <c r="AH9" s="156">
        <f t="shared" si="16"/>
        <v>0.12678535600112362</v>
      </c>
      <c r="AI9" s="156">
        <f t="shared" si="17"/>
        <v>0.11251952763308459</v>
      </c>
      <c r="AJ9" s="156">
        <f t="shared" si="18"/>
        <v>0.10113937314203647</v>
      </c>
      <c r="AK9" s="156">
        <f t="shared" si="19"/>
        <v>0.38035606800337085</v>
      </c>
      <c r="AM9" s="40">
        <f t="shared" si="0"/>
        <v>0</v>
      </c>
      <c r="AN9" s="40">
        <f t="shared" si="1"/>
        <v>5.8185417530530623</v>
      </c>
      <c r="AO9" s="40">
        <f t="shared" si="2"/>
        <v>6.0601284906386068</v>
      </c>
      <c r="AP9" s="40">
        <f t="shared" si="3"/>
        <v>6.1942867020493351</v>
      </c>
      <c r="AQ9" s="40">
        <f t="shared" si="4"/>
        <v>6.328850506992465</v>
      </c>
      <c r="AS9" s="156">
        <f t="shared" si="20"/>
        <v>0</v>
      </c>
      <c r="AT9" s="156">
        <f t="shared" si="21"/>
        <v>4.1520151927891602E-2</v>
      </c>
      <c r="AU9" s="156">
        <f t="shared" si="22"/>
        <v>2.2137849324147085E-2</v>
      </c>
      <c r="AV9" s="156">
        <f t="shared" si="23"/>
        <v>2.1723858034955024E-2</v>
      </c>
      <c r="AW9" s="156">
        <f t="shared" si="24"/>
        <v>8.7703891386813115E-2</v>
      </c>
      <c r="AY9" s="49">
        <v>0</v>
      </c>
      <c r="AZ9" s="41">
        <v>1.705775668265493</v>
      </c>
      <c r="BA9" s="41">
        <v>1.7304649896515933</v>
      </c>
      <c r="BB9" s="41">
        <v>1.7933521167000448</v>
      </c>
      <c r="BC9" s="41">
        <v>1.8394207615628462</v>
      </c>
      <c r="BE9" s="156">
        <f t="shared" si="25"/>
        <v>0</v>
      </c>
      <c r="BF9" s="156">
        <f t="shared" si="26"/>
        <v>1.4473955658662607E-2</v>
      </c>
      <c r="BG9" s="156">
        <f t="shared" si="27"/>
        <v>3.6341172704749791E-2</v>
      </c>
      <c r="BH9" s="156">
        <f t="shared" si="28"/>
        <v>2.5688566363404775E-2</v>
      </c>
      <c r="BI9" s="156">
        <f t="shared" si="29"/>
        <v>7.8348575245682506E-2</v>
      </c>
      <c r="BK9" s="41">
        <v>0</v>
      </c>
      <c r="BL9" s="41">
        <v>0.77340654795743524</v>
      </c>
      <c r="BM9" s="41">
        <v>0.77605464160953341</v>
      </c>
      <c r="BN9" s="41">
        <v>0.78963884412785845</v>
      </c>
      <c r="BO9" s="41">
        <v>0.80003253367035132</v>
      </c>
      <c r="BQ9" s="156">
        <f t="shared" si="30"/>
        <v>0</v>
      </c>
      <c r="BR9" s="156">
        <f t="shared" si="31"/>
        <v>3.4239348749913745E-3</v>
      </c>
      <c r="BS9" s="156">
        <f t="shared" si="32"/>
        <v>1.7504183069057433E-2</v>
      </c>
      <c r="BT9" s="156">
        <f t="shared" si="33"/>
        <v>1.3162586440352397E-2</v>
      </c>
      <c r="BU9" s="156">
        <f t="shared" si="34"/>
        <v>3.4426894604442149E-2</v>
      </c>
    </row>
    <row r="10" spans="1:73" x14ac:dyDescent="0.25">
      <c r="A10" s="33">
        <v>7</v>
      </c>
      <c r="B10" s="39" t="s">
        <v>33</v>
      </c>
      <c r="C10" s="191" t="s">
        <v>315</v>
      </c>
      <c r="D10" s="191">
        <f>_xlfn.XLOOKUP($B10,'Budget by Cost Category'!$AR:$AR,'Budget by Cost Category'!$AW:$AW,0)</f>
        <v>2460000</v>
      </c>
      <c r="E10" s="191">
        <f>_xlfn.XLOOKUP($B10,'Budget by Cost Category'!$AY:$AY,'Budget by Cost Category'!$BD:$BD,0)</f>
        <v>2644720</v>
      </c>
      <c r="F10" s="191">
        <f>_xlfn.XLOOKUP($B10,'Budget by Cost Category'!$BF:$BF,'Budget by Cost Category'!$BK:$BK,0)</f>
        <v>3000618</v>
      </c>
      <c r="G10" s="191">
        <f>_xlfn.XLOOKUP($B10,'Budget by Cost Category'!$BM:$BM,'Budget by Cost Category'!$BR:$BR,0)</f>
        <v>3367977</v>
      </c>
      <c r="I10" s="156">
        <f t="shared" si="5"/>
        <v>0</v>
      </c>
      <c r="J10" s="156">
        <f t="shared" si="6"/>
        <v>7.5089430894308862E-2</v>
      </c>
      <c r="K10" s="156">
        <f t="shared" si="7"/>
        <v>0.1345692549683899</v>
      </c>
      <c r="L10" s="156">
        <f t="shared" si="8"/>
        <v>0.12242777987734521</v>
      </c>
      <c r="M10" s="156">
        <f t="shared" si="9"/>
        <v>0.36909634146341452</v>
      </c>
      <c r="O10" s="196" t="s">
        <v>315</v>
      </c>
      <c r="P10" s="196">
        <f>_xlfn.XLOOKUP($B10,'Budget by Cost Category'!$AR:$AR,'Budget by Cost Category'!$AS:$AS,0)</f>
        <v>0</v>
      </c>
      <c r="Q10" s="196">
        <f>_xlfn.XLOOKUP($B10,'Budget by Cost Category'!$AY:$AY,'Budget by Cost Category'!$AZ:$AZ,0)</f>
        <v>0</v>
      </c>
      <c r="R10" s="196">
        <f>_xlfn.XLOOKUP($B10,'Budget by Cost Category'!$BF:$BF,'Budget by Cost Category'!$BG:$BG,0)</f>
        <v>0</v>
      </c>
      <c r="S10" s="196">
        <f>_xlfn.XLOOKUP($B10,'Budget by Cost Category'!$BM:$BM,'Budget by Cost Category'!$BN:$BN,0)</f>
        <v>0</v>
      </c>
      <c r="U10" s="156">
        <f t="shared" si="10"/>
        <v>0</v>
      </c>
      <c r="V10" s="156">
        <f t="shared" si="11"/>
        <v>0</v>
      </c>
      <c r="W10" s="156">
        <f t="shared" si="12"/>
        <v>0</v>
      </c>
      <c r="X10" s="156">
        <f t="shared" si="13"/>
        <v>0</v>
      </c>
      <c r="Y10" s="156">
        <f t="shared" si="14"/>
        <v>0</v>
      </c>
      <c r="AA10" s="201"/>
      <c r="AB10" s="201">
        <f>_xlfn.XLOOKUP($B10,'Savings by Offer'!AF:AF,'Savings by Offer'!AH:AH)</f>
        <v>2527500</v>
      </c>
      <c r="AC10" s="201">
        <f>_xlfn.XLOOKUP($B10,'Savings by Offer'!AK:AK,'Savings by Offer'!AM:AM)</f>
        <v>4557000</v>
      </c>
      <c r="AD10" s="201">
        <f>_xlfn.XLOOKUP($B10,'Savings by Offer'!AP:AP,'Savings by Offer'!AR:AR)</f>
        <v>5738000</v>
      </c>
      <c r="AE10" s="201">
        <f>_xlfn.XLOOKUP($B10,'Savings by Offer'!AU:AU,'Savings by Offer'!AW:AW)</f>
        <v>6741000</v>
      </c>
      <c r="AG10" s="156">
        <f t="shared" si="15"/>
        <v>0</v>
      </c>
      <c r="AH10" s="156">
        <f t="shared" si="16"/>
        <v>0.80296735905044514</v>
      </c>
      <c r="AI10" s="156">
        <f t="shared" si="17"/>
        <v>0.25916172920781211</v>
      </c>
      <c r="AJ10" s="156">
        <f t="shared" si="18"/>
        <v>0.17479958173579635</v>
      </c>
      <c r="AK10" s="156">
        <f t="shared" si="19"/>
        <v>1.6670623145400594</v>
      </c>
      <c r="AM10" s="40">
        <f t="shared" si="0"/>
        <v>0</v>
      </c>
      <c r="AN10" s="40">
        <f t="shared" si="1"/>
        <v>0.97329376854599403</v>
      </c>
      <c r="AO10" s="40">
        <f t="shared" si="2"/>
        <v>0.58036427474215491</v>
      </c>
      <c r="AP10" s="40">
        <f t="shared" si="3"/>
        <v>0.52293795747647265</v>
      </c>
      <c r="AQ10" s="40">
        <f t="shared" si="4"/>
        <v>0.49962572318647086</v>
      </c>
      <c r="AS10" s="156">
        <f t="shared" si="20"/>
        <v>0</v>
      </c>
      <c r="AT10" s="156">
        <f t="shared" si="21"/>
        <v>-0.40371109576796882</v>
      </c>
      <c r="AU10" s="156">
        <f t="shared" si="22"/>
        <v>-9.8948746097777485E-2</v>
      </c>
      <c r="AV10" s="156">
        <f t="shared" si="23"/>
        <v>-4.4579350105888316E-2</v>
      </c>
      <c r="AW10" s="156">
        <f t="shared" si="24"/>
        <v>-0.48666503440902231</v>
      </c>
      <c r="AY10" s="49">
        <v>0</v>
      </c>
      <c r="AZ10" s="41">
        <v>0.38673731563867203</v>
      </c>
      <c r="BA10" s="41">
        <v>0.63747877447385359</v>
      </c>
      <c r="BB10" s="41">
        <v>0.77768651348492956</v>
      </c>
      <c r="BC10" s="41">
        <v>0.86345160929967735</v>
      </c>
      <c r="BE10" s="156">
        <f t="shared" si="25"/>
        <v>0</v>
      </c>
      <c r="BF10" s="156">
        <f t="shared" si="26"/>
        <v>0.64835082805779432</v>
      </c>
      <c r="BG10" s="156">
        <f t="shared" si="27"/>
        <v>0.21994103117675912</v>
      </c>
      <c r="BH10" s="156">
        <f t="shared" si="28"/>
        <v>0.11028234941406079</v>
      </c>
      <c r="BI10" s="156">
        <f t="shared" si="29"/>
        <v>1.2326565717449376</v>
      </c>
      <c r="BK10" s="41">
        <v>0</v>
      </c>
      <c r="BL10" s="41">
        <v>0.25292733473931006</v>
      </c>
      <c r="BM10" s="41">
        <v>0.46501980884634003</v>
      </c>
      <c r="BN10" s="41">
        <v>0.56659334254350058</v>
      </c>
      <c r="BO10" s="41">
        <v>0.63664687517497032</v>
      </c>
      <c r="BQ10" s="156">
        <f t="shared" si="30"/>
        <v>0</v>
      </c>
      <c r="BR10" s="156">
        <f t="shared" si="31"/>
        <v>0.83855101832165269</v>
      </c>
      <c r="BS10" s="156">
        <f t="shared" si="32"/>
        <v>0.21842840189787327</v>
      </c>
      <c r="BT10" s="156">
        <f t="shared" si="33"/>
        <v>0.12363987955981215</v>
      </c>
      <c r="BU10" s="156">
        <f t="shared" si="34"/>
        <v>1.5171137624612876</v>
      </c>
    </row>
    <row r="11" spans="1:73" x14ac:dyDescent="0.25">
      <c r="A11" s="33">
        <v>8</v>
      </c>
      <c r="B11" s="42" t="s">
        <v>35</v>
      </c>
      <c r="C11" s="191">
        <f>'Budget by Cost Category'!AO5</f>
        <v>2027023</v>
      </c>
      <c r="D11" s="191">
        <f>'Budget by Cost Category'!AV5</f>
        <v>2573738</v>
      </c>
      <c r="E11" s="191">
        <f>'Budget by Cost Category'!BC5</f>
        <v>2618006</v>
      </c>
      <c r="F11" s="191">
        <f>'Budget by Cost Category'!BJ5</f>
        <v>2663036</v>
      </c>
      <c r="G11" s="191">
        <f>'Budget by Cost Category'!BQ5</f>
        <v>2708841</v>
      </c>
      <c r="I11" s="156">
        <f t="shared" si="5"/>
        <v>0.26971326916369476</v>
      </c>
      <c r="J11" s="156">
        <f t="shared" si="6"/>
        <v>1.7199885924674474E-2</v>
      </c>
      <c r="K11" s="156">
        <f t="shared" si="7"/>
        <v>1.7200113368724068E-2</v>
      </c>
      <c r="L11" s="156">
        <f t="shared" si="8"/>
        <v>1.7200293199190808E-2</v>
      </c>
      <c r="M11" s="156">
        <f t="shared" si="9"/>
        <v>5.2492911088852123E-2</v>
      </c>
      <c r="O11" s="196">
        <v>0</v>
      </c>
      <c r="P11" s="196">
        <f>_xlfn.XLOOKUP($B11,'Budget by Cost Category'!$AR:$AR,'Budget by Cost Category'!$AS:$AS,0)</f>
        <v>0</v>
      </c>
      <c r="Q11" s="196">
        <f>_xlfn.XLOOKUP($B11,'Budget by Cost Category'!$AY:$AY,'Budget by Cost Category'!$AZ:$AZ,0)</f>
        <v>0</v>
      </c>
      <c r="R11" s="196">
        <f>_xlfn.XLOOKUP($B11,'Budget by Cost Category'!$BF:$BF,'Budget by Cost Category'!$BG:$BG,0)</f>
        <v>0</v>
      </c>
      <c r="S11" s="196">
        <f>_xlfn.XLOOKUP($B11,'Budget by Cost Category'!$BM:$BM,'Budget by Cost Category'!$BN:$BN,0)</f>
        <v>0</v>
      </c>
      <c r="U11" s="156">
        <f t="shared" si="10"/>
        <v>0</v>
      </c>
      <c r="V11" s="156">
        <f t="shared" si="11"/>
        <v>0</v>
      </c>
      <c r="W11" s="156">
        <f t="shared" si="12"/>
        <v>0</v>
      </c>
      <c r="X11" s="156">
        <f t="shared" si="13"/>
        <v>0</v>
      </c>
      <c r="Y11" s="156">
        <f t="shared" si="14"/>
        <v>0</v>
      </c>
      <c r="AA11" s="201"/>
      <c r="AB11" s="201">
        <v>0</v>
      </c>
      <c r="AC11" s="201">
        <v>0</v>
      </c>
      <c r="AD11" s="201">
        <v>0</v>
      </c>
      <c r="AE11" s="201">
        <v>0</v>
      </c>
      <c r="AG11" s="156">
        <f t="shared" si="15"/>
        <v>0</v>
      </c>
      <c r="AH11" s="156">
        <f t="shared" si="16"/>
        <v>0</v>
      </c>
      <c r="AI11" s="156">
        <f t="shared" si="17"/>
        <v>0</v>
      </c>
      <c r="AJ11" s="156">
        <f t="shared" si="18"/>
        <v>0</v>
      </c>
      <c r="AK11" s="156">
        <f t="shared" si="19"/>
        <v>0</v>
      </c>
      <c r="AM11" s="40">
        <f t="shared" si="0"/>
        <v>0</v>
      </c>
      <c r="AN11" s="40">
        <f t="shared" si="1"/>
        <v>0</v>
      </c>
      <c r="AO11" s="40">
        <f t="shared" si="2"/>
        <v>0</v>
      </c>
      <c r="AP11" s="40">
        <f t="shared" si="3"/>
        <v>0</v>
      </c>
      <c r="AQ11" s="40">
        <f t="shared" si="4"/>
        <v>0</v>
      </c>
      <c r="AS11" s="156">
        <f t="shared" si="20"/>
        <v>0</v>
      </c>
      <c r="AT11" s="156">
        <f t="shared" si="21"/>
        <v>0</v>
      </c>
      <c r="AU11" s="156">
        <f t="shared" si="22"/>
        <v>0</v>
      </c>
      <c r="AV11" s="156">
        <f t="shared" si="23"/>
        <v>0</v>
      </c>
      <c r="AW11" s="156">
        <f t="shared" si="24"/>
        <v>0</v>
      </c>
      <c r="AY11" s="49">
        <v>0</v>
      </c>
      <c r="AZ11" s="41">
        <f>'TRC-Plus'!AP12</f>
        <v>0</v>
      </c>
      <c r="BA11" s="41">
        <v>0</v>
      </c>
      <c r="BB11" s="41">
        <v>0</v>
      </c>
      <c r="BC11" s="41">
        <v>0</v>
      </c>
      <c r="BE11" s="156">
        <f t="shared" si="25"/>
        <v>0</v>
      </c>
      <c r="BF11" s="156">
        <f t="shared" si="26"/>
        <v>0</v>
      </c>
      <c r="BG11" s="156">
        <f t="shared" si="27"/>
        <v>0</v>
      </c>
      <c r="BH11" s="156">
        <f t="shared" si="28"/>
        <v>0</v>
      </c>
      <c r="BI11" s="156">
        <f t="shared" si="29"/>
        <v>0</v>
      </c>
      <c r="BK11" s="41">
        <v>0</v>
      </c>
      <c r="BL11" s="41">
        <v>0</v>
      </c>
      <c r="BM11" s="41">
        <v>0</v>
      </c>
      <c r="BN11" s="41">
        <v>0</v>
      </c>
      <c r="BO11" s="41">
        <v>0</v>
      </c>
      <c r="BQ11" s="156">
        <f t="shared" si="30"/>
        <v>0</v>
      </c>
      <c r="BR11" s="156">
        <f t="shared" si="31"/>
        <v>0</v>
      </c>
      <c r="BS11" s="156">
        <f t="shared" si="32"/>
        <v>0</v>
      </c>
      <c r="BT11" s="156">
        <f t="shared" si="33"/>
        <v>0</v>
      </c>
      <c r="BU11" s="156">
        <f t="shared" si="34"/>
        <v>0</v>
      </c>
    </row>
    <row r="12" spans="1:73" s="38" customFormat="1" x14ac:dyDescent="0.25">
      <c r="A12" s="33">
        <v>9</v>
      </c>
      <c r="B12" s="6" t="s">
        <v>2</v>
      </c>
      <c r="C12" s="190">
        <f t="shared" ref="C12" si="35">SUM(C13:C15)</f>
        <v>26120530.411794331</v>
      </c>
      <c r="D12" s="190">
        <f t="shared" ref="D12:AB12" si="36">SUM(D13:D15)</f>
        <v>27336368</v>
      </c>
      <c r="E12" s="190">
        <f t="shared" si="36"/>
        <v>29790341</v>
      </c>
      <c r="F12" s="190">
        <f t="shared" si="36"/>
        <v>32879507</v>
      </c>
      <c r="G12" s="190">
        <f t="shared" si="36"/>
        <v>35656823</v>
      </c>
      <c r="H12"/>
      <c r="I12" s="155">
        <f t="shared" si="5"/>
        <v>4.6547201340776612E-2</v>
      </c>
      <c r="J12" s="155">
        <f t="shared" si="6"/>
        <v>8.9769533392292544E-2</v>
      </c>
      <c r="K12" s="155">
        <f t="shared" si="7"/>
        <v>0.10369689960917206</v>
      </c>
      <c r="L12" s="155">
        <f t="shared" si="8"/>
        <v>8.4469514704098136E-2</v>
      </c>
      <c r="M12" s="155">
        <f t="shared" si="9"/>
        <v>0.30437309740635632</v>
      </c>
      <c r="N12"/>
      <c r="O12" s="195">
        <f t="shared" ref="O12:P12" si="37">SUM(O13:O15)</f>
        <v>17743504.338452891</v>
      </c>
      <c r="P12" s="195">
        <f t="shared" si="37"/>
        <v>20424307</v>
      </c>
      <c r="Q12" s="195">
        <f t="shared" ref="Q12:S12" si="38">SUM(Q13:Q15)</f>
        <v>22519821</v>
      </c>
      <c r="R12" s="195">
        <f t="shared" si="38"/>
        <v>25306980</v>
      </c>
      <c r="S12" s="195">
        <f t="shared" si="38"/>
        <v>27703220</v>
      </c>
      <c r="T12"/>
      <c r="U12" s="155">
        <f t="shared" si="10"/>
        <v>0.15108642635701908</v>
      </c>
      <c r="V12" s="155">
        <f t="shared" si="11"/>
        <v>0.1025990257588667</v>
      </c>
      <c r="W12" s="155">
        <f t="shared" si="12"/>
        <v>0.1237647048793149</v>
      </c>
      <c r="X12" s="155">
        <f t="shared" si="13"/>
        <v>9.4686920367424321E-2</v>
      </c>
      <c r="Y12" s="155">
        <f t="shared" si="14"/>
        <v>0.35638482128181881</v>
      </c>
      <c r="Z12"/>
      <c r="AA12" s="200">
        <f t="shared" si="36"/>
        <v>5236408</v>
      </c>
      <c r="AB12" s="200">
        <f t="shared" si="36"/>
        <v>4677266.9425628539</v>
      </c>
      <c r="AC12" s="200">
        <f t="shared" ref="AC12:AD12" si="39">SUM(AC13:AC15)</f>
        <v>4894384.0745430216</v>
      </c>
      <c r="AD12" s="200">
        <f t="shared" si="39"/>
        <v>5095636.8590231892</v>
      </c>
      <c r="AE12" s="200">
        <f t="shared" ref="AE12" si="40">SUM(AE13:AE15)</f>
        <v>5313785.5638033571</v>
      </c>
      <c r="AF12"/>
      <c r="AG12" s="155">
        <f t="shared" si="15"/>
        <v>-0.10677950561475469</v>
      </c>
      <c r="AH12" s="155">
        <f t="shared" si="16"/>
        <v>4.6419658028156174E-2</v>
      </c>
      <c r="AI12" s="155">
        <f t="shared" si="17"/>
        <v>4.1119123757969112E-2</v>
      </c>
      <c r="AJ12" s="155">
        <f t="shared" si="18"/>
        <v>4.2810881311896809E-2</v>
      </c>
      <c r="AK12" s="155">
        <f t="shared" si="19"/>
        <v>0.13608772581445394</v>
      </c>
      <c r="AL12"/>
      <c r="AM12" s="36">
        <f t="shared" si="0"/>
        <v>4.9882534767715443</v>
      </c>
      <c r="AN12" s="36">
        <f t="shared" si="1"/>
        <v>5.8445173935318211</v>
      </c>
      <c r="AO12" s="36">
        <f t="shared" si="2"/>
        <v>6.0866373677021786</v>
      </c>
      <c r="AP12" s="36">
        <f t="shared" si="3"/>
        <v>6.4524823706340122</v>
      </c>
      <c r="AQ12" s="36">
        <f t="shared" si="4"/>
        <v>6.7102487618033511</v>
      </c>
      <c r="AR12"/>
      <c r="AS12" s="155">
        <f t="shared" si="20"/>
        <v>0.17165605572122233</v>
      </c>
      <c r="AT12" s="155">
        <f t="shared" si="21"/>
        <v>4.1426854925320944E-2</v>
      </c>
      <c r="AU12" s="155">
        <f t="shared" si="22"/>
        <v>6.010625914287826E-2</v>
      </c>
      <c r="AV12" s="155">
        <f t="shared" si="23"/>
        <v>3.9948406886388899E-2</v>
      </c>
      <c r="AW12" s="155">
        <f t="shared" si="24"/>
        <v>0.14812709244900923</v>
      </c>
      <c r="AX12"/>
      <c r="AY12" s="37">
        <f>'TRC-Plus'!AJ10</f>
        <v>0.82559427785345985</v>
      </c>
      <c r="AZ12" s="37">
        <v>0.93602403950149948</v>
      </c>
      <c r="BA12" s="37">
        <v>0.9495540500931906</v>
      </c>
      <c r="BB12" s="37">
        <v>0.96179939119931424</v>
      </c>
      <c r="BC12" s="37">
        <v>0.96784095761985478</v>
      </c>
      <c r="BD12"/>
      <c r="BE12" s="155">
        <f t="shared" si="25"/>
        <v>0.1337579058022984</v>
      </c>
      <c r="BF12" s="155">
        <f t="shared" si="26"/>
        <v>1.4454768275926844E-2</v>
      </c>
      <c r="BG12" s="155">
        <f t="shared" si="27"/>
        <v>1.2895886342564555E-2</v>
      </c>
      <c r="BH12" s="155">
        <f t="shared" si="28"/>
        <v>6.2815244798679615E-3</v>
      </c>
      <c r="BI12" s="155">
        <f t="shared" si="29"/>
        <v>3.3991560874120363E-2</v>
      </c>
      <c r="BJ12"/>
      <c r="BK12" s="37">
        <v>0.62332172452400458</v>
      </c>
      <c r="BL12" s="37">
        <v>0.70966413663016126</v>
      </c>
      <c r="BM12" s="37">
        <v>0.70570835949209243</v>
      </c>
      <c r="BN12" s="37">
        <v>0.68937139989721152</v>
      </c>
      <c r="BO12" s="37">
        <v>0.68170870650369497</v>
      </c>
      <c r="BP12"/>
      <c r="BQ12" s="155">
        <f t="shared" si="30"/>
        <v>0.1385198184325942</v>
      </c>
      <c r="BR12" s="155">
        <f t="shared" si="31"/>
        <v>-5.574153932665693E-3</v>
      </c>
      <c r="BS12" s="155">
        <f t="shared" si="32"/>
        <v>-2.3149732286916413E-2</v>
      </c>
      <c r="BT12" s="155">
        <f t="shared" si="33"/>
        <v>-1.1115479108444459E-2</v>
      </c>
      <c r="BU12" s="155">
        <f t="shared" si="34"/>
        <v>-3.9392479742900055E-2</v>
      </c>
    </row>
    <row r="13" spans="1:73" x14ac:dyDescent="0.25">
      <c r="A13" s="33">
        <v>10</v>
      </c>
      <c r="B13" s="39" t="s">
        <v>36</v>
      </c>
      <c r="C13" s="191">
        <f>'Budget by Cost Category'!$AP13</f>
        <v>16334207.793438721</v>
      </c>
      <c r="D13" s="191">
        <f>_xlfn.XLOOKUP($B13,'Budget by Cost Category'!$AR:$AR,'Budget by Cost Category'!$AW:$AW,0)</f>
        <v>16775338</v>
      </c>
      <c r="E13" s="191">
        <f>_xlfn.XLOOKUP($B13,'Budget by Cost Category'!$AY:$AY,'Budget by Cost Category'!$BD:$BD,0)</f>
        <v>18591203</v>
      </c>
      <c r="F13" s="191">
        <f>_xlfn.XLOOKUP($B13,'Budget by Cost Category'!$BF:$BF,'Budget by Cost Category'!$BK:$BK,0)</f>
        <v>20703369</v>
      </c>
      <c r="G13" s="191">
        <f>_xlfn.XLOOKUP($B13,'Budget by Cost Category'!$BM:$BM,'Budget by Cost Category'!$BR:$BR,0)</f>
        <v>22903803</v>
      </c>
      <c r="I13" s="156">
        <f t="shared" si="5"/>
        <v>2.7006525944801352E-2</v>
      </c>
      <c r="J13" s="156">
        <f t="shared" si="6"/>
        <v>0.10824610508593024</v>
      </c>
      <c r="K13" s="156">
        <f t="shared" si="7"/>
        <v>0.11361104496572927</v>
      </c>
      <c r="L13" s="156">
        <f t="shared" si="8"/>
        <v>0.10628386133677092</v>
      </c>
      <c r="M13" s="156">
        <f t="shared" si="9"/>
        <v>0.36532587301668684</v>
      </c>
      <c r="O13" s="196">
        <f>'Budget by Cost Category'!$AL13</f>
        <v>10808051.670282241</v>
      </c>
      <c r="P13" s="196">
        <f>_xlfn.XLOOKUP($B13,'Budget by Cost Category'!$AR:$AR,'Budget by Cost Category'!$AS:$AS,0)</f>
        <v>12971618</v>
      </c>
      <c r="Q13" s="196">
        <f>_xlfn.XLOOKUP($B13,'Budget by Cost Category'!$AY:$AY,'Budget by Cost Category'!$AZ:$AZ,0)</f>
        <v>14558778</v>
      </c>
      <c r="R13" s="196">
        <f>_xlfn.XLOOKUP($B13,'Budget by Cost Category'!$BF:$BF,'Budget by Cost Category'!$BG:$BG,0)</f>
        <v>16491888</v>
      </c>
      <c r="S13" s="196">
        <f>_xlfn.XLOOKUP($B13,'Budget by Cost Category'!$BM:$BM,'Budget by Cost Category'!$BN:$BN,0)</f>
        <v>18400631</v>
      </c>
      <c r="U13" s="156">
        <f t="shared" si="10"/>
        <v>0.20018097578740202</v>
      </c>
      <c r="V13" s="156">
        <f t="shared" si="11"/>
        <v>0.1223563629456248</v>
      </c>
      <c r="W13" s="156">
        <f t="shared" si="12"/>
        <v>0.1327796879655696</v>
      </c>
      <c r="X13" s="156">
        <f t="shared" si="13"/>
        <v>0.11573829509392741</v>
      </c>
      <c r="Y13" s="156">
        <f t="shared" si="14"/>
        <v>0.41853013247846182</v>
      </c>
      <c r="AA13" s="201">
        <v>2763077</v>
      </c>
      <c r="AB13" s="201">
        <f>_xlfn.XLOOKUP($B13,'Savings by Offer'!AF:AF,'Savings by Offer'!AH:AH)</f>
        <v>2224164.6831628536</v>
      </c>
      <c r="AC13" s="201">
        <f>_xlfn.XLOOKUP($B13,'Savings by Offer'!AK:AK,'Savings by Offer'!AM:AM)</f>
        <v>2415998.9586430215</v>
      </c>
      <c r="AD13" s="201">
        <f>_xlfn.XLOOKUP($B13,'Savings by Offer'!AP:AP,'Savings by Offer'!AR:AR)</f>
        <v>2587295.2341231895</v>
      </c>
      <c r="AE13" s="201">
        <f>_xlfn.XLOOKUP($B13,'Savings by Offer'!AU:AU,'Savings by Offer'!AW:AW)</f>
        <v>2802112.5096033574</v>
      </c>
      <c r="AG13" s="156">
        <f t="shared" si="15"/>
        <v>-0.19504064375952834</v>
      </c>
      <c r="AH13" s="156">
        <f t="shared" si="16"/>
        <v>8.625003217269489E-2</v>
      </c>
      <c r="AI13" s="156">
        <f t="shared" si="17"/>
        <v>7.0900806834941266E-2</v>
      </c>
      <c r="AJ13" s="156">
        <f t="shared" si="18"/>
        <v>8.3027739798302358E-2</v>
      </c>
      <c r="AK13" s="156">
        <f t="shared" si="19"/>
        <v>0.25984938562131932</v>
      </c>
      <c r="AM13" s="40">
        <f t="shared" si="0"/>
        <v>5.91160065153404</v>
      </c>
      <c r="AN13" s="40">
        <f t="shared" si="1"/>
        <v>7.5423093114421631</v>
      </c>
      <c r="AO13" s="40">
        <f t="shared" si="2"/>
        <v>7.6950376710600903</v>
      </c>
      <c r="AP13" s="40">
        <f t="shared" si="3"/>
        <v>8.001935274702495</v>
      </c>
      <c r="AQ13" s="40">
        <f t="shared" si="4"/>
        <v>8.1737628027084686</v>
      </c>
      <c r="AS13" s="156">
        <f t="shared" si="20"/>
        <v>0.27584892079693502</v>
      </c>
      <c r="AT13" s="156">
        <f t="shared" si="21"/>
        <v>2.0249548687459429E-2</v>
      </c>
      <c r="AU13" s="156">
        <f t="shared" si="22"/>
        <v>3.9882534272262404E-2</v>
      </c>
      <c r="AV13" s="156">
        <f t="shared" si="23"/>
        <v>2.1473246421924053E-2</v>
      </c>
      <c r="AW13" s="156">
        <f t="shared" si="24"/>
        <v>8.3721505601520585E-2</v>
      </c>
      <c r="AY13" s="41">
        <f>'TRC-Plus'!AJ11</f>
        <v>0.86298477285222541</v>
      </c>
      <c r="AZ13" s="41">
        <v>0.81080507954892433</v>
      </c>
      <c r="BA13" s="41">
        <v>0.83580219788260668</v>
      </c>
      <c r="BB13" s="41">
        <v>0.85474932578484664</v>
      </c>
      <c r="BC13" s="41">
        <v>0.8698736330886665</v>
      </c>
      <c r="BE13" s="156">
        <f t="shared" si="25"/>
        <v>-6.0464210893134918E-2</v>
      </c>
      <c r="BF13" s="156">
        <f t="shared" si="26"/>
        <v>3.0829997201780035E-2</v>
      </c>
      <c r="BG13" s="156">
        <f t="shared" si="27"/>
        <v>2.2669392291908341E-2</v>
      </c>
      <c r="BH13" s="156">
        <f t="shared" si="28"/>
        <v>1.7694436073327546E-2</v>
      </c>
      <c r="BI13" s="156">
        <f t="shared" si="29"/>
        <v>7.2851730988912733E-2</v>
      </c>
      <c r="BK13" s="41">
        <v>0.64767093328568426</v>
      </c>
      <c r="BL13" s="41">
        <v>0.60950781390047837</v>
      </c>
      <c r="BM13" s="41">
        <v>0.61353723807159732</v>
      </c>
      <c r="BN13" s="41">
        <v>0.60713006001758896</v>
      </c>
      <c r="BO13" s="41">
        <v>0.60563223222728058</v>
      </c>
      <c r="BQ13" s="156">
        <f t="shared" si="30"/>
        <v>-5.8923625291629866E-2</v>
      </c>
      <c r="BR13" s="156">
        <f t="shared" si="31"/>
        <v>6.6109475206448387E-3</v>
      </c>
      <c r="BS13" s="156">
        <f t="shared" si="32"/>
        <v>-1.0443014142298312E-2</v>
      </c>
      <c r="BT13" s="156">
        <f t="shared" si="33"/>
        <v>-2.4670624779556949E-3</v>
      </c>
      <c r="BU13" s="156">
        <f t="shared" si="34"/>
        <v>-6.3585430486877703E-3</v>
      </c>
    </row>
    <row r="14" spans="1:73" x14ac:dyDescent="0.25">
      <c r="A14" s="33">
        <v>11</v>
      </c>
      <c r="B14" s="39" t="s">
        <v>38</v>
      </c>
      <c r="C14" s="191">
        <f>'Budget by Cost Category'!$AP14</f>
        <v>8111847.6183556085</v>
      </c>
      <c r="D14" s="191">
        <f>_xlfn.XLOOKUP($B14,'Budget by Cost Category'!$AR:$AR,'Budget by Cost Category'!$AW:$AW,0)</f>
        <v>8722689</v>
      </c>
      <c r="E14" s="191">
        <f>_xlfn.XLOOKUP($B14,'Budget by Cost Category'!$AY:$AY,'Budget by Cost Category'!$BD:$BD,0)</f>
        <v>9329177</v>
      </c>
      <c r="F14" s="191">
        <f>_xlfn.XLOOKUP($B14,'Budget by Cost Category'!$BF:$BF,'Budget by Cost Category'!$BK:$BK,0)</f>
        <v>10274013</v>
      </c>
      <c r="G14" s="191">
        <f>_xlfn.XLOOKUP($B14,'Budget by Cost Category'!$BM:$BM,'Budget by Cost Category'!$BR:$BR,0)</f>
        <v>10818179</v>
      </c>
      <c r="I14" s="156">
        <f t="shared" si="5"/>
        <v>7.5302373809657208E-2</v>
      </c>
      <c r="J14" s="156">
        <f t="shared" si="6"/>
        <v>6.9529935092263351E-2</v>
      </c>
      <c r="K14" s="156">
        <f t="shared" si="7"/>
        <v>0.10127752962560366</v>
      </c>
      <c r="L14" s="156">
        <f t="shared" si="8"/>
        <v>5.296528240717624E-2</v>
      </c>
      <c r="M14" s="156">
        <f t="shared" si="9"/>
        <v>0.24023440478045255</v>
      </c>
      <c r="O14" s="196">
        <f>'Budget by Cost Category'!$AL14</f>
        <v>6935452.6681706496</v>
      </c>
      <c r="P14" s="196">
        <f>_xlfn.XLOOKUP($B14,'Budget by Cost Category'!$AR:$AR,'Budget by Cost Category'!$AS:$AS,0)</f>
        <v>7452689</v>
      </c>
      <c r="Q14" s="196">
        <f>_xlfn.XLOOKUP($B14,'Budget by Cost Category'!$AY:$AY,'Budget by Cost Category'!$AZ:$AZ,0)</f>
        <v>7961043</v>
      </c>
      <c r="R14" s="196">
        <f>_xlfn.XLOOKUP($B14,'Budget by Cost Category'!$BF:$BF,'Budget by Cost Category'!$BG:$BG,0)</f>
        <v>8815092</v>
      </c>
      <c r="S14" s="196">
        <f>_xlfn.XLOOKUP($B14,'Budget by Cost Category'!$BM:$BM,'Budget by Cost Category'!$BN:$BN,0)</f>
        <v>9302589</v>
      </c>
      <c r="U14" s="156">
        <f t="shared" si="10"/>
        <v>7.4578597328353036E-2</v>
      </c>
      <c r="V14" s="156">
        <f t="shared" si="11"/>
        <v>6.8210816257058271E-2</v>
      </c>
      <c r="W14" s="156">
        <f t="shared" si="12"/>
        <v>0.10727853121758035</v>
      </c>
      <c r="X14" s="156">
        <f t="shared" si="13"/>
        <v>5.5302542503243401E-2</v>
      </c>
      <c r="Y14" s="156">
        <f t="shared" si="14"/>
        <v>0.24821913271840534</v>
      </c>
      <c r="AA14" s="201">
        <v>2473331</v>
      </c>
      <c r="AB14" s="201">
        <f>_xlfn.XLOOKUP($B14,'Savings by Offer'!AF:AF,'Savings by Offer'!AH:AH)</f>
        <v>2453102.2594000003</v>
      </c>
      <c r="AC14" s="201">
        <f>_xlfn.XLOOKUP($B14,'Savings by Offer'!AK:AK,'Savings by Offer'!AM:AM)</f>
        <v>2478385.1158999996</v>
      </c>
      <c r="AD14" s="201">
        <f>_xlfn.XLOOKUP($B14,'Savings by Offer'!AP:AP,'Savings by Offer'!AR:AR)</f>
        <v>2508341.6248999997</v>
      </c>
      <c r="AE14" s="201">
        <f>_xlfn.XLOOKUP($B14,'Savings by Offer'!AU:AU,'Savings by Offer'!AW:AW)</f>
        <v>2511673.0541999997</v>
      </c>
      <c r="AG14" s="156">
        <f t="shared" si="15"/>
        <v>-8.1787438074401031E-3</v>
      </c>
      <c r="AH14" s="156">
        <f t="shared" si="16"/>
        <v>1.0306482904705039E-2</v>
      </c>
      <c r="AI14" s="156">
        <f t="shared" si="17"/>
        <v>1.2087108176939587E-2</v>
      </c>
      <c r="AJ14" s="156">
        <f t="shared" si="18"/>
        <v>1.3281401811178206E-3</v>
      </c>
      <c r="AK14" s="156">
        <f t="shared" si="19"/>
        <v>2.3876214118495387E-2</v>
      </c>
      <c r="AM14" s="40">
        <f t="shared" si="0"/>
        <v>3.2797258508285418</v>
      </c>
      <c r="AN14" s="40">
        <f t="shared" si="1"/>
        <v>3.5557787966545944</v>
      </c>
      <c r="AO14" s="40">
        <f t="shared" si="2"/>
        <v>3.7642160373498719</v>
      </c>
      <c r="AP14" s="40">
        <f t="shared" si="3"/>
        <v>4.0959384870111526</v>
      </c>
      <c r="AQ14" s="40">
        <f t="shared" si="4"/>
        <v>4.3071605127546064</v>
      </c>
      <c r="AS14" s="156">
        <f t="shared" si="20"/>
        <v>8.4169518545678113E-2</v>
      </c>
      <c r="AT14" s="156">
        <f t="shared" si="21"/>
        <v>5.861929344181438E-2</v>
      </c>
      <c r="AU14" s="156">
        <f t="shared" si="22"/>
        <v>8.8125242114112101E-2</v>
      </c>
      <c r="AV14" s="156">
        <f t="shared" si="23"/>
        <v>5.156865182748005E-2</v>
      </c>
      <c r="AW14" s="156">
        <f t="shared" si="24"/>
        <v>0.21131284004700723</v>
      </c>
      <c r="AY14" s="41">
        <f>'TRC-Plus'!AJ12</f>
        <v>0.90494444723728185</v>
      </c>
      <c r="AZ14" s="41">
        <v>1.2938602155658467</v>
      </c>
      <c r="BA14" s="41">
        <v>1.2943218519803024</v>
      </c>
      <c r="BB14" s="41">
        <v>1.2966938191444832</v>
      </c>
      <c r="BC14" s="41">
        <v>1.2921515628489186</v>
      </c>
      <c r="BE14" s="156">
        <f t="shared" si="25"/>
        <v>0.42976756144080608</v>
      </c>
      <c r="BF14" s="156">
        <f t="shared" si="26"/>
        <v>3.5679002175181829E-4</v>
      </c>
      <c r="BG14" s="156">
        <f t="shared" si="27"/>
        <v>1.8325945440478275E-3</v>
      </c>
      <c r="BH14" s="156">
        <f t="shared" si="28"/>
        <v>-3.5029520681770787E-3</v>
      </c>
      <c r="BI14" s="156">
        <f t="shared" si="29"/>
        <v>-1.3205852505333571E-3</v>
      </c>
      <c r="BK14" s="41">
        <v>0.6811917318763302</v>
      </c>
      <c r="BL14" s="41">
        <v>1.0518477047046786</v>
      </c>
      <c r="BM14" s="41">
        <v>1.0308409128448979</v>
      </c>
      <c r="BN14" s="41">
        <v>0.98272740213428522</v>
      </c>
      <c r="BO14" s="41">
        <v>0.96469889691946453</v>
      </c>
      <c r="BQ14" s="156">
        <f t="shared" si="30"/>
        <v>0.54412870192564333</v>
      </c>
      <c r="BR14" s="156">
        <f t="shared" si="31"/>
        <v>-1.9971324523333611E-2</v>
      </c>
      <c r="BS14" s="156">
        <f t="shared" si="32"/>
        <v>-4.6674040689585916E-2</v>
      </c>
      <c r="BT14" s="156">
        <f t="shared" si="33"/>
        <v>-1.8345377543830033E-2</v>
      </c>
      <c r="BU14" s="156">
        <f t="shared" si="34"/>
        <v>-8.2853066461443969E-2</v>
      </c>
    </row>
    <row r="15" spans="1:73" x14ac:dyDescent="0.25">
      <c r="A15" s="33">
        <v>12</v>
      </c>
      <c r="B15" s="43" t="s">
        <v>40</v>
      </c>
      <c r="C15" s="191">
        <f>'Budget by Cost Category'!AO12</f>
        <v>1674475</v>
      </c>
      <c r="D15" s="191">
        <f>'Budget by Cost Category'!AV12</f>
        <v>1838341</v>
      </c>
      <c r="E15" s="191">
        <f>'Budget by Cost Category'!BC12</f>
        <v>1869961</v>
      </c>
      <c r="F15" s="191">
        <f>'Budget by Cost Category'!BJ12</f>
        <v>1902125</v>
      </c>
      <c r="G15" s="191">
        <f>'Budget by Cost Category'!BQ12</f>
        <v>1934841</v>
      </c>
      <c r="I15" s="157">
        <f t="shared" si="5"/>
        <v>9.7861120649755939E-2</v>
      </c>
      <c r="J15" s="157">
        <f t="shared" si="6"/>
        <v>1.7200290914471283E-2</v>
      </c>
      <c r="K15" s="157">
        <f t="shared" si="7"/>
        <v>1.7200358724059006E-2</v>
      </c>
      <c r="L15" s="157">
        <f t="shared" si="8"/>
        <v>1.7199710849707506E-2</v>
      </c>
      <c r="M15" s="157">
        <f t="shared" si="9"/>
        <v>5.2492981443595044E-2</v>
      </c>
      <c r="O15" s="196">
        <v>0</v>
      </c>
      <c r="P15" s="196">
        <f>_xlfn.XLOOKUP($B15,'Budget by Cost Category'!$AR:$AR,'Budget by Cost Category'!$AS:$AS,0)</f>
        <v>0</v>
      </c>
      <c r="Q15" s="196">
        <f>_xlfn.XLOOKUP($B15,'Budget by Cost Category'!$AY:$AY,'Budget by Cost Category'!$AZ:$AZ,0)</f>
        <v>0</v>
      </c>
      <c r="R15" s="196">
        <f>_xlfn.XLOOKUP($B15,'Budget by Cost Category'!$BF:$BF,'Budget by Cost Category'!$BG:$BG,0)</f>
        <v>0</v>
      </c>
      <c r="S15" s="196">
        <f>_xlfn.XLOOKUP($B15,'Budget by Cost Category'!$BM:$BM,'Budget by Cost Category'!$BN:$BN,0)</f>
        <v>0</v>
      </c>
      <c r="U15" s="157">
        <f t="shared" si="10"/>
        <v>0</v>
      </c>
      <c r="V15" s="157">
        <f t="shared" si="11"/>
        <v>0</v>
      </c>
      <c r="W15" s="157">
        <f t="shared" si="12"/>
        <v>0</v>
      </c>
      <c r="X15" s="157">
        <f t="shared" si="13"/>
        <v>0</v>
      </c>
      <c r="Y15" s="157">
        <f t="shared" si="14"/>
        <v>0</v>
      </c>
      <c r="AA15" s="202"/>
      <c r="AB15" s="202">
        <v>0</v>
      </c>
      <c r="AC15" s="202">
        <v>0</v>
      </c>
      <c r="AD15" s="202">
        <v>0</v>
      </c>
      <c r="AE15" s="202">
        <v>0</v>
      </c>
      <c r="AG15" s="157">
        <f t="shared" si="15"/>
        <v>0</v>
      </c>
      <c r="AH15" s="157">
        <f t="shared" si="16"/>
        <v>0</v>
      </c>
      <c r="AI15" s="157">
        <f t="shared" si="17"/>
        <v>0</v>
      </c>
      <c r="AJ15" s="157">
        <f t="shared" si="18"/>
        <v>0</v>
      </c>
      <c r="AK15" s="157">
        <f t="shared" si="19"/>
        <v>0</v>
      </c>
      <c r="AM15" s="44">
        <f t="shared" si="0"/>
        <v>0</v>
      </c>
      <c r="AN15" s="44">
        <f t="shared" si="1"/>
        <v>0</v>
      </c>
      <c r="AO15" s="44">
        <f t="shared" si="2"/>
        <v>0</v>
      </c>
      <c r="AP15" s="44">
        <f t="shared" si="3"/>
        <v>0</v>
      </c>
      <c r="AQ15" s="44">
        <f t="shared" si="4"/>
        <v>0</v>
      </c>
      <c r="AS15" s="157">
        <f t="shared" si="20"/>
        <v>0</v>
      </c>
      <c r="AT15" s="157">
        <f t="shared" si="21"/>
        <v>0</v>
      </c>
      <c r="AU15" s="157">
        <f t="shared" si="22"/>
        <v>0</v>
      </c>
      <c r="AV15" s="157">
        <f t="shared" si="23"/>
        <v>0</v>
      </c>
      <c r="AW15" s="157">
        <f t="shared" si="24"/>
        <v>0</v>
      </c>
      <c r="AY15" s="45">
        <v>0</v>
      </c>
      <c r="AZ15" s="45">
        <f>'TRC-Plus'!AP16</f>
        <v>0</v>
      </c>
      <c r="BA15" s="45">
        <v>0</v>
      </c>
      <c r="BB15" s="45">
        <v>0</v>
      </c>
      <c r="BC15" s="45">
        <v>0</v>
      </c>
      <c r="BE15" s="157">
        <f t="shared" si="25"/>
        <v>0</v>
      </c>
      <c r="BF15" s="157">
        <f t="shared" si="26"/>
        <v>0</v>
      </c>
      <c r="BG15" s="157">
        <f t="shared" si="27"/>
        <v>0</v>
      </c>
      <c r="BH15" s="157">
        <f t="shared" si="28"/>
        <v>0</v>
      </c>
      <c r="BI15" s="157">
        <f t="shared" si="29"/>
        <v>0</v>
      </c>
      <c r="BK15" s="41">
        <v>0</v>
      </c>
      <c r="BL15" s="41">
        <v>0</v>
      </c>
      <c r="BM15" s="41">
        <v>0</v>
      </c>
      <c r="BN15" s="41">
        <v>0</v>
      </c>
      <c r="BO15" s="45">
        <v>0</v>
      </c>
      <c r="BQ15" s="157">
        <f t="shared" si="30"/>
        <v>0</v>
      </c>
      <c r="BR15" s="157">
        <f t="shared" si="31"/>
        <v>0</v>
      </c>
      <c r="BS15" s="157">
        <f t="shared" si="32"/>
        <v>0</v>
      </c>
      <c r="BT15" s="157">
        <f t="shared" si="33"/>
        <v>0</v>
      </c>
      <c r="BU15" s="157">
        <f t="shared" si="34"/>
        <v>0</v>
      </c>
    </row>
    <row r="16" spans="1:73" s="38" customFormat="1" x14ac:dyDescent="0.25">
      <c r="A16" s="33">
        <v>13</v>
      </c>
      <c r="B16" s="6" t="s">
        <v>3</v>
      </c>
      <c r="C16" s="190">
        <f>SUM(C17:C25)</f>
        <v>28554824.200402845</v>
      </c>
      <c r="D16" s="190">
        <f>SUM(D17:D25)</f>
        <v>43048033</v>
      </c>
      <c r="E16" s="190">
        <f>SUM(E17:E25)</f>
        <v>48468329</v>
      </c>
      <c r="F16" s="190">
        <f>SUM(F17:F25)</f>
        <v>52453915</v>
      </c>
      <c r="G16" s="190">
        <f>SUM(G17:G25)</f>
        <v>55837414</v>
      </c>
      <c r="H16"/>
      <c r="I16" s="155">
        <f t="shared" si="5"/>
        <v>0.50755727641260306</v>
      </c>
      <c r="J16" s="155">
        <f t="shared" si="6"/>
        <v>0.12591274495631422</v>
      </c>
      <c r="K16" s="155">
        <f t="shared" si="7"/>
        <v>8.2230728441246681E-2</v>
      </c>
      <c r="L16" s="155">
        <f t="shared" si="8"/>
        <v>6.450422242076681E-2</v>
      </c>
      <c r="M16" s="155">
        <f t="shared" si="9"/>
        <v>0.29709559551768594</v>
      </c>
      <c r="N16"/>
      <c r="O16" s="195">
        <f>SUM(O17:O25)</f>
        <v>20375013.443097822</v>
      </c>
      <c r="P16" s="195">
        <f>SUM(P17:P25)</f>
        <v>32580678</v>
      </c>
      <c r="Q16" s="195">
        <f>SUM(Q17:Q25)</f>
        <v>37445454</v>
      </c>
      <c r="R16" s="195">
        <f>SUM(R17:R25)</f>
        <v>41035499</v>
      </c>
      <c r="S16" s="195">
        <f>SUM(S17:S25)</f>
        <v>44068148</v>
      </c>
      <c r="T16"/>
      <c r="U16" s="155">
        <f t="shared" si="10"/>
        <v>0.59905062595366942</v>
      </c>
      <c r="V16" s="155">
        <f t="shared" si="11"/>
        <v>0.14931475643324554</v>
      </c>
      <c r="W16" s="155">
        <f t="shared" si="12"/>
        <v>9.5873987801029292E-2</v>
      </c>
      <c r="X16" s="155">
        <f t="shared" si="13"/>
        <v>7.3903061346957122E-2</v>
      </c>
      <c r="Y16" s="155">
        <f t="shared" si="14"/>
        <v>0.35258535749317432</v>
      </c>
      <c r="Z16"/>
      <c r="AA16" s="200">
        <v>26491291</v>
      </c>
      <c r="AB16" s="200">
        <f>SUM(AB17:AB25)</f>
        <v>29114672.08387788</v>
      </c>
      <c r="AC16" s="200">
        <f>SUM(AC17:AC25)</f>
        <v>32858094.778249655</v>
      </c>
      <c r="AD16" s="200">
        <f>SUM(AD17:AD25)</f>
        <v>35469570.480942838</v>
      </c>
      <c r="AE16" s="200">
        <f>SUM(AE17:AE25)</f>
        <v>37305908.0415892</v>
      </c>
      <c r="AF16"/>
      <c r="AG16" s="155">
        <f t="shared" si="15"/>
        <v>9.902805732940223E-2</v>
      </c>
      <c r="AH16" s="155">
        <f t="shared" si="16"/>
        <v>0.12857512815487548</v>
      </c>
      <c r="AI16" s="155">
        <f t="shared" si="17"/>
        <v>7.9477392719125239E-2</v>
      </c>
      <c r="AJ16" s="155">
        <f t="shared" si="18"/>
        <v>5.1772196159888484E-2</v>
      </c>
      <c r="AK16" s="155">
        <f t="shared" si="19"/>
        <v>0.28134391945452064</v>
      </c>
      <c r="AL16"/>
      <c r="AM16" s="36">
        <f t="shared" si="0"/>
        <v>1.077894776830727</v>
      </c>
      <c r="AN16" s="36">
        <f t="shared" si="1"/>
        <v>1.4785683615457121</v>
      </c>
      <c r="AO16" s="36">
        <f t="shared" si="2"/>
        <v>1.4750803212145918</v>
      </c>
      <c r="AP16" s="36">
        <f t="shared" si="3"/>
        <v>1.4788426893464228</v>
      </c>
      <c r="AQ16" s="36">
        <f t="shared" si="4"/>
        <v>1.4967445354165241</v>
      </c>
      <c r="AR16"/>
      <c r="AS16" s="155">
        <f t="shared" si="20"/>
        <v>0.3717186439042437</v>
      </c>
      <c r="AT16" s="155">
        <f t="shared" si="21"/>
        <v>-2.3590659869617836E-3</v>
      </c>
      <c r="AU16" s="155">
        <f t="shared" si="22"/>
        <v>2.5506191613573481E-3</v>
      </c>
      <c r="AV16" s="155">
        <f t="shared" si="23"/>
        <v>1.2105307886407513E-2</v>
      </c>
      <c r="AW16" s="155">
        <f t="shared" si="24"/>
        <v>1.2293089953453684E-2</v>
      </c>
      <c r="AX16"/>
      <c r="AY16" s="37">
        <f>'TRC-Plus'!AJ14</f>
        <v>1.5161727416392006</v>
      </c>
      <c r="AZ16" s="37">
        <v>1.571683363896466</v>
      </c>
      <c r="BA16" s="37">
        <v>1.6253721224440345</v>
      </c>
      <c r="BB16" s="37">
        <v>1.6694608284847678</v>
      </c>
      <c r="BC16" s="37">
        <v>1.6603610191247771</v>
      </c>
      <c r="BD16"/>
      <c r="BE16" s="155">
        <f t="shared" si="25"/>
        <v>3.6612333629775229E-2</v>
      </c>
      <c r="BF16" s="155">
        <f t="shared" si="26"/>
        <v>3.4160034890529767E-2</v>
      </c>
      <c r="BG16" s="155">
        <f t="shared" si="27"/>
        <v>2.7125299758702814E-2</v>
      </c>
      <c r="BH16" s="155">
        <f t="shared" si="28"/>
        <v>-5.4507474537452971E-3</v>
      </c>
      <c r="BI16" s="155">
        <f t="shared" si="29"/>
        <v>5.6422086830813178E-2</v>
      </c>
      <c r="BJ16"/>
      <c r="BK16" s="37">
        <v>2.2227410417196367</v>
      </c>
      <c r="BL16" s="37">
        <v>2.1700581665216632</v>
      </c>
      <c r="BM16" s="37">
        <v>2.2689852247690903</v>
      </c>
      <c r="BN16" s="37">
        <v>2.3498257057184757</v>
      </c>
      <c r="BO16" s="37">
        <v>2.3980025076994509</v>
      </c>
      <c r="BP16"/>
      <c r="BQ16" s="155">
        <f t="shared" si="30"/>
        <v>-2.3701760218192147E-2</v>
      </c>
      <c r="BR16" s="155">
        <f t="shared" si="31"/>
        <v>4.5587284144551266E-2</v>
      </c>
      <c r="BS16" s="155">
        <f t="shared" si="32"/>
        <v>3.5628473939319116E-2</v>
      </c>
      <c r="BT16" s="155">
        <f t="shared" si="33"/>
        <v>2.0502287409544184E-2</v>
      </c>
      <c r="BU16" s="155">
        <f t="shared" si="34"/>
        <v>0.10504065959815012</v>
      </c>
    </row>
    <row r="17" spans="1:73" x14ac:dyDescent="0.25">
      <c r="A17" s="33">
        <v>14</v>
      </c>
      <c r="B17" s="39" t="s">
        <v>39</v>
      </c>
      <c r="C17" s="191">
        <f>'Budget by Cost Category'!$AP16</f>
        <v>13424953.447587842</v>
      </c>
      <c r="D17" s="191">
        <f>_xlfn.XLOOKUP($B17,'Budget by Cost Category'!$AR:$AR,'Budget by Cost Category'!$AW:$AW,0)</f>
        <v>14799782</v>
      </c>
      <c r="E17" s="191">
        <f>_xlfn.XLOOKUP($B17,'Budget by Cost Category'!$AY:$AY,'Budget by Cost Category'!$BD:$BD,0)</f>
        <v>17352222</v>
      </c>
      <c r="F17" s="191">
        <f>_xlfn.XLOOKUP($B17,'Budget by Cost Category'!$BF:$BF,'Budget by Cost Category'!$BK:$BK,0)</f>
        <v>19123676</v>
      </c>
      <c r="G17" s="191">
        <f>_xlfn.XLOOKUP($B17,'Budget by Cost Category'!$BM:$BM,'Budget by Cost Category'!$BR:$BR,0)</f>
        <v>20784287</v>
      </c>
      <c r="I17" s="156">
        <f t="shared" si="5"/>
        <v>0.10240844095136747</v>
      </c>
      <c r="J17" s="156">
        <f t="shared" si="6"/>
        <v>0.1724647025206183</v>
      </c>
      <c r="K17" s="156">
        <f t="shared" si="7"/>
        <v>0.10208802077336254</v>
      </c>
      <c r="L17" s="156">
        <f t="shared" si="8"/>
        <v>8.6835344836421635E-2</v>
      </c>
      <c r="M17" s="156">
        <f t="shared" si="9"/>
        <v>0.40436440212430158</v>
      </c>
      <c r="O17" s="196">
        <f>'Budget by Cost Category'!$AL16</f>
        <v>12436170.013900802</v>
      </c>
      <c r="P17" s="196">
        <f>_xlfn.XLOOKUP($B17,'Budget by Cost Category'!$AR:$AR,'Budget by Cost Category'!$AS:$AS,0)</f>
        <v>13883782</v>
      </c>
      <c r="Q17" s="196">
        <f>_xlfn.XLOOKUP($B17,'Budget by Cost Category'!$AY:$AY,'Budget by Cost Category'!$AZ:$AZ,0)</f>
        <v>16367318</v>
      </c>
      <c r="R17" s="196">
        <f>_xlfn.XLOOKUP($B17,'Budget by Cost Category'!$BF:$BF,'Budget by Cost Category'!$BG:$BG,0)</f>
        <v>18081220</v>
      </c>
      <c r="S17" s="196">
        <f>_xlfn.XLOOKUP($B17,'Budget by Cost Category'!$BM:$BM,'Budget by Cost Category'!$BN:$BN,0)</f>
        <v>19689958</v>
      </c>
      <c r="U17" s="156">
        <f t="shared" si="10"/>
        <v>0.11640336088048797</v>
      </c>
      <c r="V17" s="156">
        <f t="shared" si="11"/>
        <v>0.17888036559490783</v>
      </c>
      <c r="W17" s="156">
        <f t="shared" si="12"/>
        <v>0.10471489586748417</v>
      </c>
      <c r="X17" s="156">
        <f t="shared" si="13"/>
        <v>8.8972867981253367E-2</v>
      </c>
      <c r="Y17" s="156">
        <f t="shared" si="14"/>
        <v>0.41819844189429078</v>
      </c>
      <c r="AA17" s="201"/>
      <c r="AB17" s="201">
        <f>_xlfn.XLOOKUP($B17,'Savings by Offer'!AF:AF,'Savings by Offer'!AH:AH)</f>
        <v>17612901.980007812</v>
      </c>
      <c r="AC17" s="201">
        <f>_xlfn.XLOOKUP($B17,'Savings by Offer'!AK:AK,'Savings by Offer'!AM:AM)</f>
        <v>19948799.822119839</v>
      </c>
      <c r="AD17" s="201">
        <f>_xlfn.XLOOKUP($B17,'Savings by Offer'!AP:AP,'Savings by Offer'!AR:AR)</f>
        <v>21570369.758018624</v>
      </c>
      <c r="AE17" s="201">
        <f>_xlfn.XLOOKUP($B17,'Savings by Offer'!AU:AU,'Savings by Offer'!AW:AW)</f>
        <v>22799106.096814446</v>
      </c>
      <c r="AG17" s="156">
        <f t="shared" si="15"/>
        <v>0</v>
      </c>
      <c r="AH17" s="156">
        <f t="shared" si="16"/>
        <v>0.13262424583770893</v>
      </c>
      <c r="AI17" s="156">
        <f t="shared" si="17"/>
        <v>8.1286591191352731E-2</v>
      </c>
      <c r="AJ17" s="156">
        <f t="shared" si="18"/>
        <v>5.696408325773139E-2</v>
      </c>
      <c r="AK17" s="156">
        <f t="shared" si="19"/>
        <v>0.2944548333201098</v>
      </c>
      <c r="AM17" s="40">
        <f t="shared" si="0"/>
        <v>0</v>
      </c>
      <c r="AN17" s="40">
        <f t="shared" si="1"/>
        <v>0.84028072243853114</v>
      </c>
      <c r="AO17" s="40">
        <f t="shared" si="2"/>
        <v>0.86983789274176415</v>
      </c>
      <c r="AP17" s="40">
        <f t="shared" si="3"/>
        <v>0.88657154302563201</v>
      </c>
      <c r="AQ17" s="40">
        <f t="shared" si="4"/>
        <v>0.91162727660204357</v>
      </c>
      <c r="AS17" s="156">
        <f t="shared" si="20"/>
        <v>0</v>
      </c>
      <c r="AT17" s="156">
        <f t="shared" si="21"/>
        <v>3.5175352134054538E-2</v>
      </c>
      <c r="AU17" s="156">
        <f t="shared" si="22"/>
        <v>1.9237665343737387E-2</v>
      </c>
      <c r="AV17" s="156">
        <f t="shared" si="23"/>
        <v>2.8261378084506239E-2</v>
      </c>
      <c r="AW17" s="156">
        <f t="shared" si="24"/>
        <v>8.4907998313303645E-2</v>
      </c>
      <c r="AY17" s="41">
        <f>'TRC-Plus'!AJ15</f>
        <v>1.6128934373532493</v>
      </c>
      <c r="AZ17" s="41">
        <v>1.5791902947673953</v>
      </c>
      <c r="BA17" s="41">
        <v>1.6069790488036313</v>
      </c>
      <c r="BB17" s="41">
        <v>1.6463571981969496</v>
      </c>
      <c r="BC17" s="41">
        <v>1.6139595155257227</v>
      </c>
      <c r="BE17" s="156">
        <f t="shared" si="25"/>
        <v>-2.089607521818726E-2</v>
      </c>
      <c r="BF17" s="156">
        <f t="shared" si="26"/>
        <v>1.7596836890597212E-2</v>
      </c>
      <c r="BG17" s="156">
        <f t="shared" si="27"/>
        <v>2.4504457243941458E-2</v>
      </c>
      <c r="BH17" s="156">
        <f t="shared" si="28"/>
        <v>-1.9678404362496793E-2</v>
      </c>
      <c r="BI17" s="156">
        <f t="shared" si="29"/>
        <v>2.2017119072688329E-2</v>
      </c>
      <c r="BK17" s="41">
        <v>4.0359282552925952</v>
      </c>
      <c r="BL17" s="41">
        <v>4.0808645764256752</v>
      </c>
      <c r="BM17" s="41">
        <v>4.1196124674644157</v>
      </c>
      <c r="BN17" s="41">
        <v>4.194206924827232</v>
      </c>
      <c r="BO17" s="41">
        <v>4.2091590221085928</v>
      </c>
      <c r="BQ17" s="156">
        <f t="shared" si="30"/>
        <v>1.1134073326043881E-2</v>
      </c>
      <c r="BR17" s="156">
        <f t="shared" si="31"/>
        <v>9.4950200657426542E-3</v>
      </c>
      <c r="BS17" s="156">
        <f t="shared" si="32"/>
        <v>1.8107153998572212E-2</v>
      </c>
      <c r="BT17" s="156">
        <f t="shared" si="33"/>
        <v>3.5649402972592892E-3</v>
      </c>
      <c r="BU17" s="156">
        <f t="shared" si="34"/>
        <v>3.1438055167046786E-2</v>
      </c>
    </row>
    <row r="18" spans="1:73" x14ac:dyDescent="0.25">
      <c r="A18" s="33">
        <v>15</v>
      </c>
      <c r="B18" s="39" t="s">
        <v>45</v>
      </c>
      <c r="C18" s="191">
        <f>'Budget by Cost Category'!$AP17</f>
        <v>2768256.5393969151</v>
      </c>
      <c r="D18" s="191">
        <f>_xlfn.XLOOKUP($B18,'Budget by Cost Category'!$AR:$AR,'Budget by Cost Category'!$AW:$AW,0)</f>
        <v>4853186</v>
      </c>
      <c r="E18" s="191">
        <f>_xlfn.XLOOKUP($B18,'Budget by Cost Category'!$AY:$AY,'Budget by Cost Category'!$BD:$BD,0)</f>
        <v>5418064</v>
      </c>
      <c r="F18" s="191">
        <f>_xlfn.XLOOKUP($B18,'Budget by Cost Category'!$BF:$BF,'Budget by Cost Category'!$BK:$BK,0)</f>
        <v>6024069</v>
      </c>
      <c r="G18" s="191">
        <f>_xlfn.XLOOKUP($B18,'Budget by Cost Category'!$BM:$BM,'Budget by Cost Category'!$BR:$BR,0)</f>
        <v>6422701</v>
      </c>
      <c r="I18" s="156">
        <f t="shared" si="5"/>
        <v>0.75315615837298888</v>
      </c>
      <c r="J18" s="156">
        <f t="shared" si="6"/>
        <v>0.11639323116814393</v>
      </c>
      <c r="K18" s="156">
        <f t="shared" si="7"/>
        <v>0.11184899255527436</v>
      </c>
      <c r="L18" s="156">
        <f t="shared" si="8"/>
        <v>6.6173212823425587E-2</v>
      </c>
      <c r="M18" s="156">
        <f t="shared" si="9"/>
        <v>0.32339889713684999</v>
      </c>
      <c r="O18" s="196">
        <f>'Budget by Cost Category'!$AL17</f>
        <v>2431680.3680079053</v>
      </c>
      <c r="P18" s="196">
        <f>_xlfn.XLOOKUP($B18,'Budget by Cost Category'!$AR:$AR,'Budget by Cost Category'!$AS:$AS,0)</f>
        <v>3934086</v>
      </c>
      <c r="Q18" s="196">
        <f>_xlfn.XLOOKUP($B18,'Budget by Cost Category'!$AY:$AY,'Budget by Cost Category'!$AZ:$AZ,0)</f>
        <v>4432296</v>
      </c>
      <c r="R18" s="196">
        <f>_xlfn.XLOOKUP($B18,'Budget by Cost Category'!$BF:$BF,'Budget by Cost Category'!$BG:$BG,0)</f>
        <v>4969196</v>
      </c>
      <c r="S18" s="196">
        <f>_xlfn.XLOOKUP($B18,'Budget by Cost Category'!$BM:$BM,'Budget by Cost Category'!$BN:$BN,0)</f>
        <v>5320426</v>
      </c>
      <c r="U18" s="156">
        <f t="shared" si="10"/>
        <v>0.61784667580423158</v>
      </c>
      <c r="V18" s="156">
        <f t="shared" si="11"/>
        <v>0.12663932613572748</v>
      </c>
      <c r="W18" s="156">
        <f t="shared" si="12"/>
        <v>0.12113360660028127</v>
      </c>
      <c r="X18" s="156">
        <f t="shared" si="13"/>
        <v>7.0681454303674007E-2</v>
      </c>
      <c r="Y18" s="156">
        <f t="shared" si="14"/>
        <v>0.35239188975533331</v>
      </c>
      <c r="AA18" s="201"/>
      <c r="AB18" s="201">
        <f>_xlfn.XLOOKUP($B18,'Savings by Offer'!AF:AF,'Savings by Offer'!AH:AH)</f>
        <v>3145180.8974258802</v>
      </c>
      <c r="AC18" s="201">
        <f>_xlfn.XLOOKUP($B18,'Savings by Offer'!AK:AK,'Savings by Offer'!AM:AM)</f>
        <v>3474427.4432333936</v>
      </c>
      <c r="AD18" s="201">
        <f>_xlfn.XLOOKUP($B18,'Savings by Offer'!AP:AP,'Savings by Offer'!AR:AR)</f>
        <v>3818289.6984629072</v>
      </c>
      <c r="AE18" s="201">
        <f>_xlfn.XLOOKUP($B18,'Savings by Offer'!AU:AU,'Savings by Offer'!AW:AW)</f>
        <v>4011725.1362350872</v>
      </c>
      <c r="AG18" s="156">
        <f t="shared" si="15"/>
        <v>0</v>
      </c>
      <c r="AH18" s="156">
        <f t="shared" si="16"/>
        <v>0.10468286452997977</v>
      </c>
      <c r="AI18" s="156">
        <f t="shared" si="17"/>
        <v>9.896947363203723E-2</v>
      </c>
      <c r="AJ18" s="156">
        <f t="shared" si="18"/>
        <v>5.0660230901298453E-2</v>
      </c>
      <c r="AK18" s="156">
        <f t="shared" si="19"/>
        <v>0.27551491220057178</v>
      </c>
      <c r="AM18" s="40">
        <f t="shared" si="0"/>
        <v>0</v>
      </c>
      <c r="AN18" s="40">
        <f t="shared" si="1"/>
        <v>1.5430546471816637</v>
      </c>
      <c r="AO18" s="40">
        <f t="shared" si="2"/>
        <v>1.5594120437172829</v>
      </c>
      <c r="AP18" s="40">
        <f t="shared" si="3"/>
        <v>1.5776877805853895</v>
      </c>
      <c r="AQ18" s="40">
        <f t="shared" si="4"/>
        <v>1.6009823160585619</v>
      </c>
      <c r="AS18" s="156">
        <f t="shared" si="20"/>
        <v>0</v>
      </c>
      <c r="AT18" s="156">
        <f t="shared" si="21"/>
        <v>1.0600659260833867E-2</v>
      </c>
      <c r="AU18" s="156">
        <f t="shared" si="22"/>
        <v>1.1719633012799768E-2</v>
      </c>
      <c r="AV18" s="156">
        <f t="shared" si="23"/>
        <v>1.4764984403016213E-2</v>
      </c>
      <c r="AW18" s="156">
        <f t="shared" si="24"/>
        <v>3.7540905620355725E-2</v>
      </c>
      <c r="AY18" s="41">
        <f>'TRC-Plus'!AJ16</f>
        <v>1.6216914299457854</v>
      </c>
      <c r="AZ18" s="41">
        <v>1.3292770531627609</v>
      </c>
      <c r="BA18" s="41">
        <v>1.3677703562132046</v>
      </c>
      <c r="BB18" s="41">
        <v>1.4056925945419447</v>
      </c>
      <c r="BC18" s="41">
        <v>1.4504317798280695</v>
      </c>
      <c r="BE18" s="156">
        <f t="shared" si="25"/>
        <v>-0.18031443675619607</v>
      </c>
      <c r="BF18" s="156">
        <f t="shared" si="26"/>
        <v>2.895807383333393E-2</v>
      </c>
      <c r="BG18" s="156">
        <f t="shared" si="27"/>
        <v>2.7725588697309789E-2</v>
      </c>
      <c r="BH18" s="156">
        <f t="shared" si="28"/>
        <v>3.1827147315024007E-2</v>
      </c>
      <c r="BI18" s="156">
        <f t="shared" si="29"/>
        <v>9.1143322136678862E-2</v>
      </c>
      <c r="BK18" s="41">
        <v>1.9484369243586821</v>
      </c>
      <c r="BL18" s="41">
        <v>2.0239419353707162</v>
      </c>
      <c r="BM18" s="41">
        <v>2.0870126256066439</v>
      </c>
      <c r="BN18" s="41">
        <v>2.1388180879951428</v>
      </c>
      <c r="BO18" s="41">
        <v>2.1756595947528301</v>
      </c>
      <c r="BQ18" s="156">
        <f t="shared" si="30"/>
        <v>3.8751580853399359E-2</v>
      </c>
      <c r="BR18" s="156">
        <f t="shared" si="31"/>
        <v>3.1162302205263392E-2</v>
      </c>
      <c r="BS18" s="156">
        <f t="shared" si="32"/>
        <v>2.4822783414374605E-2</v>
      </c>
      <c r="BT18" s="156">
        <f t="shared" si="33"/>
        <v>1.7225170744755269E-2</v>
      </c>
      <c r="BU18" s="156">
        <f t="shared" si="34"/>
        <v>7.4961468375486895E-2</v>
      </c>
    </row>
    <row r="19" spans="1:73" x14ac:dyDescent="0.25">
      <c r="A19" s="33">
        <v>16</v>
      </c>
      <c r="B19" s="39" t="s">
        <v>47</v>
      </c>
      <c r="C19" s="191">
        <f>'Budget by Cost Category'!$AP18</f>
        <v>5415507.8503272459</v>
      </c>
      <c r="D19" s="191">
        <f>_xlfn.XLOOKUP($B19,'Budget by Cost Category'!$AR:$AR,'Budget by Cost Category'!$AW:$AW,0)</f>
        <v>10952133</v>
      </c>
      <c r="E19" s="191">
        <f>_xlfn.XLOOKUP($B19,'Budget by Cost Category'!$AY:$AY,'Budget by Cost Category'!$BD:$BD,0)</f>
        <v>12354268</v>
      </c>
      <c r="F19" s="191">
        <f>_xlfn.XLOOKUP($B19,'Budget by Cost Category'!$BF:$BF,'Budget by Cost Category'!$BK:$BK,0)</f>
        <v>13247218</v>
      </c>
      <c r="G19" s="191">
        <f>_xlfn.XLOOKUP($B19,'Budget by Cost Category'!$BM:$BM,'Budget by Cost Category'!$BR:$BR,0)</f>
        <v>13880238</v>
      </c>
      <c r="I19" s="156">
        <f t="shared" si="5"/>
        <v>1.0223649014446892</v>
      </c>
      <c r="J19" s="156">
        <f t="shared" si="6"/>
        <v>0.12802392008935604</v>
      </c>
      <c r="K19" s="156">
        <f t="shared" si="7"/>
        <v>7.2278665154422717E-2</v>
      </c>
      <c r="L19" s="156">
        <f t="shared" si="8"/>
        <v>4.7785127413167094E-2</v>
      </c>
      <c r="M19" s="156">
        <f t="shared" si="9"/>
        <v>0.26735477007081632</v>
      </c>
      <c r="O19" s="196">
        <f>'Budget by Cost Category'!$AL18</f>
        <v>4915975.1231501112</v>
      </c>
      <c r="P19" s="196">
        <f>_xlfn.XLOOKUP($B19,'Budget by Cost Category'!$AR:$AR,'Budget by Cost Category'!$AS:$AS,0)</f>
        <v>10023833</v>
      </c>
      <c r="Q19" s="196">
        <f>_xlfn.XLOOKUP($B19,'Budget by Cost Category'!$AY:$AY,'Budget by Cost Category'!$AZ:$AZ,0)</f>
        <v>11328015</v>
      </c>
      <c r="R19" s="196">
        <f>_xlfn.XLOOKUP($B19,'Budget by Cost Category'!$BF:$BF,'Budget by Cost Category'!$BG:$BG,0)</f>
        <v>12166684</v>
      </c>
      <c r="S19" s="196">
        <f>_xlfn.XLOOKUP($B19,'Budget by Cost Category'!$BM:$BM,'Budget by Cost Category'!$BN:$BN,0)</f>
        <v>12756070</v>
      </c>
      <c r="U19" s="156">
        <f t="shared" si="10"/>
        <v>1.0390324907862474</v>
      </c>
      <c r="V19" s="156">
        <f t="shared" si="11"/>
        <v>0.13010811333349226</v>
      </c>
      <c r="W19" s="156">
        <f t="shared" si="12"/>
        <v>7.4034947870390333E-2</v>
      </c>
      <c r="X19" s="156">
        <f t="shared" si="13"/>
        <v>4.8442615917369203E-2</v>
      </c>
      <c r="Y19" s="156">
        <f t="shared" si="14"/>
        <v>0.27257407420893776</v>
      </c>
      <c r="AA19" s="201"/>
      <c r="AB19" s="201">
        <f>_xlfn.XLOOKUP($B19,'Savings by Offer'!AF:AF,'Savings by Offer'!AH:AH)</f>
        <v>6227205.2764457874</v>
      </c>
      <c r="AC19" s="201">
        <f>_xlfn.XLOOKUP($B19,'Savings by Offer'!AK:AK,'Savings by Offer'!AM:AM)</f>
        <v>6903154.7146677971</v>
      </c>
      <c r="AD19" s="201">
        <f>_xlfn.XLOOKUP($B19,'Savings by Offer'!AP:AP,'Savings by Offer'!AR:AR)</f>
        <v>7263120.1553304363</v>
      </c>
      <c r="AE19" s="201">
        <f>_xlfn.XLOOKUP($B19,'Savings by Offer'!AU:AU,'Savings by Offer'!AW:AW)</f>
        <v>7447854.4333298001</v>
      </c>
      <c r="AG19" s="156">
        <f t="shared" si="15"/>
        <v>0</v>
      </c>
      <c r="AH19" s="156">
        <f t="shared" si="16"/>
        <v>0.10854780085358162</v>
      </c>
      <c r="AI19" s="156">
        <f t="shared" si="17"/>
        <v>5.2145063458854057E-2</v>
      </c>
      <c r="AJ19" s="156">
        <f t="shared" si="18"/>
        <v>2.5434561737738282E-2</v>
      </c>
      <c r="AK19" s="156">
        <f t="shared" si="19"/>
        <v>0.19601877611150553</v>
      </c>
      <c r="AM19" s="40">
        <f t="shared" si="0"/>
        <v>0</v>
      </c>
      <c r="AN19" s="40">
        <f t="shared" si="1"/>
        <v>1.7587557361287103</v>
      </c>
      <c r="AO19" s="40">
        <f t="shared" si="2"/>
        <v>1.7896553837551545</v>
      </c>
      <c r="AP19" s="40">
        <f t="shared" si="3"/>
        <v>1.8239018103366784</v>
      </c>
      <c r="AQ19" s="40">
        <f t="shared" si="4"/>
        <v>1.86365591919798</v>
      </c>
      <c r="AS19" s="156">
        <f t="shared" si="20"/>
        <v>0</v>
      </c>
      <c r="AT19" s="156">
        <f t="shared" si="21"/>
        <v>1.7569038719645658E-2</v>
      </c>
      <c r="AU19" s="156">
        <f t="shared" si="22"/>
        <v>1.9135765964990448E-2</v>
      </c>
      <c r="AV19" s="156">
        <f t="shared" si="23"/>
        <v>2.1796189156675805E-2</v>
      </c>
      <c r="AW19" s="156">
        <f t="shared" si="24"/>
        <v>5.9644543534039141E-2</v>
      </c>
      <c r="AY19" s="41">
        <f>'TRC-Plus'!AJ17</f>
        <v>2.1851196628393583</v>
      </c>
      <c r="AZ19" s="41">
        <v>2.6168229236419132</v>
      </c>
      <c r="BA19" s="41">
        <v>2.7566870643722323</v>
      </c>
      <c r="BB19" s="41">
        <v>2.8559736045862492</v>
      </c>
      <c r="BC19" s="41">
        <v>2.9228157842488747</v>
      </c>
      <c r="BE19" s="156">
        <f t="shared" si="25"/>
        <v>0.19756504329909186</v>
      </c>
      <c r="BF19" s="156">
        <f t="shared" si="26"/>
        <v>5.3448072266069069E-2</v>
      </c>
      <c r="BG19" s="156">
        <f t="shared" si="27"/>
        <v>3.6016616284528125E-2</v>
      </c>
      <c r="BH19" s="156">
        <f t="shared" si="28"/>
        <v>2.3404340836794546E-2</v>
      </c>
      <c r="BI19" s="156">
        <f t="shared" si="29"/>
        <v>0.11693296395504738</v>
      </c>
      <c r="BK19" s="41">
        <v>1.920579282396458</v>
      </c>
      <c r="BL19" s="41">
        <v>1.6287690969889785</v>
      </c>
      <c r="BM19" s="41">
        <v>1.6650720255636302</v>
      </c>
      <c r="BN19" s="41">
        <v>1.6935854567712787</v>
      </c>
      <c r="BO19" s="41">
        <v>1.7094628711040289</v>
      </c>
      <c r="BQ19" s="156">
        <f t="shared" si="30"/>
        <v>-0.15193863022585818</v>
      </c>
      <c r="BR19" s="156">
        <f t="shared" si="31"/>
        <v>2.2288566649356856E-2</v>
      </c>
      <c r="BS19" s="156">
        <f t="shared" si="32"/>
        <v>1.7124443129117317E-2</v>
      </c>
      <c r="BT19" s="156">
        <f t="shared" si="33"/>
        <v>9.3750299220327626E-3</v>
      </c>
      <c r="BU19" s="156">
        <f t="shared" si="34"/>
        <v>4.9542795393297201E-2</v>
      </c>
    </row>
    <row r="20" spans="1:73" x14ac:dyDescent="0.25">
      <c r="A20" s="33">
        <v>17</v>
      </c>
      <c r="B20" s="39" t="s">
        <v>48</v>
      </c>
      <c r="C20" s="191">
        <f>'Budget by Cost Category'!$AP19</f>
        <v>2751076.3630908378</v>
      </c>
      <c r="D20" s="191">
        <f>_xlfn.XLOOKUP($B20,'Budget by Cost Category'!$AR:$AR,'Budget by Cost Category'!$AW:$AW,0)</f>
        <v>3357178</v>
      </c>
      <c r="E20" s="191">
        <f>_xlfn.XLOOKUP($B20,'Budget by Cost Category'!$AY:$AY,'Budget by Cost Category'!$BD:$BD,0)</f>
        <v>3910928</v>
      </c>
      <c r="F20" s="191">
        <f>_xlfn.XLOOKUP($B20,'Budget by Cost Category'!$BF:$BF,'Budget by Cost Category'!$BK:$BK,0)</f>
        <v>4321951</v>
      </c>
      <c r="G20" s="191">
        <f>_xlfn.XLOOKUP($B20,'Budget by Cost Category'!$BM:$BM,'Budget by Cost Category'!$BR:$BR,0)</f>
        <v>4608494</v>
      </c>
      <c r="I20" s="156">
        <f t="shared" si="5"/>
        <v>0.22031436314919528</v>
      </c>
      <c r="J20" s="156">
        <f t="shared" si="6"/>
        <v>0.16494508185148349</v>
      </c>
      <c r="K20" s="156">
        <f t="shared" si="7"/>
        <v>0.10509602835950949</v>
      </c>
      <c r="L20" s="156">
        <f t="shared" si="8"/>
        <v>6.6299455963290566E-2</v>
      </c>
      <c r="M20" s="156">
        <f t="shared" si="9"/>
        <v>0.37272852377800647</v>
      </c>
      <c r="O20" s="196">
        <f>'Budget by Cost Category'!$AL19</f>
        <v>591187.93803900504</v>
      </c>
      <c r="P20" s="196">
        <f>_xlfn.XLOOKUP($B20,'Budget by Cost Category'!$AR:$AR,'Budget by Cost Category'!$AS:$AS,0)</f>
        <v>2114178</v>
      </c>
      <c r="Q20" s="196">
        <f>_xlfn.XLOOKUP($B20,'Budget by Cost Category'!$AY:$AY,'Budget by Cost Category'!$AZ:$AZ,0)</f>
        <v>2480745</v>
      </c>
      <c r="R20" s="196">
        <f>_xlfn.XLOOKUP($B20,'Budget by Cost Category'!$BF:$BF,'Budget by Cost Category'!$BG:$BG,0)</f>
        <v>2783877</v>
      </c>
      <c r="S20" s="196">
        <f>_xlfn.XLOOKUP($B20,'Budget by Cost Category'!$BM:$BM,'Budget by Cost Category'!$BN:$BN,0)</f>
        <v>2980583</v>
      </c>
      <c r="U20" s="156">
        <f t="shared" si="10"/>
        <v>2.5761521234902327</v>
      </c>
      <c r="V20" s="156">
        <f t="shared" si="11"/>
        <v>0.17338511705258508</v>
      </c>
      <c r="W20" s="156">
        <f t="shared" si="12"/>
        <v>0.12219393770822884</v>
      </c>
      <c r="X20" s="156">
        <f t="shared" si="13"/>
        <v>7.0659012592869663E-2</v>
      </c>
      <c r="Y20" s="156">
        <f t="shared" si="14"/>
        <v>0.40980702665527691</v>
      </c>
      <c r="AA20" s="201"/>
      <c r="AB20" s="201">
        <f>_xlfn.XLOOKUP($B20,'Savings by Offer'!AF:AF,'Savings by Offer'!AH:AH)</f>
        <v>1897555.8749230783</v>
      </c>
      <c r="AC20" s="201">
        <f>_xlfn.XLOOKUP($B20,'Savings by Offer'!AK:AK,'Savings by Offer'!AM:AM)</f>
        <v>2186041.6299948758</v>
      </c>
      <c r="AD20" s="201">
        <f>_xlfn.XLOOKUP($B20,'Savings by Offer'!AP:AP,'Savings by Offer'!AR:AR)</f>
        <v>2404592.3740192219</v>
      </c>
      <c r="AE20" s="201">
        <f>_xlfn.XLOOKUP($B20,'Savings by Offer'!AU:AU,'Savings by Offer'!AW:AW)</f>
        <v>2525597.63058706</v>
      </c>
      <c r="AG20" s="156">
        <f t="shared" si="15"/>
        <v>0</v>
      </c>
      <c r="AH20" s="156">
        <f t="shared" si="16"/>
        <v>0.15203017675750496</v>
      </c>
      <c r="AI20" s="156">
        <f t="shared" si="17"/>
        <v>9.9975563605739115E-2</v>
      </c>
      <c r="AJ20" s="156">
        <f t="shared" si="18"/>
        <v>5.0322565219476534E-2</v>
      </c>
      <c r="AK20" s="156">
        <f t="shared" si="19"/>
        <v>0.3309740513909456</v>
      </c>
      <c r="AM20" s="40">
        <f t="shared" si="0"/>
        <v>0</v>
      </c>
      <c r="AN20" s="40">
        <f t="shared" si="1"/>
        <v>1.7692116708479484</v>
      </c>
      <c r="AO20" s="40">
        <f t="shared" si="2"/>
        <v>1.7890455270100083</v>
      </c>
      <c r="AP20" s="40">
        <f t="shared" si="3"/>
        <v>1.7973736616223051</v>
      </c>
      <c r="AQ20" s="40">
        <f t="shared" si="4"/>
        <v>1.8247142554250746</v>
      </c>
      <c r="AS20" s="156">
        <f t="shared" si="20"/>
        <v>0</v>
      </c>
      <c r="AT20" s="156">
        <f t="shared" si="21"/>
        <v>1.1210561454500167E-2</v>
      </c>
      <c r="AU20" s="156">
        <f t="shared" si="22"/>
        <v>4.6550713699362589E-3</v>
      </c>
      <c r="AV20" s="156">
        <f t="shared" si="23"/>
        <v>1.5211413400868512E-2</v>
      </c>
      <c r="AW20" s="156">
        <f t="shared" si="24"/>
        <v>3.1371364710998551E-2</v>
      </c>
      <c r="AY20" s="41">
        <f>'TRC-Plus'!AJ18</f>
        <v>1.1718321368436837</v>
      </c>
      <c r="AZ20" s="41">
        <v>1.8649166754605635</v>
      </c>
      <c r="BA20" s="41">
        <v>1.933440791968231</v>
      </c>
      <c r="BB20" s="41">
        <v>2.0032801646483054</v>
      </c>
      <c r="BC20" s="41">
        <v>2.0501187376609078</v>
      </c>
      <c r="BE20" s="156">
        <f t="shared" si="25"/>
        <v>0.59145377296418489</v>
      </c>
      <c r="BF20" s="156">
        <f t="shared" si="26"/>
        <v>3.6743795264067014E-2</v>
      </c>
      <c r="BG20" s="156">
        <f t="shared" si="27"/>
        <v>3.6121805731107015E-2</v>
      </c>
      <c r="BH20" s="156">
        <f t="shared" si="28"/>
        <v>2.3380939840147219E-2</v>
      </c>
      <c r="BI20" s="156">
        <f t="shared" si="29"/>
        <v>9.9308491707602142E-2</v>
      </c>
      <c r="BK20" s="41">
        <v>1.697097608567212</v>
      </c>
      <c r="BL20" s="41">
        <v>1.4819576786532802</v>
      </c>
      <c r="BM20" s="41">
        <v>1.536333295545236</v>
      </c>
      <c r="BN20" s="41">
        <v>1.5879928730628801</v>
      </c>
      <c r="BO20" s="41">
        <v>1.6146587891706907</v>
      </c>
      <c r="BQ20" s="156">
        <f t="shared" si="30"/>
        <v>-0.12676933184507011</v>
      </c>
      <c r="BR20" s="156">
        <f t="shared" si="31"/>
        <v>3.669174746027104E-2</v>
      </c>
      <c r="BS20" s="156">
        <f t="shared" si="32"/>
        <v>3.3625241129276118E-2</v>
      </c>
      <c r="BT20" s="156">
        <f t="shared" si="33"/>
        <v>1.679221397031716E-2</v>
      </c>
      <c r="BU20" s="156">
        <f t="shared" si="34"/>
        <v>8.9544467044431197E-2</v>
      </c>
    </row>
    <row r="21" spans="1:73" x14ac:dyDescent="0.25">
      <c r="A21" s="33">
        <v>18</v>
      </c>
      <c r="B21" s="39" t="s">
        <v>49</v>
      </c>
      <c r="C21" s="191" t="s">
        <v>315</v>
      </c>
      <c r="D21" s="191">
        <f>_xlfn.XLOOKUP($B21,'Budget by Cost Category'!$AR:$AR,'Budget by Cost Category'!$AW:$AW,0)</f>
        <v>572930</v>
      </c>
      <c r="E21" s="191">
        <f>_xlfn.XLOOKUP($B21,'Budget by Cost Category'!$AY:$AY,'Budget by Cost Category'!$BD:$BD,0)</f>
        <v>723154</v>
      </c>
      <c r="F21" s="191">
        <f>_xlfn.XLOOKUP($B21,'Budget by Cost Category'!$BF:$BF,'Budget by Cost Category'!$BK:$BK,0)</f>
        <v>746073</v>
      </c>
      <c r="G21" s="191">
        <f>_xlfn.XLOOKUP($B21,'Budget by Cost Category'!$BM:$BM,'Budget by Cost Category'!$BR:$BR,0)</f>
        <v>796291</v>
      </c>
      <c r="I21" s="156">
        <f t="shared" si="5"/>
        <v>0</v>
      </c>
      <c r="J21" s="156">
        <f t="shared" si="6"/>
        <v>0.26220306145602423</v>
      </c>
      <c r="K21" s="156">
        <f t="shared" si="7"/>
        <v>3.169311101093264E-2</v>
      </c>
      <c r="L21" s="156">
        <f t="shared" si="8"/>
        <v>6.7309767274783994E-2</v>
      </c>
      <c r="M21" s="156">
        <f t="shared" si="9"/>
        <v>0.38985739968233468</v>
      </c>
      <c r="O21" s="196" t="s">
        <v>315</v>
      </c>
      <c r="P21" s="196">
        <f>_xlfn.XLOOKUP($B21,'Budget by Cost Category'!$AR:$AR,'Budget by Cost Category'!$AS:$AS,0)</f>
        <v>246930</v>
      </c>
      <c r="Q21" s="196">
        <f>_xlfn.XLOOKUP($B21,'Budget by Cost Category'!$AY:$AY,'Budget by Cost Category'!$AZ:$AZ,0)</f>
        <v>374254</v>
      </c>
      <c r="R21" s="196">
        <f>_xlfn.XLOOKUP($B21,'Budget by Cost Category'!$BF:$BF,'Budget by Cost Category'!$BG:$BG,0)</f>
        <v>403278</v>
      </c>
      <c r="S21" s="196">
        <f>_xlfn.XLOOKUP($B21,'Budget by Cost Category'!$BM:$BM,'Budget by Cost Category'!$BN:$BN,0)</f>
        <v>452477</v>
      </c>
      <c r="U21" s="156">
        <f t="shared" si="10"/>
        <v>0</v>
      </c>
      <c r="V21" s="156">
        <f t="shared" si="11"/>
        <v>0.51562791074393544</v>
      </c>
      <c r="W21" s="156">
        <f t="shared" si="12"/>
        <v>7.7551609334836735E-2</v>
      </c>
      <c r="X21" s="156">
        <f t="shared" si="13"/>
        <v>0.12199772861400815</v>
      </c>
      <c r="Y21" s="156">
        <f t="shared" si="14"/>
        <v>0.83240999473535005</v>
      </c>
      <c r="AA21" s="201"/>
      <c r="AB21" s="201">
        <f>_xlfn.XLOOKUP($B21,'Savings by Offer'!AF:AF,'Savings by Offer'!AH:AH)</f>
        <v>196590.45507531945</v>
      </c>
      <c r="AC21" s="201">
        <f>_xlfn.XLOOKUP($B21,'Savings by Offer'!AK:AK,'Savings by Offer'!AM:AM)</f>
        <v>294499.16823374992</v>
      </c>
      <c r="AD21" s="201">
        <f>_xlfn.XLOOKUP($B21,'Savings by Offer'!AP:AP,'Savings by Offer'!AR:AR)</f>
        <v>310854.49511165277</v>
      </c>
      <c r="AE21" s="201">
        <f>_xlfn.XLOOKUP($B21,'Savings by Offer'!AU:AU,'Savings by Offer'!AW:AW)</f>
        <v>341939.94462281797</v>
      </c>
      <c r="AG21" s="156">
        <f t="shared" si="15"/>
        <v>0</v>
      </c>
      <c r="AH21" s="156">
        <f t="shared" si="16"/>
        <v>0.49803391075583425</v>
      </c>
      <c r="AI21" s="156">
        <f t="shared" si="17"/>
        <v>5.5536071548158983E-2</v>
      </c>
      <c r="AJ21" s="156">
        <f t="shared" si="18"/>
        <v>9.9999999999999867E-2</v>
      </c>
      <c r="AK21" s="156">
        <f t="shared" si="19"/>
        <v>0.73935171212565209</v>
      </c>
      <c r="AM21" s="40">
        <f t="shared" si="0"/>
        <v>0</v>
      </c>
      <c r="AN21" s="40">
        <f t="shared" si="1"/>
        <v>2.9143327420473901</v>
      </c>
      <c r="AO21" s="40">
        <f t="shared" si="2"/>
        <v>2.4555383444275742</v>
      </c>
      <c r="AP21" s="40">
        <f t="shared" si="3"/>
        <v>2.4000714537907046</v>
      </c>
      <c r="AQ21" s="40">
        <f t="shared" si="4"/>
        <v>2.3287451861711004</v>
      </c>
      <c r="AS21" s="156">
        <f t="shared" si="20"/>
        <v>0</v>
      </c>
      <c r="AT21" s="156">
        <f t="shared" si="21"/>
        <v>-0.15742690976923301</v>
      </c>
      <c r="AU21" s="156">
        <f t="shared" si="22"/>
        <v>-2.2588484827672173E-2</v>
      </c>
      <c r="AV21" s="156">
        <f t="shared" si="23"/>
        <v>-2.9718393386559683E-2</v>
      </c>
      <c r="AW21" s="156">
        <f t="shared" si="24"/>
        <v>-0.20093366396621548</v>
      </c>
      <c r="AY21" s="49">
        <v>0</v>
      </c>
      <c r="AZ21" s="41">
        <v>0.7654006116134664</v>
      </c>
      <c r="BA21" s="41">
        <v>1.0853422299889754</v>
      </c>
      <c r="BB21" s="41">
        <v>1.2124402047659868</v>
      </c>
      <c r="BC21" s="41">
        <v>1.3528560975059636</v>
      </c>
      <c r="BE21" s="156">
        <f t="shared" si="25"/>
        <v>0</v>
      </c>
      <c r="BF21" s="156">
        <f t="shared" si="26"/>
        <v>0.41800543861739459</v>
      </c>
      <c r="BG21" s="156">
        <f t="shared" si="27"/>
        <v>0.11710405369401533</v>
      </c>
      <c r="BH21" s="156">
        <f t="shared" si="28"/>
        <v>0.11581263322349034</v>
      </c>
      <c r="BI21" s="156">
        <f t="shared" si="29"/>
        <v>0.76751373983637095</v>
      </c>
      <c r="BK21" s="41">
        <v>0</v>
      </c>
      <c r="BL21" s="41">
        <v>0.43580437859696769</v>
      </c>
      <c r="BM21" s="41">
        <v>0.55142984161811559</v>
      </c>
      <c r="BN21" s="41">
        <v>0.59423205051697814</v>
      </c>
      <c r="BO21" s="41">
        <v>0.6342227533640592</v>
      </c>
      <c r="BQ21" s="156">
        <f t="shared" si="30"/>
        <v>0</v>
      </c>
      <c r="BR21" s="156">
        <f t="shared" si="31"/>
        <v>0.26531505579038361</v>
      </c>
      <c r="BS21" s="156">
        <f t="shared" si="32"/>
        <v>7.7620407291095761E-2</v>
      </c>
      <c r="BT21" s="156">
        <f t="shared" si="33"/>
        <v>6.7298125054495728E-2</v>
      </c>
      <c r="BU21" s="156">
        <f t="shared" si="34"/>
        <v>0.45529229285369111</v>
      </c>
    </row>
    <row r="22" spans="1:73" x14ac:dyDescent="0.25">
      <c r="A22" s="33">
        <v>19</v>
      </c>
      <c r="B22" s="39" t="s">
        <v>50</v>
      </c>
      <c r="C22" s="191" t="s">
        <v>315</v>
      </c>
      <c r="D22" s="191">
        <f>_xlfn.XLOOKUP($B22,'Budget by Cost Category'!$AR:$AR,'Budget by Cost Category'!$AW:$AW,0)</f>
        <v>205675</v>
      </c>
      <c r="E22" s="191">
        <f>_xlfn.XLOOKUP($B22,'Budget by Cost Category'!$AY:$AY,'Budget by Cost Category'!$BD:$BD,0)</f>
        <v>253222</v>
      </c>
      <c r="F22" s="191">
        <f>_xlfn.XLOOKUP($B22,'Budget by Cost Category'!$BF:$BF,'Budget by Cost Category'!$BK:$BK,0)</f>
        <v>382436</v>
      </c>
      <c r="G22" s="191">
        <f>_xlfn.XLOOKUP($B22,'Budget by Cost Category'!$BM:$BM,'Budget by Cost Category'!$BR:$BR,0)</f>
        <v>582145</v>
      </c>
      <c r="I22" s="156">
        <f t="shared" si="5"/>
        <v>0</v>
      </c>
      <c r="J22" s="156">
        <f t="shared" si="6"/>
        <v>0.23117539807949439</v>
      </c>
      <c r="K22" s="156">
        <f t="shared" si="7"/>
        <v>0.51027951757746171</v>
      </c>
      <c r="L22" s="156">
        <f t="shared" si="8"/>
        <v>0.52220240772312221</v>
      </c>
      <c r="M22" s="156">
        <f t="shared" si="9"/>
        <v>1.8304120578582714</v>
      </c>
      <c r="O22" s="196" t="s">
        <v>315</v>
      </c>
      <c r="P22" s="196">
        <f>_xlfn.XLOOKUP($B22,'Budget by Cost Category'!$AR:$AR,'Budget by Cost Category'!$AS:$AS,0)</f>
        <v>77869</v>
      </c>
      <c r="Q22" s="196">
        <f>_xlfn.XLOOKUP($B22,'Budget by Cost Category'!$AY:$AY,'Budget by Cost Category'!$AZ:$AZ,0)</f>
        <v>116826</v>
      </c>
      <c r="R22" s="196">
        <f>_xlfn.XLOOKUP($B22,'Budget by Cost Category'!$BF:$BF,'Budget by Cost Category'!$BG:$BG,0)</f>
        <v>238324</v>
      </c>
      <c r="S22" s="196">
        <f>_xlfn.XLOOKUP($B22,'Budget by Cost Category'!$BM:$BM,'Budget by Cost Category'!$BN:$BN,0)</f>
        <v>427856</v>
      </c>
      <c r="U22" s="156">
        <f t="shared" si="10"/>
        <v>0</v>
      </c>
      <c r="V22" s="156">
        <f t="shared" si="11"/>
        <v>0.50028894682094283</v>
      </c>
      <c r="W22" s="156">
        <f t="shared" si="12"/>
        <v>1.0399910978720492</v>
      </c>
      <c r="X22" s="156">
        <f t="shared" si="13"/>
        <v>0.7952703042916367</v>
      </c>
      <c r="Y22" s="156">
        <f t="shared" si="14"/>
        <v>4.494561378725809</v>
      </c>
      <c r="AA22" s="201"/>
      <c r="AB22" s="201">
        <f>_xlfn.XLOOKUP($B22,'Savings by Offer'!AF:AF,'Savings by Offer'!AH:AH)</f>
        <v>35237.600000000006</v>
      </c>
      <c r="AC22" s="201">
        <f>_xlfn.XLOOKUP($B22,'Savings by Offer'!AK:AK,'Savings by Offer'!AM:AM)</f>
        <v>51172</v>
      </c>
      <c r="AD22" s="201">
        <f>_xlfn.XLOOKUP($B22,'Savings by Offer'!AP:AP,'Savings by Offer'!AR:AR)</f>
        <v>102344</v>
      </c>
      <c r="AE22" s="201">
        <f>_xlfn.XLOOKUP($B22,'Savings by Offer'!AU:AU,'Savings by Offer'!AW:AW)</f>
        <v>179684.8</v>
      </c>
      <c r="AG22" s="156">
        <f t="shared" si="15"/>
        <v>0</v>
      </c>
      <c r="AH22" s="156">
        <f t="shared" si="16"/>
        <v>0.45219878765863708</v>
      </c>
      <c r="AI22" s="156">
        <f t="shared" si="17"/>
        <v>1</v>
      </c>
      <c r="AJ22" s="156">
        <f t="shared" si="18"/>
        <v>0.75569452044086605</v>
      </c>
      <c r="AK22" s="156">
        <f t="shared" si="19"/>
        <v>4.0992349081662756</v>
      </c>
      <c r="AM22" s="40">
        <f t="shared" si="0"/>
        <v>0</v>
      </c>
      <c r="AN22" s="40">
        <f t="shared" si="1"/>
        <v>5.8368050037459973</v>
      </c>
      <c r="AO22" s="40">
        <f t="shared" si="2"/>
        <v>4.9484483702024544</v>
      </c>
      <c r="AP22" s="40">
        <f t="shared" si="3"/>
        <v>3.7367701086531695</v>
      </c>
      <c r="AQ22" s="40">
        <f t="shared" si="4"/>
        <v>3.239812159960108</v>
      </c>
      <c r="AS22" s="156">
        <f t="shared" si="20"/>
        <v>0</v>
      </c>
      <c r="AT22" s="156">
        <f t="shared" si="21"/>
        <v>-0.15219912828566406</v>
      </c>
      <c r="AU22" s="156">
        <f t="shared" si="22"/>
        <v>-0.24486024121126915</v>
      </c>
      <c r="AV22" s="156">
        <f t="shared" si="23"/>
        <v>-0.13299130913680379</v>
      </c>
      <c r="AW22" s="156">
        <f t="shared" si="24"/>
        <v>-0.44493397365839149</v>
      </c>
      <c r="AY22" s="49">
        <v>0</v>
      </c>
      <c r="AZ22" s="41">
        <v>0.42405919363666317</v>
      </c>
      <c r="BA22" s="41">
        <v>0.46902811468296263</v>
      </c>
      <c r="BB22" s="41">
        <v>0.53099224475569651</v>
      </c>
      <c r="BC22" s="41">
        <v>0.58026396310694273</v>
      </c>
      <c r="BE22" s="156">
        <f t="shared" si="25"/>
        <v>0</v>
      </c>
      <c r="BF22" s="156">
        <f t="shared" si="26"/>
        <v>0.10604397150466949</v>
      </c>
      <c r="BG22" s="156">
        <f t="shared" si="27"/>
        <v>0.13211176075152387</v>
      </c>
      <c r="BH22" s="156">
        <f t="shared" si="28"/>
        <v>9.2791785262166249E-2</v>
      </c>
      <c r="BI22" s="156">
        <f t="shared" si="29"/>
        <v>0.36835604984929748</v>
      </c>
      <c r="BK22" s="41">
        <v>0</v>
      </c>
      <c r="BL22" s="41">
        <v>0.65582059715105967</v>
      </c>
      <c r="BM22" s="41">
        <v>0.80530390254590678</v>
      </c>
      <c r="BN22" s="41">
        <v>1.1051578900985886</v>
      </c>
      <c r="BO22" s="41">
        <v>1.3164347042452271</v>
      </c>
      <c r="BQ22" s="156">
        <f t="shared" si="30"/>
        <v>0</v>
      </c>
      <c r="BR22" s="156">
        <f t="shared" si="31"/>
        <v>0.22793322753846912</v>
      </c>
      <c r="BS22" s="156">
        <f t="shared" si="32"/>
        <v>0.3723488568783988</v>
      </c>
      <c r="BT22" s="156">
        <f t="shared" si="33"/>
        <v>0.19117342059403941</v>
      </c>
      <c r="BU22" s="156">
        <f t="shared" si="34"/>
        <v>1.0073091787051691</v>
      </c>
    </row>
    <row r="23" spans="1:73" x14ac:dyDescent="0.25">
      <c r="A23" s="33">
        <v>20</v>
      </c>
      <c r="B23" s="39" t="s">
        <v>51</v>
      </c>
      <c r="C23" s="191" t="s">
        <v>315</v>
      </c>
      <c r="D23" s="191">
        <f>_xlfn.XLOOKUP($B23,'Budget by Cost Category'!$AR:$AR,'Budget by Cost Category'!$AW:$AW,0)</f>
        <v>780000</v>
      </c>
      <c r="E23" s="191">
        <f>_xlfn.XLOOKUP($B23,'Budget by Cost Category'!$AY:$AY,'Budget by Cost Category'!$BD:$BD,0)</f>
        <v>794816</v>
      </c>
      <c r="F23" s="191">
        <f>_xlfn.XLOOKUP($B23,'Budget by Cost Category'!$BF:$BF,'Budget by Cost Category'!$BK:$BK,0)</f>
        <v>809915</v>
      </c>
      <c r="G23" s="191">
        <f>_xlfn.XLOOKUP($B23,'Budget by Cost Category'!$BM:$BM,'Budget by Cost Category'!$BR:$BR,0)</f>
        <v>825302</v>
      </c>
      <c r="I23" s="156">
        <f t="shared" si="5"/>
        <v>0</v>
      </c>
      <c r="J23" s="156">
        <f t="shared" si="6"/>
        <v>1.8994871794871804E-2</v>
      </c>
      <c r="K23" s="156">
        <f t="shared" si="7"/>
        <v>1.8996849585312781E-2</v>
      </c>
      <c r="L23" s="156">
        <f t="shared" si="8"/>
        <v>1.899828994400643E-2</v>
      </c>
      <c r="M23" s="156">
        <f t="shared" si="9"/>
        <v>5.8079487179487188E-2</v>
      </c>
      <c r="O23" s="196" t="s">
        <v>315</v>
      </c>
      <c r="P23" s="196">
        <f>_xlfn.XLOOKUP($B23,'Budget by Cost Category'!$AR:$AR,'Budget by Cost Category'!$AS:$AS,0)</f>
        <v>500000</v>
      </c>
      <c r="Q23" s="196">
        <f>_xlfn.XLOOKUP($B23,'Budget by Cost Category'!$AY:$AY,'Budget by Cost Category'!$AZ:$AZ,0)</f>
        <v>510000</v>
      </c>
      <c r="R23" s="196">
        <f>_xlfn.XLOOKUP($B23,'Budget by Cost Category'!$BF:$BF,'Budget by Cost Category'!$BG:$BG,0)</f>
        <v>520200</v>
      </c>
      <c r="S23" s="196">
        <f>_xlfn.XLOOKUP($B23,'Budget by Cost Category'!$BM:$BM,'Budget by Cost Category'!$BN:$BN,0)</f>
        <v>530604</v>
      </c>
      <c r="U23" s="156">
        <f t="shared" si="10"/>
        <v>0</v>
      </c>
      <c r="V23" s="156">
        <f t="shared" si="11"/>
        <v>2.0000000000000018E-2</v>
      </c>
      <c r="W23" s="156">
        <f t="shared" si="12"/>
        <v>2.0000000000000018E-2</v>
      </c>
      <c r="X23" s="156">
        <f t="shared" si="13"/>
        <v>2.0000000000000018E-2</v>
      </c>
      <c r="Y23" s="156">
        <f t="shared" si="14"/>
        <v>6.1207999999999929E-2</v>
      </c>
      <c r="AA23" s="201"/>
      <c r="AB23" s="201">
        <v>0</v>
      </c>
      <c r="AC23" s="201">
        <v>0</v>
      </c>
      <c r="AD23" s="201">
        <v>0</v>
      </c>
      <c r="AE23" s="201">
        <v>0</v>
      </c>
      <c r="AG23" s="156">
        <f t="shared" si="15"/>
        <v>0</v>
      </c>
      <c r="AH23" s="156">
        <f t="shared" si="16"/>
        <v>0</v>
      </c>
      <c r="AI23" s="156">
        <f t="shared" si="17"/>
        <v>0</v>
      </c>
      <c r="AJ23" s="156">
        <f t="shared" si="18"/>
        <v>0</v>
      </c>
      <c r="AK23" s="156">
        <f t="shared" si="19"/>
        <v>0</v>
      </c>
      <c r="AM23" s="40">
        <f t="shared" si="0"/>
        <v>0</v>
      </c>
      <c r="AN23" s="40">
        <f t="shared" si="1"/>
        <v>0</v>
      </c>
      <c r="AO23" s="40">
        <f t="shared" si="2"/>
        <v>0</v>
      </c>
      <c r="AP23" s="40">
        <f t="shared" si="3"/>
        <v>0</v>
      </c>
      <c r="AQ23" s="40">
        <f t="shared" si="4"/>
        <v>0</v>
      </c>
      <c r="AS23" s="156">
        <f t="shared" si="20"/>
        <v>0</v>
      </c>
      <c r="AT23" s="156">
        <f t="shared" si="21"/>
        <v>0</v>
      </c>
      <c r="AU23" s="156">
        <f t="shared" si="22"/>
        <v>0</v>
      </c>
      <c r="AV23" s="156">
        <f t="shared" si="23"/>
        <v>0</v>
      </c>
      <c r="AW23" s="156">
        <f t="shared" si="24"/>
        <v>0</v>
      </c>
      <c r="AY23" s="41">
        <v>0</v>
      </c>
      <c r="AZ23" s="41">
        <v>0</v>
      </c>
      <c r="BA23" s="41">
        <v>0</v>
      </c>
      <c r="BB23" s="41">
        <v>0</v>
      </c>
      <c r="BC23" s="41">
        <v>0</v>
      </c>
      <c r="BE23" s="156">
        <f t="shared" si="25"/>
        <v>0</v>
      </c>
      <c r="BF23" s="156">
        <f t="shared" si="26"/>
        <v>0</v>
      </c>
      <c r="BG23" s="156">
        <f t="shared" si="27"/>
        <v>0</v>
      </c>
      <c r="BH23" s="156">
        <f t="shared" si="28"/>
        <v>0</v>
      </c>
      <c r="BI23" s="156">
        <f t="shared" si="29"/>
        <v>0</v>
      </c>
      <c r="BK23" s="41">
        <v>0</v>
      </c>
      <c r="BL23" s="41">
        <v>0</v>
      </c>
      <c r="BM23" s="41">
        <v>0</v>
      </c>
      <c r="BN23" s="41">
        <v>0</v>
      </c>
      <c r="BO23" s="41">
        <v>0</v>
      </c>
      <c r="BQ23" s="156">
        <f t="shared" si="30"/>
        <v>0</v>
      </c>
      <c r="BR23" s="156">
        <f t="shared" si="31"/>
        <v>0</v>
      </c>
      <c r="BS23" s="156">
        <f t="shared" si="32"/>
        <v>0</v>
      </c>
      <c r="BT23" s="156">
        <f t="shared" si="33"/>
        <v>0</v>
      </c>
      <c r="BU23" s="156">
        <f t="shared" si="34"/>
        <v>0</v>
      </c>
    </row>
    <row r="24" spans="1:73" x14ac:dyDescent="0.25">
      <c r="A24" s="33">
        <v>21</v>
      </c>
      <c r="B24" s="39" t="s">
        <v>53</v>
      </c>
      <c r="C24" s="191" t="s">
        <v>315</v>
      </c>
      <c r="D24" s="191">
        <f>_xlfn.XLOOKUP($B24,'Budget by Cost Category'!$AR:$AR,'Budget by Cost Category'!$AW:$AW,0)</f>
        <v>2000000</v>
      </c>
      <c r="E24" s="191">
        <f>_xlfn.XLOOKUP($B24,'Budget by Cost Category'!$AY:$AY,'Budget by Cost Category'!$BD:$BD,0)</f>
        <v>2039440</v>
      </c>
      <c r="F24" s="191">
        <f>_xlfn.XLOOKUP($B24,'Budget by Cost Category'!$BF:$BF,'Budget by Cost Category'!$BK:$BK,0)</f>
        <v>2079659</v>
      </c>
      <c r="G24" s="191">
        <f>_xlfn.XLOOKUP($B24,'Budget by Cost Category'!$BM:$BM,'Budget by Cost Category'!$BR:$BR,0)</f>
        <v>2120673</v>
      </c>
      <c r="I24" s="156">
        <f t="shared" si="5"/>
        <v>0</v>
      </c>
      <c r="J24" s="156">
        <f t="shared" si="6"/>
        <v>1.971999999999996E-2</v>
      </c>
      <c r="K24" s="156">
        <f t="shared" si="7"/>
        <v>1.9720609579100046E-2</v>
      </c>
      <c r="L24" s="156">
        <f t="shared" si="8"/>
        <v>1.9721502419387082E-2</v>
      </c>
      <c r="M24" s="156">
        <f t="shared" si="9"/>
        <v>6.0336500000000015E-2</v>
      </c>
      <c r="O24" s="196" t="s">
        <v>315</v>
      </c>
      <c r="P24" s="196">
        <f>_xlfn.XLOOKUP($B24,'Budget by Cost Category'!$AR:$AR,'Budget by Cost Category'!$AS:$AS,0)</f>
        <v>1800000</v>
      </c>
      <c r="Q24" s="196">
        <f>_xlfn.XLOOKUP($B24,'Budget by Cost Category'!$AY:$AY,'Budget by Cost Category'!$AZ:$AZ,0)</f>
        <v>1836000</v>
      </c>
      <c r="R24" s="196">
        <f>_xlfn.XLOOKUP($B24,'Budget by Cost Category'!$BF:$BF,'Budget by Cost Category'!$BG:$BG,0)</f>
        <v>1872720</v>
      </c>
      <c r="S24" s="196">
        <f>_xlfn.XLOOKUP($B24,'Budget by Cost Category'!$BM:$BM,'Budget by Cost Category'!$BN:$BN,0)</f>
        <v>1910174</v>
      </c>
      <c r="U24" s="156">
        <f t="shared" si="10"/>
        <v>0</v>
      </c>
      <c r="V24" s="156">
        <f t="shared" si="11"/>
        <v>2.0000000000000018E-2</v>
      </c>
      <c r="W24" s="156">
        <f t="shared" si="12"/>
        <v>2.0000000000000018E-2</v>
      </c>
      <c r="X24" s="156">
        <f t="shared" si="13"/>
        <v>1.9999786406937448E-2</v>
      </c>
      <c r="Y24" s="156">
        <f t="shared" si="14"/>
        <v>6.120777777777775E-2</v>
      </c>
      <c r="AA24" s="201"/>
      <c r="AB24" s="201">
        <v>0</v>
      </c>
      <c r="AC24" s="201">
        <v>0</v>
      </c>
      <c r="AD24" s="201">
        <v>0</v>
      </c>
      <c r="AE24" s="201">
        <v>0</v>
      </c>
      <c r="AG24" s="156">
        <f t="shared" si="15"/>
        <v>0</v>
      </c>
      <c r="AH24" s="156">
        <f t="shared" si="16"/>
        <v>0</v>
      </c>
      <c r="AI24" s="156">
        <f t="shared" si="17"/>
        <v>0</v>
      </c>
      <c r="AJ24" s="156">
        <f t="shared" si="18"/>
        <v>0</v>
      </c>
      <c r="AK24" s="156">
        <f t="shared" si="19"/>
        <v>0</v>
      </c>
      <c r="AM24" s="40">
        <f t="shared" si="0"/>
        <v>0</v>
      </c>
      <c r="AN24" s="40">
        <f t="shared" si="1"/>
        <v>0</v>
      </c>
      <c r="AO24" s="40">
        <f t="shared" si="2"/>
        <v>0</v>
      </c>
      <c r="AP24" s="40">
        <f t="shared" si="3"/>
        <v>0</v>
      </c>
      <c r="AQ24" s="40">
        <f t="shared" si="4"/>
        <v>0</v>
      </c>
      <c r="AS24" s="156">
        <f t="shared" si="20"/>
        <v>0</v>
      </c>
      <c r="AT24" s="156">
        <f t="shared" si="21"/>
        <v>0</v>
      </c>
      <c r="AU24" s="156">
        <f t="shared" si="22"/>
        <v>0</v>
      </c>
      <c r="AV24" s="156">
        <f t="shared" si="23"/>
        <v>0</v>
      </c>
      <c r="AW24" s="156">
        <f t="shared" si="24"/>
        <v>0</v>
      </c>
      <c r="AY24" s="41">
        <v>0</v>
      </c>
      <c r="AZ24" s="41">
        <v>0</v>
      </c>
      <c r="BA24" s="41">
        <v>0</v>
      </c>
      <c r="BB24" s="41">
        <v>0</v>
      </c>
      <c r="BC24" s="41">
        <v>0</v>
      </c>
      <c r="BE24" s="156">
        <f t="shared" si="25"/>
        <v>0</v>
      </c>
      <c r="BF24" s="156">
        <f t="shared" si="26"/>
        <v>0</v>
      </c>
      <c r="BG24" s="156">
        <f t="shared" si="27"/>
        <v>0</v>
      </c>
      <c r="BH24" s="156">
        <f t="shared" si="28"/>
        <v>0</v>
      </c>
      <c r="BI24" s="156">
        <f t="shared" si="29"/>
        <v>0</v>
      </c>
      <c r="BK24" s="41">
        <v>0</v>
      </c>
      <c r="BL24" s="41">
        <v>0</v>
      </c>
      <c r="BM24" s="41">
        <v>0</v>
      </c>
      <c r="BN24" s="41">
        <v>0</v>
      </c>
      <c r="BO24" s="41">
        <v>0</v>
      </c>
      <c r="BQ24" s="156">
        <f t="shared" si="30"/>
        <v>0</v>
      </c>
      <c r="BR24" s="156">
        <f t="shared" si="31"/>
        <v>0</v>
      </c>
      <c r="BS24" s="156">
        <f t="shared" si="32"/>
        <v>0</v>
      </c>
      <c r="BT24" s="156">
        <f t="shared" si="33"/>
        <v>0</v>
      </c>
      <c r="BU24" s="156">
        <f t="shared" si="34"/>
        <v>0</v>
      </c>
    </row>
    <row r="25" spans="1:73" x14ac:dyDescent="0.25">
      <c r="A25" s="33">
        <v>22</v>
      </c>
      <c r="B25" s="42" t="s">
        <v>54</v>
      </c>
      <c r="C25" s="191">
        <f>'Budget by Cost Category'!AO15</f>
        <v>4195030</v>
      </c>
      <c r="D25" s="191">
        <f>'Budget by Cost Category'!AV15</f>
        <v>5527149</v>
      </c>
      <c r="E25" s="191">
        <f>'Budget by Cost Category'!BC15</f>
        <v>5622215</v>
      </c>
      <c r="F25" s="191">
        <f>'Budget by Cost Category'!BJ15</f>
        <v>5718918</v>
      </c>
      <c r="G25" s="191">
        <f>'Budget by Cost Category'!BQ15</f>
        <v>5817283</v>
      </c>
      <c r="I25" s="156">
        <f t="shared" si="5"/>
        <v>0.3175469543721976</v>
      </c>
      <c r="J25" s="156">
        <f t="shared" si="6"/>
        <v>1.7199825805311209E-2</v>
      </c>
      <c r="K25" s="156">
        <f t="shared" si="7"/>
        <v>1.7200160434988732E-2</v>
      </c>
      <c r="L25" s="156">
        <f t="shared" si="8"/>
        <v>1.7199931875225394E-2</v>
      </c>
      <c r="M25" s="156">
        <f t="shared" si="9"/>
        <v>5.2492523722447171E-2</v>
      </c>
      <c r="O25" s="196">
        <v>0</v>
      </c>
      <c r="P25" s="196">
        <f>_xlfn.XLOOKUP($B25,'Budget by Cost Category'!$AR:$AR,'Budget by Cost Category'!$AS:$AS,0)</f>
        <v>0</v>
      </c>
      <c r="Q25" s="196">
        <f>_xlfn.XLOOKUP($B25,'Budget by Cost Category'!$AY:$AY,'Budget by Cost Category'!$AZ:$AZ,0)</f>
        <v>0</v>
      </c>
      <c r="R25" s="196">
        <f>_xlfn.XLOOKUP($B25,'Budget by Cost Category'!$BF:$BF,'Budget by Cost Category'!$BG:$BG,0)</f>
        <v>0</v>
      </c>
      <c r="S25" s="196">
        <f>_xlfn.XLOOKUP($B25,'Budget by Cost Category'!$BM:$BM,'Budget by Cost Category'!$BN:$BN,0)</f>
        <v>0</v>
      </c>
      <c r="U25" s="156">
        <f t="shared" si="10"/>
        <v>0</v>
      </c>
      <c r="V25" s="156">
        <f t="shared" si="11"/>
        <v>0</v>
      </c>
      <c r="W25" s="156">
        <f t="shared" si="12"/>
        <v>0</v>
      </c>
      <c r="X25" s="156">
        <f t="shared" si="13"/>
        <v>0</v>
      </c>
      <c r="Y25" s="156">
        <f t="shared" si="14"/>
        <v>0</v>
      </c>
      <c r="AA25" s="201"/>
      <c r="AB25" s="201">
        <v>0</v>
      </c>
      <c r="AC25" s="201">
        <v>0</v>
      </c>
      <c r="AD25" s="201">
        <v>0</v>
      </c>
      <c r="AE25" s="201">
        <v>0</v>
      </c>
      <c r="AG25" s="156">
        <f t="shared" si="15"/>
        <v>0</v>
      </c>
      <c r="AH25" s="156">
        <f t="shared" si="16"/>
        <v>0</v>
      </c>
      <c r="AI25" s="156">
        <f t="shared" si="17"/>
        <v>0</v>
      </c>
      <c r="AJ25" s="156">
        <f t="shared" si="18"/>
        <v>0</v>
      </c>
      <c r="AK25" s="156">
        <f t="shared" si="19"/>
        <v>0</v>
      </c>
      <c r="AM25" s="40">
        <f t="shared" si="0"/>
        <v>0</v>
      </c>
      <c r="AN25" s="40">
        <f t="shared" si="1"/>
        <v>0</v>
      </c>
      <c r="AO25" s="40">
        <f t="shared" si="2"/>
        <v>0</v>
      </c>
      <c r="AP25" s="40">
        <f t="shared" si="3"/>
        <v>0</v>
      </c>
      <c r="AQ25" s="40">
        <f t="shared" si="4"/>
        <v>0</v>
      </c>
      <c r="AS25" s="156">
        <f t="shared" si="20"/>
        <v>0</v>
      </c>
      <c r="AT25" s="156">
        <f t="shared" si="21"/>
        <v>0</v>
      </c>
      <c r="AU25" s="156">
        <f t="shared" si="22"/>
        <v>0</v>
      </c>
      <c r="AV25" s="156">
        <f t="shared" si="23"/>
        <v>0</v>
      </c>
      <c r="AW25" s="156">
        <f t="shared" si="24"/>
        <v>0</v>
      </c>
      <c r="AY25" s="41">
        <v>0</v>
      </c>
      <c r="AZ25" s="41">
        <v>0</v>
      </c>
      <c r="BA25" s="41">
        <v>0</v>
      </c>
      <c r="BB25" s="41">
        <v>0</v>
      </c>
      <c r="BC25" s="41">
        <v>0</v>
      </c>
      <c r="BE25" s="156">
        <f t="shared" si="25"/>
        <v>0</v>
      </c>
      <c r="BF25" s="156">
        <f t="shared" si="26"/>
        <v>0</v>
      </c>
      <c r="BG25" s="156">
        <f t="shared" si="27"/>
        <v>0</v>
      </c>
      <c r="BH25" s="156">
        <f t="shared" si="28"/>
        <v>0</v>
      </c>
      <c r="BI25" s="156">
        <f t="shared" si="29"/>
        <v>0</v>
      </c>
      <c r="BK25" s="41">
        <v>0</v>
      </c>
      <c r="BL25" s="41">
        <v>0</v>
      </c>
      <c r="BM25" s="41">
        <v>0</v>
      </c>
      <c r="BN25" s="41">
        <v>0</v>
      </c>
      <c r="BO25" s="41">
        <v>0</v>
      </c>
      <c r="BQ25" s="156">
        <f t="shared" si="30"/>
        <v>0</v>
      </c>
      <c r="BR25" s="156">
        <f t="shared" si="31"/>
        <v>0</v>
      </c>
      <c r="BS25" s="156">
        <f t="shared" si="32"/>
        <v>0</v>
      </c>
      <c r="BT25" s="156">
        <f t="shared" si="33"/>
        <v>0</v>
      </c>
      <c r="BU25" s="156">
        <f t="shared" si="34"/>
        <v>0</v>
      </c>
    </row>
    <row r="26" spans="1:73" s="38" customFormat="1" x14ac:dyDescent="0.25">
      <c r="A26" s="33">
        <v>23</v>
      </c>
      <c r="B26" s="6" t="s">
        <v>4</v>
      </c>
      <c r="C26" s="190">
        <f t="shared" ref="C26" si="41">SUM(C27:C30)</f>
        <v>20257793.765055999</v>
      </c>
      <c r="D26" s="190">
        <f t="shared" ref="D26:G26" si="42">SUM(D27:D30)</f>
        <v>26885759</v>
      </c>
      <c r="E26" s="190">
        <f t="shared" si="42"/>
        <v>28709693</v>
      </c>
      <c r="F26" s="190">
        <f t="shared" si="42"/>
        <v>29971421</v>
      </c>
      <c r="G26" s="190">
        <f t="shared" si="42"/>
        <v>31444661</v>
      </c>
      <c r="H26"/>
      <c r="I26" s="155">
        <f t="shared" si="5"/>
        <v>0.32718100064662581</v>
      </c>
      <c r="J26" s="155">
        <f t="shared" si="6"/>
        <v>6.7840152848204882E-2</v>
      </c>
      <c r="K26" s="155">
        <f t="shared" si="7"/>
        <v>4.3947805363157233E-2</v>
      </c>
      <c r="L26" s="155">
        <f t="shared" si="8"/>
        <v>4.9154826526243145E-2</v>
      </c>
      <c r="M26" s="155">
        <f t="shared" si="9"/>
        <v>0.16956567973401837</v>
      </c>
      <c r="N26"/>
      <c r="O26" s="195">
        <f t="shared" ref="O26" si="43">SUM(O27:O30)</f>
        <v>15298923.036672</v>
      </c>
      <c r="P26" s="195">
        <f t="shared" ref="P26:R26" si="44">SUM(P27:P30)</f>
        <v>20621597</v>
      </c>
      <c r="Q26" s="195">
        <f t="shared" si="44"/>
        <v>22337787</v>
      </c>
      <c r="R26" s="195">
        <f t="shared" si="44"/>
        <v>23489919</v>
      </c>
      <c r="S26" s="195">
        <f t="shared" ref="S26" si="45">SUM(S27:S30)</f>
        <v>24851675</v>
      </c>
      <c r="T26"/>
      <c r="U26" s="155">
        <f t="shared" si="10"/>
        <v>0.34791167656503563</v>
      </c>
      <c r="V26" s="155">
        <f t="shared" si="11"/>
        <v>8.3222943402492033E-2</v>
      </c>
      <c r="W26" s="155">
        <f t="shared" si="12"/>
        <v>5.1577714479952741E-2</v>
      </c>
      <c r="X26" s="155">
        <f t="shared" si="13"/>
        <v>5.7971932555408223E-2</v>
      </c>
      <c r="Y26" s="155">
        <f t="shared" si="14"/>
        <v>0.20512853587430691</v>
      </c>
      <c r="Z26"/>
      <c r="AA26" s="200">
        <v>78435236</v>
      </c>
      <c r="AB26" s="200">
        <f t="shared" ref="AB26" si="46">SUM(AB27:AB30)</f>
        <v>54214897.259044752</v>
      </c>
      <c r="AC26" s="200">
        <f t="shared" ref="AC26:AD26" si="47">SUM(AC27:AC30)</f>
        <v>57986708.478613123</v>
      </c>
      <c r="AD26" s="200">
        <f t="shared" si="47"/>
        <v>60289125.814803705</v>
      </c>
      <c r="AE26" s="200">
        <f t="shared" ref="AE26" si="48">SUM(AE27:AE30)</f>
        <v>62775217.38641651</v>
      </c>
      <c r="AF26"/>
      <c r="AG26" s="155">
        <f t="shared" si="15"/>
        <v>-0.30879410805821061</v>
      </c>
      <c r="AH26" s="155">
        <f t="shared" si="16"/>
        <v>6.9571490683570714E-2</v>
      </c>
      <c r="AI26" s="155">
        <f t="shared" si="17"/>
        <v>3.9705949804682783E-2</v>
      </c>
      <c r="AJ26" s="155">
        <f t="shared" si="18"/>
        <v>4.1236152258196324E-2</v>
      </c>
      <c r="AK26" s="155">
        <f t="shared" si="19"/>
        <v>0.15789608687201984</v>
      </c>
      <c r="AL26"/>
      <c r="AM26" s="36">
        <f t="shared" si="0"/>
        <v>0.25827414817819888</v>
      </c>
      <c r="AN26" s="36">
        <f t="shared" si="1"/>
        <v>0.49591090934908316</v>
      </c>
      <c r="AO26" s="36">
        <f t="shared" si="2"/>
        <v>0.49510816794488027</v>
      </c>
      <c r="AP26" s="36">
        <f t="shared" si="3"/>
        <v>0.4971281403559622</v>
      </c>
      <c r="AQ26" s="36">
        <f t="shared" si="4"/>
        <v>0.50090883487412807</v>
      </c>
      <c r="AR26"/>
      <c r="AS26" s="155">
        <f t="shared" si="20"/>
        <v>0.92009503408341264</v>
      </c>
      <c r="AT26" s="155">
        <f t="shared" si="21"/>
        <v>-1.6187210022391429E-3</v>
      </c>
      <c r="AU26" s="155">
        <f t="shared" si="22"/>
        <v>4.0798608099448241E-3</v>
      </c>
      <c r="AV26" s="155">
        <f t="shared" si="23"/>
        <v>7.6050704260248736E-3</v>
      </c>
      <c r="AW26" s="155">
        <f t="shared" si="24"/>
        <v>1.0078272993842896E-2</v>
      </c>
      <c r="AX26"/>
      <c r="AY26" s="37">
        <f>'TRC-Plus'!AJ20</f>
        <v>1.8421297681513107</v>
      </c>
      <c r="AZ26" s="37">
        <v>3.8961019333047142</v>
      </c>
      <c r="BA26" s="37">
        <v>4.1669006321554525</v>
      </c>
      <c r="BB26" s="37">
        <v>4.3561127638509571</v>
      </c>
      <c r="BC26" s="37">
        <v>4.5379987667195811</v>
      </c>
      <c r="BD26"/>
      <c r="BE26" s="155">
        <f t="shared" si="25"/>
        <v>1.1149986285790763</v>
      </c>
      <c r="BF26" s="155">
        <f t="shared" si="26"/>
        <v>6.9505034387291831E-2</v>
      </c>
      <c r="BG26" s="155">
        <f t="shared" si="27"/>
        <v>4.5408361849423207E-2</v>
      </c>
      <c r="BH26" s="155">
        <f t="shared" si="28"/>
        <v>4.1754199840279282E-2</v>
      </c>
      <c r="BI26" s="155">
        <f t="shared" si="29"/>
        <v>0.16475360357689706</v>
      </c>
      <c r="BJ26"/>
      <c r="BK26" s="37">
        <v>7.9397078633604723</v>
      </c>
      <c r="BL26" s="37">
        <v>6.6871075943670348</v>
      </c>
      <c r="BM26" s="37">
        <v>7.026497133862331</v>
      </c>
      <c r="BN26" s="37">
        <v>7.2713717389950787</v>
      </c>
      <c r="BO26" s="37">
        <v>7.4654628699211907</v>
      </c>
      <c r="BP26"/>
      <c r="BQ26" s="155">
        <f t="shared" si="30"/>
        <v>-0.15776402489238139</v>
      </c>
      <c r="BR26" s="155">
        <f t="shared" si="31"/>
        <v>5.0752815728759115E-2</v>
      </c>
      <c r="BS26" s="155">
        <f t="shared" si="32"/>
        <v>3.4850167938251797E-2</v>
      </c>
      <c r="BT26" s="155">
        <f t="shared" si="33"/>
        <v>2.6692505608705952E-2</v>
      </c>
      <c r="BU26" s="155">
        <f t="shared" si="34"/>
        <v>0.11639640376204086</v>
      </c>
    </row>
    <row r="27" spans="1:73" x14ac:dyDescent="0.25">
      <c r="A27" s="33">
        <v>24</v>
      </c>
      <c r="B27" s="39" t="s">
        <v>52</v>
      </c>
      <c r="C27" s="191">
        <f>'Budget by Cost Category'!AP25</f>
        <v>15762526.765055999</v>
      </c>
      <c r="D27" s="191">
        <f>_xlfn.XLOOKUP($B27,'Budget by Cost Category'!$AR:$AR,'Budget by Cost Category'!$AW:$AW,0)</f>
        <v>19291597</v>
      </c>
      <c r="E27" s="191">
        <f>_xlfn.XLOOKUP($B27,'Budget by Cost Category'!$AY:$AY,'Budget by Cost Category'!$BD:$BD,0)</f>
        <v>20978471</v>
      </c>
      <c r="F27" s="191">
        <f>_xlfn.XLOOKUP($B27,'Budget by Cost Category'!$BF:$BF,'Budget by Cost Category'!$BK:$BK,0)</f>
        <v>22100654</v>
      </c>
      <c r="G27" s="191">
        <f>_xlfn.XLOOKUP($B27,'Budget by Cost Category'!$BM:$BM,'Budget by Cost Category'!$BR:$BR,0)</f>
        <v>23431816</v>
      </c>
      <c r="I27" s="156">
        <f t="shared" si="5"/>
        <v>0.22388988057216874</v>
      </c>
      <c r="J27" s="156">
        <f t="shared" si="6"/>
        <v>8.7440868684951267E-2</v>
      </c>
      <c r="K27" s="156">
        <f t="shared" si="7"/>
        <v>5.3492125331727092E-2</v>
      </c>
      <c r="L27" s="156">
        <f t="shared" si="8"/>
        <v>6.0231792235650561E-2</v>
      </c>
      <c r="M27" s="156">
        <f t="shared" si="9"/>
        <v>0.2146125590328265</v>
      </c>
      <c r="O27" s="196">
        <f>'Budget by Cost Category'!AL25</f>
        <v>15298923.036672</v>
      </c>
      <c r="P27" s="196">
        <f>_xlfn.XLOOKUP($B27,'Budget by Cost Category'!$AR:$AR,'Budget by Cost Category'!$AS:$AS,0)</f>
        <v>18321597</v>
      </c>
      <c r="Q27" s="196">
        <f>_xlfn.XLOOKUP($B27,'Budget by Cost Category'!$AY:$AY,'Budget by Cost Category'!$AZ:$AZ,0)</f>
        <v>19991787</v>
      </c>
      <c r="R27" s="196">
        <f>_xlfn.XLOOKUP($B27,'Budget by Cost Category'!$BF:$BF,'Budget by Cost Category'!$BG:$BG,0)</f>
        <v>21096999</v>
      </c>
      <c r="S27" s="196">
        <f>_xlfn.XLOOKUP($B27,'Budget by Cost Category'!$BM:$BM,'Budget by Cost Category'!$BN:$BN,0)</f>
        <v>22410897</v>
      </c>
      <c r="U27" s="156">
        <f t="shared" si="10"/>
        <v>0.19757429696734574</v>
      </c>
      <c r="V27" s="156">
        <f t="shared" si="11"/>
        <v>9.1159629807379794E-2</v>
      </c>
      <c r="W27" s="156">
        <f t="shared" si="12"/>
        <v>5.5283302088002362E-2</v>
      </c>
      <c r="X27" s="156">
        <f t="shared" si="13"/>
        <v>6.2278905165611409E-2</v>
      </c>
      <c r="Y27" s="156">
        <f t="shared" si="14"/>
        <v>0.2231956089853957</v>
      </c>
      <c r="AA27" s="201"/>
      <c r="AB27" s="201">
        <f>_xlfn.XLOOKUP($B27,'Savings by Offer'!AF:AF,'Savings by Offer'!AH:AH)</f>
        <v>54214897.259044752</v>
      </c>
      <c r="AC27" s="201">
        <f>_xlfn.XLOOKUP($B27,'Savings by Offer'!AK:AK,'Savings by Offer'!AM:AM)</f>
        <v>57986708.478613123</v>
      </c>
      <c r="AD27" s="201">
        <f>_xlfn.XLOOKUP($B27,'Savings by Offer'!AP:AP,'Savings by Offer'!AR:AR)</f>
        <v>60289125.814803705</v>
      </c>
      <c r="AE27" s="201">
        <f>_xlfn.XLOOKUP($B27,'Savings by Offer'!AU:AU,'Savings by Offer'!AW:AW)</f>
        <v>62775217.38641651</v>
      </c>
      <c r="AG27" s="156">
        <f t="shared" si="15"/>
        <v>0</v>
      </c>
      <c r="AH27" s="156">
        <f t="shared" si="16"/>
        <v>6.9571490683570714E-2</v>
      </c>
      <c r="AI27" s="156">
        <f t="shared" si="17"/>
        <v>3.9705949804682783E-2</v>
      </c>
      <c r="AJ27" s="156">
        <f t="shared" si="18"/>
        <v>4.1236152258196324E-2</v>
      </c>
      <c r="AK27" s="156">
        <f t="shared" si="19"/>
        <v>0.15789608687201984</v>
      </c>
      <c r="AM27" s="40">
        <f t="shared" si="0"/>
        <v>0</v>
      </c>
      <c r="AN27" s="40">
        <f t="shared" si="1"/>
        <v>0.35583571998343233</v>
      </c>
      <c r="AO27" s="40">
        <f t="shared" si="2"/>
        <v>0.36178068302906619</v>
      </c>
      <c r="AP27" s="40">
        <f t="shared" si="3"/>
        <v>0.36657778166976324</v>
      </c>
      <c r="AQ27" s="40">
        <f t="shared" si="4"/>
        <v>0.37326538999879666</v>
      </c>
      <c r="AS27" s="156">
        <f t="shared" si="20"/>
        <v>0</v>
      </c>
      <c r="AT27" s="156">
        <f t="shared" si="21"/>
        <v>1.6707044042432395E-2</v>
      </c>
      <c r="AU27" s="156">
        <f t="shared" si="22"/>
        <v>1.3259687058282399E-2</v>
      </c>
      <c r="AV27" s="156">
        <f t="shared" si="23"/>
        <v>1.8243354244142473E-2</v>
      </c>
      <c r="AW27" s="156">
        <f t="shared" si="24"/>
        <v>4.8982350665008667E-2</v>
      </c>
      <c r="AY27" s="41">
        <f>'TRC-Plus'!AJ21</f>
        <v>1.9287978747275434</v>
      </c>
      <c r="AZ27" s="41">
        <v>4.3273375382495685</v>
      </c>
      <c r="BA27" s="41">
        <v>4.6125877566449205</v>
      </c>
      <c r="BB27" s="41">
        <v>4.8139687447509569</v>
      </c>
      <c r="BC27" s="41">
        <v>5.0064359974918586</v>
      </c>
      <c r="BE27" s="156">
        <f t="shared" si="25"/>
        <v>1.243541220648035</v>
      </c>
      <c r="BF27" s="156">
        <f t="shared" si="26"/>
        <v>6.5918180838450802E-2</v>
      </c>
      <c r="BG27" s="156">
        <f t="shared" si="27"/>
        <v>4.365900417090729E-2</v>
      </c>
      <c r="BH27" s="156">
        <f t="shared" si="28"/>
        <v>3.9980993426840028E-2</v>
      </c>
      <c r="BI27" s="156">
        <f t="shared" si="29"/>
        <v>0.15693216746780259</v>
      </c>
      <c r="BK27" s="41">
        <v>10.217817456512874</v>
      </c>
      <c r="BL27" s="41">
        <v>9.3194961095870834</v>
      </c>
      <c r="BM27" s="41">
        <v>9.6159808585939093</v>
      </c>
      <c r="BN27" s="41">
        <v>9.8609454560450391</v>
      </c>
      <c r="BO27" s="41">
        <v>10.018384795816036</v>
      </c>
      <c r="BQ27" s="156">
        <f t="shared" si="30"/>
        <v>-8.7917145784709327E-2</v>
      </c>
      <c r="BR27" s="156">
        <f t="shared" si="31"/>
        <v>3.1813388354959171E-2</v>
      </c>
      <c r="BS27" s="156">
        <f t="shared" si="32"/>
        <v>2.5474738464376534E-2</v>
      </c>
      <c r="BT27" s="156">
        <f t="shared" si="33"/>
        <v>1.5965947735212538E-2</v>
      </c>
      <c r="BU27" s="156">
        <f t="shared" si="34"/>
        <v>7.499211094792968E-2</v>
      </c>
    </row>
    <row r="28" spans="1:73" x14ac:dyDescent="0.25">
      <c r="A28" s="33">
        <v>25</v>
      </c>
      <c r="B28" s="39" t="s">
        <v>58</v>
      </c>
      <c r="C28" s="191" t="s">
        <v>315</v>
      </c>
      <c r="D28" s="191">
        <f>_xlfn.XLOOKUP($B28,'Budget by Cost Category'!$AR:$AR,'Budget by Cost Category'!$AW:$AW,0)</f>
        <v>780000</v>
      </c>
      <c r="E28" s="191">
        <f>_xlfn.XLOOKUP($B28,'Budget by Cost Category'!$AY:$AY,'Budget by Cost Category'!$BD:$BD,0)</f>
        <v>794816</v>
      </c>
      <c r="F28" s="191">
        <f>_xlfn.XLOOKUP($B28,'Budget by Cost Category'!$BF:$BF,'Budget by Cost Category'!$BK:$BK,0)</f>
        <v>809915</v>
      </c>
      <c r="G28" s="191">
        <f>_xlfn.XLOOKUP($B28,'Budget by Cost Category'!$BM:$BM,'Budget by Cost Category'!$BR:$BR,0)</f>
        <v>825302</v>
      </c>
      <c r="I28" s="156">
        <f t="shared" si="5"/>
        <v>0</v>
      </c>
      <c r="J28" s="156">
        <f t="shared" si="6"/>
        <v>1.8994871794871804E-2</v>
      </c>
      <c r="K28" s="156">
        <f t="shared" si="7"/>
        <v>1.8996849585312781E-2</v>
      </c>
      <c r="L28" s="156">
        <f t="shared" si="8"/>
        <v>1.899828994400643E-2</v>
      </c>
      <c r="M28" s="156">
        <f t="shared" si="9"/>
        <v>5.8079487179487188E-2</v>
      </c>
      <c r="O28" s="196" t="s">
        <v>315</v>
      </c>
      <c r="P28" s="196">
        <f>_xlfn.XLOOKUP($B28,'Budget by Cost Category'!$AR:$AR,'Budget by Cost Category'!$AS:$AS,0)</f>
        <v>500000</v>
      </c>
      <c r="Q28" s="196">
        <f>_xlfn.XLOOKUP($B28,'Budget by Cost Category'!$AY:$AY,'Budget by Cost Category'!$AZ:$AZ,0)</f>
        <v>510000</v>
      </c>
      <c r="R28" s="196">
        <f>_xlfn.XLOOKUP($B28,'Budget by Cost Category'!$BF:$BF,'Budget by Cost Category'!$BG:$BG,0)</f>
        <v>520200</v>
      </c>
      <c r="S28" s="196">
        <f>_xlfn.XLOOKUP($B28,'Budget by Cost Category'!$BM:$BM,'Budget by Cost Category'!$BN:$BN,0)</f>
        <v>530604</v>
      </c>
      <c r="U28" s="156">
        <f t="shared" si="10"/>
        <v>0</v>
      </c>
      <c r="V28" s="156">
        <f t="shared" si="11"/>
        <v>2.0000000000000018E-2</v>
      </c>
      <c r="W28" s="156">
        <f t="shared" si="12"/>
        <v>2.0000000000000018E-2</v>
      </c>
      <c r="X28" s="156">
        <f t="shared" si="13"/>
        <v>2.0000000000000018E-2</v>
      </c>
      <c r="Y28" s="156">
        <f t="shared" si="14"/>
        <v>6.1207999999999929E-2</v>
      </c>
      <c r="AA28" s="201"/>
      <c r="AB28" s="201">
        <v>0</v>
      </c>
      <c r="AC28" s="201">
        <v>0</v>
      </c>
      <c r="AD28" s="201">
        <v>0</v>
      </c>
      <c r="AE28" s="201">
        <v>0</v>
      </c>
      <c r="AG28" s="156">
        <f t="shared" si="15"/>
        <v>0</v>
      </c>
      <c r="AH28" s="156">
        <f t="shared" si="16"/>
        <v>0</v>
      </c>
      <c r="AI28" s="156">
        <f t="shared" si="17"/>
        <v>0</v>
      </c>
      <c r="AJ28" s="156">
        <f t="shared" si="18"/>
        <v>0</v>
      </c>
      <c r="AK28" s="156">
        <f t="shared" si="19"/>
        <v>0</v>
      </c>
      <c r="AM28" s="40">
        <f t="shared" si="0"/>
        <v>0</v>
      </c>
      <c r="AN28" s="40">
        <f t="shared" si="1"/>
        <v>0</v>
      </c>
      <c r="AO28" s="40">
        <f t="shared" si="2"/>
        <v>0</v>
      </c>
      <c r="AP28" s="40">
        <f t="shared" si="3"/>
        <v>0</v>
      </c>
      <c r="AQ28" s="40">
        <f t="shared" si="4"/>
        <v>0</v>
      </c>
      <c r="AS28" s="156">
        <f t="shared" si="20"/>
        <v>0</v>
      </c>
      <c r="AT28" s="156">
        <f t="shared" si="21"/>
        <v>0</v>
      </c>
      <c r="AU28" s="156">
        <f t="shared" si="22"/>
        <v>0</v>
      </c>
      <c r="AV28" s="156">
        <f t="shared" si="23"/>
        <v>0</v>
      </c>
      <c r="AW28" s="156">
        <f t="shared" si="24"/>
        <v>0</v>
      </c>
      <c r="AY28" s="49">
        <v>0</v>
      </c>
      <c r="AZ28" s="41">
        <v>0</v>
      </c>
      <c r="BA28" s="41">
        <v>0</v>
      </c>
      <c r="BB28" s="41">
        <v>0</v>
      </c>
      <c r="BC28" s="41">
        <v>0</v>
      </c>
      <c r="BE28" s="156">
        <f t="shared" si="25"/>
        <v>0</v>
      </c>
      <c r="BF28" s="156">
        <f t="shared" si="26"/>
        <v>0</v>
      </c>
      <c r="BG28" s="156">
        <f t="shared" si="27"/>
        <v>0</v>
      </c>
      <c r="BH28" s="156">
        <f t="shared" si="28"/>
        <v>0</v>
      </c>
      <c r="BI28" s="156">
        <f t="shared" si="29"/>
        <v>0</v>
      </c>
      <c r="BK28" s="41">
        <v>0</v>
      </c>
      <c r="BL28" s="41">
        <v>0</v>
      </c>
      <c r="BM28" s="41">
        <v>0</v>
      </c>
      <c r="BN28" s="41">
        <v>0</v>
      </c>
      <c r="BO28" s="41">
        <v>0</v>
      </c>
      <c r="BQ28" s="156">
        <f t="shared" si="30"/>
        <v>0</v>
      </c>
      <c r="BR28" s="156">
        <f t="shared" si="31"/>
        <v>0</v>
      </c>
      <c r="BS28" s="156">
        <f t="shared" si="32"/>
        <v>0</v>
      </c>
      <c r="BT28" s="156">
        <f t="shared" si="33"/>
        <v>0</v>
      </c>
      <c r="BU28" s="156">
        <f t="shared" si="34"/>
        <v>0</v>
      </c>
    </row>
    <row r="29" spans="1:73" x14ac:dyDescent="0.25">
      <c r="A29" s="33">
        <v>26</v>
      </c>
      <c r="B29" s="39" t="s">
        <v>61</v>
      </c>
      <c r="C29" s="191" t="s">
        <v>315</v>
      </c>
      <c r="D29" s="191">
        <f>_xlfn.XLOOKUP($B29,'Budget by Cost Category'!$AR:$AR,'Budget by Cost Category'!$AW:$AW,0)</f>
        <v>2000000</v>
      </c>
      <c r="E29" s="191">
        <f>_xlfn.XLOOKUP($B29,'Budget by Cost Category'!$AY:$AY,'Budget by Cost Category'!$BD:$BD,0)</f>
        <v>2039440</v>
      </c>
      <c r="F29" s="191">
        <f>_xlfn.XLOOKUP($B29,'Budget by Cost Category'!$BF:$BF,'Budget by Cost Category'!$BK:$BK,0)</f>
        <v>2079659</v>
      </c>
      <c r="G29" s="191">
        <f>_xlfn.XLOOKUP($B29,'Budget by Cost Category'!$BM:$BM,'Budget by Cost Category'!$BR:$BR,0)</f>
        <v>2120673</v>
      </c>
      <c r="I29" s="156">
        <f t="shared" si="5"/>
        <v>0</v>
      </c>
      <c r="J29" s="156">
        <f t="shared" si="6"/>
        <v>1.971999999999996E-2</v>
      </c>
      <c r="K29" s="156">
        <f t="shared" si="7"/>
        <v>1.9720609579100046E-2</v>
      </c>
      <c r="L29" s="156">
        <f t="shared" si="8"/>
        <v>1.9721502419387082E-2</v>
      </c>
      <c r="M29" s="156">
        <f t="shared" si="9"/>
        <v>6.0336500000000015E-2</v>
      </c>
      <c r="O29" s="196" t="s">
        <v>315</v>
      </c>
      <c r="P29" s="196">
        <f>_xlfn.XLOOKUP($B29,'Budget by Cost Category'!$AR:$AR,'Budget by Cost Category'!$AS:$AS,0)</f>
        <v>1800000</v>
      </c>
      <c r="Q29" s="196">
        <f>_xlfn.XLOOKUP($B29,'Budget by Cost Category'!$AY:$AY,'Budget by Cost Category'!$AZ:$AZ,0)</f>
        <v>1836000</v>
      </c>
      <c r="R29" s="196">
        <f>_xlfn.XLOOKUP($B29,'Budget by Cost Category'!$BF:$BF,'Budget by Cost Category'!$BG:$BG,0)</f>
        <v>1872720</v>
      </c>
      <c r="S29" s="196">
        <f>_xlfn.XLOOKUP($B29,'Budget by Cost Category'!$BM:$BM,'Budget by Cost Category'!$BN:$BN,0)</f>
        <v>1910174</v>
      </c>
      <c r="U29" s="156">
        <f t="shared" si="10"/>
        <v>0</v>
      </c>
      <c r="V29" s="156">
        <f t="shared" si="11"/>
        <v>2.0000000000000018E-2</v>
      </c>
      <c r="W29" s="156">
        <f t="shared" si="12"/>
        <v>2.0000000000000018E-2</v>
      </c>
      <c r="X29" s="156">
        <f t="shared" si="13"/>
        <v>1.9999786406937448E-2</v>
      </c>
      <c r="Y29" s="156">
        <f t="shared" si="14"/>
        <v>6.120777777777775E-2</v>
      </c>
      <c r="AA29" s="201"/>
      <c r="AB29" s="201">
        <v>0</v>
      </c>
      <c r="AC29" s="201">
        <v>0</v>
      </c>
      <c r="AD29" s="201">
        <v>0</v>
      </c>
      <c r="AE29" s="201">
        <v>0</v>
      </c>
      <c r="AG29" s="156">
        <f t="shared" si="15"/>
        <v>0</v>
      </c>
      <c r="AH29" s="156">
        <f t="shared" si="16"/>
        <v>0</v>
      </c>
      <c r="AI29" s="156">
        <f t="shared" si="17"/>
        <v>0</v>
      </c>
      <c r="AJ29" s="156">
        <f t="shared" si="18"/>
        <v>0</v>
      </c>
      <c r="AK29" s="156">
        <f t="shared" si="19"/>
        <v>0</v>
      </c>
      <c r="AM29" s="40">
        <f t="shared" si="0"/>
        <v>0</v>
      </c>
      <c r="AN29" s="40">
        <f t="shared" si="1"/>
        <v>0</v>
      </c>
      <c r="AO29" s="40">
        <f t="shared" si="2"/>
        <v>0</v>
      </c>
      <c r="AP29" s="40">
        <f t="shared" si="3"/>
        <v>0</v>
      </c>
      <c r="AQ29" s="40">
        <f t="shared" si="4"/>
        <v>0</v>
      </c>
      <c r="AS29" s="156">
        <f t="shared" si="20"/>
        <v>0</v>
      </c>
      <c r="AT29" s="156">
        <f t="shared" si="21"/>
        <v>0</v>
      </c>
      <c r="AU29" s="156">
        <f t="shared" si="22"/>
        <v>0</v>
      </c>
      <c r="AV29" s="156">
        <f t="shared" si="23"/>
        <v>0</v>
      </c>
      <c r="AW29" s="156">
        <f t="shared" si="24"/>
        <v>0</v>
      </c>
      <c r="AY29" s="49">
        <v>0</v>
      </c>
      <c r="AZ29" s="41">
        <v>0</v>
      </c>
      <c r="BA29" s="41">
        <v>0</v>
      </c>
      <c r="BB29" s="41">
        <v>0</v>
      </c>
      <c r="BC29" s="41">
        <v>0</v>
      </c>
      <c r="BE29" s="156">
        <f t="shared" si="25"/>
        <v>0</v>
      </c>
      <c r="BF29" s="156">
        <f t="shared" si="26"/>
        <v>0</v>
      </c>
      <c r="BG29" s="156">
        <f t="shared" si="27"/>
        <v>0</v>
      </c>
      <c r="BH29" s="156">
        <f t="shared" si="28"/>
        <v>0</v>
      </c>
      <c r="BI29" s="156">
        <f t="shared" si="29"/>
        <v>0</v>
      </c>
      <c r="BK29" s="41">
        <v>0</v>
      </c>
      <c r="BL29" s="41">
        <v>0</v>
      </c>
      <c r="BM29" s="41">
        <v>0</v>
      </c>
      <c r="BN29" s="41">
        <v>0</v>
      </c>
      <c r="BO29" s="41">
        <v>0</v>
      </c>
      <c r="BQ29" s="156">
        <f t="shared" si="30"/>
        <v>0</v>
      </c>
      <c r="BR29" s="156">
        <f t="shared" si="31"/>
        <v>0</v>
      </c>
      <c r="BS29" s="156">
        <f t="shared" si="32"/>
        <v>0</v>
      </c>
      <c r="BT29" s="156">
        <f t="shared" si="33"/>
        <v>0</v>
      </c>
      <c r="BU29" s="156">
        <f t="shared" si="34"/>
        <v>0</v>
      </c>
    </row>
    <row r="30" spans="1:73" x14ac:dyDescent="0.25">
      <c r="A30" s="33">
        <v>27</v>
      </c>
      <c r="B30" s="42" t="s">
        <v>63</v>
      </c>
      <c r="C30" s="191">
        <f>'Budget by Cost Category'!AO24</f>
        <v>4495267</v>
      </c>
      <c r="D30" s="191">
        <f>'Budget by Cost Category'!AV24</f>
        <v>4814162</v>
      </c>
      <c r="E30" s="191">
        <f>'Budget by Cost Category'!BC24</f>
        <v>4896966</v>
      </c>
      <c r="F30" s="191">
        <f>'Budget by Cost Category'!BJ24</f>
        <v>4981193</v>
      </c>
      <c r="G30" s="191">
        <f>'Budget by Cost Category'!BQ24</f>
        <v>5066870</v>
      </c>
      <c r="I30" s="156">
        <f t="shared" si="5"/>
        <v>7.0940168848702356E-2</v>
      </c>
      <c r="J30" s="156">
        <f t="shared" si="6"/>
        <v>1.7200085913186891E-2</v>
      </c>
      <c r="K30" s="156">
        <f t="shared" si="7"/>
        <v>1.7199833529577324E-2</v>
      </c>
      <c r="L30" s="156">
        <f t="shared" si="8"/>
        <v>1.7200096442759882E-2</v>
      </c>
      <c r="M30" s="156">
        <f t="shared" si="9"/>
        <v>5.2492624884663108E-2</v>
      </c>
      <c r="O30" s="196">
        <v>0</v>
      </c>
      <c r="P30" s="196">
        <f>_xlfn.XLOOKUP($B30,'Budget by Cost Category'!$AR:$AR,'Budget by Cost Category'!$AS:$AS,0)</f>
        <v>0</v>
      </c>
      <c r="Q30" s="196">
        <f>_xlfn.XLOOKUP($B30,'Budget by Cost Category'!$AY:$AY,'Budget by Cost Category'!$AZ:$AZ,0)</f>
        <v>0</v>
      </c>
      <c r="R30" s="196">
        <f>_xlfn.XLOOKUP($B30,'Budget by Cost Category'!$BF:$BF,'Budget by Cost Category'!$BG:$BG,0)</f>
        <v>0</v>
      </c>
      <c r="S30" s="196">
        <f>_xlfn.XLOOKUP($B30,'Budget by Cost Category'!$BM:$BM,'Budget by Cost Category'!$BN:$BN,0)</f>
        <v>0</v>
      </c>
      <c r="U30" s="156">
        <f t="shared" si="10"/>
        <v>0</v>
      </c>
      <c r="V30" s="156">
        <f t="shared" si="11"/>
        <v>0</v>
      </c>
      <c r="W30" s="156">
        <f t="shared" si="12"/>
        <v>0</v>
      </c>
      <c r="X30" s="156">
        <f t="shared" si="13"/>
        <v>0</v>
      </c>
      <c r="Y30" s="156">
        <f t="shared" si="14"/>
        <v>0</v>
      </c>
      <c r="AA30" s="201"/>
      <c r="AB30" s="201">
        <v>0</v>
      </c>
      <c r="AC30" s="201">
        <v>0</v>
      </c>
      <c r="AD30" s="201">
        <v>0</v>
      </c>
      <c r="AE30" s="201">
        <v>0</v>
      </c>
      <c r="AG30" s="156">
        <f t="shared" si="15"/>
        <v>0</v>
      </c>
      <c r="AH30" s="156">
        <f t="shared" si="16"/>
        <v>0</v>
      </c>
      <c r="AI30" s="156">
        <f t="shared" si="17"/>
        <v>0</v>
      </c>
      <c r="AJ30" s="156">
        <f t="shared" si="18"/>
        <v>0</v>
      </c>
      <c r="AK30" s="156">
        <f t="shared" si="19"/>
        <v>0</v>
      </c>
      <c r="AM30" s="40">
        <f t="shared" si="0"/>
        <v>0</v>
      </c>
      <c r="AN30" s="40">
        <f t="shared" si="1"/>
        <v>0</v>
      </c>
      <c r="AO30" s="40">
        <f t="shared" si="2"/>
        <v>0</v>
      </c>
      <c r="AP30" s="40">
        <f t="shared" si="3"/>
        <v>0</v>
      </c>
      <c r="AQ30" s="40">
        <f t="shared" si="4"/>
        <v>0</v>
      </c>
      <c r="AS30" s="156">
        <f t="shared" si="20"/>
        <v>0</v>
      </c>
      <c r="AT30" s="156">
        <f t="shared" si="21"/>
        <v>0</v>
      </c>
      <c r="AU30" s="156">
        <f t="shared" si="22"/>
        <v>0</v>
      </c>
      <c r="AV30" s="156">
        <f t="shared" si="23"/>
        <v>0</v>
      </c>
      <c r="AW30" s="156">
        <f t="shared" si="24"/>
        <v>0</v>
      </c>
      <c r="AY30" s="41">
        <v>0</v>
      </c>
      <c r="AZ30" s="41">
        <v>0</v>
      </c>
      <c r="BA30" s="41">
        <v>0</v>
      </c>
      <c r="BB30" s="41">
        <v>0</v>
      </c>
      <c r="BC30" s="41">
        <v>0</v>
      </c>
      <c r="BE30" s="156">
        <f t="shared" si="25"/>
        <v>0</v>
      </c>
      <c r="BF30" s="156">
        <f t="shared" si="26"/>
        <v>0</v>
      </c>
      <c r="BG30" s="156">
        <f t="shared" si="27"/>
        <v>0</v>
      </c>
      <c r="BH30" s="156">
        <f t="shared" si="28"/>
        <v>0</v>
      </c>
      <c r="BI30" s="156">
        <f t="shared" si="29"/>
        <v>0</v>
      </c>
      <c r="BK30" s="41">
        <v>0</v>
      </c>
      <c r="BL30" s="41">
        <v>0</v>
      </c>
      <c r="BM30" s="41">
        <v>0</v>
      </c>
      <c r="BN30" s="41">
        <v>0</v>
      </c>
      <c r="BO30" s="41">
        <v>0</v>
      </c>
      <c r="BQ30" s="156">
        <f t="shared" si="30"/>
        <v>0</v>
      </c>
      <c r="BR30" s="156">
        <f t="shared" si="31"/>
        <v>0</v>
      </c>
      <c r="BS30" s="156">
        <f t="shared" si="32"/>
        <v>0</v>
      </c>
      <c r="BT30" s="156">
        <f t="shared" si="33"/>
        <v>0</v>
      </c>
      <c r="BU30" s="156">
        <f t="shared" si="34"/>
        <v>0</v>
      </c>
    </row>
    <row r="31" spans="1:73" s="38" customFormat="1" x14ac:dyDescent="0.25">
      <c r="A31" s="33">
        <v>28</v>
      </c>
      <c r="B31" s="6" t="s">
        <v>5</v>
      </c>
      <c r="C31" s="190">
        <f t="shared" ref="C31" si="49">SUM(C32:C33)</f>
        <v>3143670.3023999999</v>
      </c>
      <c r="D31" s="190">
        <f t="shared" ref="D31:AB31" si="50">SUM(D32:D33)</f>
        <v>3479654</v>
      </c>
      <c r="E31" s="190">
        <f t="shared" si="50"/>
        <v>3613250</v>
      </c>
      <c r="F31" s="190">
        <f t="shared" si="50"/>
        <v>3752123</v>
      </c>
      <c r="G31" s="190">
        <f t="shared" si="50"/>
        <v>3896485</v>
      </c>
      <c r="H31"/>
      <c r="I31" s="155">
        <f t="shared" si="5"/>
        <v>0.10687625141335499</v>
      </c>
      <c r="J31" s="155">
        <f t="shared" si="6"/>
        <v>3.8393472454445243E-2</v>
      </c>
      <c r="K31" s="155">
        <f t="shared" si="7"/>
        <v>3.8434373486473383E-2</v>
      </c>
      <c r="L31" s="155">
        <f t="shared" si="8"/>
        <v>3.8474751494020909E-2</v>
      </c>
      <c r="M31" s="155">
        <f t="shared" si="9"/>
        <v>0.1197909332364655</v>
      </c>
      <c r="N31"/>
      <c r="O31" s="195">
        <f t="shared" ref="O31" si="51">SUM(O32:O33)</f>
        <v>2839572.836352</v>
      </c>
      <c r="P31" s="195">
        <f t="shared" ref="P31:R31" si="52">SUM(P32:P33)</f>
        <v>3178709</v>
      </c>
      <c r="Q31" s="195">
        <f t="shared" si="52"/>
        <v>3307129</v>
      </c>
      <c r="R31" s="195">
        <f t="shared" si="52"/>
        <v>3440737</v>
      </c>
      <c r="S31" s="195">
        <f t="shared" ref="S31" si="53">SUM(S32:S33)</f>
        <v>3579743</v>
      </c>
      <c r="T31"/>
      <c r="U31" s="155">
        <f t="shared" si="10"/>
        <v>0.11943210588099884</v>
      </c>
      <c r="V31" s="155">
        <f t="shared" si="11"/>
        <v>4.0400049202364841E-2</v>
      </c>
      <c r="W31" s="155">
        <f t="shared" si="12"/>
        <v>4.0399996492425982E-2</v>
      </c>
      <c r="X31" s="155">
        <f t="shared" si="13"/>
        <v>4.0400065451093869E-2</v>
      </c>
      <c r="Y31" s="155">
        <f t="shared" si="14"/>
        <v>0.12616253957188284</v>
      </c>
      <c r="Z31"/>
      <c r="AA31" s="200">
        <f t="shared" si="50"/>
        <v>13553970</v>
      </c>
      <c r="AB31" s="200">
        <f t="shared" si="50"/>
        <v>18249620.580527794</v>
      </c>
      <c r="AC31" s="200">
        <f t="shared" ref="AC31:AD31" si="54">SUM(AC32:AC33)</f>
        <v>20156297.357597861</v>
      </c>
      <c r="AD31" s="200">
        <f t="shared" si="54"/>
        <v>21245826.944495041</v>
      </c>
      <c r="AE31" s="200">
        <f t="shared" ref="AE31" si="55">SUM(AE32:AE33)</f>
        <v>21518209.34121934</v>
      </c>
      <c r="AF31"/>
      <c r="AG31" s="155">
        <f t="shared" si="15"/>
        <v>0.3464409748972288</v>
      </c>
      <c r="AH31" s="155">
        <f t="shared" si="16"/>
        <v>0.10447761194029859</v>
      </c>
      <c r="AI31" s="155">
        <f t="shared" si="17"/>
        <v>5.4054054054053946E-2</v>
      </c>
      <c r="AJ31" s="155">
        <f t="shared" si="18"/>
        <v>1.2820512820512997E-2</v>
      </c>
      <c r="AK31" s="155">
        <f t="shared" si="19"/>
        <v>0.17910447761194037</v>
      </c>
      <c r="AL31"/>
      <c r="AM31" s="36">
        <f t="shared" si="0"/>
        <v>0.23193723332720967</v>
      </c>
      <c r="AN31" s="36">
        <f t="shared" si="1"/>
        <v>0.19066993665132767</v>
      </c>
      <c r="AO31" s="36">
        <f t="shared" si="2"/>
        <v>0.17926159432441571</v>
      </c>
      <c r="AP31" s="36">
        <f t="shared" si="3"/>
        <v>0.17660517568002709</v>
      </c>
      <c r="AQ31" s="36">
        <f t="shared" si="4"/>
        <v>0.18107849673792623</v>
      </c>
      <c r="AR31"/>
      <c r="AS31" s="155">
        <f t="shared" si="20"/>
        <v>-0.17792441551487947</v>
      </c>
      <c r="AT31" s="155">
        <f t="shared" si="21"/>
        <v>-5.9832937102056394E-2</v>
      </c>
      <c r="AU31" s="155">
        <f t="shared" si="22"/>
        <v>-1.4818671307704756E-2</v>
      </c>
      <c r="AV31" s="155">
        <f t="shared" si="23"/>
        <v>2.5329501475108929E-2</v>
      </c>
      <c r="AW31" s="155">
        <f t="shared" si="24"/>
        <v>-5.030389206527619E-2</v>
      </c>
      <c r="AX31"/>
      <c r="AY31" s="37">
        <f>'TRC-Plus'!AJ23</f>
        <v>6.2191198588450929</v>
      </c>
      <c r="AZ31" s="37">
        <v>5.4563777269585678</v>
      </c>
      <c r="BA31" s="37">
        <v>5.7379669554682273</v>
      </c>
      <c r="BB31" s="37">
        <v>5.9663453752258082</v>
      </c>
      <c r="BC31" s="37">
        <v>6.1517558291332159</v>
      </c>
      <c r="BD31"/>
      <c r="BE31" s="155">
        <f t="shared" si="25"/>
        <v>-0.12264470683929996</v>
      </c>
      <c r="BF31" s="155">
        <f t="shared" si="26"/>
        <v>5.1607356125364934E-2</v>
      </c>
      <c r="BG31" s="155">
        <f t="shared" si="27"/>
        <v>3.9801278315124922E-2</v>
      </c>
      <c r="BH31" s="155">
        <f t="shared" si="28"/>
        <v>3.107605112457823E-2</v>
      </c>
      <c r="BI31" s="155">
        <f t="shared" si="29"/>
        <v>0.12744317511945025</v>
      </c>
      <c r="BJ31"/>
      <c r="BK31" s="37">
        <v>3.8042653963215023</v>
      </c>
      <c r="BL31" s="37">
        <v>12.321972532964985</v>
      </c>
      <c r="BM31" s="37">
        <v>13.754148351304609</v>
      </c>
      <c r="BN31" s="37">
        <v>14.506105878883142</v>
      </c>
      <c r="BO31" s="37">
        <v>14.593899614151159</v>
      </c>
      <c r="BP31"/>
      <c r="BQ31" s="155">
        <f t="shared" si="30"/>
        <v>2.2389886743652525</v>
      </c>
      <c r="BR31" s="155">
        <f t="shared" si="31"/>
        <v>0.1162294279189573</v>
      </c>
      <c r="BS31" s="155">
        <f t="shared" si="32"/>
        <v>5.4671325942707849E-2</v>
      </c>
      <c r="BT31" s="155">
        <f t="shared" si="33"/>
        <v>6.0521918150218124E-3</v>
      </c>
      <c r="BU31" s="155">
        <f t="shared" si="34"/>
        <v>0.18438014490846211</v>
      </c>
    </row>
    <row r="32" spans="1:73" x14ac:dyDescent="0.25">
      <c r="A32" s="33">
        <v>29</v>
      </c>
      <c r="B32" s="39" t="s">
        <v>57</v>
      </c>
      <c r="C32" s="191">
        <f>'Budget by Cost Category'!$AP29</f>
        <v>2897523.3023999999</v>
      </c>
      <c r="D32" s="191">
        <f>_xlfn.XLOOKUP($B32,'Budget by Cost Category'!$AR:$AR,'Budget by Cost Category'!$AW:$AW,0)</f>
        <v>3203709</v>
      </c>
      <c r="E32" s="191">
        <f>_xlfn.XLOOKUP($B32,'Budget by Cost Category'!$AY:$AY,'Budget by Cost Category'!$BD:$BD,0)</f>
        <v>3332559</v>
      </c>
      <c r="F32" s="191">
        <f>_xlfn.XLOOKUP($B32,'Budget by Cost Category'!$BF:$BF,'Budget by Cost Category'!$BK:$BK,0)</f>
        <v>3466604</v>
      </c>
      <c r="G32" s="191">
        <f>_xlfn.XLOOKUP($B32,'Budget by Cost Category'!$BM:$BM,'Budget by Cost Category'!$BR:$BR,0)</f>
        <v>3606055</v>
      </c>
      <c r="I32" s="156">
        <f t="shared" si="5"/>
        <v>0.1056715220707245</v>
      </c>
      <c r="J32" s="156">
        <f t="shared" si="6"/>
        <v>4.0219008655280497E-2</v>
      </c>
      <c r="K32" s="156">
        <f t="shared" si="7"/>
        <v>4.0222843766607008E-2</v>
      </c>
      <c r="L32" s="156">
        <f t="shared" si="8"/>
        <v>4.0226977179972145E-2</v>
      </c>
      <c r="M32" s="156">
        <f t="shared" si="9"/>
        <v>0.12558756116738445</v>
      </c>
      <c r="O32" s="196">
        <f>'Budget by Cost Category'!$AL29</f>
        <v>2839572.836352</v>
      </c>
      <c r="P32" s="196">
        <f>_xlfn.XLOOKUP($B32,'Budget by Cost Category'!$AR:$AR,'Budget by Cost Category'!$AS:$AS,0)</f>
        <v>3178709</v>
      </c>
      <c r="Q32" s="196">
        <f>_xlfn.XLOOKUP($B32,'Budget by Cost Category'!$AY:$AY,'Budget by Cost Category'!$AZ:$AZ,0)</f>
        <v>3307129</v>
      </c>
      <c r="R32" s="196">
        <f>_xlfn.XLOOKUP($B32,'Budget by Cost Category'!$BF:$BF,'Budget by Cost Category'!$BG:$BG,0)</f>
        <v>3440737</v>
      </c>
      <c r="S32" s="196">
        <f>_xlfn.XLOOKUP($B32,'Budget by Cost Category'!$BM:$BM,'Budget by Cost Category'!$BN:$BN,0)</f>
        <v>3579743</v>
      </c>
      <c r="U32" s="156">
        <f t="shared" si="10"/>
        <v>0.11943210588099884</v>
      </c>
      <c r="V32" s="156">
        <f t="shared" si="11"/>
        <v>4.0400049202364841E-2</v>
      </c>
      <c r="W32" s="156">
        <f t="shared" si="12"/>
        <v>4.0399996492425982E-2</v>
      </c>
      <c r="X32" s="156">
        <f t="shared" si="13"/>
        <v>4.0400065451093869E-2</v>
      </c>
      <c r="Y32" s="156">
        <f t="shared" si="14"/>
        <v>0.12616253957188284</v>
      </c>
      <c r="AA32" s="201">
        <v>13553970</v>
      </c>
      <c r="AB32" s="201">
        <f>_xlfn.XLOOKUP($B32,'Savings by Offer'!AF:AF,'Savings by Offer'!AH:AH)</f>
        <v>18249620.580527794</v>
      </c>
      <c r="AC32" s="201">
        <f>_xlfn.XLOOKUP($B32,'Savings by Offer'!AK:AK,'Savings by Offer'!AM:AM)</f>
        <v>20156297.357597861</v>
      </c>
      <c r="AD32" s="201">
        <f>_xlfn.XLOOKUP($B32,'Savings by Offer'!AP:AP,'Savings by Offer'!AR:AR)</f>
        <v>21245826.944495041</v>
      </c>
      <c r="AE32" s="201">
        <f>_xlfn.XLOOKUP($B32,'Savings by Offer'!AU:AU,'Savings by Offer'!AW:AW)</f>
        <v>21518209.34121934</v>
      </c>
      <c r="AG32" s="156">
        <f t="shared" si="15"/>
        <v>0.3464409748972288</v>
      </c>
      <c r="AH32" s="156">
        <f t="shared" si="16"/>
        <v>0.10447761194029859</v>
      </c>
      <c r="AI32" s="156">
        <f t="shared" si="17"/>
        <v>5.4054054054053946E-2</v>
      </c>
      <c r="AJ32" s="156">
        <f t="shared" si="18"/>
        <v>1.2820512820512997E-2</v>
      </c>
      <c r="AK32" s="156">
        <f t="shared" si="19"/>
        <v>0.17910447761194037</v>
      </c>
      <c r="AM32" s="40">
        <f t="shared" si="0"/>
        <v>0.21377672389713123</v>
      </c>
      <c r="AN32" s="40">
        <f t="shared" si="1"/>
        <v>0.1755493483200595</v>
      </c>
      <c r="AO32" s="40">
        <f t="shared" si="2"/>
        <v>0.16533587200447808</v>
      </c>
      <c r="AP32" s="40">
        <f t="shared" si="3"/>
        <v>0.16316634834014893</v>
      </c>
      <c r="AQ32" s="40">
        <f t="shared" si="4"/>
        <v>0.16758155582641343</v>
      </c>
      <c r="AS32" s="156">
        <f t="shared" si="20"/>
        <v>-0.17881916646578722</v>
      </c>
      <c r="AT32" s="156">
        <f t="shared" si="21"/>
        <v>-5.818008675805697E-2</v>
      </c>
      <c r="AU32" s="156">
        <f t="shared" si="22"/>
        <v>-1.3121917452193266E-2</v>
      </c>
      <c r="AV32" s="156">
        <f t="shared" si="23"/>
        <v>2.70595470890862E-2</v>
      </c>
      <c r="AW32" s="156">
        <f t="shared" si="24"/>
        <v>-4.5387764579560175E-2</v>
      </c>
      <c r="AY32" s="41">
        <f>'TRC-Plus'!AJ24</f>
        <v>7.0596684250407593</v>
      </c>
      <c r="AZ32" s="41">
        <v>5.6256084994268525</v>
      </c>
      <c r="BA32" s="41">
        <v>5.9019045040830402</v>
      </c>
      <c r="BB32" s="41">
        <v>6.1308627421326802</v>
      </c>
      <c r="BC32" s="41">
        <v>6.3221174357600338</v>
      </c>
      <c r="BE32" s="156">
        <f t="shared" si="25"/>
        <v>-0.20313417561188463</v>
      </c>
      <c r="BF32" s="156">
        <f t="shared" si="26"/>
        <v>4.9113976680804861E-2</v>
      </c>
      <c r="BG32" s="156">
        <f t="shared" si="27"/>
        <v>3.8793958440236143E-2</v>
      </c>
      <c r="BH32" s="156">
        <f t="shared" si="28"/>
        <v>3.1195396418355337E-2</v>
      </c>
      <c r="BI32" s="156">
        <f t="shared" si="29"/>
        <v>0.12381041738047416</v>
      </c>
      <c r="BK32" s="41">
        <v>4.1564805906674138</v>
      </c>
      <c r="BL32" s="41">
        <v>13.383300734311931</v>
      </c>
      <c r="BM32" s="41">
        <v>14.912617160071697</v>
      </c>
      <c r="BN32" s="41">
        <v>15.700868489332111</v>
      </c>
      <c r="BO32" s="41">
        <v>15.76928553170869</v>
      </c>
      <c r="BQ32" s="156">
        <f t="shared" si="30"/>
        <v>2.2198636424194031</v>
      </c>
      <c r="BR32" s="156">
        <f t="shared" si="31"/>
        <v>0.11427049695139302</v>
      </c>
      <c r="BS32" s="156">
        <f t="shared" si="32"/>
        <v>5.2858014176810242E-2</v>
      </c>
      <c r="BT32" s="156">
        <f t="shared" si="33"/>
        <v>4.3575323507145658E-3</v>
      </c>
      <c r="BU32" s="156">
        <f t="shared" si="34"/>
        <v>0.17828074290220508</v>
      </c>
    </row>
    <row r="33" spans="1:73" ht="15.75" thickBot="1" x14ac:dyDescent="0.3">
      <c r="A33" s="33">
        <v>30</v>
      </c>
      <c r="B33" s="42" t="s">
        <v>68</v>
      </c>
      <c r="C33" s="191">
        <f>'Budget by Cost Category'!AO28</f>
        <v>246147</v>
      </c>
      <c r="D33" s="191">
        <f>'Budget by Cost Category'!AV28</f>
        <v>275945</v>
      </c>
      <c r="E33" s="191">
        <f>'Budget by Cost Category'!BC28</f>
        <v>280691</v>
      </c>
      <c r="F33" s="191">
        <f>'Budget by Cost Category'!BJ28</f>
        <v>285519</v>
      </c>
      <c r="G33" s="191">
        <f>'Budget by Cost Category'!BQ28</f>
        <v>290430</v>
      </c>
      <c r="I33" s="156">
        <f t="shared" si="5"/>
        <v>0.12105774191844709</v>
      </c>
      <c r="J33" s="156">
        <f t="shared" si="6"/>
        <v>1.7199079526717176E-2</v>
      </c>
      <c r="K33" s="156">
        <f t="shared" si="7"/>
        <v>1.7200408990669436E-2</v>
      </c>
      <c r="L33" s="156">
        <f t="shared" si="8"/>
        <v>1.7200256375232481E-2</v>
      </c>
      <c r="M33" s="156">
        <f t="shared" si="9"/>
        <v>5.2492344488938025E-2</v>
      </c>
      <c r="O33" s="196">
        <v>0</v>
      </c>
      <c r="P33" s="196">
        <f>_xlfn.XLOOKUP($B33,'Budget by Cost Category'!$AR:$AR,'Budget by Cost Category'!$AS:$AS,0)</f>
        <v>0</v>
      </c>
      <c r="Q33" s="196">
        <f>_xlfn.XLOOKUP($B33,'Budget by Cost Category'!$AY:$AY,'Budget by Cost Category'!$AZ:$AZ,0)</f>
        <v>0</v>
      </c>
      <c r="R33" s="196">
        <f>_xlfn.XLOOKUP($B33,'Budget by Cost Category'!$BF:$BF,'Budget by Cost Category'!$BG:$BG,0)</f>
        <v>0</v>
      </c>
      <c r="S33" s="196">
        <f>_xlfn.XLOOKUP($B33,'Budget by Cost Category'!$BM:$BM,'Budget by Cost Category'!$BN:$BN,0)</f>
        <v>0</v>
      </c>
      <c r="U33" s="156">
        <f t="shared" si="10"/>
        <v>0</v>
      </c>
      <c r="V33" s="156">
        <f t="shared" si="11"/>
        <v>0</v>
      </c>
      <c r="W33" s="156">
        <f t="shared" si="12"/>
        <v>0</v>
      </c>
      <c r="X33" s="156">
        <f t="shared" si="13"/>
        <v>0</v>
      </c>
      <c r="Y33" s="156">
        <f t="shared" si="14"/>
        <v>0</v>
      </c>
      <c r="AA33" s="201"/>
      <c r="AB33" s="201">
        <v>0</v>
      </c>
      <c r="AC33" s="201">
        <v>0</v>
      </c>
      <c r="AD33" s="201">
        <v>0</v>
      </c>
      <c r="AE33" s="201">
        <v>0</v>
      </c>
      <c r="AG33" s="156">
        <f t="shared" si="15"/>
        <v>0</v>
      </c>
      <c r="AH33" s="156">
        <f t="shared" si="16"/>
        <v>0</v>
      </c>
      <c r="AI33" s="156">
        <f t="shared" si="17"/>
        <v>0</v>
      </c>
      <c r="AJ33" s="156">
        <f t="shared" si="18"/>
        <v>0</v>
      </c>
      <c r="AK33" s="156">
        <f t="shared" si="19"/>
        <v>0</v>
      </c>
      <c r="AM33" s="40">
        <f t="shared" si="0"/>
        <v>0</v>
      </c>
      <c r="AN33" s="40">
        <f t="shared" si="1"/>
        <v>0</v>
      </c>
      <c r="AO33" s="40">
        <f t="shared" si="2"/>
        <v>0</v>
      </c>
      <c r="AP33" s="40">
        <f t="shared" si="3"/>
        <v>0</v>
      </c>
      <c r="AQ33" s="40">
        <f t="shared" si="4"/>
        <v>0</v>
      </c>
      <c r="AS33" s="156">
        <f t="shared" si="20"/>
        <v>0</v>
      </c>
      <c r="AT33" s="156">
        <f t="shared" si="21"/>
        <v>0</v>
      </c>
      <c r="AU33" s="156">
        <f t="shared" si="22"/>
        <v>0</v>
      </c>
      <c r="AV33" s="156">
        <f t="shared" si="23"/>
        <v>0</v>
      </c>
      <c r="AW33" s="156">
        <f t="shared" si="24"/>
        <v>0</v>
      </c>
      <c r="AY33" s="41">
        <v>0</v>
      </c>
      <c r="AZ33" s="41">
        <v>0</v>
      </c>
      <c r="BA33" s="41">
        <v>0</v>
      </c>
      <c r="BB33" s="41">
        <v>0</v>
      </c>
      <c r="BC33" s="41">
        <v>0</v>
      </c>
      <c r="BE33" s="156">
        <f t="shared" si="25"/>
        <v>0</v>
      </c>
      <c r="BF33" s="156">
        <f t="shared" si="26"/>
        <v>0</v>
      </c>
      <c r="BG33" s="156">
        <f t="shared" si="27"/>
        <v>0</v>
      </c>
      <c r="BH33" s="156">
        <f t="shared" si="28"/>
        <v>0</v>
      </c>
      <c r="BI33" s="156">
        <f t="shared" si="29"/>
        <v>0</v>
      </c>
      <c r="BK33" s="41">
        <v>0</v>
      </c>
      <c r="BL33" s="41">
        <v>0</v>
      </c>
      <c r="BM33" s="41">
        <v>0</v>
      </c>
      <c r="BN33" s="41">
        <v>0</v>
      </c>
      <c r="BO33" s="41">
        <v>0</v>
      </c>
      <c r="BQ33" s="156">
        <f t="shared" si="30"/>
        <v>0</v>
      </c>
      <c r="BR33" s="156">
        <f t="shared" si="31"/>
        <v>0</v>
      </c>
      <c r="BS33" s="156">
        <f t="shared" si="32"/>
        <v>0</v>
      </c>
      <c r="BT33" s="156">
        <f t="shared" si="33"/>
        <v>0</v>
      </c>
      <c r="BU33" s="156">
        <f t="shared" si="34"/>
        <v>0</v>
      </c>
    </row>
    <row r="34" spans="1:73" ht="15.75" thickTop="1" x14ac:dyDescent="0.25">
      <c r="A34" s="33">
        <v>31</v>
      </c>
      <c r="B34" s="7" t="s">
        <v>193</v>
      </c>
      <c r="C34" s="192">
        <f t="shared" ref="C34:AE34" si="56">SUM(C4,C12,C16,C26,C31)</f>
        <v>164679801.62013984</v>
      </c>
      <c r="D34" s="192">
        <f t="shared" si="56"/>
        <v>173537070</v>
      </c>
      <c r="E34" s="192">
        <f t="shared" si="56"/>
        <v>186273525</v>
      </c>
      <c r="F34" s="192">
        <f t="shared" si="56"/>
        <v>197612391</v>
      </c>
      <c r="G34" s="192">
        <f t="shared" si="56"/>
        <v>208371592</v>
      </c>
      <c r="I34" s="158">
        <f t="shared" si="5"/>
        <v>5.3784788982748744E-2</v>
      </c>
      <c r="J34" s="158">
        <f t="shared" si="6"/>
        <v>7.3393281331763927E-2</v>
      </c>
      <c r="K34" s="158">
        <f t="shared" si="7"/>
        <v>6.0872128768701739E-2</v>
      </c>
      <c r="L34" s="158">
        <f t="shared" si="8"/>
        <v>5.4445983602313675E-2</v>
      </c>
      <c r="M34" s="158">
        <f t="shared" si="9"/>
        <v>0.20073245445483212</v>
      </c>
      <c r="O34" s="197">
        <f t="shared" ref="O34" si="57">SUM(O4,O12,O16,O26,O31)</f>
        <v>133064076.48570262</v>
      </c>
      <c r="P34" s="197">
        <f t="shared" ref="P34:R34" si="58">SUM(P4,P12,P16,P26,P31)</f>
        <v>134785541</v>
      </c>
      <c r="Q34" s="197">
        <f t="shared" si="58"/>
        <v>146754892</v>
      </c>
      <c r="R34" s="197">
        <f t="shared" si="58"/>
        <v>156829983</v>
      </c>
      <c r="S34" s="197">
        <f t="shared" ref="S34" si="59">SUM(S4,S12,S16,S26,S31)</f>
        <v>166234535</v>
      </c>
      <c r="U34" s="158">
        <f t="shared" si="10"/>
        <v>1.2937109396932822E-2</v>
      </c>
      <c r="V34" s="158">
        <f t="shared" si="11"/>
        <v>8.8802930278701009E-2</v>
      </c>
      <c r="W34" s="158">
        <f t="shared" si="12"/>
        <v>6.8652505294338084E-2</v>
      </c>
      <c r="X34" s="158">
        <f t="shared" si="13"/>
        <v>5.9966543514832882E-2</v>
      </c>
      <c r="Y34" s="158">
        <f t="shared" si="14"/>
        <v>0.23332616960746555</v>
      </c>
      <c r="AA34" s="203">
        <f t="shared" si="56"/>
        <v>150432090</v>
      </c>
      <c r="AB34" s="203">
        <f t="shared" si="56"/>
        <v>126168056.46601328</v>
      </c>
      <c r="AC34" s="203">
        <f t="shared" si="56"/>
        <v>138296213.28900367</v>
      </c>
      <c r="AD34" s="203">
        <f t="shared" si="56"/>
        <v>145928374.49926478</v>
      </c>
      <c r="AE34" s="203">
        <f t="shared" si="56"/>
        <v>151966195.6830284</v>
      </c>
      <c r="AG34" s="158">
        <f t="shared" si="15"/>
        <v>-0.16129559546760741</v>
      </c>
      <c r="AH34" s="158">
        <f t="shared" si="16"/>
        <v>9.6127000468279711E-2</v>
      </c>
      <c r="AI34" s="158">
        <f t="shared" si="17"/>
        <v>5.518705847940919E-2</v>
      </c>
      <c r="AJ34" s="158">
        <f t="shared" si="18"/>
        <v>4.1375237711525736E-2</v>
      </c>
      <c r="AK34" s="158">
        <f t="shared" si="19"/>
        <v>0.20447441245926257</v>
      </c>
      <c r="AM34" s="46">
        <f t="shared" si="0"/>
        <v>1.0947119169861952</v>
      </c>
      <c r="AN34" s="46">
        <f t="shared" si="1"/>
        <v>1.3754437918820348</v>
      </c>
      <c r="AO34" s="46">
        <f t="shared" si="2"/>
        <v>1.3469170309872189</v>
      </c>
      <c r="AP34" s="46">
        <f t="shared" si="3"/>
        <v>1.3541738656247118</v>
      </c>
      <c r="AQ34" s="46">
        <f t="shared" si="4"/>
        <v>1.3711706808441935</v>
      </c>
      <c r="AS34" s="158">
        <f t="shared" si="20"/>
        <v>0.25644360908092656</v>
      </c>
      <c r="AT34" s="158">
        <f t="shared" si="21"/>
        <v>-2.0740041187566338E-2</v>
      </c>
      <c r="AU34" s="158">
        <f t="shared" si="22"/>
        <v>5.3877369359371929E-3</v>
      </c>
      <c r="AV34" s="158">
        <f t="shared" si="23"/>
        <v>1.2551427590607567E-2</v>
      </c>
      <c r="AW34" s="158">
        <f t="shared" si="24"/>
        <v>-3.1067144023343429E-3</v>
      </c>
      <c r="AY34" s="47">
        <f>'TRC-Plus'!AJ29</f>
        <v>1.2685834599751293</v>
      </c>
      <c r="AZ34" s="47">
        <v>1.7720978429242074</v>
      </c>
      <c r="BA34" s="47">
        <v>1.8753791154309229</v>
      </c>
      <c r="BB34" s="47">
        <v>1.9436969614242208</v>
      </c>
      <c r="BC34" s="47">
        <v>1.9946058311433075</v>
      </c>
      <c r="BE34" s="158">
        <f t="shared" si="25"/>
        <v>0.39691072667694205</v>
      </c>
      <c r="BF34" s="158">
        <f t="shared" si="26"/>
        <v>5.8281924397745044E-2</v>
      </c>
      <c r="BG34" s="158">
        <f t="shared" si="27"/>
        <v>3.6428818808510455E-2</v>
      </c>
      <c r="BH34" s="158">
        <f t="shared" si="28"/>
        <v>2.6191773064142554E-2</v>
      </c>
      <c r="BI34" s="158">
        <f t="shared" si="29"/>
        <v>0.12556190907152787</v>
      </c>
      <c r="BK34" s="47">
        <v>2.1667025043769521</v>
      </c>
      <c r="BL34" s="47">
        <v>2.3633702273013792</v>
      </c>
      <c r="BM34" s="47">
        <v>2.4876220109398361</v>
      </c>
      <c r="BN34" s="47">
        <v>2.5506546369930772</v>
      </c>
      <c r="BO34" s="47">
        <v>2.5915827957499049</v>
      </c>
      <c r="BQ34" s="158">
        <f t="shared" si="30"/>
        <v>9.0768216922784362E-2</v>
      </c>
      <c r="BR34" s="158">
        <f t="shared" si="31"/>
        <v>5.2573981936099079E-2</v>
      </c>
      <c r="BS34" s="158">
        <f t="shared" si="32"/>
        <v>2.5338506322922782E-2</v>
      </c>
      <c r="BT34" s="158">
        <f t="shared" si="33"/>
        <v>1.604613896496665E-2</v>
      </c>
      <c r="BU34" s="158">
        <f t="shared" si="34"/>
        <v>9.656234381403328E-2</v>
      </c>
    </row>
    <row r="35" spans="1:73" x14ac:dyDescent="0.25">
      <c r="A35" s="33">
        <v>32</v>
      </c>
      <c r="B35" s="107" t="s">
        <v>62</v>
      </c>
      <c r="C35" s="193">
        <f>'Budget by Cost Category'!AP31</f>
        <v>9737861.8684689049</v>
      </c>
      <c r="D35" s="193">
        <f>_xlfn.XLOOKUP($B35,'Budget by Cost Category'!$AR:$AR,'Budget by Cost Category'!$AW:$AW,0)</f>
        <v>7703652</v>
      </c>
      <c r="E35" s="193">
        <f>_xlfn.XLOOKUP($B35,'Budget by Cost Category'!$AY:$AY,'Budget by Cost Category'!$BD:$BD,0)</f>
        <v>7836155</v>
      </c>
      <c r="F35" s="193">
        <f>_xlfn.XLOOKUP($B35,'Budget by Cost Category'!$BF:$BF,'Budget by Cost Category'!$BK:$BK,0)</f>
        <v>7970936</v>
      </c>
      <c r="G35" s="193">
        <f>_xlfn.XLOOKUP($B35,'Budget by Cost Category'!$BM:$BM,'Budget by Cost Category'!$BR:$BR,0)</f>
        <v>8108038</v>
      </c>
      <c r="I35" s="159">
        <f t="shared" si="5"/>
        <v>-0.20889697306712218</v>
      </c>
      <c r="J35" s="159">
        <f t="shared" si="6"/>
        <v>1.7200024092469457E-2</v>
      </c>
      <c r="K35" s="159">
        <f t="shared" si="7"/>
        <v>1.7199889486616771E-2</v>
      </c>
      <c r="L35" s="159">
        <f t="shared" si="8"/>
        <v>1.7200238466348328E-2</v>
      </c>
      <c r="M35" s="159">
        <f t="shared" si="9"/>
        <v>5.2492765768754834E-2</v>
      </c>
      <c r="O35" s="198">
        <v>0</v>
      </c>
      <c r="P35" s="198">
        <f>_xlfn.XLOOKUP($B35,'Budget by Cost Category'!$AR:$AR,'Budget by Cost Category'!$AS:$AS,0)</f>
        <v>0</v>
      </c>
      <c r="Q35" s="198">
        <f>_xlfn.XLOOKUP($B35,'Budget by Cost Category'!$AY:$AY,'Budget by Cost Category'!$AZ:$AZ,0)</f>
        <v>0</v>
      </c>
      <c r="R35" s="198">
        <f>_xlfn.XLOOKUP($B35,'Budget by Cost Category'!$BF:$BF,'Budget by Cost Category'!$BG:$BG,0)</f>
        <v>0</v>
      </c>
      <c r="S35" s="198">
        <f>_xlfn.XLOOKUP($B35,'Budget by Cost Category'!$BM:$BM,'Budget by Cost Category'!$BN:$BN,0)</f>
        <v>0</v>
      </c>
      <c r="U35" s="159">
        <f t="shared" si="10"/>
        <v>0</v>
      </c>
      <c r="V35" s="159">
        <f t="shared" si="11"/>
        <v>0</v>
      </c>
      <c r="W35" s="159">
        <f t="shared" si="12"/>
        <v>0</v>
      </c>
      <c r="X35" s="159">
        <f t="shared" si="13"/>
        <v>0</v>
      </c>
      <c r="Y35" s="159">
        <f t="shared" si="14"/>
        <v>0</v>
      </c>
      <c r="AA35" s="204"/>
      <c r="AB35" s="204"/>
      <c r="AC35" s="204"/>
      <c r="AD35" s="204"/>
      <c r="AE35" s="204"/>
      <c r="AG35" s="159">
        <f t="shared" si="15"/>
        <v>0</v>
      </c>
      <c r="AH35" s="159">
        <f t="shared" si="16"/>
        <v>0</v>
      </c>
      <c r="AI35" s="159">
        <f t="shared" si="17"/>
        <v>0</v>
      </c>
      <c r="AJ35" s="159">
        <f t="shared" si="18"/>
        <v>0</v>
      </c>
      <c r="AK35" s="159">
        <f t="shared" si="19"/>
        <v>0</v>
      </c>
      <c r="AM35" s="48">
        <f t="shared" si="0"/>
        <v>0</v>
      </c>
      <c r="AN35" s="48">
        <f t="shared" si="1"/>
        <v>0</v>
      </c>
      <c r="AO35" s="48">
        <f t="shared" si="2"/>
        <v>0</v>
      </c>
      <c r="AP35" s="48">
        <f t="shared" si="3"/>
        <v>0</v>
      </c>
      <c r="AQ35" s="48">
        <f t="shared" si="4"/>
        <v>0</v>
      </c>
      <c r="AS35" s="159">
        <f t="shared" si="20"/>
        <v>0</v>
      </c>
      <c r="AT35" s="159">
        <f t="shared" si="21"/>
        <v>0</v>
      </c>
      <c r="AU35" s="159">
        <f t="shared" si="22"/>
        <v>0</v>
      </c>
      <c r="AV35" s="159">
        <f t="shared" si="23"/>
        <v>0</v>
      </c>
      <c r="AW35" s="159">
        <f t="shared" si="24"/>
        <v>0</v>
      </c>
      <c r="AY35" s="49"/>
      <c r="AZ35" s="49"/>
      <c r="BA35" s="49"/>
      <c r="BB35" s="49"/>
      <c r="BC35" s="49"/>
      <c r="BE35" s="159">
        <f t="shared" si="25"/>
        <v>0</v>
      </c>
      <c r="BF35" s="159">
        <f t="shared" si="26"/>
        <v>0</v>
      </c>
      <c r="BG35" s="159">
        <f t="shared" si="27"/>
        <v>0</v>
      </c>
      <c r="BH35" s="159">
        <f t="shared" si="28"/>
        <v>0</v>
      </c>
      <c r="BI35" s="159">
        <f t="shared" si="29"/>
        <v>0</v>
      </c>
      <c r="BK35" s="49"/>
      <c r="BL35" s="49"/>
      <c r="BM35" s="49"/>
      <c r="BN35" s="49"/>
      <c r="BO35" s="49"/>
      <c r="BQ35" s="159">
        <f t="shared" si="30"/>
        <v>0</v>
      </c>
      <c r="BR35" s="159">
        <f t="shared" si="31"/>
        <v>0</v>
      </c>
      <c r="BS35" s="159">
        <f t="shared" si="32"/>
        <v>0</v>
      </c>
      <c r="BT35" s="159">
        <f t="shared" si="33"/>
        <v>0</v>
      </c>
      <c r="BU35" s="159">
        <f t="shared" si="34"/>
        <v>0</v>
      </c>
    </row>
    <row r="36" spans="1:73" x14ac:dyDescent="0.25">
      <c r="A36" s="33">
        <v>33</v>
      </c>
      <c r="B36" s="108" t="s">
        <v>64</v>
      </c>
      <c r="C36" s="193">
        <f>'Budget by Cost Category'!AP32</f>
        <v>1159009.3209599999</v>
      </c>
      <c r="D36" s="193">
        <f>_xlfn.XLOOKUP($B36,'Budget by Cost Category'!$AR:$AR,'Budget by Cost Category'!$AW:$AW,0)</f>
        <v>1583000</v>
      </c>
      <c r="E36" s="193">
        <f>_xlfn.XLOOKUP($B36,'Budget by Cost Category'!$AY:$AY,'Budget by Cost Category'!$BD:$BD,0)</f>
        <v>1406788</v>
      </c>
      <c r="F36" s="193">
        <f>_xlfn.XLOOKUP($B36,'Budget by Cost Category'!$BF:$BF,'Budget by Cost Category'!$BK:$BK,0)</f>
        <v>1430985</v>
      </c>
      <c r="G36" s="193">
        <f>_xlfn.XLOOKUP($B36,'Budget by Cost Category'!$BM:$BM,'Budget by Cost Category'!$BR:$BR,0)</f>
        <v>1455596</v>
      </c>
      <c r="I36" s="159">
        <f t="shared" si="5"/>
        <v>0.36582163005282076</v>
      </c>
      <c r="J36" s="159">
        <f t="shared" si="6"/>
        <v>-0.11131522425773843</v>
      </c>
      <c r="K36" s="159">
        <f t="shared" si="7"/>
        <v>1.7200175150768882E-2</v>
      </c>
      <c r="L36" s="159">
        <f t="shared" si="8"/>
        <v>1.7198642892832572E-2</v>
      </c>
      <c r="M36" s="159">
        <f t="shared" si="9"/>
        <v>-8.0482627921667715E-2</v>
      </c>
      <c r="O36" s="198">
        <v>0</v>
      </c>
      <c r="P36" s="198">
        <f>_xlfn.XLOOKUP($B36,'Budget by Cost Category'!$AR:$AR,'Budget by Cost Category'!$AS:$AS,0)</f>
        <v>0</v>
      </c>
      <c r="Q36" s="198">
        <f>_xlfn.XLOOKUP($B36,'Budget by Cost Category'!$AY:$AY,'Budget by Cost Category'!$AZ:$AZ,0)</f>
        <v>0</v>
      </c>
      <c r="R36" s="198">
        <f>_xlfn.XLOOKUP($B36,'Budget by Cost Category'!$BF:$BF,'Budget by Cost Category'!$BG:$BG,0)</f>
        <v>0</v>
      </c>
      <c r="S36" s="198">
        <f>_xlfn.XLOOKUP($B36,'Budget by Cost Category'!$BM:$BM,'Budget by Cost Category'!$BN:$BN,0)</f>
        <v>0</v>
      </c>
      <c r="U36" s="159">
        <f t="shared" si="10"/>
        <v>0</v>
      </c>
      <c r="V36" s="159">
        <f t="shared" si="11"/>
        <v>0</v>
      </c>
      <c r="W36" s="159">
        <f t="shared" si="12"/>
        <v>0</v>
      </c>
      <c r="X36" s="159">
        <f t="shared" si="13"/>
        <v>0</v>
      </c>
      <c r="Y36" s="159">
        <f t="shared" si="14"/>
        <v>0</v>
      </c>
      <c r="AA36" s="204"/>
      <c r="AB36" s="204"/>
      <c r="AC36" s="204"/>
      <c r="AD36" s="204"/>
      <c r="AE36" s="204"/>
      <c r="AG36" s="159">
        <f t="shared" si="15"/>
        <v>0</v>
      </c>
      <c r="AH36" s="159">
        <f t="shared" si="16"/>
        <v>0</v>
      </c>
      <c r="AI36" s="159">
        <f t="shared" si="17"/>
        <v>0</v>
      </c>
      <c r="AJ36" s="159">
        <f t="shared" si="18"/>
        <v>0</v>
      </c>
      <c r="AK36" s="159">
        <f t="shared" si="19"/>
        <v>0</v>
      </c>
      <c r="AM36" s="48">
        <f t="shared" si="0"/>
        <v>0</v>
      </c>
      <c r="AN36" s="48">
        <f t="shared" si="1"/>
        <v>0</v>
      </c>
      <c r="AO36" s="48">
        <f t="shared" si="2"/>
        <v>0</v>
      </c>
      <c r="AP36" s="48">
        <f t="shared" si="3"/>
        <v>0</v>
      </c>
      <c r="AQ36" s="48">
        <f t="shared" si="4"/>
        <v>0</v>
      </c>
      <c r="AS36" s="159">
        <f t="shared" si="20"/>
        <v>0</v>
      </c>
      <c r="AT36" s="159">
        <f t="shared" si="21"/>
        <v>0</v>
      </c>
      <c r="AU36" s="159">
        <f t="shared" si="22"/>
        <v>0</v>
      </c>
      <c r="AV36" s="159">
        <f t="shared" si="23"/>
        <v>0</v>
      </c>
      <c r="AW36" s="159">
        <f t="shared" si="24"/>
        <v>0</v>
      </c>
      <c r="AY36" s="49"/>
      <c r="AZ36" s="49"/>
      <c r="BA36" s="49"/>
      <c r="BB36" s="49"/>
      <c r="BC36" s="49"/>
      <c r="BE36" s="159">
        <f t="shared" si="25"/>
        <v>0</v>
      </c>
      <c r="BF36" s="159">
        <f t="shared" si="26"/>
        <v>0</v>
      </c>
      <c r="BG36" s="159">
        <f t="shared" si="27"/>
        <v>0</v>
      </c>
      <c r="BH36" s="159">
        <f t="shared" si="28"/>
        <v>0</v>
      </c>
      <c r="BI36" s="159">
        <f t="shared" si="29"/>
        <v>0</v>
      </c>
      <c r="BK36" s="49"/>
      <c r="BL36" s="49"/>
      <c r="BM36" s="49"/>
      <c r="BN36" s="49"/>
      <c r="BO36" s="49"/>
      <c r="BQ36" s="159">
        <f t="shared" si="30"/>
        <v>0</v>
      </c>
      <c r="BR36" s="159">
        <f t="shared" si="31"/>
        <v>0</v>
      </c>
      <c r="BS36" s="159">
        <f t="shared" si="32"/>
        <v>0</v>
      </c>
      <c r="BT36" s="159">
        <f t="shared" si="33"/>
        <v>0</v>
      </c>
      <c r="BU36" s="159">
        <f t="shared" si="34"/>
        <v>0</v>
      </c>
    </row>
    <row r="37" spans="1:73" x14ac:dyDescent="0.25">
      <c r="A37" s="33">
        <v>34</v>
      </c>
      <c r="B37" s="108" t="s">
        <v>66</v>
      </c>
      <c r="C37" s="193">
        <f>'Budget by Cost Category'!AP33</f>
        <v>811306.52467199997</v>
      </c>
      <c r="D37" s="193">
        <f>_xlfn.XLOOKUP($B37,'Budget by Cost Category'!$AR:$AR,'Budget by Cost Category'!$AW:$AW,0)</f>
        <v>828000</v>
      </c>
      <c r="E37" s="193">
        <f>_xlfn.XLOOKUP($B37,'Budget by Cost Category'!$AY:$AY,'Budget by Cost Category'!$BD:$BD,0)</f>
        <v>842242</v>
      </c>
      <c r="F37" s="193">
        <f>_xlfn.XLOOKUP($B37,'Budget by Cost Category'!$BF:$BF,'Budget by Cost Category'!$BK:$BK,0)</f>
        <v>856728</v>
      </c>
      <c r="G37" s="193">
        <f>_xlfn.XLOOKUP($B37,'Budget by Cost Category'!$BM:$BM,'Budget by Cost Category'!$BR:$BR,0)</f>
        <v>871464</v>
      </c>
      <c r="I37" s="159">
        <f t="shared" si="5"/>
        <v>2.057603978317446E-2</v>
      </c>
      <c r="J37" s="159">
        <f t="shared" si="6"/>
        <v>1.7200483091787344E-2</v>
      </c>
      <c r="K37" s="159">
        <f t="shared" si="7"/>
        <v>1.7199332258424516E-2</v>
      </c>
      <c r="L37" s="159">
        <f t="shared" si="8"/>
        <v>1.7200324957279411E-2</v>
      </c>
      <c r="M37" s="159">
        <f t="shared" si="9"/>
        <v>5.2492753623188504E-2</v>
      </c>
      <c r="O37" s="198">
        <v>0</v>
      </c>
      <c r="P37" s="198">
        <f>_xlfn.XLOOKUP($B37,'Budget by Cost Category'!$AR:$AR,'Budget by Cost Category'!$AS:$AS,0)</f>
        <v>0</v>
      </c>
      <c r="Q37" s="198">
        <f>_xlfn.XLOOKUP($B37,'Budget by Cost Category'!$AY:$AY,'Budget by Cost Category'!$AZ:$AZ,0)</f>
        <v>0</v>
      </c>
      <c r="R37" s="198">
        <f>_xlfn.XLOOKUP($B37,'Budget by Cost Category'!$BF:$BF,'Budget by Cost Category'!$BG:$BG,0)</f>
        <v>0</v>
      </c>
      <c r="S37" s="198">
        <f>_xlfn.XLOOKUP($B37,'Budget by Cost Category'!$BM:$BM,'Budget by Cost Category'!$BN:$BN,0)</f>
        <v>0</v>
      </c>
      <c r="U37" s="159">
        <f t="shared" si="10"/>
        <v>0</v>
      </c>
      <c r="V37" s="159">
        <f t="shared" si="11"/>
        <v>0</v>
      </c>
      <c r="W37" s="159">
        <f t="shared" si="12"/>
        <v>0</v>
      </c>
      <c r="X37" s="159">
        <f t="shared" si="13"/>
        <v>0</v>
      </c>
      <c r="Y37" s="159">
        <f t="shared" si="14"/>
        <v>0</v>
      </c>
      <c r="AA37" s="204"/>
      <c r="AB37" s="204"/>
      <c r="AC37" s="204"/>
      <c r="AD37" s="204"/>
      <c r="AE37" s="204"/>
      <c r="AG37" s="159">
        <f t="shared" si="15"/>
        <v>0</v>
      </c>
      <c r="AH37" s="159">
        <f t="shared" si="16"/>
        <v>0</v>
      </c>
      <c r="AI37" s="159">
        <f t="shared" si="17"/>
        <v>0</v>
      </c>
      <c r="AJ37" s="159">
        <f t="shared" si="18"/>
        <v>0</v>
      </c>
      <c r="AK37" s="159">
        <f t="shared" si="19"/>
        <v>0</v>
      </c>
      <c r="AM37" s="48">
        <f t="shared" si="0"/>
        <v>0</v>
      </c>
      <c r="AN37" s="48">
        <f t="shared" si="1"/>
        <v>0</v>
      </c>
      <c r="AO37" s="48">
        <f t="shared" si="2"/>
        <v>0</v>
      </c>
      <c r="AP37" s="48">
        <f t="shared" si="3"/>
        <v>0</v>
      </c>
      <c r="AQ37" s="48">
        <f t="shared" si="4"/>
        <v>0</v>
      </c>
      <c r="AS37" s="159">
        <f t="shared" si="20"/>
        <v>0</v>
      </c>
      <c r="AT37" s="159">
        <f t="shared" si="21"/>
        <v>0</v>
      </c>
      <c r="AU37" s="159">
        <f t="shared" si="22"/>
        <v>0</v>
      </c>
      <c r="AV37" s="159">
        <f t="shared" si="23"/>
        <v>0</v>
      </c>
      <c r="AW37" s="159">
        <f t="shared" si="24"/>
        <v>0</v>
      </c>
      <c r="AY37" s="49"/>
      <c r="AZ37" s="49"/>
      <c r="BA37" s="49"/>
      <c r="BB37" s="49"/>
      <c r="BC37" s="49"/>
      <c r="BE37" s="159">
        <f t="shared" si="25"/>
        <v>0</v>
      </c>
      <c r="BF37" s="159">
        <f t="shared" si="26"/>
        <v>0</v>
      </c>
      <c r="BG37" s="159">
        <f t="shared" si="27"/>
        <v>0</v>
      </c>
      <c r="BH37" s="159">
        <f t="shared" si="28"/>
        <v>0</v>
      </c>
      <c r="BI37" s="159">
        <f t="shared" si="29"/>
        <v>0</v>
      </c>
      <c r="BK37" s="49"/>
      <c r="BL37" s="49"/>
      <c r="BM37" s="49"/>
      <c r="BN37" s="49"/>
      <c r="BO37" s="49"/>
      <c r="BQ37" s="159">
        <f t="shared" si="30"/>
        <v>0</v>
      </c>
      <c r="BR37" s="159">
        <f t="shared" si="31"/>
        <v>0</v>
      </c>
      <c r="BS37" s="159">
        <f t="shared" si="32"/>
        <v>0</v>
      </c>
      <c r="BT37" s="159">
        <f t="shared" si="33"/>
        <v>0</v>
      </c>
      <c r="BU37" s="159">
        <f t="shared" si="34"/>
        <v>0</v>
      </c>
    </row>
    <row r="38" spans="1:73" x14ac:dyDescent="0.25">
      <c r="A38" s="33">
        <v>35</v>
      </c>
      <c r="B38" s="108" t="s">
        <v>67</v>
      </c>
      <c r="C38" s="193">
        <f>'Budget by Cost Category'!AP34</f>
        <v>1889184.7679999999</v>
      </c>
      <c r="D38" s="193">
        <f>_xlfn.XLOOKUP($B38,'Budget by Cost Category'!$AR:$AR,'Budget by Cost Category'!$AW:$AW,0)</f>
        <v>610000</v>
      </c>
      <c r="E38" s="193">
        <f>_xlfn.XLOOKUP($B38,'Budget by Cost Category'!$AY:$AY,'Budget by Cost Category'!$BD:$BD,0)</f>
        <v>620492</v>
      </c>
      <c r="F38" s="193">
        <f>_xlfn.XLOOKUP($B38,'Budget by Cost Category'!$BF:$BF,'Budget by Cost Category'!$BK:$BK,0)</f>
        <v>631164</v>
      </c>
      <c r="G38" s="193">
        <f>_xlfn.XLOOKUP($B38,'Budget by Cost Category'!$BM:$BM,'Budget by Cost Category'!$BR:$BR,0)</f>
        <v>642020</v>
      </c>
      <c r="I38" s="159">
        <f t="shared" si="5"/>
        <v>-0.67710940172052037</v>
      </c>
      <c r="J38" s="159">
        <f t="shared" si="6"/>
        <v>1.7200000000000104E-2</v>
      </c>
      <c r="K38" s="159">
        <f t="shared" si="7"/>
        <v>1.7199254784912688E-2</v>
      </c>
      <c r="L38" s="159">
        <f t="shared" si="8"/>
        <v>1.7199967045015141E-2</v>
      </c>
      <c r="M38" s="159">
        <f t="shared" si="9"/>
        <v>5.249180327868852E-2</v>
      </c>
      <c r="O38" s="198">
        <v>0</v>
      </c>
      <c r="P38" s="198">
        <f>_xlfn.XLOOKUP($B38,'Budget by Cost Category'!$AR:$AR,'Budget by Cost Category'!$AS:$AS,0)</f>
        <v>0</v>
      </c>
      <c r="Q38" s="198">
        <f>_xlfn.XLOOKUP($B38,'Budget by Cost Category'!$AY:$AY,'Budget by Cost Category'!$AZ:$AZ,0)</f>
        <v>0</v>
      </c>
      <c r="R38" s="198">
        <f>_xlfn.XLOOKUP($B38,'Budget by Cost Category'!$BF:$BF,'Budget by Cost Category'!$BG:$BG,0)</f>
        <v>0</v>
      </c>
      <c r="S38" s="198">
        <f>_xlfn.XLOOKUP($B38,'Budget by Cost Category'!$BM:$BM,'Budget by Cost Category'!$BN:$BN,0)</f>
        <v>0</v>
      </c>
      <c r="U38" s="159">
        <f t="shared" si="10"/>
        <v>0</v>
      </c>
      <c r="V38" s="159">
        <f t="shared" si="11"/>
        <v>0</v>
      </c>
      <c r="W38" s="159">
        <f t="shared" si="12"/>
        <v>0</v>
      </c>
      <c r="X38" s="159">
        <f t="shared" si="13"/>
        <v>0</v>
      </c>
      <c r="Y38" s="159">
        <f t="shared" si="14"/>
        <v>0</v>
      </c>
      <c r="AA38" s="204"/>
      <c r="AB38" s="204"/>
      <c r="AC38" s="204"/>
      <c r="AD38" s="204"/>
      <c r="AE38" s="204"/>
      <c r="AG38" s="159">
        <f t="shared" si="15"/>
        <v>0</v>
      </c>
      <c r="AH38" s="159">
        <f t="shared" si="16"/>
        <v>0</v>
      </c>
      <c r="AI38" s="159">
        <f t="shared" si="17"/>
        <v>0</v>
      </c>
      <c r="AJ38" s="159">
        <f t="shared" si="18"/>
        <v>0</v>
      </c>
      <c r="AK38" s="159">
        <f t="shared" si="19"/>
        <v>0</v>
      </c>
      <c r="AM38" s="48">
        <f t="shared" si="0"/>
        <v>0</v>
      </c>
      <c r="AN38" s="48">
        <f t="shared" si="1"/>
        <v>0</v>
      </c>
      <c r="AO38" s="48">
        <f t="shared" si="2"/>
        <v>0</v>
      </c>
      <c r="AP38" s="48">
        <f t="shared" si="3"/>
        <v>0</v>
      </c>
      <c r="AQ38" s="48">
        <f t="shared" si="4"/>
        <v>0</v>
      </c>
      <c r="AS38" s="159">
        <f t="shared" si="20"/>
        <v>0</v>
      </c>
      <c r="AT38" s="159">
        <f t="shared" si="21"/>
        <v>0</v>
      </c>
      <c r="AU38" s="159">
        <f t="shared" si="22"/>
        <v>0</v>
      </c>
      <c r="AV38" s="159">
        <f t="shared" si="23"/>
        <v>0</v>
      </c>
      <c r="AW38" s="159">
        <f t="shared" si="24"/>
        <v>0</v>
      </c>
      <c r="AY38" s="49"/>
      <c r="AZ38" s="49"/>
      <c r="BA38" s="49"/>
      <c r="BB38" s="49"/>
      <c r="BC38" s="49"/>
      <c r="BE38" s="159">
        <f t="shared" si="25"/>
        <v>0</v>
      </c>
      <c r="BF38" s="159">
        <f t="shared" si="26"/>
        <v>0</v>
      </c>
      <c r="BG38" s="159">
        <f t="shared" si="27"/>
        <v>0</v>
      </c>
      <c r="BH38" s="159">
        <f t="shared" si="28"/>
        <v>0</v>
      </c>
      <c r="BI38" s="159">
        <f t="shared" si="29"/>
        <v>0</v>
      </c>
      <c r="BK38" s="49"/>
      <c r="BL38" s="49"/>
      <c r="BM38" s="49"/>
      <c r="BN38" s="49"/>
      <c r="BO38" s="49"/>
      <c r="BQ38" s="159">
        <f t="shared" si="30"/>
        <v>0</v>
      </c>
      <c r="BR38" s="159">
        <f t="shared" si="31"/>
        <v>0</v>
      </c>
      <c r="BS38" s="159">
        <f t="shared" si="32"/>
        <v>0</v>
      </c>
      <c r="BT38" s="159">
        <f t="shared" si="33"/>
        <v>0</v>
      </c>
      <c r="BU38" s="159">
        <f t="shared" si="34"/>
        <v>0</v>
      </c>
    </row>
    <row r="39" spans="1:73" x14ac:dyDescent="0.25">
      <c r="A39" s="33">
        <v>36</v>
      </c>
      <c r="B39" s="55" t="s">
        <v>196</v>
      </c>
      <c r="C39" s="193">
        <f>'Budget by Cost Category'!AP35</f>
        <v>3671875.9738825113</v>
      </c>
      <c r="D39" s="193">
        <f>_xlfn.XLOOKUP($B39,'Budget by Cost Category'!$AR:$AR,'Budget by Cost Category'!$AW:$AW,0)</f>
        <v>3223200</v>
      </c>
      <c r="E39" s="193">
        <f>_xlfn.XLOOKUP($B39,'Budget by Cost Category'!$AY:$AY,'Budget by Cost Category'!$BD:$BD,0)</f>
        <v>3278639</v>
      </c>
      <c r="F39" s="193">
        <f>_xlfn.XLOOKUP($B39,'Budget by Cost Category'!$BF:$BF,'Budget by Cost Category'!$BK:$BK,0)</f>
        <v>3335032</v>
      </c>
      <c r="G39" s="193">
        <f>_xlfn.XLOOKUP($B39,'Budget by Cost Category'!$BM:$BM,'Budget by Cost Category'!$BR:$BR,0)</f>
        <v>3392393</v>
      </c>
      <c r="I39" s="159">
        <f t="shared" si="5"/>
        <v>-0.12219257324426924</v>
      </c>
      <c r="J39" s="159">
        <f t="shared" si="6"/>
        <v>1.7199987589972654E-2</v>
      </c>
      <c r="K39" s="159">
        <f t="shared" si="7"/>
        <v>1.7200124807885242E-2</v>
      </c>
      <c r="L39" s="159">
        <f t="shared" si="8"/>
        <v>1.719953511690453E-2</v>
      </c>
      <c r="M39" s="159">
        <f t="shared" si="9"/>
        <v>5.2492243732936261E-2</v>
      </c>
      <c r="O39" s="198">
        <v>0</v>
      </c>
      <c r="P39" s="198">
        <f>_xlfn.XLOOKUP($B39,'Budget by Cost Category'!$AR:$AR,'Budget by Cost Category'!$AS:$AS,0)</f>
        <v>0</v>
      </c>
      <c r="Q39" s="198">
        <f>_xlfn.XLOOKUP($B39,'Budget by Cost Category'!$AY:$AY,'Budget by Cost Category'!$AZ:$AZ,0)</f>
        <v>0</v>
      </c>
      <c r="R39" s="198">
        <f>_xlfn.XLOOKUP($B39,'Budget by Cost Category'!$BF:$BF,'Budget by Cost Category'!$BG:$BG,0)</f>
        <v>0</v>
      </c>
      <c r="S39" s="198">
        <f>_xlfn.XLOOKUP($B39,'Budget by Cost Category'!$BM:$BM,'Budget by Cost Category'!$BN:$BN,0)</f>
        <v>0</v>
      </c>
      <c r="U39" s="159">
        <f t="shared" si="10"/>
        <v>0</v>
      </c>
      <c r="V39" s="159">
        <f t="shared" si="11"/>
        <v>0</v>
      </c>
      <c r="W39" s="159">
        <f t="shared" si="12"/>
        <v>0</v>
      </c>
      <c r="X39" s="159">
        <f t="shared" si="13"/>
        <v>0</v>
      </c>
      <c r="Y39" s="159">
        <f t="shared" si="14"/>
        <v>0</v>
      </c>
      <c r="AA39" s="204"/>
      <c r="AB39" s="204"/>
      <c r="AC39" s="204"/>
      <c r="AD39" s="204"/>
      <c r="AE39" s="204"/>
      <c r="AG39" s="159">
        <f t="shared" si="15"/>
        <v>0</v>
      </c>
      <c r="AH39" s="159">
        <f t="shared" si="16"/>
        <v>0</v>
      </c>
      <c r="AI39" s="159">
        <f t="shared" si="17"/>
        <v>0</v>
      </c>
      <c r="AJ39" s="159">
        <f t="shared" si="18"/>
        <v>0</v>
      </c>
      <c r="AK39" s="159">
        <f t="shared" si="19"/>
        <v>0</v>
      </c>
      <c r="AM39" s="48">
        <f t="shared" si="0"/>
        <v>0</v>
      </c>
      <c r="AN39" s="48">
        <f t="shared" si="1"/>
        <v>0</v>
      </c>
      <c r="AO39" s="48">
        <f t="shared" si="2"/>
        <v>0</v>
      </c>
      <c r="AP39" s="48">
        <f t="shared" si="3"/>
        <v>0</v>
      </c>
      <c r="AQ39" s="48">
        <f t="shared" si="4"/>
        <v>0</v>
      </c>
      <c r="AS39" s="159">
        <f t="shared" si="20"/>
        <v>0</v>
      </c>
      <c r="AT39" s="159">
        <f t="shared" si="21"/>
        <v>0</v>
      </c>
      <c r="AU39" s="159">
        <f t="shared" si="22"/>
        <v>0</v>
      </c>
      <c r="AV39" s="159">
        <f t="shared" si="23"/>
        <v>0</v>
      </c>
      <c r="AW39" s="159">
        <f t="shared" si="24"/>
        <v>0</v>
      </c>
      <c r="AY39" s="49"/>
      <c r="AZ39" s="49"/>
      <c r="BA39" s="49"/>
      <c r="BB39" s="49"/>
      <c r="BC39" s="49"/>
      <c r="BE39" s="159">
        <f t="shared" si="25"/>
        <v>0</v>
      </c>
      <c r="BF39" s="159">
        <f t="shared" si="26"/>
        <v>0</v>
      </c>
      <c r="BG39" s="159">
        <f t="shared" si="27"/>
        <v>0</v>
      </c>
      <c r="BH39" s="159">
        <f t="shared" si="28"/>
        <v>0</v>
      </c>
      <c r="BI39" s="159">
        <f t="shared" si="29"/>
        <v>0</v>
      </c>
      <c r="BK39" s="49"/>
      <c r="BL39" s="49"/>
      <c r="BM39" s="49"/>
      <c r="BN39" s="49"/>
      <c r="BO39" s="49"/>
      <c r="BQ39" s="159">
        <f t="shared" si="30"/>
        <v>0</v>
      </c>
      <c r="BR39" s="159">
        <f t="shared" si="31"/>
        <v>0</v>
      </c>
      <c r="BS39" s="159">
        <f t="shared" si="32"/>
        <v>0</v>
      </c>
      <c r="BT39" s="159">
        <f t="shared" si="33"/>
        <v>0</v>
      </c>
      <c r="BU39" s="159">
        <f t="shared" si="34"/>
        <v>0</v>
      </c>
    </row>
    <row r="40" spans="1:73" x14ac:dyDescent="0.25">
      <c r="A40" s="33">
        <v>37</v>
      </c>
      <c r="B40" s="55" t="s">
        <v>194</v>
      </c>
      <c r="C40" s="193">
        <f>'Budget by Cost Category'!AP36</f>
        <v>3013424.2344959998</v>
      </c>
      <c r="D40" s="193">
        <f>_xlfn.XLOOKUP($B40,'Budget by Cost Category'!$AR:$AR,'Budget by Cost Category'!$AW:$AW,0)</f>
        <v>3100000</v>
      </c>
      <c r="E40" s="193">
        <f>_xlfn.XLOOKUP($B40,'Budget by Cost Category'!$AY:$AY,'Budget by Cost Category'!$BD:$BD,0)</f>
        <v>3153320</v>
      </c>
      <c r="F40" s="193">
        <f>_xlfn.XLOOKUP($B40,'Budget by Cost Category'!$BF:$BF,'Budget by Cost Category'!$BK:$BK,0)</f>
        <v>3207557</v>
      </c>
      <c r="G40" s="193">
        <f>_xlfn.XLOOKUP($B40,'Budget by Cost Category'!$BM:$BM,'Budget by Cost Category'!$BR:$BR,0)</f>
        <v>3262727</v>
      </c>
      <c r="I40" s="159">
        <f t="shared" si="5"/>
        <v>2.8730028952753894E-2</v>
      </c>
      <c r="J40" s="159">
        <f t="shared" si="6"/>
        <v>1.7200000000000104E-2</v>
      </c>
      <c r="K40" s="159">
        <f t="shared" si="7"/>
        <v>1.719996701888804E-2</v>
      </c>
      <c r="L40" s="159">
        <f t="shared" si="8"/>
        <v>1.7200006110569488E-2</v>
      </c>
      <c r="M40" s="159">
        <f t="shared" si="9"/>
        <v>5.2492580645161269E-2</v>
      </c>
      <c r="O40" s="198">
        <v>0</v>
      </c>
      <c r="P40" s="198">
        <f>_xlfn.XLOOKUP($B40,'Budget by Cost Category'!$AR:$AR,'Budget by Cost Category'!$AS:$AS,0)</f>
        <v>0</v>
      </c>
      <c r="Q40" s="198">
        <f>_xlfn.XLOOKUP($B40,'Budget by Cost Category'!$AY:$AY,'Budget by Cost Category'!$AZ:$AZ,0)</f>
        <v>0</v>
      </c>
      <c r="R40" s="198">
        <f>_xlfn.XLOOKUP($B40,'Budget by Cost Category'!$BF:$BF,'Budget by Cost Category'!$BG:$BG,0)</f>
        <v>0</v>
      </c>
      <c r="S40" s="198">
        <f>_xlfn.XLOOKUP($B40,'Budget by Cost Category'!$BM:$BM,'Budget by Cost Category'!$BN:$BN,0)</f>
        <v>0</v>
      </c>
      <c r="U40" s="159">
        <f t="shared" si="10"/>
        <v>0</v>
      </c>
      <c r="V40" s="159">
        <f t="shared" si="11"/>
        <v>0</v>
      </c>
      <c r="W40" s="159">
        <f t="shared" si="12"/>
        <v>0</v>
      </c>
      <c r="X40" s="159">
        <f t="shared" si="13"/>
        <v>0</v>
      </c>
      <c r="Y40" s="159">
        <f t="shared" si="14"/>
        <v>0</v>
      </c>
      <c r="AA40" s="204"/>
      <c r="AB40" s="204"/>
      <c r="AC40" s="204"/>
      <c r="AD40" s="204"/>
      <c r="AE40" s="204"/>
      <c r="AG40" s="159">
        <f t="shared" si="15"/>
        <v>0</v>
      </c>
      <c r="AH40" s="159">
        <f t="shared" si="16"/>
        <v>0</v>
      </c>
      <c r="AI40" s="159">
        <f t="shared" si="17"/>
        <v>0</v>
      </c>
      <c r="AJ40" s="159">
        <f t="shared" si="18"/>
        <v>0</v>
      </c>
      <c r="AK40" s="159">
        <f t="shared" si="19"/>
        <v>0</v>
      </c>
      <c r="AM40" s="48">
        <f t="shared" si="0"/>
        <v>0</v>
      </c>
      <c r="AN40" s="48">
        <f t="shared" si="1"/>
        <v>0</v>
      </c>
      <c r="AO40" s="48">
        <f t="shared" si="2"/>
        <v>0</v>
      </c>
      <c r="AP40" s="48">
        <f t="shared" si="3"/>
        <v>0</v>
      </c>
      <c r="AQ40" s="48">
        <f t="shared" si="4"/>
        <v>0</v>
      </c>
      <c r="AS40" s="159">
        <f t="shared" si="20"/>
        <v>0</v>
      </c>
      <c r="AT40" s="159">
        <f t="shared" si="21"/>
        <v>0</v>
      </c>
      <c r="AU40" s="159">
        <f t="shared" si="22"/>
        <v>0</v>
      </c>
      <c r="AV40" s="159">
        <f t="shared" si="23"/>
        <v>0</v>
      </c>
      <c r="AW40" s="159">
        <f t="shared" si="24"/>
        <v>0</v>
      </c>
      <c r="AY40" s="49"/>
      <c r="AZ40" s="49"/>
      <c r="BA40" s="49"/>
      <c r="BB40" s="49"/>
      <c r="BC40" s="49"/>
      <c r="BE40" s="159">
        <f t="shared" si="25"/>
        <v>0</v>
      </c>
      <c r="BF40" s="159">
        <f t="shared" si="26"/>
        <v>0</v>
      </c>
      <c r="BG40" s="159">
        <f t="shared" si="27"/>
        <v>0</v>
      </c>
      <c r="BH40" s="159">
        <f t="shared" si="28"/>
        <v>0</v>
      </c>
      <c r="BI40" s="159">
        <f t="shared" si="29"/>
        <v>0</v>
      </c>
      <c r="BK40" s="49"/>
      <c r="BL40" s="49"/>
      <c r="BM40" s="49"/>
      <c r="BN40" s="49"/>
      <c r="BO40" s="49"/>
      <c r="BQ40" s="159">
        <f t="shared" si="30"/>
        <v>0</v>
      </c>
      <c r="BR40" s="159">
        <f t="shared" si="31"/>
        <v>0</v>
      </c>
      <c r="BS40" s="159">
        <f t="shared" si="32"/>
        <v>0</v>
      </c>
      <c r="BT40" s="159">
        <f t="shared" si="33"/>
        <v>0</v>
      </c>
      <c r="BU40" s="159">
        <f t="shared" si="34"/>
        <v>0</v>
      </c>
    </row>
    <row r="41" spans="1:73" x14ac:dyDescent="0.25">
      <c r="A41" s="33">
        <v>38</v>
      </c>
      <c r="B41" s="108" t="s">
        <v>195</v>
      </c>
      <c r="C41" s="193">
        <f>'Budget by Cost Category'!AP37</f>
        <v>579504.66047999996</v>
      </c>
      <c r="D41" s="193">
        <f>_xlfn.XLOOKUP($B41,'Budget by Cost Category'!$AR:$AR,'Budget by Cost Category'!$AW:$AW,0)</f>
        <v>590000</v>
      </c>
      <c r="E41" s="193">
        <f>_xlfn.XLOOKUP($B41,'Budget by Cost Category'!$AY:$AY,'Budget by Cost Category'!$BD:$BD,0)</f>
        <v>600148</v>
      </c>
      <c r="F41" s="193">
        <f>_xlfn.XLOOKUP($B41,'Budget by Cost Category'!$BF:$BF,'Budget by Cost Category'!$BK:$BK,0)</f>
        <v>610471</v>
      </c>
      <c r="G41" s="193">
        <f>_xlfn.XLOOKUP($B41,'Budget by Cost Category'!$BM:$BM,'Budget by Cost Category'!$BR:$BR,0)</f>
        <v>620971</v>
      </c>
      <c r="I41" s="159">
        <f t="shared" si="5"/>
        <v>1.8110880266789975E-2</v>
      </c>
      <c r="J41" s="159">
        <f t="shared" si="6"/>
        <v>1.7200000000000104E-2</v>
      </c>
      <c r="K41" s="159">
        <f t="shared" si="7"/>
        <v>1.7200757146570433E-2</v>
      </c>
      <c r="L41" s="159">
        <f t="shared" si="8"/>
        <v>1.7199834226359734E-2</v>
      </c>
      <c r="M41" s="159">
        <f t="shared" si="9"/>
        <v>5.249322033898296E-2</v>
      </c>
      <c r="O41" s="198">
        <v>0</v>
      </c>
      <c r="P41" s="198">
        <f>_xlfn.XLOOKUP($B41,'Budget by Cost Category'!$AR:$AR,'Budget by Cost Category'!$AS:$AS,0)</f>
        <v>0</v>
      </c>
      <c r="Q41" s="198">
        <f>_xlfn.XLOOKUP($B41,'Budget by Cost Category'!$AY:$AY,'Budget by Cost Category'!$AZ:$AZ,0)</f>
        <v>0</v>
      </c>
      <c r="R41" s="198">
        <f>_xlfn.XLOOKUP($B41,'Budget by Cost Category'!$BF:$BF,'Budget by Cost Category'!$BG:$BG,0)</f>
        <v>0</v>
      </c>
      <c r="S41" s="198">
        <f>_xlfn.XLOOKUP($B41,'Budget by Cost Category'!$BM:$BM,'Budget by Cost Category'!$BN:$BN,0)</f>
        <v>0</v>
      </c>
      <c r="U41" s="159">
        <f t="shared" si="10"/>
        <v>0</v>
      </c>
      <c r="V41" s="159">
        <f t="shared" si="11"/>
        <v>0</v>
      </c>
      <c r="W41" s="159">
        <f t="shared" si="12"/>
        <v>0</v>
      </c>
      <c r="X41" s="159">
        <f t="shared" si="13"/>
        <v>0</v>
      </c>
      <c r="Y41" s="159">
        <f t="shared" si="14"/>
        <v>0</v>
      </c>
      <c r="AA41" s="204"/>
      <c r="AB41" s="204"/>
      <c r="AC41" s="204"/>
      <c r="AD41" s="204"/>
      <c r="AE41" s="204"/>
      <c r="AG41" s="159">
        <f t="shared" si="15"/>
        <v>0</v>
      </c>
      <c r="AH41" s="159">
        <f t="shared" si="16"/>
        <v>0</v>
      </c>
      <c r="AI41" s="159">
        <f t="shared" si="17"/>
        <v>0</v>
      </c>
      <c r="AJ41" s="159">
        <f t="shared" si="18"/>
        <v>0</v>
      </c>
      <c r="AK41" s="159">
        <f t="shared" si="19"/>
        <v>0</v>
      </c>
      <c r="AM41" s="48">
        <f t="shared" si="0"/>
        <v>0</v>
      </c>
      <c r="AN41" s="48">
        <f t="shared" si="1"/>
        <v>0</v>
      </c>
      <c r="AO41" s="48">
        <f t="shared" si="2"/>
        <v>0</v>
      </c>
      <c r="AP41" s="48">
        <f t="shared" si="3"/>
        <v>0</v>
      </c>
      <c r="AQ41" s="48">
        <f t="shared" si="4"/>
        <v>0</v>
      </c>
      <c r="AS41" s="159">
        <f t="shared" si="20"/>
        <v>0</v>
      </c>
      <c r="AT41" s="159">
        <f t="shared" si="21"/>
        <v>0</v>
      </c>
      <c r="AU41" s="159">
        <f t="shared" si="22"/>
        <v>0</v>
      </c>
      <c r="AV41" s="159">
        <f t="shared" si="23"/>
        <v>0</v>
      </c>
      <c r="AW41" s="159">
        <f t="shared" si="24"/>
        <v>0</v>
      </c>
      <c r="AY41" s="49"/>
      <c r="AZ41" s="49"/>
      <c r="BA41" s="49"/>
      <c r="BB41" s="49"/>
      <c r="BC41" s="49"/>
      <c r="BE41" s="159">
        <f t="shared" si="25"/>
        <v>0</v>
      </c>
      <c r="BF41" s="159">
        <f t="shared" si="26"/>
        <v>0</v>
      </c>
      <c r="BG41" s="159">
        <f t="shared" si="27"/>
        <v>0</v>
      </c>
      <c r="BH41" s="159">
        <f t="shared" si="28"/>
        <v>0</v>
      </c>
      <c r="BI41" s="159">
        <f t="shared" si="29"/>
        <v>0</v>
      </c>
      <c r="BK41" s="49"/>
      <c r="BL41" s="49"/>
      <c r="BM41" s="49"/>
      <c r="BN41" s="49"/>
      <c r="BO41" s="49"/>
      <c r="BQ41" s="159">
        <f t="shared" si="30"/>
        <v>0</v>
      </c>
      <c r="BR41" s="159">
        <f t="shared" si="31"/>
        <v>0</v>
      </c>
      <c r="BS41" s="159">
        <f t="shared" si="32"/>
        <v>0</v>
      </c>
      <c r="BT41" s="159">
        <f t="shared" si="33"/>
        <v>0</v>
      </c>
      <c r="BU41" s="159">
        <f t="shared" si="34"/>
        <v>0</v>
      </c>
    </row>
    <row r="42" spans="1:73" ht="15.75" thickBot="1" x14ac:dyDescent="0.3">
      <c r="A42" s="33">
        <v>39</v>
      </c>
      <c r="B42" s="50" t="s">
        <v>8</v>
      </c>
      <c r="C42" s="194">
        <f>SUM(C35:C41)</f>
        <v>20862167.350959416</v>
      </c>
      <c r="D42" s="194">
        <f t="shared" ref="D42" si="60">SUM(D35:D41)</f>
        <v>17637852</v>
      </c>
      <c r="E42" s="194">
        <f t="shared" ref="E42" si="61">SUM(E35:E41)</f>
        <v>17737784</v>
      </c>
      <c r="F42" s="194">
        <f t="shared" ref="F42" si="62">SUM(F35:F41)</f>
        <v>18042873</v>
      </c>
      <c r="G42" s="194">
        <f t="shared" ref="G42" si="63">SUM(G35:G41)</f>
        <v>18353209</v>
      </c>
      <c r="I42" s="160">
        <f t="shared" si="5"/>
        <v>-0.15455323009913136</v>
      </c>
      <c r="J42" s="160">
        <f t="shared" si="6"/>
        <v>5.6657692784813918E-3</v>
      </c>
      <c r="K42" s="160">
        <f t="shared" si="7"/>
        <v>1.7199950117782414E-2</v>
      </c>
      <c r="L42" s="160">
        <f t="shared" si="8"/>
        <v>1.7199921542428331E-2</v>
      </c>
      <c r="M42" s="160">
        <f t="shared" si="9"/>
        <v>4.0558056615964455E-2</v>
      </c>
      <c r="O42" s="199">
        <f t="shared" ref="O42" si="64">SUM(O35:O41)</f>
        <v>0</v>
      </c>
      <c r="P42" s="199">
        <f t="shared" ref="P42" si="65">SUM(P35:P41)</f>
        <v>0</v>
      </c>
      <c r="Q42" s="199">
        <f t="shared" ref="Q42" si="66">SUM(Q35:Q41)</f>
        <v>0</v>
      </c>
      <c r="R42" s="199">
        <f t="shared" ref="R42" si="67">SUM(R35:R41)</f>
        <v>0</v>
      </c>
      <c r="S42" s="199">
        <f t="shared" ref="S42" si="68">SUM(S35:S41)</f>
        <v>0</v>
      </c>
      <c r="U42" s="160">
        <f t="shared" si="10"/>
        <v>0</v>
      </c>
      <c r="V42" s="160">
        <f t="shared" si="11"/>
        <v>0</v>
      </c>
      <c r="W42" s="160">
        <f t="shared" si="12"/>
        <v>0</v>
      </c>
      <c r="X42" s="160">
        <f t="shared" si="13"/>
        <v>0</v>
      </c>
      <c r="Y42" s="160">
        <f t="shared" si="14"/>
        <v>0</v>
      </c>
      <c r="AA42" s="205">
        <f t="shared" ref="AA42" si="69">SUM(AA35:AA41)</f>
        <v>0</v>
      </c>
      <c r="AB42" s="205">
        <f t="shared" ref="AB42" si="70">SUM(AB35:AB41)</f>
        <v>0</v>
      </c>
      <c r="AC42" s="205">
        <f t="shared" ref="AC42" si="71">SUM(AC35:AC41)</f>
        <v>0</v>
      </c>
      <c r="AD42" s="205">
        <f t="shared" ref="AD42" si="72">SUM(AD35:AD41)</f>
        <v>0</v>
      </c>
      <c r="AE42" s="205">
        <f t="shared" ref="AE42" si="73">SUM(AE35:AE41)</f>
        <v>0</v>
      </c>
      <c r="AG42" s="160">
        <f t="shared" si="15"/>
        <v>0</v>
      </c>
      <c r="AH42" s="160">
        <f t="shared" si="16"/>
        <v>0</v>
      </c>
      <c r="AI42" s="160">
        <f t="shared" si="17"/>
        <v>0</v>
      </c>
      <c r="AJ42" s="160">
        <f t="shared" si="18"/>
        <v>0</v>
      </c>
      <c r="AK42" s="160">
        <f t="shared" si="19"/>
        <v>0</v>
      </c>
      <c r="AM42" s="51">
        <f t="shared" si="0"/>
        <v>0</v>
      </c>
      <c r="AN42" s="51">
        <f t="shared" si="1"/>
        <v>0</v>
      </c>
      <c r="AO42" s="51">
        <f t="shared" si="2"/>
        <v>0</v>
      </c>
      <c r="AP42" s="51">
        <f t="shared" si="3"/>
        <v>0</v>
      </c>
      <c r="AQ42" s="51">
        <f t="shared" si="4"/>
        <v>0</v>
      </c>
      <c r="AS42" s="160">
        <f t="shared" si="20"/>
        <v>0</v>
      </c>
      <c r="AT42" s="160">
        <f t="shared" si="21"/>
        <v>0</v>
      </c>
      <c r="AU42" s="160">
        <f t="shared" si="22"/>
        <v>0</v>
      </c>
      <c r="AV42" s="160">
        <f t="shared" si="23"/>
        <v>0</v>
      </c>
      <c r="AW42" s="160">
        <f t="shared" si="24"/>
        <v>0</v>
      </c>
      <c r="AY42" s="52">
        <v>0</v>
      </c>
      <c r="AZ42" s="52">
        <v>0</v>
      </c>
      <c r="BA42" s="52">
        <v>0</v>
      </c>
      <c r="BB42" s="52">
        <v>0</v>
      </c>
      <c r="BC42" s="52">
        <v>0</v>
      </c>
      <c r="BE42" s="160">
        <f t="shared" si="25"/>
        <v>0</v>
      </c>
      <c r="BF42" s="160">
        <f t="shared" si="26"/>
        <v>0</v>
      </c>
      <c r="BG42" s="160">
        <f t="shared" si="27"/>
        <v>0</v>
      </c>
      <c r="BH42" s="160">
        <f t="shared" si="28"/>
        <v>0</v>
      </c>
      <c r="BI42" s="160">
        <f t="shared" si="29"/>
        <v>0</v>
      </c>
      <c r="BK42" s="52">
        <v>0</v>
      </c>
      <c r="BL42" s="52">
        <v>0</v>
      </c>
      <c r="BM42" s="52">
        <v>0</v>
      </c>
      <c r="BN42" s="52">
        <v>0</v>
      </c>
      <c r="BO42" s="52">
        <v>0</v>
      </c>
      <c r="BQ42" s="160">
        <f t="shared" si="30"/>
        <v>0</v>
      </c>
      <c r="BR42" s="160">
        <f t="shared" si="31"/>
        <v>0</v>
      </c>
      <c r="BS42" s="160">
        <f t="shared" si="32"/>
        <v>0</v>
      </c>
      <c r="BT42" s="160">
        <f t="shared" si="33"/>
        <v>0</v>
      </c>
      <c r="BU42" s="160">
        <f t="shared" si="34"/>
        <v>0</v>
      </c>
    </row>
    <row r="43" spans="1:73" ht="15.75" thickTop="1" x14ac:dyDescent="0.25">
      <c r="A43" s="33">
        <v>40</v>
      </c>
      <c r="B43" s="7" t="s">
        <v>197</v>
      </c>
      <c r="C43" s="192">
        <f>SUM(C34,C42)</f>
        <v>185541968.97109926</v>
      </c>
      <c r="D43" s="192">
        <f t="shared" ref="D43" si="74">SUM(D34,D42)</f>
        <v>191174922</v>
      </c>
      <c r="E43" s="192">
        <f t="shared" ref="E43" si="75">SUM(E34,E42)</f>
        <v>204011309</v>
      </c>
      <c r="F43" s="192">
        <f t="shared" ref="F43" si="76">SUM(F34,F42)</f>
        <v>215655264</v>
      </c>
      <c r="G43" s="192">
        <f t="shared" ref="G43" si="77">SUM(G34,G42)</f>
        <v>226724801</v>
      </c>
      <c r="I43" s="158">
        <f t="shared" si="5"/>
        <v>3.0359454845378719E-2</v>
      </c>
      <c r="J43" s="158">
        <f t="shared" si="6"/>
        <v>6.7144722046754701E-2</v>
      </c>
      <c r="K43" s="158">
        <f t="shared" si="7"/>
        <v>5.7075046756354109E-2</v>
      </c>
      <c r="L43" s="158">
        <f t="shared" si="8"/>
        <v>5.1329778808459681E-2</v>
      </c>
      <c r="M43" s="158">
        <f t="shared" si="9"/>
        <v>0.18595471952121412</v>
      </c>
      <c r="O43" s="197">
        <f>SUM(O34,O42)</f>
        <v>133064076.48570262</v>
      </c>
      <c r="P43" s="197">
        <f t="shared" ref="P43:S43" si="78">SUM(P34,P42)</f>
        <v>134785541</v>
      </c>
      <c r="Q43" s="197">
        <f t="shared" si="78"/>
        <v>146754892</v>
      </c>
      <c r="R43" s="197">
        <f t="shared" si="78"/>
        <v>156829983</v>
      </c>
      <c r="S43" s="197">
        <f t="shared" si="78"/>
        <v>166234535</v>
      </c>
      <c r="U43" s="158">
        <f t="shared" si="10"/>
        <v>1.2937109396932822E-2</v>
      </c>
      <c r="V43" s="158">
        <f t="shared" si="11"/>
        <v>8.8802930278701009E-2</v>
      </c>
      <c r="W43" s="158">
        <f t="shared" si="12"/>
        <v>6.8652505294338084E-2</v>
      </c>
      <c r="X43" s="158">
        <f t="shared" si="13"/>
        <v>5.9966543514832882E-2</v>
      </c>
      <c r="Y43" s="158">
        <f t="shared" si="14"/>
        <v>0.23332616960746555</v>
      </c>
      <c r="AA43" s="203">
        <f>SUM(AA34,AA42)</f>
        <v>150432090</v>
      </c>
      <c r="AB43" s="203">
        <f t="shared" ref="AB43" si="79">SUM(AB34,AB42)</f>
        <v>126168056.46601328</v>
      </c>
      <c r="AC43" s="203">
        <f t="shared" ref="AC43" si="80">SUM(AC34,AC42)</f>
        <v>138296213.28900367</v>
      </c>
      <c r="AD43" s="203">
        <f t="shared" ref="AD43" si="81">SUM(AD34,AD42)</f>
        <v>145928374.49926478</v>
      </c>
      <c r="AE43" s="203">
        <f t="shared" ref="AE43" si="82">SUM(AE34,AE42)</f>
        <v>151966195.6830284</v>
      </c>
      <c r="AG43" s="158">
        <f t="shared" si="15"/>
        <v>-0.16129559546760741</v>
      </c>
      <c r="AH43" s="158">
        <f t="shared" si="16"/>
        <v>9.6127000468279711E-2</v>
      </c>
      <c r="AI43" s="158">
        <f t="shared" si="17"/>
        <v>5.518705847940919E-2</v>
      </c>
      <c r="AJ43" s="158">
        <f t="shared" si="18"/>
        <v>4.1375237711525736E-2</v>
      </c>
      <c r="AK43" s="158">
        <f t="shared" si="19"/>
        <v>0.20447441245926257</v>
      </c>
      <c r="AM43" s="46">
        <f t="shared" si="0"/>
        <v>1.2333935463576904</v>
      </c>
      <c r="AN43" s="46">
        <f t="shared" si="1"/>
        <v>1.515240286288297</v>
      </c>
      <c r="AO43" s="46">
        <f t="shared" si="2"/>
        <v>1.4751763923837062</v>
      </c>
      <c r="AP43" s="46">
        <f t="shared" si="3"/>
        <v>1.4778158445195764</v>
      </c>
      <c r="AQ43" s="46">
        <f t="shared" si="4"/>
        <v>1.4919423361291702</v>
      </c>
      <c r="AS43" s="158">
        <f t="shared" si="20"/>
        <v>0.22851322739844271</v>
      </c>
      <c r="AT43" s="158">
        <f t="shared" si="21"/>
        <v>-2.6440620848809715E-2</v>
      </c>
      <c r="AU43" s="158">
        <f t="shared" si="22"/>
        <v>1.7892451028211909E-3</v>
      </c>
      <c r="AV43" s="158">
        <f t="shared" si="23"/>
        <v>9.5590338011202203E-3</v>
      </c>
      <c r="AW43" s="158">
        <f t="shared" si="24"/>
        <v>-1.537574625619087E-2</v>
      </c>
      <c r="AY43" s="47">
        <v>1.2108800663688033</v>
      </c>
      <c r="AZ43" s="47">
        <v>1.6713791975582355</v>
      </c>
      <c r="BA43" s="47">
        <v>1.774655184535342</v>
      </c>
      <c r="BB43" s="47">
        <v>1.8423813404406353</v>
      </c>
      <c r="BC43" s="47">
        <v>1.8930678974683806</v>
      </c>
      <c r="BE43" s="158">
        <f t="shared" si="25"/>
        <v>0.38030119082757774</v>
      </c>
      <c r="BF43" s="158">
        <f t="shared" si="26"/>
        <v>6.179087733530797E-2</v>
      </c>
      <c r="BG43" s="158">
        <f t="shared" si="27"/>
        <v>3.816299442025195E-2</v>
      </c>
      <c r="BH43" s="158">
        <f t="shared" si="28"/>
        <v>2.751143637593656E-2</v>
      </c>
      <c r="BI43" s="158">
        <f t="shared" si="29"/>
        <v>0.13263818302514241</v>
      </c>
      <c r="BK43" s="47">
        <v>1.971037840580671</v>
      </c>
      <c r="BL43" s="47">
        <v>2.1453250263186474</v>
      </c>
      <c r="BM43" s="47">
        <v>2.2713354623167081</v>
      </c>
      <c r="BN43" s="47">
        <v>2.3372532257382734</v>
      </c>
      <c r="BO43" s="47">
        <v>2.3817960389354078</v>
      </c>
      <c r="BQ43" s="158">
        <f t="shared" si="30"/>
        <v>8.8424068858379279E-2</v>
      </c>
      <c r="BR43" s="158">
        <f t="shared" si="31"/>
        <v>5.8737223708378083E-2</v>
      </c>
      <c r="BS43" s="158">
        <f t="shared" si="32"/>
        <v>2.9021588627129002E-2</v>
      </c>
      <c r="BT43" s="158">
        <f t="shared" si="33"/>
        <v>1.9057760924926948E-2</v>
      </c>
      <c r="BU43" s="158">
        <f t="shared" si="34"/>
        <v>0.11022619403389045</v>
      </c>
    </row>
    <row r="44" spans="1:73" x14ac:dyDescent="0.25">
      <c r="B44" s="53" t="s">
        <v>198</v>
      </c>
      <c r="C44" s="53"/>
      <c r="O44" s="53"/>
    </row>
    <row r="45" spans="1:73" x14ac:dyDescent="0.25">
      <c r="B45" s="14" t="s">
        <v>199</v>
      </c>
      <c r="C45" s="32"/>
      <c r="D45" s="32"/>
      <c r="E45" s="32"/>
      <c r="F45" s="32"/>
      <c r="G45" s="32"/>
    </row>
    <row r="46" spans="1:73" x14ac:dyDescent="0.25">
      <c r="B46" s="14" t="s">
        <v>200</v>
      </c>
      <c r="S46" s="32"/>
    </row>
    <row r="47" spans="1:73" x14ac:dyDescent="0.25">
      <c r="B47" s="14" t="s">
        <v>201</v>
      </c>
    </row>
    <row r="48" spans="1:73" x14ac:dyDescent="0.25">
      <c r="B48" s="14" t="s">
        <v>202</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09784-B62A-4FD5-8C6F-28533DB5305A}">
  <sheetPr codeName="Sheet13"/>
  <dimension ref="A1:P32"/>
  <sheetViews>
    <sheetView showGridLines="0" zoomScaleNormal="100" workbookViewId="0"/>
  </sheetViews>
  <sheetFormatPr defaultColWidth="9.140625" defaultRowHeight="12.75" x14ac:dyDescent="0.25"/>
  <cols>
    <col min="1" max="1" width="5.7109375" style="15" customWidth="1"/>
    <col min="2" max="2" width="25.5703125" style="15" customWidth="1"/>
    <col min="3" max="3" width="62.7109375" style="15" customWidth="1"/>
    <col min="4" max="11" width="14.7109375" style="15" customWidth="1"/>
    <col min="12" max="12" width="2.7109375" style="15" customWidth="1"/>
    <col min="13" max="16" width="14.7109375" style="15" customWidth="1"/>
    <col min="17" max="17" width="5.7109375" style="15" customWidth="1"/>
    <col min="18" max="16384" width="9.140625" style="15"/>
  </cols>
  <sheetData>
    <row r="1" spans="1:16" x14ac:dyDescent="0.25">
      <c r="B1" s="385"/>
      <c r="C1" s="385"/>
      <c r="D1" s="385"/>
      <c r="E1" s="483" t="s">
        <v>466</v>
      </c>
      <c r="F1" s="483"/>
      <c r="G1" s="483"/>
      <c r="H1" s="483"/>
      <c r="I1" s="385"/>
      <c r="J1" s="385"/>
      <c r="K1" s="385"/>
      <c r="L1" s="385"/>
      <c r="M1" s="385"/>
      <c r="N1" s="385"/>
      <c r="O1" s="385"/>
      <c r="P1" s="385"/>
    </row>
    <row r="2" spans="1:16" x14ac:dyDescent="0.25">
      <c r="B2" s="385"/>
      <c r="C2" s="385"/>
      <c r="D2" s="385"/>
      <c r="E2" s="483" t="s">
        <v>576</v>
      </c>
      <c r="F2" s="483"/>
      <c r="G2" s="483"/>
      <c r="H2" s="483"/>
      <c r="I2" s="385"/>
      <c r="J2" s="385"/>
      <c r="K2" s="385"/>
      <c r="L2" s="385"/>
      <c r="M2" s="385"/>
      <c r="N2" s="385"/>
      <c r="O2" s="385"/>
      <c r="P2" s="385"/>
    </row>
    <row r="4" spans="1:16" x14ac:dyDescent="0.25">
      <c r="A4" s="387"/>
      <c r="C4" s="164" t="s">
        <v>317</v>
      </c>
      <c r="D4" s="33">
        <v>1</v>
      </c>
      <c r="E4" s="33">
        <v>2</v>
      </c>
      <c r="F4" s="33">
        <v>3</v>
      </c>
      <c r="G4" s="33">
        <v>4</v>
      </c>
      <c r="H4" s="33">
        <v>5</v>
      </c>
      <c r="I4" s="33">
        <v>6</v>
      </c>
      <c r="J4" s="33">
        <v>7</v>
      </c>
      <c r="K4" s="33">
        <v>8</v>
      </c>
      <c r="L4" s="33"/>
      <c r="M4" s="33">
        <v>9</v>
      </c>
      <c r="N4" s="33">
        <v>10</v>
      </c>
      <c r="O4" s="33">
        <v>11</v>
      </c>
      <c r="P4" s="33">
        <v>12</v>
      </c>
    </row>
    <row r="5" spans="1:16" ht="25.5" x14ac:dyDescent="0.25">
      <c r="A5" s="387" t="s">
        <v>318</v>
      </c>
      <c r="B5" s="60" t="s">
        <v>577</v>
      </c>
      <c r="C5" s="60" t="s">
        <v>124</v>
      </c>
      <c r="D5" s="60" t="s">
        <v>451</v>
      </c>
      <c r="E5" s="60" t="s">
        <v>452</v>
      </c>
      <c r="F5" s="60" t="s">
        <v>453</v>
      </c>
      <c r="G5" s="60" t="s">
        <v>203</v>
      </c>
      <c r="H5" s="60" t="s">
        <v>204</v>
      </c>
      <c r="I5" s="60" t="s">
        <v>454</v>
      </c>
      <c r="J5" s="60" t="s">
        <v>455</v>
      </c>
      <c r="K5" s="60" t="s">
        <v>456</v>
      </c>
      <c r="M5" s="60" t="s">
        <v>205</v>
      </c>
      <c r="N5" s="60" t="s">
        <v>206</v>
      </c>
      <c r="O5" s="60" t="s">
        <v>207</v>
      </c>
      <c r="P5" s="60" t="s">
        <v>208</v>
      </c>
    </row>
    <row r="6" spans="1:16" x14ac:dyDescent="0.25">
      <c r="A6" s="33">
        <v>1</v>
      </c>
      <c r="B6" s="547" t="s">
        <v>1</v>
      </c>
      <c r="C6" s="173" t="s">
        <v>143</v>
      </c>
      <c r="D6" s="388">
        <v>22135911</v>
      </c>
      <c r="E6" s="388">
        <v>27089959.64559488</v>
      </c>
      <c r="F6" s="388">
        <v>22780778.127800848</v>
      </c>
      <c r="G6" s="388">
        <v>26715185</v>
      </c>
      <c r="H6" s="388">
        <v>15264272.000000002</v>
      </c>
      <c r="I6" s="388">
        <v>17748633</v>
      </c>
      <c r="J6" s="388">
        <v>19168966.800000004</v>
      </c>
      <c r="K6" s="388">
        <v>20391443.75</v>
      </c>
      <c r="M6" s="152">
        <f>IFERROR(H6/G6-1,0)</f>
        <v>-0.42862937314489857</v>
      </c>
      <c r="N6" s="152">
        <f>IFERROR(I6/H6-1,0)</f>
        <v>0.16275659920106222</v>
      </c>
      <c r="O6" s="152">
        <f>IFERROR(J6/I6-1,0)</f>
        <v>8.002496868350395E-2</v>
      </c>
      <c r="P6" s="152">
        <f>IFERROR(K6/J6-1,0)</f>
        <v>6.3773752792977589E-2</v>
      </c>
    </row>
    <row r="7" spans="1:16" ht="13.5" thickBot="1" x14ac:dyDescent="0.3">
      <c r="A7" s="33">
        <v>2</v>
      </c>
      <c r="B7" s="510"/>
      <c r="C7" s="81" t="s">
        <v>442</v>
      </c>
      <c r="D7" s="389"/>
      <c r="E7" s="389"/>
      <c r="F7" s="389"/>
      <c r="G7" s="389">
        <v>0</v>
      </c>
      <c r="H7" s="389">
        <v>4647327.5999999996</v>
      </c>
      <c r="I7" s="389">
        <v>4652095.5999999996</v>
      </c>
      <c r="J7" s="389">
        <v>4659247.5999999996</v>
      </c>
      <c r="K7" s="389">
        <v>4661631.5999999996</v>
      </c>
      <c r="M7" s="180" t="s">
        <v>192</v>
      </c>
      <c r="N7" s="180">
        <f t="shared" ref="N7:P13" si="0">IFERROR(I7/H7-1,0)</f>
        <v>1.0259659766616025E-3</v>
      </c>
      <c r="O7" s="180">
        <f t="shared" si="0"/>
        <v>1.5373716739612853E-3</v>
      </c>
      <c r="P7" s="180">
        <f t="shared" si="0"/>
        <v>5.1167059677181825E-4</v>
      </c>
    </row>
    <row r="8" spans="1:16" x14ac:dyDescent="0.25">
      <c r="A8" s="33">
        <v>3</v>
      </c>
      <c r="B8" s="563" t="s">
        <v>2</v>
      </c>
      <c r="C8" s="185" t="s">
        <v>446</v>
      </c>
      <c r="D8" s="390">
        <v>2873511.48</v>
      </c>
      <c r="E8" s="390">
        <v>2713300</v>
      </c>
      <c r="F8" s="390">
        <v>2768057.3771232818</v>
      </c>
      <c r="G8" s="390">
        <v>2763077</v>
      </c>
      <c r="H8" s="390">
        <v>2224164.6831628536</v>
      </c>
      <c r="I8" s="390">
        <v>2415998.9586430215</v>
      </c>
      <c r="J8" s="390">
        <v>2587295.2341231895</v>
      </c>
      <c r="K8" s="390">
        <v>2802112.5096033574</v>
      </c>
      <c r="M8" s="181">
        <f t="shared" ref="M8:M13" si="1">IFERROR(H8/G8-1,0)</f>
        <v>-0.19504064375952834</v>
      </c>
      <c r="N8" s="181">
        <f t="shared" si="0"/>
        <v>8.625003217269489E-2</v>
      </c>
      <c r="O8" s="181">
        <f t="shared" si="0"/>
        <v>7.0900806834941266E-2</v>
      </c>
      <c r="P8" s="181">
        <f t="shared" si="0"/>
        <v>8.3027739798302358E-2</v>
      </c>
    </row>
    <row r="9" spans="1:16" ht="13.5" thickBot="1" x14ac:dyDescent="0.3">
      <c r="A9" s="33">
        <v>4</v>
      </c>
      <c r="B9" s="585"/>
      <c r="C9" s="81" t="s">
        <v>447</v>
      </c>
      <c r="D9" s="389">
        <v>5015604</v>
      </c>
      <c r="E9" s="389">
        <v>4266207</v>
      </c>
      <c r="F9" s="389">
        <v>2008695.6385090235</v>
      </c>
      <c r="G9" s="389">
        <v>2473331</v>
      </c>
      <c r="H9" s="389">
        <v>2453102.2594000003</v>
      </c>
      <c r="I9" s="389">
        <v>2478385.1158999996</v>
      </c>
      <c r="J9" s="389">
        <v>2508341.6248999997</v>
      </c>
      <c r="K9" s="389">
        <v>2511673.0541999997</v>
      </c>
      <c r="M9" s="180">
        <f t="shared" si="1"/>
        <v>-8.1787438074401031E-3</v>
      </c>
      <c r="N9" s="180">
        <f t="shared" si="0"/>
        <v>1.0306482904705039E-2</v>
      </c>
      <c r="O9" s="180">
        <f t="shared" si="0"/>
        <v>1.2087108176939587E-2</v>
      </c>
      <c r="P9" s="180">
        <f t="shared" si="0"/>
        <v>1.3281401811178206E-3</v>
      </c>
    </row>
    <row r="10" spans="1:16" x14ac:dyDescent="0.25">
      <c r="A10" s="33">
        <v>5</v>
      </c>
      <c r="B10" s="566" t="s">
        <v>3</v>
      </c>
      <c r="C10" s="185" t="s">
        <v>149</v>
      </c>
      <c r="D10" s="390">
        <v>15378751.578147599</v>
      </c>
      <c r="E10" s="390">
        <v>23988840.341902953</v>
      </c>
      <c r="F10" s="390">
        <v>19509974.897792019</v>
      </c>
      <c r="G10" s="390">
        <v>18573261</v>
      </c>
      <c r="H10" s="390">
        <v>18218515.490203489</v>
      </c>
      <c r="I10" s="390">
        <v>20842579.989868969</v>
      </c>
      <c r="J10" s="390">
        <v>22618776.635736149</v>
      </c>
      <c r="K10" s="390">
        <v>23846026.021359943</v>
      </c>
      <c r="M10" s="181">
        <f t="shared" si="1"/>
        <v>-1.9099796734483587E-2</v>
      </c>
      <c r="N10" s="181">
        <f t="shared" si="0"/>
        <v>0.14403283851949955</v>
      </c>
      <c r="O10" s="181">
        <f t="shared" si="0"/>
        <v>8.5219615169069396E-2</v>
      </c>
      <c r="P10" s="181">
        <f t="shared" si="0"/>
        <v>5.4257991286974505E-2</v>
      </c>
    </row>
    <row r="11" spans="1:16" ht="13.5" thickBot="1" x14ac:dyDescent="0.3">
      <c r="A11" s="33">
        <v>6</v>
      </c>
      <c r="B11" s="518"/>
      <c r="C11" s="81" t="s">
        <v>153</v>
      </c>
      <c r="D11" s="389">
        <v>8667712.965548398</v>
      </c>
      <c r="E11" s="389">
        <v>8731177.0847145468</v>
      </c>
      <c r="F11" s="389">
        <v>7569560.0708879037</v>
      </c>
      <c r="G11" s="389">
        <v>7918030</v>
      </c>
      <c r="H11" s="389">
        <v>10896156.59367439</v>
      </c>
      <c r="I11" s="389">
        <v>12015514.788380692</v>
      </c>
      <c r="J11" s="389">
        <v>12850793.845206695</v>
      </c>
      <c r="K11" s="389">
        <v>13459882.020229276</v>
      </c>
      <c r="M11" s="180">
        <f t="shared" si="1"/>
        <v>0.37611964007137999</v>
      </c>
      <c r="N11" s="180">
        <f t="shared" si="0"/>
        <v>0.10272963545293856</v>
      </c>
      <c r="O11" s="180">
        <f t="shared" si="0"/>
        <v>6.9516709981809477E-2</v>
      </c>
      <c r="P11" s="180">
        <f t="shared" si="0"/>
        <v>4.7396929898596785E-2</v>
      </c>
    </row>
    <row r="12" spans="1:16" ht="13.5" thickBot="1" x14ac:dyDescent="0.3">
      <c r="A12" s="33">
        <v>7</v>
      </c>
      <c r="B12" s="86" t="s">
        <v>4</v>
      </c>
      <c r="C12" s="62" t="s">
        <v>143</v>
      </c>
      <c r="D12" s="391">
        <v>50376897</v>
      </c>
      <c r="E12" s="391">
        <v>65054755.855492145</v>
      </c>
      <c r="F12" s="391">
        <v>72936349.173755541</v>
      </c>
      <c r="G12" s="391">
        <v>78435236</v>
      </c>
      <c r="H12" s="391">
        <v>54214897.259044752</v>
      </c>
      <c r="I12" s="391">
        <v>57986708.478613123</v>
      </c>
      <c r="J12" s="391">
        <v>60289125.814803705</v>
      </c>
      <c r="K12" s="391">
        <v>62775217.38641651</v>
      </c>
      <c r="M12" s="92">
        <f t="shared" si="1"/>
        <v>-0.30879410805821061</v>
      </c>
      <c r="N12" s="92">
        <f t="shared" si="0"/>
        <v>6.9571490683570714E-2</v>
      </c>
      <c r="O12" s="92">
        <f t="shared" si="0"/>
        <v>3.9705949804682783E-2</v>
      </c>
      <c r="P12" s="92">
        <f t="shared" si="0"/>
        <v>4.1236152258196324E-2</v>
      </c>
    </row>
    <row r="13" spans="1:16" ht="13.5" thickBot="1" x14ac:dyDescent="0.3">
      <c r="A13" s="33">
        <v>8</v>
      </c>
      <c r="B13" s="86" t="s">
        <v>578</v>
      </c>
      <c r="C13" s="62" t="s">
        <v>143</v>
      </c>
      <c r="D13" s="391">
        <v>9300000</v>
      </c>
      <c r="E13" s="391">
        <v>23711227.773612056</v>
      </c>
      <c r="F13" s="391">
        <v>13859927.118469261</v>
      </c>
      <c r="G13" s="391">
        <v>13553970</v>
      </c>
      <c r="H13" s="391">
        <v>0</v>
      </c>
      <c r="I13" s="391">
        <v>0</v>
      </c>
      <c r="J13" s="391">
        <v>0</v>
      </c>
      <c r="K13" s="391">
        <v>81169954.223840028</v>
      </c>
      <c r="M13" s="92">
        <f t="shared" si="1"/>
        <v>-1</v>
      </c>
      <c r="N13" s="92">
        <f t="shared" si="0"/>
        <v>0</v>
      </c>
      <c r="O13" s="92">
        <f t="shared" si="0"/>
        <v>0</v>
      </c>
      <c r="P13" s="92">
        <f t="shared" si="0"/>
        <v>0</v>
      </c>
    </row>
    <row r="14" spans="1:16" x14ac:dyDescent="0.25">
      <c r="A14" s="33"/>
      <c r="B14" s="385" t="s">
        <v>501</v>
      </c>
      <c r="J14" s="386"/>
    </row>
    <row r="15" spans="1:16" x14ac:dyDescent="0.25">
      <c r="A15" s="33"/>
      <c r="B15" s="261" t="s">
        <v>580</v>
      </c>
    </row>
    <row r="16" spans="1:16" x14ac:dyDescent="0.25">
      <c r="A16" s="33"/>
      <c r="B16" s="261" t="s">
        <v>579</v>
      </c>
    </row>
    <row r="17" spans="1:16" x14ac:dyDescent="0.25">
      <c r="A17" s="33"/>
    </row>
    <row r="18" spans="1:16" x14ac:dyDescent="0.25">
      <c r="A18" s="33"/>
    </row>
    <row r="19" spans="1:16" x14ac:dyDescent="0.25">
      <c r="B19" s="385"/>
      <c r="C19" s="483" t="s">
        <v>468</v>
      </c>
      <c r="D19" s="483"/>
      <c r="E19" s="483"/>
      <c r="F19" s="385"/>
      <c r="G19" s="385"/>
      <c r="H19" s="385"/>
      <c r="I19" s="385"/>
      <c r="J19" s="385"/>
      <c r="K19" s="385"/>
      <c r="L19" s="385"/>
      <c r="M19" s="385"/>
      <c r="N19" s="385"/>
      <c r="O19" s="385"/>
      <c r="P19" s="385"/>
    </row>
    <row r="20" spans="1:16" x14ac:dyDescent="0.25">
      <c r="B20" s="385"/>
      <c r="C20" s="483" t="s">
        <v>575</v>
      </c>
      <c r="D20" s="483"/>
      <c r="E20" s="483"/>
      <c r="F20" s="385"/>
      <c r="G20" s="385"/>
      <c r="H20" s="385"/>
      <c r="I20" s="385"/>
      <c r="J20" s="385"/>
      <c r="K20" s="385"/>
      <c r="L20" s="385"/>
      <c r="M20" s="385"/>
      <c r="N20" s="385"/>
      <c r="O20" s="385"/>
      <c r="P20" s="385"/>
    </row>
    <row r="21" spans="1:16" x14ac:dyDescent="0.25">
      <c r="A21" s="33"/>
    </row>
    <row r="22" spans="1:16" ht="25.5" x14ac:dyDescent="0.25">
      <c r="A22" s="387" t="s">
        <v>318</v>
      </c>
      <c r="B22" s="60" t="s">
        <v>577</v>
      </c>
      <c r="C22" s="60" t="s">
        <v>124</v>
      </c>
      <c r="D22" s="60" t="s">
        <v>457</v>
      </c>
      <c r="E22" s="60" t="s">
        <v>458</v>
      </c>
      <c r="F22" s="60" t="s">
        <v>459</v>
      </c>
      <c r="G22" s="60" t="s">
        <v>460</v>
      </c>
      <c r="H22" s="60" t="s">
        <v>461</v>
      </c>
      <c r="I22" s="60" t="s">
        <v>462</v>
      </c>
    </row>
    <row r="23" spans="1:16" x14ac:dyDescent="0.25">
      <c r="A23" s="33">
        <v>1</v>
      </c>
      <c r="B23" s="547" t="s">
        <v>209</v>
      </c>
      <c r="C23" s="173" t="s">
        <v>448</v>
      </c>
      <c r="D23" s="388">
        <v>508307882.21175867</v>
      </c>
      <c r="E23" s="388">
        <v>768727711.67498136</v>
      </c>
      <c r="F23" s="388">
        <f>SUM(D23+E23)</f>
        <v>1277035593.88674</v>
      </c>
      <c r="G23" s="388">
        <v>491364319.76013029</v>
      </c>
      <c r="H23" s="388">
        <v>766386473.80425429</v>
      </c>
      <c r="I23" s="388">
        <f>SUM(G23+H23)</f>
        <v>1257750793.5643845</v>
      </c>
    </row>
    <row r="24" spans="1:16" x14ac:dyDescent="0.25">
      <c r="A24" s="33">
        <v>2</v>
      </c>
      <c r="B24" s="586"/>
      <c r="C24" s="91" t="s">
        <v>449</v>
      </c>
      <c r="D24" s="392">
        <v>239149677.14360008</v>
      </c>
      <c r="E24" s="392"/>
      <c r="F24" s="392">
        <f t="shared" ref="F24:F30" si="2">SUM(D24+E24)</f>
        <v>239149677.14360008</v>
      </c>
      <c r="G24" s="392">
        <v>245015661.720678</v>
      </c>
      <c r="H24" s="392"/>
      <c r="I24" s="392">
        <f t="shared" ref="I24:I30" si="3">SUM(G24+H24)</f>
        <v>245015661.720678</v>
      </c>
    </row>
    <row r="25" spans="1:16" ht="13.5" thickBot="1" x14ac:dyDescent="0.3">
      <c r="A25" s="33">
        <v>3</v>
      </c>
      <c r="B25" s="510"/>
      <c r="C25" s="81" t="s">
        <v>450</v>
      </c>
      <c r="D25" s="389">
        <v>10054</v>
      </c>
      <c r="E25" s="389">
        <v>6070</v>
      </c>
      <c r="F25" s="389">
        <f t="shared" si="2"/>
        <v>16124</v>
      </c>
      <c r="G25" s="389">
        <v>9900</v>
      </c>
      <c r="H25" s="389">
        <v>5443</v>
      </c>
      <c r="I25" s="389">
        <f t="shared" si="3"/>
        <v>15343</v>
      </c>
    </row>
    <row r="26" spans="1:16" x14ac:dyDescent="0.25">
      <c r="A26" s="33">
        <v>4</v>
      </c>
      <c r="B26" s="563" t="s">
        <v>34</v>
      </c>
      <c r="C26" s="185" t="s">
        <v>443</v>
      </c>
      <c r="D26" s="390">
        <v>28769588.879928809</v>
      </c>
      <c r="E26" s="390">
        <v>52751463.749370873</v>
      </c>
      <c r="F26" s="390">
        <f t="shared" si="2"/>
        <v>81521052.629299685</v>
      </c>
      <c r="G26" s="390">
        <v>26650376.601681199</v>
      </c>
      <c r="H26" s="390">
        <v>53836709.060065351</v>
      </c>
      <c r="I26" s="390">
        <f t="shared" si="3"/>
        <v>80487085.661746547</v>
      </c>
    </row>
    <row r="27" spans="1:16" x14ac:dyDescent="0.25">
      <c r="A27" s="33">
        <v>5</v>
      </c>
      <c r="B27" s="567"/>
      <c r="C27" s="91" t="s">
        <v>447</v>
      </c>
      <c r="D27" s="392">
        <v>92855102.786519036</v>
      </c>
      <c r="E27" s="392"/>
      <c r="F27" s="392">
        <f t="shared" si="2"/>
        <v>92855102.786519036</v>
      </c>
      <c r="G27" s="392">
        <v>91360642.060061753</v>
      </c>
      <c r="H27" s="392"/>
      <c r="I27" s="392">
        <f t="shared" si="3"/>
        <v>91360642.060061753</v>
      </c>
    </row>
    <row r="28" spans="1:16" x14ac:dyDescent="0.25">
      <c r="A28" s="33">
        <v>6</v>
      </c>
      <c r="B28" s="567"/>
      <c r="C28" s="91" t="s">
        <v>444</v>
      </c>
      <c r="D28" s="392"/>
      <c r="E28" s="392">
        <v>17447511.189896718</v>
      </c>
      <c r="F28" s="392">
        <f t="shared" si="2"/>
        <v>17447511.189896718</v>
      </c>
      <c r="G28" s="392"/>
      <c r="H28" s="392">
        <v>12543352.107370675</v>
      </c>
      <c r="I28" s="392">
        <f t="shared" si="3"/>
        <v>12543352.107370675</v>
      </c>
    </row>
    <row r="29" spans="1:16" ht="13.5" thickBot="1" x14ac:dyDescent="0.3">
      <c r="A29" s="33">
        <v>7</v>
      </c>
      <c r="B29" s="585"/>
      <c r="C29" s="81" t="s">
        <v>445</v>
      </c>
      <c r="D29" s="389"/>
      <c r="E29" s="389">
        <v>11950032.43612955</v>
      </c>
      <c r="F29" s="389">
        <f t="shared" si="2"/>
        <v>11950032.43612955</v>
      </c>
      <c r="G29" s="389"/>
      <c r="H29" s="389">
        <v>9907430.9481559321</v>
      </c>
      <c r="I29" s="389">
        <f t="shared" si="3"/>
        <v>9907430.9481559321</v>
      </c>
    </row>
    <row r="30" spans="1:16" ht="13.5" thickBot="1" x14ac:dyDescent="0.3">
      <c r="A30" s="33">
        <v>8</v>
      </c>
      <c r="B30" s="86" t="s">
        <v>5</v>
      </c>
      <c r="C30" s="62" t="s">
        <v>143</v>
      </c>
      <c r="D30" s="391"/>
      <c r="E30" s="391">
        <v>116103298.60282704</v>
      </c>
      <c r="F30" s="391">
        <f t="shared" si="2"/>
        <v>116103298.60282704</v>
      </c>
      <c r="G30" s="391"/>
      <c r="H30" s="391">
        <v>140451579.810902</v>
      </c>
      <c r="I30" s="391">
        <f t="shared" si="3"/>
        <v>140451579.810902</v>
      </c>
    </row>
    <row r="31" spans="1:16" x14ac:dyDescent="0.25">
      <c r="B31" s="385" t="s">
        <v>501</v>
      </c>
    </row>
    <row r="32" spans="1:16" x14ac:dyDescent="0.25">
      <c r="B32" s="261" t="s">
        <v>581</v>
      </c>
    </row>
  </sheetData>
  <mergeCells count="9">
    <mergeCell ref="E1:H1"/>
    <mergeCell ref="E2:H2"/>
    <mergeCell ref="C19:E19"/>
    <mergeCell ref="C20:E20"/>
    <mergeCell ref="B26:B29"/>
    <mergeCell ref="B23:B25"/>
    <mergeCell ref="B6:B7"/>
    <mergeCell ref="B8:B9"/>
    <mergeCell ref="B10:B1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8FC70-BAC4-41A9-8051-D89B69B627B3}">
  <sheetPr codeName="Sheet3"/>
  <dimension ref="B1:BS66"/>
  <sheetViews>
    <sheetView showGridLines="0" zoomScaleNormal="100" workbookViewId="0"/>
  </sheetViews>
  <sheetFormatPr defaultColWidth="8.7109375" defaultRowHeight="12.75" x14ac:dyDescent="0.25"/>
  <cols>
    <col min="1" max="1" width="5.7109375" style="15" customWidth="1"/>
    <col min="2" max="2" width="40.7109375" style="276" customWidth="1"/>
    <col min="3" max="7" width="15.7109375" style="15" customWidth="1"/>
    <col min="8" max="8" width="5.7109375" style="15" customWidth="1"/>
    <col min="9" max="9" width="40.7109375" style="276" customWidth="1"/>
    <col min="10" max="14" width="15.7109375" style="15" customWidth="1"/>
    <col min="15" max="15" width="5.7109375" style="15" customWidth="1"/>
    <col min="16" max="16" width="40.7109375" style="276" customWidth="1"/>
    <col min="17" max="21" width="15.7109375" style="15" customWidth="1"/>
    <col min="22" max="22" width="5.7109375" style="15" customWidth="1"/>
    <col min="23" max="23" width="40.7109375" style="276" customWidth="1"/>
    <col min="24" max="28" width="15.7109375" style="15" customWidth="1"/>
    <col min="29" max="29" width="5.7109375" style="15" customWidth="1"/>
    <col min="30" max="30" width="40.7109375" style="276" customWidth="1"/>
    <col min="31" max="35" width="15.7109375" style="15" customWidth="1"/>
    <col min="36" max="36" width="5.7109375" style="15" customWidth="1"/>
    <col min="37" max="37" width="40.7109375" style="276" customWidth="1"/>
    <col min="38" max="42" width="15.7109375" style="15" customWidth="1"/>
    <col min="43" max="43" width="5.7109375" style="15" customWidth="1"/>
    <col min="44" max="44" width="40.7109375" style="15" customWidth="1"/>
    <col min="45" max="49" width="15.7109375" style="15" customWidth="1"/>
    <col min="50" max="50" width="5.7109375" style="15" customWidth="1"/>
    <col min="51" max="51" width="40.7109375" style="15" customWidth="1"/>
    <col min="52" max="56" width="15.7109375" style="15" customWidth="1"/>
    <col min="57" max="57" width="5.7109375" style="15" customWidth="1"/>
    <col min="58" max="58" width="40.7109375" style="15" customWidth="1"/>
    <col min="59" max="63" width="15.7109375" style="15" customWidth="1"/>
    <col min="64" max="64" width="5.7109375" style="15" customWidth="1"/>
    <col min="65" max="65" width="40.7109375" style="15" customWidth="1"/>
    <col min="66" max="70" width="15.7109375" style="15" customWidth="1"/>
    <col min="71" max="71" width="5.7109375" style="15" customWidth="1"/>
    <col min="72" max="16384" width="8.7109375" style="15"/>
  </cols>
  <sheetData>
    <row r="1" spans="2:71" x14ac:dyDescent="0.2">
      <c r="C1" s="484" t="s">
        <v>466</v>
      </c>
      <c r="D1" s="484"/>
      <c r="E1" s="484"/>
      <c r="F1" s="53"/>
      <c r="G1" s="53"/>
      <c r="J1" s="484" t="s">
        <v>468</v>
      </c>
      <c r="K1" s="484"/>
      <c r="L1" s="484"/>
      <c r="M1" s="53"/>
      <c r="N1" s="53"/>
      <c r="Q1" s="484" t="s">
        <v>518</v>
      </c>
      <c r="R1" s="484"/>
      <c r="S1" s="484"/>
      <c r="T1" s="53"/>
      <c r="U1" s="53"/>
      <c r="X1" s="484" t="s">
        <v>519</v>
      </c>
      <c r="Y1" s="484"/>
      <c r="Z1" s="484"/>
      <c r="AA1" s="53"/>
      <c r="AB1" s="53"/>
      <c r="AE1" s="484" t="s">
        <v>520</v>
      </c>
      <c r="AF1" s="484"/>
      <c r="AG1" s="484"/>
      <c r="AH1" s="53"/>
      <c r="AI1" s="53"/>
      <c r="AL1" s="484" t="s">
        <v>521</v>
      </c>
      <c r="AM1" s="484"/>
      <c r="AN1" s="484"/>
      <c r="AO1" s="53"/>
      <c r="AP1" s="53"/>
      <c r="AS1" s="484" t="s">
        <v>522</v>
      </c>
      <c r="AT1" s="484"/>
      <c r="AU1" s="484"/>
      <c r="AV1" s="53"/>
      <c r="AW1" s="53"/>
      <c r="AZ1" s="484" t="s">
        <v>523</v>
      </c>
      <c r="BA1" s="484"/>
      <c r="BB1" s="484"/>
      <c r="BC1" s="53"/>
      <c r="BD1" s="53"/>
      <c r="BG1" s="484" t="s">
        <v>524</v>
      </c>
      <c r="BH1" s="484"/>
      <c r="BI1" s="484"/>
      <c r="BJ1" s="53"/>
      <c r="BK1" s="53"/>
      <c r="BN1" s="484" t="s">
        <v>525</v>
      </c>
      <c r="BO1" s="484"/>
      <c r="BP1" s="484"/>
      <c r="BQ1" s="53"/>
      <c r="BR1" s="53"/>
    </row>
    <row r="2" spans="2:71" x14ac:dyDescent="0.2">
      <c r="C2" s="484" t="s">
        <v>509</v>
      </c>
      <c r="D2" s="484"/>
      <c r="E2" s="484"/>
      <c r="F2" s="53"/>
      <c r="G2" s="53"/>
      <c r="J2" s="484" t="s">
        <v>510</v>
      </c>
      <c r="K2" s="484"/>
      <c r="L2" s="484"/>
      <c r="M2" s="53"/>
      <c r="N2" s="53"/>
      <c r="Q2" s="484" t="s">
        <v>511</v>
      </c>
      <c r="R2" s="484"/>
      <c r="S2" s="484"/>
      <c r="T2" s="53"/>
      <c r="U2" s="53"/>
      <c r="X2" s="484" t="s">
        <v>512</v>
      </c>
      <c r="Y2" s="484"/>
      <c r="Z2" s="484"/>
      <c r="AA2" s="53"/>
      <c r="AB2" s="53"/>
      <c r="AE2" s="484" t="s">
        <v>513</v>
      </c>
      <c r="AF2" s="484"/>
      <c r="AG2" s="484"/>
      <c r="AH2" s="53"/>
      <c r="AI2" s="53"/>
      <c r="AL2" s="484" t="s">
        <v>514</v>
      </c>
      <c r="AM2" s="484"/>
      <c r="AN2" s="484"/>
      <c r="AO2" s="53"/>
      <c r="AP2" s="53"/>
      <c r="AS2" s="484" t="s">
        <v>508</v>
      </c>
      <c r="AT2" s="484"/>
      <c r="AU2" s="484"/>
      <c r="AV2" s="53"/>
      <c r="AW2" s="53"/>
      <c r="AZ2" s="484" t="s">
        <v>515</v>
      </c>
      <c r="BA2" s="484"/>
      <c r="BB2" s="484"/>
      <c r="BC2" s="53"/>
      <c r="BD2" s="53"/>
      <c r="BG2" s="484" t="s">
        <v>516</v>
      </c>
      <c r="BH2" s="484"/>
      <c r="BI2" s="484"/>
      <c r="BJ2" s="53"/>
      <c r="BK2" s="53"/>
      <c r="BN2" s="484" t="s">
        <v>517</v>
      </c>
      <c r="BO2" s="484"/>
      <c r="BP2" s="484"/>
      <c r="BQ2" s="53"/>
      <c r="BR2" s="53"/>
    </row>
    <row r="4" spans="2:71" ht="39.75" x14ac:dyDescent="0.25">
      <c r="B4" s="1" t="s">
        <v>11</v>
      </c>
      <c r="C4" s="2" t="s">
        <v>221</v>
      </c>
      <c r="D4" s="3"/>
      <c r="E4" s="3" t="s">
        <v>281</v>
      </c>
      <c r="F4" s="4" t="s">
        <v>13</v>
      </c>
      <c r="G4" s="4" t="s">
        <v>9</v>
      </c>
      <c r="I4" s="1" t="s">
        <v>14</v>
      </c>
      <c r="J4" s="2" t="s">
        <v>221</v>
      </c>
      <c r="K4" s="3"/>
      <c r="L4" s="3" t="s">
        <v>281</v>
      </c>
      <c r="M4" s="4" t="s">
        <v>13</v>
      </c>
      <c r="N4" s="4" t="s">
        <v>9</v>
      </c>
      <c r="P4" s="1" t="s">
        <v>17</v>
      </c>
      <c r="Q4" s="2" t="s">
        <v>15</v>
      </c>
      <c r="R4" s="3" t="s">
        <v>16</v>
      </c>
      <c r="S4" s="3" t="s">
        <v>12</v>
      </c>
      <c r="T4" s="4" t="s">
        <v>13</v>
      </c>
      <c r="U4" s="4" t="s">
        <v>9</v>
      </c>
      <c r="W4" s="1" t="s">
        <v>18</v>
      </c>
      <c r="X4" s="2" t="s">
        <v>15</v>
      </c>
      <c r="Y4" s="3" t="s">
        <v>16</v>
      </c>
      <c r="Z4" s="3" t="s">
        <v>12</v>
      </c>
      <c r="AA4" s="4" t="s">
        <v>13</v>
      </c>
      <c r="AB4" s="4" t="s">
        <v>9</v>
      </c>
      <c r="AD4" s="1" t="s">
        <v>19</v>
      </c>
      <c r="AE4" s="2" t="s">
        <v>15</v>
      </c>
      <c r="AF4" s="3" t="s">
        <v>16</v>
      </c>
      <c r="AG4" s="3" t="s">
        <v>12</v>
      </c>
      <c r="AH4" s="4" t="s">
        <v>13</v>
      </c>
      <c r="AI4" s="4" t="s">
        <v>9</v>
      </c>
      <c r="AK4" s="1" t="s">
        <v>506</v>
      </c>
      <c r="AL4" s="2" t="s">
        <v>15</v>
      </c>
      <c r="AM4" s="3" t="s">
        <v>16</v>
      </c>
      <c r="AN4" s="3" t="s">
        <v>12</v>
      </c>
      <c r="AO4" s="4" t="s">
        <v>13</v>
      </c>
      <c r="AP4" s="4" t="s">
        <v>9</v>
      </c>
      <c r="AR4" s="1" t="s">
        <v>20</v>
      </c>
      <c r="AS4" s="2" t="s">
        <v>15</v>
      </c>
      <c r="AT4" s="3" t="s">
        <v>16</v>
      </c>
      <c r="AU4" s="3" t="s">
        <v>12</v>
      </c>
      <c r="AV4" s="4" t="s">
        <v>13</v>
      </c>
      <c r="AW4" s="4" t="s">
        <v>9</v>
      </c>
      <c r="AY4" s="1" t="s">
        <v>21</v>
      </c>
      <c r="AZ4" s="2" t="s">
        <v>15</v>
      </c>
      <c r="BA4" s="3" t="s">
        <v>16</v>
      </c>
      <c r="BB4" s="3" t="s">
        <v>12</v>
      </c>
      <c r="BC4" s="4" t="s">
        <v>13</v>
      </c>
      <c r="BD4" s="4" t="s">
        <v>9</v>
      </c>
      <c r="BF4" s="1" t="s">
        <v>22</v>
      </c>
      <c r="BG4" s="2" t="s">
        <v>15</v>
      </c>
      <c r="BH4" s="3" t="s">
        <v>16</v>
      </c>
      <c r="BI4" s="3" t="s">
        <v>12</v>
      </c>
      <c r="BJ4" s="4" t="s">
        <v>13</v>
      </c>
      <c r="BK4" s="4" t="s">
        <v>9</v>
      </c>
      <c r="BM4" s="1" t="s">
        <v>23</v>
      </c>
      <c r="BN4" s="2" t="s">
        <v>15</v>
      </c>
      <c r="BO4" s="3" t="s">
        <v>16</v>
      </c>
      <c r="BP4" s="3" t="s">
        <v>12</v>
      </c>
      <c r="BQ4" s="4" t="s">
        <v>13</v>
      </c>
      <c r="BR4" s="4" t="s">
        <v>9</v>
      </c>
    </row>
    <row r="5" spans="2:71" x14ac:dyDescent="0.25">
      <c r="B5" s="359" t="s">
        <v>1</v>
      </c>
      <c r="C5" s="291">
        <f>SUM(C6:C9)</f>
        <v>33216070</v>
      </c>
      <c r="D5" s="291">
        <f>SUM(D6:D9)</f>
        <v>0</v>
      </c>
      <c r="E5" s="291">
        <f>SUM(E6:E9)</f>
        <v>0</v>
      </c>
      <c r="F5" s="291">
        <v>3738125</v>
      </c>
      <c r="G5" s="292">
        <f>SUM(C5:F5)</f>
        <v>36954195</v>
      </c>
      <c r="I5" s="359" t="s">
        <v>1</v>
      </c>
      <c r="J5" s="291">
        <f>SUM(J6:J9)</f>
        <v>33216070</v>
      </c>
      <c r="K5" s="291">
        <f>SUM(K6:K9)</f>
        <v>0</v>
      </c>
      <c r="L5" s="291">
        <f>SUM(L6:L9)</f>
        <v>0</v>
      </c>
      <c r="M5" s="291">
        <v>3738125</v>
      </c>
      <c r="N5" s="292">
        <f>SUM(J5:M5)</f>
        <v>36954195</v>
      </c>
      <c r="P5" s="359" t="s">
        <v>1</v>
      </c>
      <c r="Q5" s="291">
        <f>SUM(Q6:Q9)</f>
        <v>61854725.903803393</v>
      </c>
      <c r="R5" s="291">
        <f>SUM(R6:R9)</f>
        <v>3148483.98</v>
      </c>
      <c r="S5" s="291">
        <f>SUM(S6:S9)</f>
        <v>3591448.8361965688</v>
      </c>
      <c r="T5" s="293">
        <v>1783905.0012420591</v>
      </c>
      <c r="U5" s="292">
        <f>SUM(Q5:T5)</f>
        <v>70378563.721242011</v>
      </c>
      <c r="W5" s="359" t="s">
        <v>1</v>
      </c>
      <c r="X5" s="291">
        <f>SUM(X6:X9)</f>
        <v>69648585.375262067</v>
      </c>
      <c r="Y5" s="291">
        <f>SUM(Y6:Y9)</f>
        <v>3552916.8906399999</v>
      </c>
      <c r="Z5" s="291">
        <f>SUM(Z6:Z9)</f>
        <v>3749117.357057936</v>
      </c>
      <c r="AA5" s="293">
        <v>1905211.4365265206</v>
      </c>
      <c r="AB5" s="292">
        <f>SUM(X5:AA5)</f>
        <v>78855831.059486523</v>
      </c>
      <c r="AD5" s="359" t="s">
        <v>1</v>
      </c>
      <c r="AE5" s="291">
        <f>SUM(AE6:AE9)</f>
        <v>75006897.296023324</v>
      </c>
      <c r="AF5" s="291">
        <f>SUM(AF6:AF9)</f>
        <v>3691480.64937496</v>
      </c>
      <c r="AG5" s="291">
        <f>SUM(AG6:AG9)</f>
        <v>3895332.9339831951</v>
      </c>
      <c r="AH5" s="293">
        <v>1979514.6863244039</v>
      </c>
      <c r="AI5" s="292">
        <f>SUM(AE5:AH5)</f>
        <v>84573225.565705881</v>
      </c>
      <c r="AK5" s="359" t="s">
        <v>1</v>
      </c>
      <c r="AL5" s="291">
        <f>SUM(AL6:AL9)</f>
        <v>76807062.831127897</v>
      </c>
      <c r="AM5" s="291">
        <f>SUM(AM6:AM9)</f>
        <v>3780076.1849599588</v>
      </c>
      <c r="AN5" s="291">
        <f>SUM(AN6:AN9)</f>
        <v>3988820.9243987924</v>
      </c>
      <c r="AO5" s="293">
        <v>2027023</v>
      </c>
      <c r="AP5" s="292">
        <f>SUM(AL5:AO5)</f>
        <v>86602982.940486655</v>
      </c>
      <c r="AR5" s="289" t="s">
        <v>24</v>
      </c>
      <c r="AS5" s="291">
        <f>SUM(AS6:AS11)</f>
        <v>57980250</v>
      </c>
      <c r="AT5" s="291">
        <f>SUM(AT6:AT11)</f>
        <v>6108800</v>
      </c>
      <c r="AU5" s="291">
        <f>SUM(AU6:AU11)</f>
        <v>6124468</v>
      </c>
      <c r="AV5" s="293">
        <v>2573738</v>
      </c>
      <c r="AW5" s="292">
        <f t="shared" ref="AW5:AW11" si="0">SUM(AS5:AV5)</f>
        <v>72787256</v>
      </c>
      <c r="AX5" s="294"/>
      <c r="AY5" s="289" t="s">
        <v>491</v>
      </c>
      <c r="AZ5" s="291">
        <f>SUM(AZ6:AZ11)</f>
        <v>61144701</v>
      </c>
      <c r="BA5" s="291">
        <f>SUM(BA6:BA11)</f>
        <v>6149381</v>
      </c>
      <c r="BB5" s="291">
        <f>SUM(BB6:BB11)</f>
        <v>5779824</v>
      </c>
      <c r="BC5" s="293">
        <v>2618006</v>
      </c>
      <c r="BD5" s="292">
        <f t="shared" ref="BD5:BD11" si="1">SUM(AZ5:BC5)</f>
        <v>75691912</v>
      </c>
      <c r="BE5" s="294"/>
      <c r="BF5" s="289" t="s">
        <v>491</v>
      </c>
      <c r="BG5" s="291">
        <f>SUM(BG6:BG11)</f>
        <v>63556848</v>
      </c>
      <c r="BH5" s="291">
        <f>SUM(BH6:BH11)</f>
        <v>6165287</v>
      </c>
      <c r="BI5" s="291">
        <f>SUM(BI6:BI11)</f>
        <v>6170254</v>
      </c>
      <c r="BJ5" s="293">
        <v>2663036</v>
      </c>
      <c r="BK5" s="292">
        <f t="shared" ref="BK5:BK11" si="2">SUM(BG5:BJ5)</f>
        <v>78555425</v>
      </c>
      <c r="BL5" s="294"/>
      <c r="BM5" s="289" t="s">
        <v>491</v>
      </c>
      <c r="BN5" s="291">
        <f>SUM(BN6:BN11)</f>
        <v>66031749</v>
      </c>
      <c r="BO5" s="291">
        <f>SUM(BO6:BO11)</f>
        <v>6203496</v>
      </c>
      <c r="BP5" s="291">
        <f>SUM(BP6:BP11)</f>
        <v>6592123</v>
      </c>
      <c r="BQ5" s="293">
        <v>2708841</v>
      </c>
      <c r="BR5" s="292">
        <f t="shared" ref="BR5:BR11" si="3">SUM(BN5:BQ5)</f>
        <v>81536209</v>
      </c>
      <c r="BS5" s="294"/>
    </row>
    <row r="6" spans="2:71" x14ac:dyDescent="0.25">
      <c r="B6" s="183" t="s">
        <v>25</v>
      </c>
      <c r="C6" s="295">
        <v>30953200</v>
      </c>
      <c r="D6" s="296">
        <v>0</v>
      </c>
      <c r="E6" s="296">
        <v>0</v>
      </c>
      <c r="F6" s="297">
        <v>0</v>
      </c>
      <c r="G6" s="298">
        <f>SUM(C6:F6)</f>
        <v>30953200</v>
      </c>
      <c r="I6" s="183" t="s">
        <v>25</v>
      </c>
      <c r="J6" s="295">
        <v>30953200</v>
      </c>
      <c r="K6" s="296">
        <v>0</v>
      </c>
      <c r="L6" s="296">
        <v>0</v>
      </c>
      <c r="M6" s="297">
        <v>0</v>
      </c>
      <c r="N6" s="298">
        <f>SUM(J6:M6)</f>
        <v>30953200</v>
      </c>
      <c r="P6" s="183" t="s">
        <v>25</v>
      </c>
      <c r="Q6" s="299">
        <v>55511017.463803396</v>
      </c>
      <c r="R6" s="294">
        <v>1527893.7</v>
      </c>
      <c r="S6" s="294">
        <v>2961088.8361965688</v>
      </c>
      <c r="T6" s="297">
        <v>0</v>
      </c>
      <c r="U6" s="300">
        <f>SUM(Q6:T6)</f>
        <v>59999999.99999997</v>
      </c>
      <c r="W6" s="183" t="s">
        <v>25</v>
      </c>
      <c r="X6" s="299">
        <v>62873504.651342064</v>
      </c>
      <c r="Y6" s="294">
        <v>1822126.4716</v>
      </c>
      <c r="Z6" s="294">
        <v>3075892.877057936</v>
      </c>
      <c r="AA6" s="297">
        <v>0</v>
      </c>
      <c r="AB6" s="300">
        <f>SUM(X6:AA6)</f>
        <v>67771524</v>
      </c>
      <c r="AD6" s="183" t="s">
        <v>25</v>
      </c>
      <c r="AE6" s="299">
        <v>67967588.423870444</v>
      </c>
      <c r="AF6" s="294">
        <v>1893189.4039923998</v>
      </c>
      <c r="AG6" s="294">
        <v>3195852.6992631955</v>
      </c>
      <c r="AH6" s="297">
        <v>0</v>
      </c>
      <c r="AI6" s="300">
        <f>SUM(AE6:AH6)</f>
        <v>73056630.527126044</v>
      </c>
      <c r="AK6" s="183" t="s">
        <v>25</v>
      </c>
      <c r="AL6" s="299">
        <v>69598810.546043336</v>
      </c>
      <c r="AM6" s="294">
        <v>1938625.9496882174</v>
      </c>
      <c r="AN6" s="294">
        <v>3272553.1640455122</v>
      </c>
      <c r="AO6" s="297">
        <v>0</v>
      </c>
      <c r="AP6" s="300">
        <f t="shared" ref="AP6:AP49" si="4">SUM(AL6:AO6)</f>
        <v>74809989.65977706</v>
      </c>
      <c r="AR6" s="42" t="s">
        <v>26</v>
      </c>
      <c r="AS6" s="299">
        <v>23499400</v>
      </c>
      <c r="AT6" s="294">
        <v>1160000</v>
      </c>
      <c r="AU6" s="294">
        <v>1270000</v>
      </c>
      <c r="AV6" s="297">
        <v>0</v>
      </c>
      <c r="AW6" s="300">
        <f t="shared" si="0"/>
        <v>25929400</v>
      </c>
      <c r="AY6" s="42" t="s">
        <v>26</v>
      </c>
      <c r="AZ6" s="299">
        <v>21572449</v>
      </c>
      <c r="BA6" s="294">
        <v>1068060</v>
      </c>
      <c r="BB6" s="294">
        <v>1068060</v>
      </c>
      <c r="BC6" s="297">
        <v>0</v>
      </c>
      <c r="BD6" s="300">
        <f t="shared" si="1"/>
        <v>23708569</v>
      </c>
      <c r="BF6" s="42" t="s">
        <v>26</v>
      </c>
      <c r="BG6" s="299">
        <v>20047996</v>
      </c>
      <c r="BH6" s="294">
        <v>915706</v>
      </c>
      <c r="BI6" s="294">
        <v>1003655</v>
      </c>
      <c r="BJ6" s="297">
        <v>0</v>
      </c>
      <c r="BK6" s="300">
        <f t="shared" si="2"/>
        <v>21967357</v>
      </c>
      <c r="BM6" s="42" t="s">
        <v>26</v>
      </c>
      <c r="BN6" s="299">
        <v>19015035</v>
      </c>
      <c r="BO6" s="294">
        <v>784107</v>
      </c>
      <c r="BP6" s="294">
        <v>960400</v>
      </c>
      <c r="BQ6" s="297">
        <v>0</v>
      </c>
      <c r="BR6" s="300">
        <f t="shared" si="3"/>
        <v>20759542</v>
      </c>
    </row>
    <row r="7" spans="2:71" ht="14.25" x14ac:dyDescent="0.25">
      <c r="B7" s="360"/>
      <c r="C7" s="301">
        <v>0</v>
      </c>
      <c r="D7" s="302">
        <v>0</v>
      </c>
      <c r="E7" s="302">
        <v>0</v>
      </c>
      <c r="F7" s="303">
        <v>0</v>
      </c>
      <c r="G7" s="304">
        <f t="shared" ref="G7:G11" si="5">SUM(C7:F7)</f>
        <v>0</v>
      </c>
      <c r="I7" s="360"/>
      <c r="J7" s="301">
        <v>0</v>
      </c>
      <c r="K7" s="302">
        <v>0</v>
      </c>
      <c r="L7" s="302">
        <v>0</v>
      </c>
      <c r="M7" s="303">
        <v>0</v>
      </c>
      <c r="N7" s="304">
        <f t="shared" ref="N7:N54" si="6">SUM(J7:M7)</f>
        <v>0</v>
      </c>
      <c r="P7" s="183" t="s">
        <v>222</v>
      </c>
      <c r="Q7" s="299">
        <v>3557833.44</v>
      </c>
      <c r="R7" s="294">
        <v>804590.28</v>
      </c>
      <c r="S7" s="294">
        <v>255000</v>
      </c>
      <c r="T7" s="297">
        <v>0</v>
      </c>
      <c r="U7" s="300">
        <f>SUM(Q7:T7)</f>
        <v>4617423.72</v>
      </c>
      <c r="W7" s="183" t="s">
        <v>27</v>
      </c>
      <c r="X7" s="299">
        <v>3799765.92392</v>
      </c>
      <c r="Y7" s="294">
        <v>859302.41904000007</v>
      </c>
      <c r="Z7" s="294">
        <v>272340</v>
      </c>
      <c r="AA7" s="297">
        <v>0</v>
      </c>
      <c r="AB7" s="300">
        <f t="shared" ref="AB7:AB49" si="7">SUM(X7:AA7)</f>
        <v>4931408.34296</v>
      </c>
      <c r="AD7" s="183" t="s">
        <v>27</v>
      </c>
      <c r="AE7" s="299">
        <v>3947956.7949528797</v>
      </c>
      <c r="AF7" s="294">
        <v>892815.21338256006</v>
      </c>
      <c r="AG7" s="294">
        <v>282961.25999999995</v>
      </c>
      <c r="AH7" s="297">
        <v>0</v>
      </c>
      <c r="AI7" s="300">
        <f t="shared" ref="AI7:AI49" si="8">SUM(AE7:AH7)</f>
        <v>5123733.2683354393</v>
      </c>
      <c r="AK7" s="183" t="s">
        <v>27</v>
      </c>
      <c r="AL7" s="299">
        <v>4042707.7580317487</v>
      </c>
      <c r="AM7" s="294">
        <v>914242.77850374149</v>
      </c>
      <c r="AN7" s="294">
        <v>289752.33023999998</v>
      </c>
      <c r="AO7" s="297">
        <v>0</v>
      </c>
      <c r="AP7" s="300">
        <f t="shared" si="4"/>
        <v>5246702.8667754903</v>
      </c>
      <c r="AR7" s="42" t="s">
        <v>28</v>
      </c>
      <c r="AS7" s="299">
        <v>13591250</v>
      </c>
      <c r="AT7" s="294">
        <v>1307400</v>
      </c>
      <c r="AU7" s="294">
        <v>661875</v>
      </c>
      <c r="AV7" s="297">
        <v>0</v>
      </c>
      <c r="AW7" s="300">
        <f t="shared" si="0"/>
        <v>15560525</v>
      </c>
      <c r="AY7" s="42" t="s">
        <v>28</v>
      </c>
      <c r="AZ7" s="299">
        <v>16822350</v>
      </c>
      <c r="BA7" s="294">
        <v>1319878</v>
      </c>
      <c r="BB7" s="294">
        <v>694239</v>
      </c>
      <c r="BC7" s="297">
        <v>0</v>
      </c>
      <c r="BD7" s="300">
        <f t="shared" si="1"/>
        <v>18836467</v>
      </c>
      <c r="BF7" s="42" t="s">
        <v>28</v>
      </c>
      <c r="BG7" s="299">
        <v>18805230</v>
      </c>
      <c r="BH7" s="294">
        <v>1394822</v>
      </c>
      <c r="BI7" s="294">
        <v>717820</v>
      </c>
      <c r="BJ7" s="297">
        <v>0</v>
      </c>
      <c r="BK7" s="300">
        <f t="shared" si="2"/>
        <v>20917872</v>
      </c>
      <c r="BM7" s="42" t="s">
        <v>28</v>
      </c>
      <c r="BN7" s="299">
        <v>20300909</v>
      </c>
      <c r="BO7" s="294">
        <v>1481678</v>
      </c>
      <c r="BP7" s="294">
        <v>738061</v>
      </c>
      <c r="BQ7" s="297">
        <v>0</v>
      </c>
      <c r="BR7" s="300">
        <f t="shared" si="3"/>
        <v>22520648</v>
      </c>
    </row>
    <row r="8" spans="2:71" x14ac:dyDescent="0.25">
      <c r="B8" s="360"/>
      <c r="C8" s="301">
        <v>0</v>
      </c>
      <c r="D8" s="302">
        <v>0</v>
      </c>
      <c r="E8" s="302">
        <v>0</v>
      </c>
      <c r="F8" s="303">
        <v>0</v>
      </c>
      <c r="G8" s="304">
        <f t="shared" si="5"/>
        <v>0</v>
      </c>
      <c r="I8" s="360"/>
      <c r="J8" s="301">
        <v>0</v>
      </c>
      <c r="K8" s="302">
        <v>0</v>
      </c>
      <c r="L8" s="302">
        <v>0</v>
      </c>
      <c r="M8" s="303">
        <v>0</v>
      </c>
      <c r="N8" s="304">
        <f t="shared" si="6"/>
        <v>0</v>
      </c>
      <c r="P8" s="360"/>
      <c r="Q8" s="301">
        <v>0</v>
      </c>
      <c r="R8" s="302">
        <v>0</v>
      </c>
      <c r="S8" s="302">
        <v>0</v>
      </c>
      <c r="T8" s="303">
        <v>0</v>
      </c>
      <c r="U8" s="305">
        <f t="shared" ref="U8:U49" si="9">SUM(Q8:T8)</f>
        <v>0</v>
      </c>
      <c r="W8" s="360"/>
      <c r="X8" s="301">
        <v>0</v>
      </c>
      <c r="Y8" s="302">
        <v>0</v>
      </c>
      <c r="Z8" s="302">
        <v>0</v>
      </c>
      <c r="AA8" s="303">
        <v>0</v>
      </c>
      <c r="AB8" s="305">
        <f t="shared" si="7"/>
        <v>0</v>
      </c>
      <c r="AD8" s="360"/>
      <c r="AE8" s="301">
        <v>0</v>
      </c>
      <c r="AF8" s="302">
        <v>0</v>
      </c>
      <c r="AG8" s="302">
        <v>0</v>
      </c>
      <c r="AH8" s="303">
        <v>0</v>
      </c>
      <c r="AI8" s="305">
        <f t="shared" si="8"/>
        <v>0</v>
      </c>
      <c r="AK8" s="360"/>
      <c r="AL8" s="301">
        <v>0</v>
      </c>
      <c r="AM8" s="302">
        <v>0</v>
      </c>
      <c r="AN8" s="302">
        <v>0</v>
      </c>
      <c r="AO8" s="303">
        <v>0</v>
      </c>
      <c r="AP8" s="305">
        <f t="shared" si="4"/>
        <v>0</v>
      </c>
      <c r="AR8" s="42" t="s">
        <v>31</v>
      </c>
      <c r="AS8" s="299">
        <v>7650000</v>
      </c>
      <c r="AT8" s="294">
        <v>871600</v>
      </c>
      <c r="AU8" s="294">
        <v>783000</v>
      </c>
      <c r="AV8" s="297">
        <v>0</v>
      </c>
      <c r="AW8" s="300">
        <f t="shared" si="0"/>
        <v>9304600</v>
      </c>
      <c r="AY8" s="42" t="s">
        <v>31</v>
      </c>
      <c r="AZ8" s="299">
        <v>7813200</v>
      </c>
      <c r="BA8" s="294">
        <v>879919</v>
      </c>
      <c r="BB8" s="294">
        <v>305160</v>
      </c>
      <c r="BC8" s="297">
        <v>0</v>
      </c>
      <c r="BD8" s="300">
        <f t="shared" si="1"/>
        <v>8998279</v>
      </c>
      <c r="BF8" s="42" t="s">
        <v>31</v>
      </c>
      <c r="BG8" s="299">
        <v>7985070</v>
      </c>
      <c r="BH8" s="294">
        <v>929881</v>
      </c>
      <c r="BI8" s="294">
        <v>310409</v>
      </c>
      <c r="BJ8" s="297">
        <v>0</v>
      </c>
      <c r="BK8" s="300">
        <f t="shared" si="2"/>
        <v>9225360</v>
      </c>
      <c r="BM8" s="42" t="s">
        <v>31</v>
      </c>
      <c r="BN8" s="299">
        <v>8150077</v>
      </c>
      <c r="BO8" s="294">
        <v>987785</v>
      </c>
      <c r="BP8" s="294">
        <v>315748</v>
      </c>
      <c r="BQ8" s="297">
        <v>0</v>
      </c>
      <c r="BR8" s="300">
        <f t="shared" si="3"/>
        <v>9453610</v>
      </c>
    </row>
    <row r="9" spans="2:71" x14ac:dyDescent="0.25">
      <c r="B9" s="183" t="s">
        <v>29</v>
      </c>
      <c r="C9" s="295">
        <v>2262870</v>
      </c>
      <c r="D9" s="296">
        <v>0</v>
      </c>
      <c r="E9" s="296">
        <v>0</v>
      </c>
      <c r="F9" s="297">
        <v>0</v>
      </c>
      <c r="G9" s="298">
        <f t="shared" si="5"/>
        <v>2262870</v>
      </c>
      <c r="I9" s="183" t="s">
        <v>29</v>
      </c>
      <c r="J9" s="295">
        <v>2262870</v>
      </c>
      <c r="K9" s="296">
        <v>0</v>
      </c>
      <c r="L9" s="296">
        <v>0</v>
      </c>
      <c r="M9" s="297">
        <v>0</v>
      </c>
      <c r="N9" s="298">
        <f t="shared" si="6"/>
        <v>2262870</v>
      </c>
      <c r="P9" s="183" t="s">
        <v>29</v>
      </c>
      <c r="Q9" s="299">
        <v>2785875</v>
      </c>
      <c r="R9" s="294">
        <v>816000</v>
      </c>
      <c r="S9" s="294">
        <v>375360</v>
      </c>
      <c r="T9" s="297">
        <v>0</v>
      </c>
      <c r="U9" s="300">
        <f t="shared" si="9"/>
        <v>3977235</v>
      </c>
      <c r="W9" s="183" t="s">
        <v>29</v>
      </c>
      <c r="X9" s="299">
        <v>2975314.8</v>
      </c>
      <c r="Y9" s="294">
        <v>871488</v>
      </c>
      <c r="Z9" s="294">
        <v>400884.48000000004</v>
      </c>
      <c r="AA9" s="297">
        <v>0</v>
      </c>
      <c r="AB9" s="300">
        <f t="shared" si="7"/>
        <v>4247687.28</v>
      </c>
      <c r="AD9" s="183" t="s">
        <v>29</v>
      </c>
      <c r="AE9" s="299">
        <v>3091352.0771999997</v>
      </c>
      <c r="AF9" s="294">
        <v>905476.03199999989</v>
      </c>
      <c r="AG9" s="294">
        <v>416518.97472</v>
      </c>
      <c r="AH9" s="297">
        <v>0</v>
      </c>
      <c r="AI9" s="300">
        <f t="shared" si="8"/>
        <v>4413347.0839200001</v>
      </c>
      <c r="AK9" s="183" t="s">
        <v>29</v>
      </c>
      <c r="AL9" s="299">
        <v>3165544.5270527997</v>
      </c>
      <c r="AM9" s="294">
        <v>927207.45676799992</v>
      </c>
      <c r="AN9" s="294">
        <v>426515.43011328002</v>
      </c>
      <c r="AO9" s="297">
        <v>0</v>
      </c>
      <c r="AP9" s="300">
        <f t="shared" si="4"/>
        <v>4519267.4139340799</v>
      </c>
      <c r="AR9" s="42" t="s">
        <v>30</v>
      </c>
      <c r="AS9" s="299">
        <v>3089600</v>
      </c>
      <c r="AT9" s="294">
        <v>2369800</v>
      </c>
      <c r="AU9" s="294">
        <v>624593</v>
      </c>
      <c r="AV9" s="297">
        <v>0</v>
      </c>
      <c r="AW9" s="300">
        <f t="shared" si="0"/>
        <v>6083993</v>
      </c>
      <c r="AY9" s="42" t="s">
        <v>30</v>
      </c>
      <c r="AZ9" s="299">
        <v>3165902</v>
      </c>
      <c r="BA9" s="294">
        <v>2322064</v>
      </c>
      <c r="BB9" s="294">
        <v>635335</v>
      </c>
      <c r="BC9" s="297">
        <v>0</v>
      </c>
      <c r="BD9" s="300">
        <f t="shared" si="1"/>
        <v>6123301</v>
      </c>
      <c r="BF9" s="42" t="s">
        <v>30</v>
      </c>
      <c r="BG9" s="299">
        <v>3266180</v>
      </c>
      <c r="BH9" s="294">
        <v>2355795</v>
      </c>
      <c r="BI9" s="294">
        <v>646272</v>
      </c>
      <c r="BJ9" s="297">
        <v>0</v>
      </c>
      <c r="BK9" s="300">
        <f t="shared" si="2"/>
        <v>6268247</v>
      </c>
      <c r="BM9" s="42" t="s">
        <v>30</v>
      </c>
      <c r="BN9" s="299">
        <v>3369229</v>
      </c>
      <c r="BO9" s="294">
        <v>2371055</v>
      </c>
      <c r="BP9" s="294">
        <v>657379</v>
      </c>
      <c r="BQ9" s="297">
        <v>0</v>
      </c>
      <c r="BR9" s="300">
        <f t="shared" si="3"/>
        <v>6397663</v>
      </c>
    </row>
    <row r="10" spans="2:71" x14ac:dyDescent="0.25">
      <c r="B10" s="360"/>
      <c r="C10" s="301">
        <v>0</v>
      </c>
      <c r="D10" s="302">
        <v>0</v>
      </c>
      <c r="E10" s="302">
        <v>0</v>
      </c>
      <c r="F10" s="303">
        <v>0</v>
      </c>
      <c r="G10" s="304">
        <f t="shared" si="5"/>
        <v>0</v>
      </c>
      <c r="I10" s="360"/>
      <c r="J10" s="301">
        <v>0</v>
      </c>
      <c r="K10" s="302">
        <v>0</v>
      </c>
      <c r="L10" s="302">
        <v>0</v>
      </c>
      <c r="M10" s="303">
        <v>0</v>
      </c>
      <c r="N10" s="304">
        <f t="shared" si="6"/>
        <v>0</v>
      </c>
      <c r="P10" s="360"/>
      <c r="Q10" s="301">
        <v>0</v>
      </c>
      <c r="R10" s="302">
        <v>0</v>
      </c>
      <c r="S10" s="302">
        <v>0</v>
      </c>
      <c r="T10" s="303">
        <v>0</v>
      </c>
      <c r="U10" s="305">
        <f t="shared" si="9"/>
        <v>0</v>
      </c>
      <c r="W10" s="360"/>
      <c r="X10" s="301">
        <v>0</v>
      </c>
      <c r="Y10" s="302">
        <v>0</v>
      </c>
      <c r="Z10" s="302">
        <v>0</v>
      </c>
      <c r="AA10" s="303">
        <v>0</v>
      </c>
      <c r="AB10" s="305">
        <f t="shared" si="7"/>
        <v>0</v>
      </c>
      <c r="AD10" s="360"/>
      <c r="AE10" s="301">
        <v>0</v>
      </c>
      <c r="AF10" s="302">
        <v>0</v>
      </c>
      <c r="AG10" s="302">
        <v>0</v>
      </c>
      <c r="AH10" s="303">
        <v>0</v>
      </c>
      <c r="AI10" s="305">
        <f t="shared" si="8"/>
        <v>0</v>
      </c>
      <c r="AK10" s="360"/>
      <c r="AL10" s="301">
        <v>0</v>
      </c>
      <c r="AM10" s="302">
        <v>0</v>
      </c>
      <c r="AN10" s="302">
        <v>0</v>
      </c>
      <c r="AO10" s="303">
        <v>0</v>
      </c>
      <c r="AP10" s="305">
        <f t="shared" si="4"/>
        <v>0</v>
      </c>
      <c r="AR10" s="42" t="s">
        <v>32</v>
      </c>
      <c r="AS10" s="299">
        <v>10150000</v>
      </c>
      <c r="AT10" s="294">
        <v>300000</v>
      </c>
      <c r="AU10" s="294">
        <v>425000</v>
      </c>
      <c r="AV10" s="297">
        <v>0</v>
      </c>
      <c r="AW10" s="300">
        <f t="shared" si="0"/>
        <v>10875000</v>
      </c>
      <c r="AY10" s="42" t="s">
        <v>32</v>
      </c>
      <c r="AZ10" s="299">
        <v>11770800</v>
      </c>
      <c r="BA10" s="294">
        <v>508600</v>
      </c>
      <c r="BB10" s="294">
        <v>483170</v>
      </c>
      <c r="BC10" s="297">
        <v>0</v>
      </c>
      <c r="BD10" s="300">
        <f t="shared" si="1"/>
        <v>12762570</v>
      </c>
      <c r="BF10" s="42" t="s">
        <v>32</v>
      </c>
      <c r="BG10" s="299">
        <v>13452372</v>
      </c>
      <c r="BH10" s="294">
        <v>517348</v>
      </c>
      <c r="BI10" s="294">
        <v>543215</v>
      </c>
      <c r="BJ10" s="297">
        <v>0</v>
      </c>
      <c r="BK10" s="300">
        <f t="shared" si="2"/>
        <v>14512935</v>
      </c>
      <c r="BM10" s="42" t="s">
        <v>32</v>
      </c>
      <c r="BN10" s="299">
        <v>15196499</v>
      </c>
      <c r="BO10" s="294">
        <v>526246</v>
      </c>
      <c r="BP10" s="294">
        <v>605183</v>
      </c>
      <c r="BQ10" s="297">
        <v>0</v>
      </c>
      <c r="BR10" s="300">
        <f t="shared" si="3"/>
        <v>16327928</v>
      </c>
    </row>
    <row r="11" spans="2:71" x14ac:dyDescent="0.25">
      <c r="B11" s="360"/>
      <c r="C11" s="301">
        <v>0</v>
      </c>
      <c r="D11" s="302">
        <v>0</v>
      </c>
      <c r="E11" s="302">
        <v>0</v>
      </c>
      <c r="F11" s="303">
        <v>0</v>
      </c>
      <c r="G11" s="304">
        <f t="shared" si="5"/>
        <v>0</v>
      </c>
      <c r="I11" s="360"/>
      <c r="J11" s="301">
        <v>0</v>
      </c>
      <c r="K11" s="302">
        <v>0</v>
      </c>
      <c r="L11" s="302">
        <v>0</v>
      </c>
      <c r="M11" s="303">
        <v>0</v>
      </c>
      <c r="N11" s="304">
        <f t="shared" si="6"/>
        <v>0</v>
      </c>
      <c r="P11" s="360"/>
      <c r="Q11" s="301">
        <v>0</v>
      </c>
      <c r="R11" s="302">
        <v>0</v>
      </c>
      <c r="S11" s="302">
        <v>0</v>
      </c>
      <c r="T11" s="303">
        <v>0</v>
      </c>
      <c r="U11" s="305">
        <f t="shared" si="9"/>
        <v>0</v>
      </c>
      <c r="W11" s="360"/>
      <c r="X11" s="301">
        <v>0</v>
      </c>
      <c r="Y11" s="302">
        <v>0</v>
      </c>
      <c r="Z11" s="302">
        <v>0</v>
      </c>
      <c r="AA11" s="303">
        <v>0</v>
      </c>
      <c r="AB11" s="305">
        <f t="shared" si="7"/>
        <v>0</v>
      </c>
      <c r="AD11" s="360"/>
      <c r="AE11" s="301">
        <v>0</v>
      </c>
      <c r="AF11" s="302">
        <v>0</v>
      </c>
      <c r="AG11" s="302">
        <v>0</v>
      </c>
      <c r="AH11" s="303">
        <v>0</v>
      </c>
      <c r="AI11" s="305">
        <f t="shared" si="8"/>
        <v>0</v>
      </c>
      <c r="AK11" s="360"/>
      <c r="AL11" s="301">
        <v>0</v>
      </c>
      <c r="AM11" s="302">
        <v>0</v>
      </c>
      <c r="AN11" s="302">
        <v>0</v>
      </c>
      <c r="AO11" s="303">
        <v>0</v>
      </c>
      <c r="AP11" s="305">
        <f t="shared" si="4"/>
        <v>0</v>
      </c>
      <c r="AR11" s="42" t="s">
        <v>33</v>
      </c>
      <c r="AS11" s="299">
        <v>0</v>
      </c>
      <c r="AT11" s="294">
        <v>100000</v>
      </c>
      <c r="AU11" s="294">
        <v>2360000</v>
      </c>
      <c r="AV11" s="297">
        <v>0</v>
      </c>
      <c r="AW11" s="300">
        <f t="shared" si="0"/>
        <v>2460000</v>
      </c>
      <c r="AY11" s="42" t="s">
        <v>33</v>
      </c>
      <c r="AZ11" s="299">
        <v>0</v>
      </c>
      <c r="BA11" s="294">
        <v>50860</v>
      </c>
      <c r="BB11" s="294">
        <v>2593860</v>
      </c>
      <c r="BC11" s="297">
        <v>0</v>
      </c>
      <c r="BD11" s="300">
        <f t="shared" si="1"/>
        <v>2644720</v>
      </c>
      <c r="BF11" s="42" t="s">
        <v>33</v>
      </c>
      <c r="BG11" s="299">
        <v>0</v>
      </c>
      <c r="BH11" s="294">
        <v>51735</v>
      </c>
      <c r="BI11" s="294">
        <v>2948883</v>
      </c>
      <c r="BJ11" s="297">
        <v>0</v>
      </c>
      <c r="BK11" s="300">
        <f t="shared" si="2"/>
        <v>3000618</v>
      </c>
      <c r="BM11" s="42" t="s">
        <v>33</v>
      </c>
      <c r="BN11" s="299">
        <v>0</v>
      </c>
      <c r="BO11" s="294">
        <v>52625</v>
      </c>
      <c r="BP11" s="294">
        <v>3315352</v>
      </c>
      <c r="BQ11" s="297">
        <v>0</v>
      </c>
      <c r="BR11" s="300">
        <f t="shared" si="3"/>
        <v>3367977</v>
      </c>
    </row>
    <row r="12" spans="2:71" x14ac:dyDescent="0.25">
      <c r="B12" s="128" t="s">
        <v>34</v>
      </c>
      <c r="C12" s="306">
        <f>SUM(C13:C14)</f>
        <v>22651212</v>
      </c>
      <c r="D12" s="291">
        <v>0</v>
      </c>
      <c r="E12" s="291">
        <v>0</v>
      </c>
      <c r="F12" s="307">
        <v>2770568</v>
      </c>
      <c r="G12" s="307">
        <f>SUM(C12:F12)</f>
        <v>25421780</v>
      </c>
      <c r="I12" s="128" t="s">
        <v>34</v>
      </c>
      <c r="J12" s="306">
        <f>SUM(J13:J14)</f>
        <v>22651212</v>
      </c>
      <c r="K12" s="291">
        <f>SUM(K13:K14)</f>
        <v>0</v>
      </c>
      <c r="L12" s="291">
        <f>SUM(L13:L14)</f>
        <v>0</v>
      </c>
      <c r="M12" s="307">
        <v>2770568</v>
      </c>
      <c r="N12" s="307">
        <f t="shared" si="6"/>
        <v>25421780</v>
      </c>
      <c r="P12" s="128" t="s">
        <v>34</v>
      </c>
      <c r="Q12" s="306">
        <f>SUM(Q13:Q14)</f>
        <v>15615383</v>
      </c>
      <c r="R12" s="291">
        <f>SUM(R13:R14)</f>
        <v>3345600</v>
      </c>
      <c r="S12" s="291">
        <f>SUM(S13:S14)</f>
        <v>2553060</v>
      </c>
      <c r="T12" s="308">
        <v>1473641.9952222188</v>
      </c>
      <c r="U12" s="307">
        <f t="shared" si="9"/>
        <v>22987684.995222218</v>
      </c>
      <c r="W12" s="128" t="s">
        <v>34</v>
      </c>
      <c r="X12" s="306">
        <f>SUM(X13:X14)</f>
        <v>16677229.023600001</v>
      </c>
      <c r="Y12" s="291">
        <f>SUM(Y13:Y14)</f>
        <v>3573100.9600000009</v>
      </c>
      <c r="Z12" s="291">
        <f>SUM(Z13:Z14)</f>
        <v>2726668.08</v>
      </c>
      <c r="AA12" s="308">
        <v>1573849.8178973298</v>
      </c>
      <c r="AB12" s="307">
        <f t="shared" si="7"/>
        <v>24550847.881497335</v>
      </c>
      <c r="AD12" s="128" t="s">
        <v>34</v>
      </c>
      <c r="AE12" s="306">
        <f>SUM(AE13:AE14)</f>
        <v>17327640.955520399</v>
      </c>
      <c r="AF12" s="291">
        <f>SUM(AF13:AF14)</f>
        <v>3712451.8974400004</v>
      </c>
      <c r="AG12" s="291">
        <f>SUM(AG13:AG14)</f>
        <v>2833008.1351199998</v>
      </c>
      <c r="AH12" s="308">
        <v>1635229.9607953255</v>
      </c>
      <c r="AI12" s="307">
        <f t="shared" si="8"/>
        <v>25508330.948875725</v>
      </c>
      <c r="AK12" s="128" t="s">
        <v>2</v>
      </c>
      <c r="AL12" s="306">
        <f>SUM(AL13:AL14)</f>
        <v>17743504.338452891</v>
      </c>
      <c r="AM12" s="291">
        <f t="shared" ref="AM12:AN12" si="10">SUM(AM13:AM14)</f>
        <v>3801550.7429785603</v>
      </c>
      <c r="AN12" s="291">
        <f t="shared" si="10"/>
        <v>2901000.3303628797</v>
      </c>
      <c r="AO12" s="308">
        <v>1674475</v>
      </c>
      <c r="AP12" s="307">
        <f t="shared" si="4"/>
        <v>26120530.411794331</v>
      </c>
      <c r="AR12" s="6" t="s">
        <v>37</v>
      </c>
      <c r="AS12" s="306">
        <f>SUM(AS13:AS14)</f>
        <v>20424307</v>
      </c>
      <c r="AT12" s="291">
        <f>SUM(AT13:AT14)</f>
        <v>2764900</v>
      </c>
      <c r="AU12" s="291">
        <f>SUM(AU13:AU14)</f>
        <v>2308820</v>
      </c>
      <c r="AV12" s="308">
        <v>1838341</v>
      </c>
      <c r="AW12" s="307">
        <f t="shared" ref="AW12:AW29" si="11">SUM(AS12:AV12)</f>
        <v>27336368</v>
      </c>
      <c r="AY12" s="6" t="s">
        <v>492</v>
      </c>
      <c r="AZ12" s="306">
        <f>SUM(AZ13:AZ14)</f>
        <v>22519821</v>
      </c>
      <c r="BA12" s="291">
        <f>SUM(BA13:BA14)</f>
        <v>2941132</v>
      </c>
      <c r="BB12" s="291">
        <f>SUM(BB13:BB14)</f>
        <v>2459427</v>
      </c>
      <c r="BC12" s="308">
        <v>1869961</v>
      </c>
      <c r="BD12" s="307">
        <f t="shared" ref="BD12:BD29" si="12">SUM(AZ12:BC12)</f>
        <v>29790341</v>
      </c>
      <c r="BE12" s="294"/>
      <c r="BF12" s="6" t="s">
        <v>492</v>
      </c>
      <c r="BG12" s="306">
        <f>SUM(BG13:BG14)</f>
        <v>25306980</v>
      </c>
      <c r="BH12" s="291">
        <f>SUM(BH13:BH14)</f>
        <v>3086911</v>
      </c>
      <c r="BI12" s="291">
        <f>SUM(BI13:BI14)</f>
        <v>2583491</v>
      </c>
      <c r="BJ12" s="308">
        <v>1902125</v>
      </c>
      <c r="BK12" s="307">
        <f t="shared" ref="BK12:BK29" si="13">SUM(BG12:BJ12)</f>
        <v>32879507</v>
      </c>
      <c r="BL12" s="294"/>
      <c r="BM12" s="6" t="s">
        <v>492</v>
      </c>
      <c r="BN12" s="306">
        <f>SUM(BN13:BN14)</f>
        <v>27703220</v>
      </c>
      <c r="BO12" s="291">
        <f>SUM(BO13:BO14)</f>
        <v>3312615</v>
      </c>
      <c r="BP12" s="291">
        <f>SUM(BP13:BP14)</f>
        <v>2706147</v>
      </c>
      <c r="BQ12" s="308">
        <v>1934841</v>
      </c>
      <c r="BR12" s="307">
        <f t="shared" ref="BR12:BR29" si="14">SUM(BN12:BQ12)</f>
        <v>35656823</v>
      </c>
    </row>
    <row r="13" spans="2:71" x14ac:dyDescent="0.25">
      <c r="B13" s="183" t="s">
        <v>36</v>
      </c>
      <c r="C13" s="295">
        <v>15110859</v>
      </c>
      <c r="D13" s="296">
        <v>0</v>
      </c>
      <c r="E13" s="296">
        <v>0</v>
      </c>
      <c r="F13" s="297">
        <v>0</v>
      </c>
      <c r="G13" s="298">
        <f t="shared" ref="G13:G54" si="15">SUM(C13:F13)</f>
        <v>15110859</v>
      </c>
      <c r="I13" s="183" t="s">
        <v>36</v>
      </c>
      <c r="J13" s="295">
        <v>15110859</v>
      </c>
      <c r="K13" s="296">
        <v>0</v>
      </c>
      <c r="L13" s="296">
        <v>0</v>
      </c>
      <c r="M13" s="297">
        <v>0</v>
      </c>
      <c r="N13" s="298">
        <f t="shared" si="6"/>
        <v>15110859</v>
      </c>
      <c r="P13" s="183" t="s">
        <v>36</v>
      </c>
      <c r="Q13" s="299">
        <v>9511755</v>
      </c>
      <c r="R13" s="294">
        <v>2499000</v>
      </c>
      <c r="S13" s="294">
        <v>2364360</v>
      </c>
      <c r="T13" s="297">
        <v>0</v>
      </c>
      <c r="U13" s="300">
        <f t="shared" si="9"/>
        <v>14375115</v>
      </c>
      <c r="W13" s="183" t="s">
        <v>36</v>
      </c>
      <c r="X13" s="299">
        <v>10158554.34</v>
      </c>
      <c r="Y13" s="294">
        <v>2668931.7000000007</v>
      </c>
      <c r="Z13" s="294">
        <v>2525136.48</v>
      </c>
      <c r="AA13" s="297">
        <v>0</v>
      </c>
      <c r="AB13" s="300">
        <f t="shared" si="7"/>
        <v>15352622.520000001</v>
      </c>
      <c r="AD13" s="183" t="s">
        <v>36</v>
      </c>
      <c r="AE13" s="299">
        <v>10554737.95926</v>
      </c>
      <c r="AF13" s="294">
        <v>2773020.0363000003</v>
      </c>
      <c r="AG13" s="294">
        <v>2623616.8027199996</v>
      </c>
      <c r="AH13" s="297">
        <v>0</v>
      </c>
      <c r="AI13" s="300">
        <f t="shared" si="8"/>
        <v>15951374.798279999</v>
      </c>
      <c r="AK13" s="183" t="s">
        <v>36</v>
      </c>
      <c r="AL13" s="299">
        <v>10808051.670282241</v>
      </c>
      <c r="AM13" s="294">
        <v>2839572.5171712004</v>
      </c>
      <c r="AN13" s="294">
        <v>2686583.6059852797</v>
      </c>
      <c r="AO13" s="297">
        <v>0</v>
      </c>
      <c r="AP13" s="300">
        <f t="shared" si="4"/>
        <v>16334207.793438721</v>
      </c>
      <c r="AR13" s="42" t="s">
        <v>36</v>
      </c>
      <c r="AS13" s="299">
        <v>12971618</v>
      </c>
      <c r="AT13" s="294">
        <v>1744900</v>
      </c>
      <c r="AU13" s="294">
        <v>2058820</v>
      </c>
      <c r="AV13" s="297">
        <v>0</v>
      </c>
      <c r="AW13" s="300">
        <f t="shared" si="11"/>
        <v>16775338</v>
      </c>
      <c r="AX13" s="294"/>
      <c r="AY13" s="42" t="s">
        <v>36</v>
      </c>
      <c r="AZ13" s="299">
        <v>14558778</v>
      </c>
      <c r="BA13" s="294">
        <v>1852728</v>
      </c>
      <c r="BB13" s="294">
        <v>2179697</v>
      </c>
      <c r="BC13" s="297">
        <v>0</v>
      </c>
      <c r="BD13" s="300">
        <f t="shared" si="12"/>
        <v>18591203</v>
      </c>
      <c r="BF13" s="42" t="s">
        <v>36</v>
      </c>
      <c r="BG13" s="299">
        <v>16491888</v>
      </c>
      <c r="BH13" s="294">
        <v>1938399</v>
      </c>
      <c r="BI13" s="294">
        <v>2273082</v>
      </c>
      <c r="BJ13" s="297">
        <v>0</v>
      </c>
      <c r="BK13" s="300">
        <f t="shared" si="13"/>
        <v>20703369</v>
      </c>
      <c r="BM13" s="42" t="s">
        <v>36</v>
      </c>
      <c r="BN13" s="299">
        <v>18400631</v>
      </c>
      <c r="BO13" s="294">
        <v>2112773</v>
      </c>
      <c r="BP13" s="294">
        <v>2390399</v>
      </c>
      <c r="BQ13" s="297">
        <v>0</v>
      </c>
      <c r="BR13" s="300">
        <f t="shared" si="14"/>
        <v>22903803</v>
      </c>
      <c r="BS13" s="294"/>
    </row>
    <row r="14" spans="2:71" x14ac:dyDescent="0.25">
      <c r="B14" s="183" t="s">
        <v>38</v>
      </c>
      <c r="C14" s="295">
        <v>7540353</v>
      </c>
      <c r="D14" s="296">
        <v>0</v>
      </c>
      <c r="E14" s="296">
        <v>0</v>
      </c>
      <c r="F14" s="297">
        <v>0</v>
      </c>
      <c r="G14" s="298">
        <f t="shared" si="15"/>
        <v>7540353</v>
      </c>
      <c r="I14" s="183" t="s">
        <v>38</v>
      </c>
      <c r="J14" s="295">
        <v>7540353</v>
      </c>
      <c r="K14" s="296">
        <v>0</v>
      </c>
      <c r="L14" s="296">
        <v>0</v>
      </c>
      <c r="M14" s="297">
        <v>0</v>
      </c>
      <c r="N14" s="298">
        <f t="shared" si="6"/>
        <v>7540353</v>
      </c>
      <c r="P14" s="183" t="s">
        <v>38</v>
      </c>
      <c r="Q14" s="299">
        <v>6103628</v>
      </c>
      <c r="R14" s="294">
        <v>846600</v>
      </c>
      <c r="S14" s="294">
        <v>188700</v>
      </c>
      <c r="T14" s="297">
        <v>0</v>
      </c>
      <c r="U14" s="300">
        <f t="shared" si="9"/>
        <v>7138928</v>
      </c>
      <c r="W14" s="183" t="s">
        <v>38</v>
      </c>
      <c r="X14" s="299">
        <v>6518674.6836000001</v>
      </c>
      <c r="Y14" s="294">
        <v>904169.26</v>
      </c>
      <c r="Z14" s="294">
        <v>201531.6</v>
      </c>
      <c r="AA14" s="297">
        <v>0</v>
      </c>
      <c r="AB14" s="300">
        <f t="shared" si="7"/>
        <v>7624375.5435999995</v>
      </c>
      <c r="AD14" s="183" t="s">
        <v>38</v>
      </c>
      <c r="AE14" s="299">
        <v>6772902.9962603999</v>
      </c>
      <c r="AF14" s="294">
        <v>939431.86113999994</v>
      </c>
      <c r="AG14" s="294">
        <v>209391.33239999998</v>
      </c>
      <c r="AH14" s="297">
        <v>0</v>
      </c>
      <c r="AI14" s="300">
        <f t="shared" si="8"/>
        <v>7921726.1898003994</v>
      </c>
      <c r="AK14" s="183" t="s">
        <v>38</v>
      </c>
      <c r="AL14" s="299">
        <v>6935452.6681706496</v>
      </c>
      <c r="AM14" s="294">
        <v>961978.22580735991</v>
      </c>
      <c r="AN14" s="294">
        <v>214416.72437759998</v>
      </c>
      <c r="AO14" s="297">
        <v>0</v>
      </c>
      <c r="AP14" s="300">
        <f t="shared" si="4"/>
        <v>8111847.6183556085</v>
      </c>
      <c r="AR14" s="42" t="s">
        <v>38</v>
      </c>
      <c r="AS14" s="299">
        <v>7452689</v>
      </c>
      <c r="AT14" s="294">
        <v>1020000</v>
      </c>
      <c r="AU14" s="294">
        <v>250000</v>
      </c>
      <c r="AV14" s="297">
        <v>0</v>
      </c>
      <c r="AW14" s="300">
        <f t="shared" si="11"/>
        <v>8722689</v>
      </c>
      <c r="AY14" s="42" t="s">
        <v>38</v>
      </c>
      <c r="AZ14" s="299">
        <v>7961043</v>
      </c>
      <c r="BA14" s="294">
        <v>1088404</v>
      </c>
      <c r="BB14" s="294">
        <v>279730</v>
      </c>
      <c r="BC14" s="297">
        <v>0</v>
      </c>
      <c r="BD14" s="300">
        <f t="shared" si="12"/>
        <v>9329177</v>
      </c>
      <c r="BF14" s="42" t="s">
        <v>38</v>
      </c>
      <c r="BG14" s="299">
        <v>8815092</v>
      </c>
      <c r="BH14" s="294">
        <v>1148512</v>
      </c>
      <c r="BI14" s="294">
        <v>310409</v>
      </c>
      <c r="BJ14" s="297">
        <v>0</v>
      </c>
      <c r="BK14" s="300">
        <f t="shared" si="13"/>
        <v>10274013</v>
      </c>
      <c r="BM14" s="42" t="s">
        <v>38</v>
      </c>
      <c r="BN14" s="299">
        <v>9302589</v>
      </c>
      <c r="BO14" s="294">
        <v>1199842</v>
      </c>
      <c r="BP14" s="294">
        <v>315748</v>
      </c>
      <c r="BQ14" s="297">
        <v>0</v>
      </c>
      <c r="BR14" s="300">
        <f t="shared" si="14"/>
        <v>10818179</v>
      </c>
    </row>
    <row r="15" spans="2:71" x14ac:dyDescent="0.25">
      <c r="B15" s="128" t="s">
        <v>3</v>
      </c>
      <c r="C15" s="306">
        <f>SUM(C16:C19)</f>
        <v>25228652</v>
      </c>
      <c r="D15" s="291">
        <v>0</v>
      </c>
      <c r="E15" s="291">
        <v>0</v>
      </c>
      <c r="F15" s="307">
        <v>4937438</v>
      </c>
      <c r="G15" s="307">
        <f t="shared" si="15"/>
        <v>30166090</v>
      </c>
      <c r="I15" s="128" t="s">
        <v>3</v>
      </c>
      <c r="J15" s="306">
        <f>SUM(J16:J19)</f>
        <v>25228652</v>
      </c>
      <c r="K15" s="291">
        <f>SUM(K16:K19)</f>
        <v>0</v>
      </c>
      <c r="L15" s="291">
        <f>SUM(L16:L19)</f>
        <v>0</v>
      </c>
      <c r="M15" s="307">
        <v>4937438</v>
      </c>
      <c r="N15" s="307">
        <f t="shared" si="6"/>
        <v>30166090</v>
      </c>
      <c r="P15" s="128" t="s">
        <v>3</v>
      </c>
      <c r="Q15" s="306">
        <f>SUM(Q16:Q21)</f>
        <v>17931274.008000001</v>
      </c>
      <c r="R15" s="291">
        <f>SUM(R16:R21)</f>
        <v>1233077.71</v>
      </c>
      <c r="S15" s="291">
        <f>SUM(S16:S21)</f>
        <v>2354815.2800000003</v>
      </c>
      <c r="T15" s="308">
        <f>3743607.9982888+T20</f>
        <v>3743607.9982888</v>
      </c>
      <c r="U15" s="307">
        <f t="shared" si="9"/>
        <v>25262774.996288802</v>
      </c>
      <c r="W15" s="128" t="s">
        <v>3</v>
      </c>
      <c r="X15" s="306">
        <f>SUM(X16:X21)</f>
        <v>19150600.640544001</v>
      </c>
      <c r="Y15" s="291">
        <f>SUM(Y16:Y21)</f>
        <v>1316927.2600800002</v>
      </c>
      <c r="Z15" s="291">
        <f>SUM(Z16:Z21)</f>
        <v>2428392.7190400008</v>
      </c>
      <c r="AA15" s="308">
        <f>3942934.58467452+AA20</f>
        <v>3942934.58467452</v>
      </c>
      <c r="AB15" s="307">
        <f t="shared" si="7"/>
        <v>26838855.204338517</v>
      </c>
      <c r="AD15" s="128" t="s">
        <v>3</v>
      </c>
      <c r="AE15" s="306">
        <f>SUM(AE16:AE21)</f>
        <v>19897474.065525219</v>
      </c>
      <c r="AF15" s="291">
        <f>SUM(AF16:AF21)</f>
        <v>1368287.4232231202</v>
      </c>
      <c r="AG15" s="291">
        <f>SUM(AG16:AG21)</f>
        <v>2523100.0350825605</v>
      </c>
      <c r="AH15" s="308">
        <f>4096709.03347682</f>
        <v>4096709.0334768202</v>
      </c>
      <c r="AI15" s="307">
        <f t="shared" si="8"/>
        <v>27885570.55730772</v>
      </c>
      <c r="AK15" s="128" t="s">
        <v>3</v>
      </c>
      <c r="AL15" s="306">
        <f>SUM(AL16:AL21)</f>
        <v>20375013.443097822</v>
      </c>
      <c r="AM15" s="291">
        <f>SUM(AM16:AM21)</f>
        <v>1401126.3213804751</v>
      </c>
      <c r="AN15" s="291">
        <f>SUM(AN16:AN21)</f>
        <v>2583654.4359245421</v>
      </c>
      <c r="AO15" s="308">
        <f>4195030</f>
        <v>4195030</v>
      </c>
      <c r="AP15" s="307">
        <f t="shared" si="4"/>
        <v>28554824.200402837</v>
      </c>
      <c r="AR15" s="6" t="s">
        <v>42</v>
      </c>
      <c r="AS15" s="306">
        <f>SUM(AS16:AS23)</f>
        <v>32580678</v>
      </c>
      <c r="AT15" s="291">
        <f>SUM(AT16:AT23)</f>
        <v>2127000</v>
      </c>
      <c r="AU15" s="291">
        <f>SUM(AU16:AU23)</f>
        <v>2813206</v>
      </c>
      <c r="AV15" s="308">
        <v>5527149</v>
      </c>
      <c r="AW15" s="307">
        <f t="shared" si="11"/>
        <v>43048033</v>
      </c>
      <c r="AY15" s="6" t="s">
        <v>493</v>
      </c>
      <c r="AZ15" s="306">
        <f>SUM(AZ16:AZ23)</f>
        <v>37445454</v>
      </c>
      <c r="BA15" s="291">
        <f>SUM(BA16:BA23)</f>
        <v>2163584</v>
      </c>
      <c r="BB15" s="291">
        <f>SUM(BB16:BB23)</f>
        <v>3237076</v>
      </c>
      <c r="BC15" s="308">
        <v>5622215</v>
      </c>
      <c r="BD15" s="307">
        <f t="shared" si="12"/>
        <v>48468329</v>
      </c>
      <c r="BE15" s="294"/>
      <c r="BF15" s="6" t="s">
        <v>493</v>
      </c>
      <c r="BG15" s="306">
        <f>SUM(BG16:BG23)</f>
        <v>41035499</v>
      </c>
      <c r="BH15" s="291">
        <f>SUM(BH16:BH23)</f>
        <v>2200799</v>
      </c>
      <c r="BI15" s="291">
        <f>SUM(BI16:BI23)</f>
        <v>3498699</v>
      </c>
      <c r="BJ15" s="308">
        <v>5718918</v>
      </c>
      <c r="BK15" s="307">
        <f t="shared" si="13"/>
        <v>52453915</v>
      </c>
      <c r="BL15" s="294"/>
      <c r="BM15" s="6" t="s">
        <v>493</v>
      </c>
      <c r="BN15" s="306">
        <f>SUM(BN16:BN23)</f>
        <v>44068148</v>
      </c>
      <c r="BO15" s="291">
        <f>SUM(BO16:BO23)</f>
        <v>2238653</v>
      </c>
      <c r="BP15" s="291">
        <f>SUM(BP16:BP23)</f>
        <v>3713330</v>
      </c>
      <c r="BQ15" s="308">
        <v>5817283</v>
      </c>
      <c r="BR15" s="307">
        <f t="shared" si="14"/>
        <v>55837414</v>
      </c>
    </row>
    <row r="16" spans="2:71" x14ac:dyDescent="0.25">
      <c r="B16" s="183" t="s">
        <v>39</v>
      </c>
      <c r="C16" s="295">
        <v>8305957</v>
      </c>
      <c r="D16" s="296">
        <v>0</v>
      </c>
      <c r="E16" s="296">
        <v>0</v>
      </c>
      <c r="F16" s="297">
        <v>0</v>
      </c>
      <c r="G16" s="298">
        <f t="shared" si="15"/>
        <v>8305957</v>
      </c>
      <c r="I16" s="183" t="s">
        <v>39</v>
      </c>
      <c r="J16" s="295">
        <v>8305957</v>
      </c>
      <c r="K16" s="296">
        <v>0</v>
      </c>
      <c r="L16" s="296">
        <v>0</v>
      </c>
      <c r="M16" s="297">
        <v>0</v>
      </c>
      <c r="N16" s="298">
        <f t="shared" si="6"/>
        <v>8305957</v>
      </c>
      <c r="P16" s="183" t="s">
        <v>39</v>
      </c>
      <c r="Q16" s="299">
        <v>10944600</v>
      </c>
      <c r="R16" s="294">
        <v>619650</v>
      </c>
      <c r="S16" s="294">
        <v>331580</v>
      </c>
      <c r="T16" s="297">
        <v>0</v>
      </c>
      <c r="U16" s="300">
        <f t="shared" si="9"/>
        <v>11895830</v>
      </c>
      <c r="W16" s="183" t="s">
        <v>39</v>
      </c>
      <c r="X16" s="299">
        <v>11688832.800000001</v>
      </c>
      <c r="Y16" s="294">
        <v>661786.19999999995</v>
      </c>
      <c r="Z16" s="294">
        <v>267577.44</v>
      </c>
      <c r="AA16" s="297">
        <v>0</v>
      </c>
      <c r="AB16" s="300">
        <f t="shared" si="7"/>
        <v>12618196.439999999</v>
      </c>
      <c r="AD16" s="183" t="s">
        <v>39</v>
      </c>
      <c r="AE16" s="299">
        <v>12144697.279200001</v>
      </c>
      <c r="AF16" s="294">
        <v>687595.86179999996</v>
      </c>
      <c r="AG16" s="294">
        <v>278012.96016000002</v>
      </c>
      <c r="AH16" s="297">
        <v>0</v>
      </c>
      <c r="AI16" s="300">
        <f t="shared" si="8"/>
        <v>13110306.101160001</v>
      </c>
      <c r="AK16" s="183" t="s">
        <v>39</v>
      </c>
      <c r="AL16" s="299">
        <v>12436170.013900802</v>
      </c>
      <c r="AM16" s="294">
        <v>704098.16248319997</v>
      </c>
      <c r="AN16" s="294">
        <v>284685.27120384004</v>
      </c>
      <c r="AO16" s="297">
        <v>0</v>
      </c>
      <c r="AP16" s="300">
        <f t="shared" si="4"/>
        <v>13424953.447587842</v>
      </c>
      <c r="AR16" s="42" t="s">
        <v>39</v>
      </c>
      <c r="AS16" s="299">
        <v>13883782</v>
      </c>
      <c r="AT16" s="294">
        <v>639500</v>
      </c>
      <c r="AU16" s="294">
        <v>276500</v>
      </c>
      <c r="AV16" s="297">
        <v>0</v>
      </c>
      <c r="AW16" s="300">
        <f t="shared" si="11"/>
        <v>14799782</v>
      </c>
      <c r="AX16" s="294"/>
      <c r="AY16" s="42" t="s">
        <v>39</v>
      </c>
      <c r="AZ16" s="299">
        <v>16367318</v>
      </c>
      <c r="BA16" s="294">
        <v>650499</v>
      </c>
      <c r="BB16" s="294">
        <v>334405</v>
      </c>
      <c r="BC16" s="297">
        <v>0</v>
      </c>
      <c r="BD16" s="300">
        <f t="shared" si="12"/>
        <v>17352222</v>
      </c>
      <c r="BF16" s="42" t="s">
        <v>39</v>
      </c>
      <c r="BG16" s="299">
        <v>18081220</v>
      </c>
      <c r="BH16" s="294">
        <v>661688</v>
      </c>
      <c r="BI16" s="294">
        <v>380768</v>
      </c>
      <c r="BJ16" s="297">
        <v>0</v>
      </c>
      <c r="BK16" s="300">
        <f t="shared" si="13"/>
        <v>19123676</v>
      </c>
      <c r="BM16" s="42" t="s">
        <v>39</v>
      </c>
      <c r="BN16" s="299">
        <v>19689958</v>
      </c>
      <c r="BO16" s="294">
        <v>673069</v>
      </c>
      <c r="BP16" s="294">
        <v>421260</v>
      </c>
      <c r="BQ16" s="297">
        <v>0</v>
      </c>
      <c r="BR16" s="300">
        <f t="shared" si="14"/>
        <v>20784287</v>
      </c>
    </row>
    <row r="17" spans="2:71" x14ac:dyDescent="0.25">
      <c r="B17" s="183" t="s">
        <v>41</v>
      </c>
      <c r="C17" s="295">
        <v>9472114</v>
      </c>
      <c r="D17" s="296">
        <v>0</v>
      </c>
      <c r="E17" s="296">
        <v>0</v>
      </c>
      <c r="F17" s="297">
        <v>0</v>
      </c>
      <c r="G17" s="298">
        <f t="shared" si="15"/>
        <v>9472114</v>
      </c>
      <c r="I17" s="183" t="s">
        <v>41</v>
      </c>
      <c r="J17" s="295">
        <v>9472114</v>
      </c>
      <c r="K17" s="296">
        <v>0</v>
      </c>
      <c r="L17" s="296">
        <v>0</v>
      </c>
      <c r="M17" s="297">
        <v>0</v>
      </c>
      <c r="N17" s="298">
        <f t="shared" si="6"/>
        <v>9472114</v>
      </c>
      <c r="P17" s="183" t="s">
        <v>41</v>
      </c>
      <c r="Q17" s="299">
        <v>2140029.36</v>
      </c>
      <c r="R17" s="294">
        <v>133007.64000000001</v>
      </c>
      <c r="S17" s="294">
        <v>163200</v>
      </c>
      <c r="T17" s="297">
        <v>0</v>
      </c>
      <c r="U17" s="300">
        <f t="shared" si="9"/>
        <v>2436237</v>
      </c>
      <c r="W17" s="183" t="s">
        <v>41</v>
      </c>
      <c r="X17" s="299">
        <v>2285551.3564800005</v>
      </c>
      <c r="Y17" s="294">
        <v>142052.41672000004</v>
      </c>
      <c r="Z17" s="294">
        <v>174297.60000000003</v>
      </c>
      <c r="AA17" s="297">
        <v>0</v>
      </c>
      <c r="AB17" s="300">
        <f t="shared" si="7"/>
        <v>2601901.3732000007</v>
      </c>
      <c r="AD17" s="183" t="s">
        <v>41</v>
      </c>
      <c r="AE17" s="299">
        <v>2374687.8593827202</v>
      </c>
      <c r="AF17" s="294">
        <v>147592.46097208004</v>
      </c>
      <c r="AG17" s="294">
        <v>181095.20640000002</v>
      </c>
      <c r="AH17" s="297">
        <v>0</v>
      </c>
      <c r="AI17" s="300">
        <f t="shared" si="8"/>
        <v>2703375.5267548002</v>
      </c>
      <c r="AK17" s="183" t="s">
        <v>41</v>
      </c>
      <c r="AL17" s="299">
        <v>2431680.3680079053</v>
      </c>
      <c r="AM17" s="294">
        <v>151134.68003540995</v>
      </c>
      <c r="AN17" s="294">
        <v>185441.49135360002</v>
      </c>
      <c r="AO17" s="297">
        <v>0</v>
      </c>
      <c r="AP17" s="300">
        <f t="shared" si="4"/>
        <v>2768256.5393969151</v>
      </c>
      <c r="AR17" s="42" t="s">
        <v>45</v>
      </c>
      <c r="AS17" s="299">
        <v>3934086</v>
      </c>
      <c r="AT17" s="294">
        <v>463500</v>
      </c>
      <c r="AU17" s="294">
        <v>455600</v>
      </c>
      <c r="AV17" s="297">
        <v>0</v>
      </c>
      <c r="AW17" s="300">
        <f t="shared" si="11"/>
        <v>4853186</v>
      </c>
      <c r="AY17" s="42" t="s">
        <v>45</v>
      </c>
      <c r="AZ17" s="299">
        <v>4432296</v>
      </c>
      <c r="BA17" s="294">
        <v>471472</v>
      </c>
      <c r="BB17" s="294">
        <v>514296</v>
      </c>
      <c r="BC17" s="297">
        <v>0</v>
      </c>
      <c r="BD17" s="300">
        <f t="shared" si="12"/>
        <v>5418064</v>
      </c>
      <c r="BF17" s="42" t="s">
        <v>45</v>
      </c>
      <c r="BG17" s="299">
        <v>4969196</v>
      </c>
      <c r="BH17" s="294">
        <v>479582</v>
      </c>
      <c r="BI17" s="294">
        <v>575291</v>
      </c>
      <c r="BJ17" s="297">
        <v>0</v>
      </c>
      <c r="BK17" s="300">
        <f t="shared" si="13"/>
        <v>6024069</v>
      </c>
      <c r="BM17" s="42" t="s">
        <v>45</v>
      </c>
      <c r="BN17" s="299">
        <v>5320426</v>
      </c>
      <c r="BO17" s="294">
        <v>487830</v>
      </c>
      <c r="BP17" s="294">
        <v>614445</v>
      </c>
      <c r="BQ17" s="297">
        <v>0</v>
      </c>
      <c r="BR17" s="300">
        <f t="shared" si="14"/>
        <v>6422701</v>
      </c>
      <c r="BS17" s="294"/>
    </row>
    <row r="18" spans="2:71" x14ac:dyDescent="0.25">
      <c r="B18" s="183" t="s">
        <v>43</v>
      </c>
      <c r="C18" s="295">
        <v>7450581</v>
      </c>
      <c r="D18" s="296">
        <v>0</v>
      </c>
      <c r="E18" s="296">
        <v>0</v>
      </c>
      <c r="F18" s="297">
        <v>0</v>
      </c>
      <c r="G18" s="298">
        <f t="shared" si="15"/>
        <v>7450581</v>
      </c>
      <c r="I18" s="183" t="s">
        <v>43</v>
      </c>
      <c r="J18" s="295">
        <v>7450581</v>
      </c>
      <c r="K18" s="296">
        <v>0</v>
      </c>
      <c r="L18" s="296">
        <v>0</v>
      </c>
      <c r="M18" s="297">
        <v>0</v>
      </c>
      <c r="N18" s="298">
        <f t="shared" si="6"/>
        <v>7450581</v>
      </c>
      <c r="P18" s="183" t="s">
        <v>43</v>
      </c>
      <c r="Q18" s="299">
        <v>4326362.6399999997</v>
      </c>
      <c r="R18" s="294">
        <v>276420.36</v>
      </c>
      <c r="S18" s="294">
        <v>163200</v>
      </c>
      <c r="T18" s="297">
        <v>0</v>
      </c>
      <c r="U18" s="300">
        <f t="shared" si="9"/>
        <v>4765983</v>
      </c>
      <c r="W18" s="183" t="s">
        <v>43</v>
      </c>
      <c r="X18" s="299">
        <v>4620555.2995200008</v>
      </c>
      <c r="Y18" s="294">
        <v>295216.28728000005</v>
      </c>
      <c r="Z18" s="294">
        <v>174297.60000000001</v>
      </c>
      <c r="AA18" s="297">
        <v>0</v>
      </c>
      <c r="AB18" s="300">
        <f t="shared" si="7"/>
        <v>5090069.1868000003</v>
      </c>
      <c r="AD18" s="183" t="s">
        <v>43</v>
      </c>
      <c r="AE18" s="299">
        <v>4800756.9562012805</v>
      </c>
      <c r="AF18" s="294">
        <v>306729.72248392005</v>
      </c>
      <c r="AG18" s="294">
        <v>181095.20639999997</v>
      </c>
      <c r="AH18" s="297">
        <v>0</v>
      </c>
      <c r="AI18" s="300">
        <f t="shared" si="8"/>
        <v>5288581.8850852</v>
      </c>
      <c r="AK18" s="183" t="s">
        <v>43</v>
      </c>
      <c r="AL18" s="299">
        <v>4915975.1231501112</v>
      </c>
      <c r="AM18" s="294">
        <v>314091.23582353414</v>
      </c>
      <c r="AN18" s="294">
        <v>185441.49135359997</v>
      </c>
      <c r="AO18" s="297">
        <v>0</v>
      </c>
      <c r="AP18" s="300">
        <f t="shared" si="4"/>
        <v>5415507.8503272459</v>
      </c>
      <c r="AR18" s="42" t="s">
        <v>47</v>
      </c>
      <c r="AS18" s="299">
        <v>10023833</v>
      </c>
      <c r="AT18" s="294">
        <v>411500</v>
      </c>
      <c r="AU18" s="294">
        <v>516800</v>
      </c>
      <c r="AV18" s="297">
        <v>0</v>
      </c>
      <c r="AW18" s="300">
        <f t="shared" si="11"/>
        <v>10952133</v>
      </c>
      <c r="AY18" s="42" t="s">
        <v>47</v>
      </c>
      <c r="AZ18" s="299">
        <v>11328015</v>
      </c>
      <c r="BA18" s="294">
        <v>418578</v>
      </c>
      <c r="BB18" s="294">
        <v>607675</v>
      </c>
      <c r="BC18" s="297">
        <v>0</v>
      </c>
      <c r="BD18" s="300">
        <f t="shared" si="12"/>
        <v>12354268</v>
      </c>
      <c r="BF18" s="42" t="s">
        <v>47</v>
      </c>
      <c r="BG18" s="299">
        <v>12166684</v>
      </c>
      <c r="BH18" s="294">
        <v>425778</v>
      </c>
      <c r="BI18" s="294">
        <v>654756</v>
      </c>
      <c r="BJ18" s="297">
        <v>0</v>
      </c>
      <c r="BK18" s="300">
        <f t="shared" si="13"/>
        <v>13247218</v>
      </c>
      <c r="BM18" s="42" t="s">
        <v>47</v>
      </c>
      <c r="BN18" s="299">
        <v>12756070</v>
      </c>
      <c r="BO18" s="294">
        <v>433101</v>
      </c>
      <c r="BP18" s="294">
        <v>691067</v>
      </c>
      <c r="BQ18" s="297">
        <v>0</v>
      </c>
      <c r="BR18" s="300">
        <f t="shared" si="14"/>
        <v>13880238</v>
      </c>
    </row>
    <row r="19" spans="2:71" ht="14.25" x14ac:dyDescent="0.25">
      <c r="B19" s="183" t="s">
        <v>223</v>
      </c>
      <c r="C19" s="295">
        <v>0</v>
      </c>
      <c r="D19" s="296">
        <v>0</v>
      </c>
      <c r="E19" s="296">
        <v>0</v>
      </c>
      <c r="F19" s="297">
        <v>0</v>
      </c>
      <c r="G19" s="300">
        <f t="shared" si="15"/>
        <v>0</v>
      </c>
      <c r="I19" s="183" t="s">
        <v>223</v>
      </c>
      <c r="J19" s="295">
        <v>0</v>
      </c>
      <c r="K19" s="296">
        <v>0</v>
      </c>
      <c r="L19" s="296">
        <v>0</v>
      </c>
      <c r="M19" s="297">
        <v>0</v>
      </c>
      <c r="N19" s="300">
        <f t="shared" si="6"/>
        <v>0</v>
      </c>
      <c r="P19" s="183" t="s">
        <v>44</v>
      </c>
      <c r="Q19" s="299">
        <v>520282.00799999997</v>
      </c>
      <c r="R19" s="294">
        <v>203999.71000000002</v>
      </c>
      <c r="S19" s="294">
        <v>1696835.2800000003</v>
      </c>
      <c r="T19" s="297">
        <v>0</v>
      </c>
      <c r="U19" s="300">
        <f t="shared" si="9"/>
        <v>2421116.9980000001</v>
      </c>
      <c r="W19" s="183" t="s">
        <v>44</v>
      </c>
      <c r="X19" s="299">
        <v>555661.18454399996</v>
      </c>
      <c r="Y19" s="294">
        <v>217872.35608</v>
      </c>
      <c r="Z19" s="294">
        <v>1812220.0790400007</v>
      </c>
      <c r="AA19" s="297">
        <v>0</v>
      </c>
      <c r="AB19" s="300">
        <f t="shared" si="7"/>
        <v>2585753.6196640003</v>
      </c>
      <c r="AD19" s="183" t="s">
        <v>44</v>
      </c>
      <c r="AE19" s="299">
        <v>577331.97074121586</v>
      </c>
      <c r="AF19" s="294">
        <v>226369.37796712003</v>
      </c>
      <c r="AG19" s="294">
        <v>1882896.6621225604</v>
      </c>
      <c r="AH19" s="297">
        <v>0</v>
      </c>
      <c r="AI19" s="300">
        <f t="shared" si="8"/>
        <v>2686598.0108308964</v>
      </c>
      <c r="AK19" s="183" t="s">
        <v>44</v>
      </c>
      <c r="AL19" s="299">
        <v>591187.93803900504</v>
      </c>
      <c r="AM19" s="294">
        <v>231802.24303833093</v>
      </c>
      <c r="AN19" s="294">
        <v>1928086.1820135019</v>
      </c>
      <c r="AO19" s="297">
        <v>0</v>
      </c>
      <c r="AP19" s="300">
        <f t="shared" si="4"/>
        <v>2751076.3630908378</v>
      </c>
      <c r="AR19" s="42" t="s">
        <v>48</v>
      </c>
      <c r="AS19" s="299">
        <v>2114178</v>
      </c>
      <c r="AT19" s="294">
        <v>367500</v>
      </c>
      <c r="AU19" s="294">
        <v>875500</v>
      </c>
      <c r="AV19" s="297">
        <v>0</v>
      </c>
      <c r="AW19" s="300">
        <f t="shared" si="11"/>
        <v>3357178</v>
      </c>
      <c r="AY19" s="42" t="s">
        <v>48</v>
      </c>
      <c r="AZ19" s="299">
        <v>2480745</v>
      </c>
      <c r="BA19" s="294">
        <v>373821</v>
      </c>
      <c r="BB19" s="294">
        <v>1056362</v>
      </c>
      <c r="BC19" s="297">
        <v>0</v>
      </c>
      <c r="BD19" s="300">
        <f t="shared" si="12"/>
        <v>3910928</v>
      </c>
      <c r="BF19" s="42" t="s">
        <v>48</v>
      </c>
      <c r="BG19" s="299">
        <v>2783877</v>
      </c>
      <c r="BH19" s="294">
        <v>380250</v>
      </c>
      <c r="BI19" s="294">
        <v>1157824</v>
      </c>
      <c r="BJ19" s="297">
        <v>0</v>
      </c>
      <c r="BK19" s="300">
        <f t="shared" si="13"/>
        <v>4321951</v>
      </c>
      <c r="BM19" s="42" t="s">
        <v>48</v>
      </c>
      <c r="BN19" s="299">
        <v>2980583</v>
      </c>
      <c r="BO19" s="294">
        <v>386791</v>
      </c>
      <c r="BP19" s="294">
        <v>1241120</v>
      </c>
      <c r="BQ19" s="297">
        <v>0</v>
      </c>
      <c r="BR19" s="300">
        <f t="shared" si="14"/>
        <v>4608494</v>
      </c>
    </row>
    <row r="20" spans="2:71" x14ac:dyDescent="0.25">
      <c r="B20" s="360"/>
      <c r="C20" s="301">
        <v>0</v>
      </c>
      <c r="D20" s="302">
        <v>0</v>
      </c>
      <c r="E20" s="302">
        <v>0</v>
      </c>
      <c r="F20" s="303">
        <v>0</v>
      </c>
      <c r="G20" s="304">
        <f t="shared" si="15"/>
        <v>0</v>
      </c>
      <c r="I20" s="360"/>
      <c r="J20" s="301">
        <v>0</v>
      </c>
      <c r="K20" s="302">
        <v>0</v>
      </c>
      <c r="L20" s="302">
        <v>0</v>
      </c>
      <c r="M20" s="303">
        <v>0</v>
      </c>
      <c r="N20" s="304">
        <f t="shared" si="6"/>
        <v>0</v>
      </c>
      <c r="P20" s="360"/>
      <c r="Q20" s="301">
        <v>0</v>
      </c>
      <c r="R20" s="302">
        <v>0</v>
      </c>
      <c r="S20" s="302">
        <v>0</v>
      </c>
      <c r="T20" s="303">
        <v>0</v>
      </c>
      <c r="U20" s="304">
        <f t="shared" si="9"/>
        <v>0</v>
      </c>
      <c r="W20" s="360"/>
      <c r="X20" s="301">
        <v>0</v>
      </c>
      <c r="Y20" s="302">
        <v>0</v>
      </c>
      <c r="Z20" s="302">
        <v>0</v>
      </c>
      <c r="AA20" s="303">
        <v>0</v>
      </c>
      <c r="AB20" s="304">
        <f t="shared" si="7"/>
        <v>0</v>
      </c>
      <c r="AD20" s="360"/>
      <c r="AE20" s="301">
        <v>0</v>
      </c>
      <c r="AF20" s="302">
        <v>0</v>
      </c>
      <c r="AG20" s="302">
        <v>0</v>
      </c>
      <c r="AH20" s="303">
        <v>0</v>
      </c>
      <c r="AI20" s="304">
        <f t="shared" si="8"/>
        <v>0</v>
      </c>
      <c r="AK20" s="360"/>
      <c r="AL20" s="301">
        <v>0</v>
      </c>
      <c r="AM20" s="302">
        <v>0</v>
      </c>
      <c r="AN20" s="302">
        <v>0</v>
      </c>
      <c r="AO20" s="303">
        <v>0</v>
      </c>
      <c r="AP20" s="304">
        <f t="shared" si="4"/>
        <v>0</v>
      </c>
      <c r="AR20" s="42" t="s">
        <v>49</v>
      </c>
      <c r="AS20" s="299">
        <v>246930</v>
      </c>
      <c r="AT20" s="294">
        <v>100000</v>
      </c>
      <c r="AU20" s="294">
        <v>226000</v>
      </c>
      <c r="AV20" s="297">
        <v>0</v>
      </c>
      <c r="AW20" s="300">
        <f t="shared" si="11"/>
        <v>572930</v>
      </c>
      <c r="AY20" s="42" t="s">
        <v>49</v>
      </c>
      <c r="AZ20" s="299">
        <v>374254</v>
      </c>
      <c r="BA20" s="294">
        <v>101720</v>
      </c>
      <c r="BB20" s="294">
        <v>247180</v>
      </c>
      <c r="BC20" s="297">
        <v>0</v>
      </c>
      <c r="BD20" s="300">
        <f t="shared" si="12"/>
        <v>723154</v>
      </c>
      <c r="BF20" s="42" t="s">
        <v>49</v>
      </c>
      <c r="BG20" s="299">
        <v>403278</v>
      </c>
      <c r="BH20" s="294">
        <v>103470</v>
      </c>
      <c r="BI20" s="294">
        <v>239325</v>
      </c>
      <c r="BJ20" s="297">
        <v>0</v>
      </c>
      <c r="BK20" s="300">
        <f t="shared" si="13"/>
        <v>746073</v>
      </c>
      <c r="BM20" s="42" t="s">
        <v>49</v>
      </c>
      <c r="BN20" s="299">
        <v>452477</v>
      </c>
      <c r="BO20" s="294">
        <v>105250</v>
      </c>
      <c r="BP20" s="294">
        <v>238564</v>
      </c>
      <c r="BQ20" s="297">
        <v>0</v>
      </c>
      <c r="BR20" s="300">
        <f t="shared" si="14"/>
        <v>796291</v>
      </c>
    </row>
    <row r="21" spans="2:71" x14ac:dyDescent="0.25">
      <c r="B21" s="360"/>
      <c r="C21" s="302">
        <v>0</v>
      </c>
      <c r="D21" s="302">
        <v>0</v>
      </c>
      <c r="E21" s="302">
        <v>0</v>
      </c>
      <c r="F21" s="303">
        <v>0</v>
      </c>
      <c r="G21" s="304">
        <f t="shared" si="15"/>
        <v>0</v>
      </c>
      <c r="I21" s="360"/>
      <c r="J21" s="302">
        <v>0</v>
      </c>
      <c r="K21" s="302">
        <v>0</v>
      </c>
      <c r="L21" s="302">
        <v>0</v>
      </c>
      <c r="M21" s="303">
        <v>0</v>
      </c>
      <c r="N21" s="304">
        <f t="shared" si="6"/>
        <v>0</v>
      </c>
      <c r="P21" s="360"/>
      <c r="Q21" s="302">
        <v>0</v>
      </c>
      <c r="R21" s="302">
        <v>0</v>
      </c>
      <c r="S21" s="302">
        <v>0</v>
      </c>
      <c r="T21" s="303">
        <v>0</v>
      </c>
      <c r="U21" s="304">
        <f t="shared" si="9"/>
        <v>0</v>
      </c>
      <c r="W21" s="360"/>
      <c r="X21" s="302">
        <v>0</v>
      </c>
      <c r="Y21" s="302">
        <v>0</v>
      </c>
      <c r="Z21" s="302">
        <v>0</v>
      </c>
      <c r="AA21" s="303">
        <v>0</v>
      </c>
      <c r="AB21" s="304">
        <f t="shared" si="7"/>
        <v>0</v>
      </c>
      <c r="AD21" s="360"/>
      <c r="AE21" s="302">
        <v>0</v>
      </c>
      <c r="AF21" s="302">
        <v>0</v>
      </c>
      <c r="AG21" s="302">
        <v>0</v>
      </c>
      <c r="AH21" s="303">
        <v>0</v>
      </c>
      <c r="AI21" s="304">
        <f t="shared" si="8"/>
        <v>0</v>
      </c>
      <c r="AK21" s="360"/>
      <c r="AL21" s="302">
        <v>0</v>
      </c>
      <c r="AM21" s="302">
        <v>0</v>
      </c>
      <c r="AN21" s="302">
        <v>0</v>
      </c>
      <c r="AO21" s="303">
        <v>0</v>
      </c>
      <c r="AP21" s="304">
        <f t="shared" si="4"/>
        <v>0</v>
      </c>
      <c r="AR21" s="42" t="s">
        <v>50</v>
      </c>
      <c r="AS21" s="294">
        <v>77869</v>
      </c>
      <c r="AT21" s="294">
        <v>75000</v>
      </c>
      <c r="AU21" s="294">
        <v>52806</v>
      </c>
      <c r="AV21" s="297">
        <v>0</v>
      </c>
      <c r="AW21" s="300">
        <f t="shared" si="11"/>
        <v>205675</v>
      </c>
      <c r="AY21" s="42" t="s">
        <v>50</v>
      </c>
      <c r="AZ21" s="294">
        <v>116826</v>
      </c>
      <c r="BA21" s="294">
        <v>76290</v>
      </c>
      <c r="BB21" s="294">
        <v>60106</v>
      </c>
      <c r="BC21" s="297">
        <v>0</v>
      </c>
      <c r="BD21" s="300">
        <f t="shared" si="12"/>
        <v>253222</v>
      </c>
      <c r="BF21" s="42" t="s">
        <v>50</v>
      </c>
      <c r="BG21" s="294">
        <v>238324</v>
      </c>
      <c r="BH21" s="294">
        <v>77602</v>
      </c>
      <c r="BI21" s="294">
        <v>66510</v>
      </c>
      <c r="BJ21" s="297">
        <v>0</v>
      </c>
      <c r="BK21" s="300">
        <f t="shared" si="13"/>
        <v>382436</v>
      </c>
      <c r="BM21" s="42" t="s">
        <v>50</v>
      </c>
      <c r="BN21" s="294">
        <v>427856</v>
      </c>
      <c r="BO21" s="294">
        <v>78937</v>
      </c>
      <c r="BP21" s="294">
        <v>75352</v>
      </c>
      <c r="BQ21" s="297">
        <v>0</v>
      </c>
      <c r="BR21" s="300">
        <f t="shared" si="14"/>
        <v>582145</v>
      </c>
    </row>
    <row r="22" spans="2:71" x14ac:dyDescent="0.25">
      <c r="B22" s="360"/>
      <c r="C22" s="301">
        <v>0</v>
      </c>
      <c r="D22" s="302">
        <v>0</v>
      </c>
      <c r="E22" s="302">
        <v>0</v>
      </c>
      <c r="F22" s="303">
        <v>0</v>
      </c>
      <c r="G22" s="304">
        <f t="shared" si="15"/>
        <v>0</v>
      </c>
      <c r="I22" s="360"/>
      <c r="J22" s="301">
        <v>0</v>
      </c>
      <c r="K22" s="302">
        <v>0</v>
      </c>
      <c r="L22" s="302">
        <v>0</v>
      </c>
      <c r="M22" s="303">
        <v>0</v>
      </c>
      <c r="N22" s="304">
        <f t="shared" si="6"/>
        <v>0</v>
      </c>
      <c r="P22" s="360"/>
      <c r="Q22" s="301">
        <v>0</v>
      </c>
      <c r="R22" s="302">
        <v>0</v>
      </c>
      <c r="S22" s="302">
        <v>0</v>
      </c>
      <c r="T22" s="303">
        <v>0</v>
      </c>
      <c r="U22" s="304">
        <f t="shared" si="9"/>
        <v>0</v>
      </c>
      <c r="W22" s="360"/>
      <c r="X22" s="301">
        <v>0</v>
      </c>
      <c r="Y22" s="302">
        <v>0</v>
      </c>
      <c r="Z22" s="302">
        <v>0</v>
      </c>
      <c r="AA22" s="303">
        <v>0</v>
      </c>
      <c r="AB22" s="304">
        <f t="shared" si="7"/>
        <v>0</v>
      </c>
      <c r="AD22" s="360"/>
      <c r="AE22" s="301">
        <v>0</v>
      </c>
      <c r="AF22" s="302">
        <v>0</v>
      </c>
      <c r="AG22" s="302">
        <v>0</v>
      </c>
      <c r="AH22" s="303">
        <v>0</v>
      </c>
      <c r="AI22" s="304">
        <f t="shared" si="8"/>
        <v>0</v>
      </c>
      <c r="AK22" s="360"/>
      <c r="AL22" s="301">
        <v>0</v>
      </c>
      <c r="AM22" s="302">
        <v>0</v>
      </c>
      <c r="AN22" s="302">
        <v>0</v>
      </c>
      <c r="AO22" s="303">
        <v>0</v>
      </c>
      <c r="AP22" s="304">
        <f t="shared" si="4"/>
        <v>0</v>
      </c>
      <c r="AR22" s="42" t="s">
        <v>51</v>
      </c>
      <c r="AS22" s="299">
        <v>500000</v>
      </c>
      <c r="AT22" s="294">
        <v>30000</v>
      </c>
      <c r="AU22" s="294">
        <v>250000</v>
      </c>
      <c r="AV22" s="297">
        <v>0</v>
      </c>
      <c r="AW22" s="300">
        <f t="shared" si="11"/>
        <v>780000</v>
      </c>
      <c r="AY22" s="42" t="s">
        <v>51</v>
      </c>
      <c r="AZ22" s="299">
        <v>510000</v>
      </c>
      <c r="BA22" s="294">
        <v>30516</v>
      </c>
      <c r="BB22" s="294">
        <v>254300</v>
      </c>
      <c r="BC22" s="297">
        <v>0</v>
      </c>
      <c r="BD22" s="300">
        <f t="shared" si="12"/>
        <v>794816</v>
      </c>
      <c r="BF22" s="42" t="s">
        <v>51</v>
      </c>
      <c r="BG22" s="299">
        <v>520200</v>
      </c>
      <c r="BH22" s="294">
        <v>31041</v>
      </c>
      <c r="BI22" s="294">
        <v>258674</v>
      </c>
      <c r="BJ22" s="297">
        <v>0</v>
      </c>
      <c r="BK22" s="300">
        <f t="shared" si="13"/>
        <v>809915</v>
      </c>
      <c r="BM22" s="42" t="s">
        <v>51</v>
      </c>
      <c r="BN22" s="299">
        <v>530604</v>
      </c>
      <c r="BO22" s="294">
        <v>31575</v>
      </c>
      <c r="BP22" s="294">
        <v>263123</v>
      </c>
      <c r="BQ22" s="297">
        <v>0</v>
      </c>
      <c r="BR22" s="300">
        <f t="shared" si="14"/>
        <v>825302</v>
      </c>
    </row>
    <row r="23" spans="2:71" x14ac:dyDescent="0.25">
      <c r="B23" s="360"/>
      <c r="C23" s="301">
        <v>0</v>
      </c>
      <c r="D23" s="302">
        <v>0</v>
      </c>
      <c r="E23" s="302">
        <v>0</v>
      </c>
      <c r="F23" s="303">
        <v>0</v>
      </c>
      <c r="G23" s="304">
        <f t="shared" si="15"/>
        <v>0</v>
      </c>
      <c r="I23" s="360"/>
      <c r="J23" s="301">
        <v>0</v>
      </c>
      <c r="K23" s="302">
        <v>0</v>
      </c>
      <c r="L23" s="302">
        <v>0</v>
      </c>
      <c r="M23" s="303">
        <v>0</v>
      </c>
      <c r="N23" s="304">
        <f t="shared" si="6"/>
        <v>0</v>
      </c>
      <c r="P23" s="360"/>
      <c r="Q23" s="301">
        <v>0</v>
      </c>
      <c r="R23" s="302">
        <v>0</v>
      </c>
      <c r="S23" s="302">
        <v>0</v>
      </c>
      <c r="T23" s="303">
        <v>0</v>
      </c>
      <c r="U23" s="304">
        <f t="shared" si="9"/>
        <v>0</v>
      </c>
      <c r="W23" s="360"/>
      <c r="X23" s="301">
        <v>0</v>
      </c>
      <c r="Y23" s="302">
        <v>0</v>
      </c>
      <c r="Z23" s="302">
        <v>0</v>
      </c>
      <c r="AA23" s="303">
        <v>0</v>
      </c>
      <c r="AB23" s="304">
        <f t="shared" si="7"/>
        <v>0</v>
      </c>
      <c r="AD23" s="360"/>
      <c r="AE23" s="301">
        <v>0</v>
      </c>
      <c r="AF23" s="302">
        <v>0</v>
      </c>
      <c r="AG23" s="302">
        <v>0</v>
      </c>
      <c r="AH23" s="303">
        <v>0</v>
      </c>
      <c r="AI23" s="304">
        <f t="shared" si="8"/>
        <v>0</v>
      </c>
      <c r="AK23" s="360"/>
      <c r="AL23" s="301">
        <v>0</v>
      </c>
      <c r="AM23" s="302">
        <v>0</v>
      </c>
      <c r="AN23" s="302">
        <v>0</v>
      </c>
      <c r="AO23" s="303">
        <v>0</v>
      </c>
      <c r="AP23" s="304">
        <f t="shared" si="4"/>
        <v>0</v>
      </c>
      <c r="AR23" s="42" t="s">
        <v>53</v>
      </c>
      <c r="AS23" s="299">
        <v>1800000</v>
      </c>
      <c r="AT23" s="294">
        <v>40000</v>
      </c>
      <c r="AU23" s="294">
        <v>160000</v>
      </c>
      <c r="AV23" s="297">
        <v>0</v>
      </c>
      <c r="AW23" s="300">
        <f t="shared" si="11"/>
        <v>2000000</v>
      </c>
      <c r="AY23" s="42" t="s">
        <v>53</v>
      </c>
      <c r="AZ23" s="299">
        <v>1836000</v>
      </c>
      <c r="BA23" s="294">
        <v>40688</v>
      </c>
      <c r="BB23" s="294">
        <v>162752</v>
      </c>
      <c r="BC23" s="297">
        <v>0</v>
      </c>
      <c r="BD23" s="300">
        <f t="shared" si="12"/>
        <v>2039440</v>
      </c>
      <c r="BF23" s="42" t="s">
        <v>53</v>
      </c>
      <c r="BG23" s="299">
        <v>1872720</v>
      </c>
      <c r="BH23" s="294">
        <v>41388</v>
      </c>
      <c r="BI23" s="294">
        <v>165551</v>
      </c>
      <c r="BJ23" s="297">
        <v>0</v>
      </c>
      <c r="BK23" s="300">
        <f t="shared" si="13"/>
        <v>2079659</v>
      </c>
      <c r="BM23" s="42" t="s">
        <v>53</v>
      </c>
      <c r="BN23" s="299">
        <v>1910174</v>
      </c>
      <c r="BO23" s="294">
        <v>42100</v>
      </c>
      <c r="BP23" s="294">
        <v>168399</v>
      </c>
      <c r="BQ23" s="297">
        <v>0</v>
      </c>
      <c r="BR23" s="300">
        <f t="shared" si="14"/>
        <v>2120673</v>
      </c>
    </row>
    <row r="24" spans="2:71" x14ac:dyDescent="0.25">
      <c r="B24" s="128" t="s">
        <v>4</v>
      </c>
      <c r="C24" s="306">
        <f>SUM(C25:C25)</f>
        <v>8913828</v>
      </c>
      <c r="D24" s="291">
        <v>0</v>
      </c>
      <c r="E24" s="291">
        <v>0</v>
      </c>
      <c r="F24" s="307">
        <v>2137387</v>
      </c>
      <c r="G24" s="307">
        <f t="shared" si="15"/>
        <v>11051215</v>
      </c>
      <c r="I24" s="128" t="s">
        <v>4</v>
      </c>
      <c r="J24" s="306">
        <f>SUM(J25:J25)</f>
        <v>8913828</v>
      </c>
      <c r="K24" s="291">
        <f>SUM(K25:K25)</f>
        <v>0</v>
      </c>
      <c r="L24" s="291">
        <f>SUM(L25:L25)</f>
        <v>0</v>
      </c>
      <c r="M24" s="307">
        <v>2137387</v>
      </c>
      <c r="N24" s="307">
        <f t="shared" si="6"/>
        <v>11051215</v>
      </c>
      <c r="P24" s="128" t="s">
        <v>4</v>
      </c>
      <c r="Q24" s="306">
        <f>SUM(Q25:Q26)</f>
        <v>13464000</v>
      </c>
      <c r="R24" s="291">
        <f>SUM(R25:R26)</f>
        <v>408000</v>
      </c>
      <c r="S24" s="291">
        <f>SUM(S25:S26)</f>
        <v>0</v>
      </c>
      <c r="T24" s="308">
        <v>3956114.004956</v>
      </c>
      <c r="U24" s="307">
        <f t="shared" si="9"/>
        <v>17828114.004956</v>
      </c>
      <c r="W24" s="128" t="s">
        <v>4</v>
      </c>
      <c r="X24" s="306">
        <f>SUM(X25:X26)</f>
        <v>14379552</v>
      </c>
      <c r="Y24" s="291">
        <f>SUM(Y25:Y26)</f>
        <v>435744</v>
      </c>
      <c r="Z24" s="291">
        <f>SUM(Z25:Z26)</f>
        <v>0</v>
      </c>
      <c r="AA24" s="308">
        <v>4225129.4740930097</v>
      </c>
      <c r="AB24" s="307">
        <f t="shared" si="7"/>
        <v>19040425.474093009</v>
      </c>
      <c r="AD24" s="128" t="s">
        <v>4</v>
      </c>
      <c r="AE24" s="306">
        <v>14940354.527999999</v>
      </c>
      <c r="AF24" s="291">
        <v>452738.01599999995</v>
      </c>
      <c r="AG24" s="291">
        <v>0</v>
      </c>
      <c r="AH24" s="308">
        <v>4389909.5235826401</v>
      </c>
      <c r="AI24" s="307">
        <f t="shared" si="8"/>
        <v>19783002.067582641</v>
      </c>
      <c r="AK24" s="128" t="s">
        <v>4</v>
      </c>
      <c r="AL24" s="306">
        <f>SUM(AL25:AL27)</f>
        <v>15298923.036672</v>
      </c>
      <c r="AM24" s="291">
        <f>SUM(AM25:AM27)</f>
        <v>463603.72838399996</v>
      </c>
      <c r="AN24" s="291">
        <f>SUM(AN25:AN27)</f>
        <v>0</v>
      </c>
      <c r="AO24" s="308">
        <v>4495267</v>
      </c>
      <c r="AP24" s="307">
        <f t="shared" si="4"/>
        <v>20257793.765055999</v>
      </c>
      <c r="AR24" s="6" t="s">
        <v>55</v>
      </c>
      <c r="AS24" s="306">
        <f>SUM(AS25:AS27)</f>
        <v>20621597</v>
      </c>
      <c r="AT24" s="291">
        <f>SUM(AT25:AT27)</f>
        <v>940000</v>
      </c>
      <c r="AU24" s="291">
        <f>SUM(AU25:AU27)</f>
        <v>510000</v>
      </c>
      <c r="AV24" s="308">
        <v>4814162</v>
      </c>
      <c r="AW24" s="307">
        <f t="shared" si="11"/>
        <v>26885759</v>
      </c>
      <c r="AY24" s="6" t="s">
        <v>494</v>
      </c>
      <c r="AZ24" s="306">
        <f>SUM(AZ25:AZ27)</f>
        <v>22337787</v>
      </c>
      <c r="BA24" s="291">
        <f>SUM(BA25:BA27)</f>
        <v>956168</v>
      </c>
      <c r="BB24" s="291">
        <f>SUM(BB25:BB27)</f>
        <v>518772</v>
      </c>
      <c r="BC24" s="308">
        <v>4896966</v>
      </c>
      <c r="BD24" s="307">
        <f t="shared" si="12"/>
        <v>28709693</v>
      </c>
      <c r="BE24" s="294"/>
      <c r="BF24" s="6" t="s">
        <v>494</v>
      </c>
      <c r="BG24" s="306">
        <f>SUM(BG25:BG27)</f>
        <v>23489919</v>
      </c>
      <c r="BH24" s="291">
        <f>SUM(BH25:BH27)</f>
        <v>972614</v>
      </c>
      <c r="BI24" s="291">
        <f>SUM(BI25:BI27)</f>
        <v>527695</v>
      </c>
      <c r="BJ24" s="308">
        <v>4981193</v>
      </c>
      <c r="BK24" s="307">
        <f t="shared" si="13"/>
        <v>29971421</v>
      </c>
      <c r="BL24" s="294"/>
      <c r="BM24" s="6" t="s">
        <v>494</v>
      </c>
      <c r="BN24" s="306">
        <f>SUM(BN25:BN27)</f>
        <v>24851675</v>
      </c>
      <c r="BO24" s="291">
        <f>SUM(BO25:BO27)</f>
        <v>989345</v>
      </c>
      <c r="BP24" s="291">
        <f>SUM(BP25:BP27)</f>
        <v>536771</v>
      </c>
      <c r="BQ24" s="308">
        <v>5066870</v>
      </c>
      <c r="BR24" s="307">
        <f t="shared" si="14"/>
        <v>31444661</v>
      </c>
    </row>
    <row r="25" spans="2:71" ht="14.25" x14ac:dyDescent="0.25">
      <c r="B25" s="183" t="s">
        <v>224</v>
      </c>
      <c r="C25" s="295">
        <v>8913828</v>
      </c>
      <c r="D25" s="296">
        <v>0</v>
      </c>
      <c r="E25" s="296">
        <v>0</v>
      </c>
      <c r="F25" s="297">
        <v>0</v>
      </c>
      <c r="G25" s="298">
        <f t="shared" si="15"/>
        <v>8913828</v>
      </c>
      <c r="I25" s="183" t="s">
        <v>224</v>
      </c>
      <c r="J25" s="295">
        <v>8913828</v>
      </c>
      <c r="K25" s="296">
        <v>0</v>
      </c>
      <c r="L25" s="296">
        <v>0</v>
      </c>
      <c r="M25" s="297">
        <v>0</v>
      </c>
      <c r="N25" s="298">
        <f t="shared" si="6"/>
        <v>8913828</v>
      </c>
      <c r="P25" s="183" t="s">
        <v>52</v>
      </c>
      <c r="Q25" s="299">
        <v>13464000</v>
      </c>
      <c r="R25" s="294">
        <v>408000</v>
      </c>
      <c r="S25" s="294">
        <v>0</v>
      </c>
      <c r="T25" s="297">
        <v>0</v>
      </c>
      <c r="U25" s="300">
        <f t="shared" si="9"/>
        <v>13872000</v>
      </c>
      <c r="W25" s="183" t="s">
        <v>52</v>
      </c>
      <c r="X25" s="299">
        <v>14379552</v>
      </c>
      <c r="Y25" s="294">
        <v>435744</v>
      </c>
      <c r="Z25" s="294">
        <v>0</v>
      </c>
      <c r="AA25" s="297">
        <v>0</v>
      </c>
      <c r="AB25" s="300">
        <f t="shared" si="7"/>
        <v>14815296</v>
      </c>
      <c r="AD25" s="183" t="s">
        <v>52</v>
      </c>
      <c r="AE25" s="299">
        <v>14940354.527999999</v>
      </c>
      <c r="AF25" s="294">
        <v>452738.01599999995</v>
      </c>
      <c r="AG25" s="294">
        <v>0</v>
      </c>
      <c r="AH25" s="297">
        <v>0</v>
      </c>
      <c r="AI25" s="300">
        <f t="shared" si="8"/>
        <v>15393092.544</v>
      </c>
      <c r="AK25" s="183" t="s">
        <v>52</v>
      </c>
      <c r="AL25" s="299">
        <v>15298923.036672</v>
      </c>
      <c r="AM25" s="294">
        <v>463603.72838399996</v>
      </c>
      <c r="AN25" s="294">
        <v>0</v>
      </c>
      <c r="AO25" s="297">
        <v>0</v>
      </c>
      <c r="AP25" s="300">
        <f t="shared" si="4"/>
        <v>15762526.765055999</v>
      </c>
      <c r="AR25" s="42" t="s">
        <v>52</v>
      </c>
      <c r="AS25" s="299">
        <v>18321597</v>
      </c>
      <c r="AT25" s="294">
        <v>870000</v>
      </c>
      <c r="AU25" s="294">
        <v>100000</v>
      </c>
      <c r="AV25" s="297">
        <v>0</v>
      </c>
      <c r="AW25" s="300">
        <f t="shared" si="11"/>
        <v>19291597</v>
      </c>
      <c r="AX25" s="294"/>
      <c r="AY25" s="42" t="s">
        <v>52</v>
      </c>
      <c r="AZ25" s="299">
        <v>19991787</v>
      </c>
      <c r="BA25" s="294">
        <v>884964</v>
      </c>
      <c r="BB25" s="294">
        <v>101720</v>
      </c>
      <c r="BC25" s="297">
        <v>0</v>
      </c>
      <c r="BD25" s="300">
        <f t="shared" si="12"/>
        <v>20978471</v>
      </c>
      <c r="BF25" s="42" t="s">
        <v>52</v>
      </c>
      <c r="BG25" s="299">
        <v>21096999</v>
      </c>
      <c r="BH25" s="294">
        <v>900185</v>
      </c>
      <c r="BI25" s="294">
        <v>103470</v>
      </c>
      <c r="BJ25" s="297">
        <v>0</v>
      </c>
      <c r="BK25" s="300">
        <f t="shared" si="13"/>
        <v>22100654</v>
      </c>
      <c r="BM25" s="42" t="s">
        <v>52</v>
      </c>
      <c r="BN25" s="299">
        <v>22410897</v>
      </c>
      <c r="BO25" s="294">
        <v>915670</v>
      </c>
      <c r="BP25" s="294">
        <v>105249</v>
      </c>
      <c r="BQ25" s="297">
        <v>0</v>
      </c>
      <c r="BR25" s="300">
        <f t="shared" si="14"/>
        <v>23431816</v>
      </c>
    </row>
    <row r="26" spans="2:71" x14ac:dyDescent="0.25">
      <c r="B26" s="360"/>
      <c r="C26" s="301">
        <v>0</v>
      </c>
      <c r="D26" s="302">
        <v>0</v>
      </c>
      <c r="E26" s="302">
        <v>0</v>
      </c>
      <c r="F26" s="303">
        <v>0</v>
      </c>
      <c r="G26" s="304">
        <f t="shared" si="15"/>
        <v>0</v>
      </c>
      <c r="I26" s="360"/>
      <c r="J26" s="301">
        <v>0</v>
      </c>
      <c r="K26" s="302">
        <v>0</v>
      </c>
      <c r="L26" s="302">
        <v>0</v>
      </c>
      <c r="M26" s="303">
        <v>0</v>
      </c>
      <c r="N26" s="304">
        <f t="shared" si="6"/>
        <v>0</v>
      </c>
      <c r="P26" s="360"/>
      <c r="Q26" s="301">
        <v>0</v>
      </c>
      <c r="R26" s="302">
        <v>0</v>
      </c>
      <c r="S26" s="302">
        <v>0</v>
      </c>
      <c r="T26" s="303">
        <v>0</v>
      </c>
      <c r="U26" s="304">
        <f t="shared" si="9"/>
        <v>0</v>
      </c>
      <c r="W26" s="360"/>
      <c r="X26" s="301">
        <v>0</v>
      </c>
      <c r="Y26" s="302">
        <v>0</v>
      </c>
      <c r="Z26" s="302">
        <v>0</v>
      </c>
      <c r="AA26" s="303">
        <v>0</v>
      </c>
      <c r="AB26" s="304">
        <f t="shared" si="7"/>
        <v>0</v>
      </c>
      <c r="AD26" s="360"/>
      <c r="AE26" s="301">
        <v>0</v>
      </c>
      <c r="AF26" s="302">
        <v>0</v>
      </c>
      <c r="AG26" s="302">
        <v>0</v>
      </c>
      <c r="AH26" s="303">
        <v>0</v>
      </c>
      <c r="AI26" s="304">
        <f t="shared" si="8"/>
        <v>0</v>
      </c>
      <c r="AK26" s="360"/>
      <c r="AL26" s="301">
        <v>0</v>
      </c>
      <c r="AM26" s="302">
        <v>0</v>
      </c>
      <c r="AN26" s="302">
        <v>0</v>
      </c>
      <c r="AO26" s="303">
        <v>0</v>
      </c>
      <c r="AP26" s="304">
        <f t="shared" si="4"/>
        <v>0</v>
      </c>
      <c r="AR26" s="42" t="s">
        <v>58</v>
      </c>
      <c r="AS26" s="299">
        <v>500000</v>
      </c>
      <c r="AT26" s="294">
        <v>30000</v>
      </c>
      <c r="AU26" s="294">
        <v>250000</v>
      </c>
      <c r="AV26" s="297">
        <v>0</v>
      </c>
      <c r="AW26" s="300">
        <f t="shared" si="11"/>
        <v>780000</v>
      </c>
      <c r="AY26" s="42" t="s">
        <v>58</v>
      </c>
      <c r="AZ26" s="299">
        <v>510000</v>
      </c>
      <c r="BA26" s="294">
        <v>30516</v>
      </c>
      <c r="BB26" s="294">
        <v>254300</v>
      </c>
      <c r="BC26" s="297">
        <v>0</v>
      </c>
      <c r="BD26" s="300">
        <f t="shared" si="12"/>
        <v>794816</v>
      </c>
      <c r="BF26" s="42" t="s">
        <v>58</v>
      </c>
      <c r="BG26" s="299">
        <v>520200</v>
      </c>
      <c r="BH26" s="294">
        <v>31041</v>
      </c>
      <c r="BI26" s="294">
        <v>258674</v>
      </c>
      <c r="BJ26" s="297">
        <v>0</v>
      </c>
      <c r="BK26" s="300">
        <f t="shared" si="13"/>
        <v>809915</v>
      </c>
      <c r="BM26" s="42" t="s">
        <v>58</v>
      </c>
      <c r="BN26" s="299">
        <v>530604</v>
      </c>
      <c r="BO26" s="294">
        <v>31575</v>
      </c>
      <c r="BP26" s="294">
        <v>263123</v>
      </c>
      <c r="BQ26" s="297">
        <v>0</v>
      </c>
      <c r="BR26" s="300">
        <f t="shared" si="14"/>
        <v>825302</v>
      </c>
    </row>
    <row r="27" spans="2:71" x14ac:dyDescent="0.25">
      <c r="B27" s="360"/>
      <c r="C27" s="301">
        <v>0</v>
      </c>
      <c r="D27" s="302">
        <v>0</v>
      </c>
      <c r="E27" s="302">
        <v>0</v>
      </c>
      <c r="F27" s="303">
        <v>0</v>
      </c>
      <c r="G27" s="304">
        <f t="shared" si="15"/>
        <v>0</v>
      </c>
      <c r="I27" s="360"/>
      <c r="J27" s="301">
        <v>0</v>
      </c>
      <c r="K27" s="302">
        <v>0</v>
      </c>
      <c r="L27" s="302">
        <v>0</v>
      </c>
      <c r="M27" s="303">
        <v>0</v>
      </c>
      <c r="N27" s="304">
        <f t="shared" si="6"/>
        <v>0</v>
      </c>
      <c r="P27" s="360"/>
      <c r="Q27" s="301">
        <v>0</v>
      </c>
      <c r="R27" s="302">
        <v>0</v>
      </c>
      <c r="S27" s="302">
        <v>0</v>
      </c>
      <c r="T27" s="303">
        <v>0</v>
      </c>
      <c r="U27" s="304">
        <f t="shared" si="9"/>
        <v>0</v>
      </c>
      <c r="W27" s="360"/>
      <c r="X27" s="301">
        <v>0</v>
      </c>
      <c r="Y27" s="302">
        <v>0</v>
      </c>
      <c r="Z27" s="302">
        <v>0</v>
      </c>
      <c r="AA27" s="303">
        <v>0</v>
      </c>
      <c r="AB27" s="304">
        <f t="shared" si="7"/>
        <v>0</v>
      </c>
      <c r="AD27" s="360"/>
      <c r="AE27" s="301">
        <v>0</v>
      </c>
      <c r="AF27" s="302">
        <v>0</v>
      </c>
      <c r="AG27" s="302">
        <v>0</v>
      </c>
      <c r="AH27" s="303">
        <v>0</v>
      </c>
      <c r="AI27" s="304">
        <f t="shared" si="8"/>
        <v>0</v>
      </c>
      <c r="AK27" s="360"/>
      <c r="AL27" s="301">
        <v>0</v>
      </c>
      <c r="AM27" s="302">
        <v>0</v>
      </c>
      <c r="AN27" s="302">
        <v>0</v>
      </c>
      <c r="AO27" s="303">
        <v>0</v>
      </c>
      <c r="AP27" s="304">
        <f t="shared" si="4"/>
        <v>0</v>
      </c>
      <c r="AR27" s="42" t="s">
        <v>61</v>
      </c>
      <c r="AS27" s="299">
        <v>1800000</v>
      </c>
      <c r="AT27" s="294">
        <v>40000</v>
      </c>
      <c r="AU27" s="294">
        <v>160000</v>
      </c>
      <c r="AV27" s="297">
        <v>0</v>
      </c>
      <c r="AW27" s="300">
        <f t="shared" si="11"/>
        <v>2000000</v>
      </c>
      <c r="AY27" s="42" t="s">
        <v>61</v>
      </c>
      <c r="AZ27" s="299">
        <v>1836000</v>
      </c>
      <c r="BA27" s="294">
        <v>40688</v>
      </c>
      <c r="BB27" s="294">
        <v>162752</v>
      </c>
      <c r="BC27" s="297">
        <v>0</v>
      </c>
      <c r="BD27" s="300">
        <f t="shared" si="12"/>
        <v>2039440</v>
      </c>
      <c r="BF27" s="42" t="s">
        <v>61</v>
      </c>
      <c r="BG27" s="299">
        <v>1872720</v>
      </c>
      <c r="BH27" s="294">
        <v>41388</v>
      </c>
      <c r="BI27" s="294">
        <v>165551</v>
      </c>
      <c r="BJ27" s="297">
        <v>0</v>
      </c>
      <c r="BK27" s="300">
        <f t="shared" si="13"/>
        <v>2079659</v>
      </c>
      <c r="BM27" s="42" t="s">
        <v>61</v>
      </c>
      <c r="BN27" s="299">
        <v>1910174</v>
      </c>
      <c r="BO27" s="294">
        <v>42100</v>
      </c>
      <c r="BP27" s="294">
        <v>168399</v>
      </c>
      <c r="BQ27" s="297">
        <v>0</v>
      </c>
      <c r="BR27" s="300">
        <f t="shared" si="14"/>
        <v>2120673</v>
      </c>
      <c r="BS27" s="294"/>
    </row>
    <row r="28" spans="2:71" x14ac:dyDescent="0.25">
      <c r="B28" s="128" t="s">
        <v>5</v>
      </c>
      <c r="C28" s="291">
        <f>SUM(C29)</f>
        <v>3150000</v>
      </c>
      <c r="D28" s="291">
        <v>0</v>
      </c>
      <c r="E28" s="291">
        <v>0</v>
      </c>
      <c r="F28" s="307">
        <v>787000</v>
      </c>
      <c r="G28" s="307">
        <f t="shared" si="15"/>
        <v>3937000</v>
      </c>
      <c r="I28" s="128" t="s">
        <v>5</v>
      </c>
      <c r="J28" s="291">
        <f>SUM(J29)</f>
        <v>3150000</v>
      </c>
      <c r="K28" s="291">
        <f>SUM(K29)</f>
        <v>0</v>
      </c>
      <c r="L28" s="291">
        <f>SUM(L29)</f>
        <v>0</v>
      </c>
      <c r="M28" s="307">
        <v>787000</v>
      </c>
      <c r="N28" s="307">
        <f t="shared" si="6"/>
        <v>3937000</v>
      </c>
      <c r="P28" s="128" t="s">
        <v>5</v>
      </c>
      <c r="Q28" s="291">
        <v>2499000</v>
      </c>
      <c r="R28" s="291">
        <v>51000</v>
      </c>
      <c r="S28" s="291">
        <v>0</v>
      </c>
      <c r="T28" s="308">
        <v>216624.00038400127</v>
      </c>
      <c r="U28" s="307">
        <f t="shared" si="9"/>
        <v>2766624.0003840011</v>
      </c>
      <c r="W28" s="128" t="s">
        <v>5</v>
      </c>
      <c r="X28" s="291">
        <v>2668932</v>
      </c>
      <c r="Y28" s="291">
        <v>54468</v>
      </c>
      <c r="Z28" s="291">
        <v>0</v>
      </c>
      <c r="AA28" s="308">
        <v>231354.95641011337</v>
      </c>
      <c r="AB28" s="307">
        <f t="shared" si="7"/>
        <v>2954754.9564101133</v>
      </c>
      <c r="AD28" s="128" t="s">
        <v>5</v>
      </c>
      <c r="AE28" s="291">
        <v>2773020.3479999998</v>
      </c>
      <c r="AF28" s="291">
        <v>56592.251999999993</v>
      </c>
      <c r="AG28" s="291">
        <v>0</v>
      </c>
      <c r="AH28" s="308">
        <v>240377.79971010776</v>
      </c>
      <c r="AI28" s="307">
        <f t="shared" si="8"/>
        <v>3069990.3997101076</v>
      </c>
      <c r="AK28" s="128" t="s">
        <v>5</v>
      </c>
      <c r="AL28" s="291">
        <f>SUM(AL29)</f>
        <v>2839572.836352</v>
      </c>
      <c r="AM28" s="291">
        <f>SUM(AM29)</f>
        <v>57950.466047999995</v>
      </c>
      <c r="AN28" s="291">
        <f>SUM(AN29)</f>
        <v>0</v>
      </c>
      <c r="AO28" s="308">
        <v>246147</v>
      </c>
      <c r="AP28" s="307">
        <f t="shared" si="4"/>
        <v>3143670.3023999999</v>
      </c>
      <c r="AR28" s="6" t="s">
        <v>65</v>
      </c>
      <c r="AS28" s="291">
        <f>SUM(AS29:AS29)</f>
        <v>3178709</v>
      </c>
      <c r="AT28" s="291">
        <f>SUM(AT29:AT29)</f>
        <v>25000</v>
      </c>
      <c r="AU28" s="291">
        <f>SUM(AU29:AU29)</f>
        <v>0</v>
      </c>
      <c r="AV28" s="308">
        <v>275945</v>
      </c>
      <c r="AW28" s="307">
        <f t="shared" si="11"/>
        <v>3479654</v>
      </c>
      <c r="AY28" s="6" t="s">
        <v>495</v>
      </c>
      <c r="AZ28" s="291">
        <f>SUM(AZ29:AZ29)</f>
        <v>3307129</v>
      </c>
      <c r="BA28" s="291">
        <f>SUM(BA29:BA29)</f>
        <v>25430</v>
      </c>
      <c r="BB28" s="291">
        <f>SUM(BB29:BB29)</f>
        <v>0</v>
      </c>
      <c r="BC28" s="308">
        <v>280691</v>
      </c>
      <c r="BD28" s="307">
        <f t="shared" si="12"/>
        <v>3613250</v>
      </c>
      <c r="BE28" s="294"/>
      <c r="BF28" s="6" t="s">
        <v>495</v>
      </c>
      <c r="BG28" s="291">
        <f>SUM(BG29:BG29)</f>
        <v>3440737</v>
      </c>
      <c r="BH28" s="291">
        <f>SUM(BH29:BH29)</f>
        <v>25867</v>
      </c>
      <c r="BI28" s="291">
        <f>SUM(BI29:BI29)</f>
        <v>0</v>
      </c>
      <c r="BJ28" s="308">
        <v>285519</v>
      </c>
      <c r="BK28" s="307">
        <f t="shared" si="13"/>
        <v>3752123</v>
      </c>
      <c r="BL28" s="294"/>
      <c r="BM28" s="6" t="s">
        <v>495</v>
      </c>
      <c r="BN28" s="291">
        <f>SUM(BN29:BN29)</f>
        <v>3579743</v>
      </c>
      <c r="BO28" s="291">
        <f>SUM(BO29:BO29)</f>
        <v>26312</v>
      </c>
      <c r="BP28" s="291">
        <f>SUM(BP29:BP29)</f>
        <v>0</v>
      </c>
      <c r="BQ28" s="308">
        <v>290430</v>
      </c>
      <c r="BR28" s="307">
        <f t="shared" si="14"/>
        <v>3896485</v>
      </c>
    </row>
    <row r="29" spans="2:71" x14ac:dyDescent="0.25">
      <c r="B29" s="183" t="s">
        <v>56</v>
      </c>
      <c r="C29" s="295">
        <v>3150000</v>
      </c>
      <c r="D29" s="296">
        <v>0</v>
      </c>
      <c r="E29" s="296">
        <v>0</v>
      </c>
      <c r="F29" s="297">
        <v>0</v>
      </c>
      <c r="G29" s="298">
        <f t="shared" si="15"/>
        <v>3150000</v>
      </c>
      <c r="I29" s="183" t="s">
        <v>56</v>
      </c>
      <c r="J29" s="295">
        <v>3150000</v>
      </c>
      <c r="K29" s="296">
        <v>0</v>
      </c>
      <c r="L29" s="296">
        <v>0</v>
      </c>
      <c r="M29" s="297">
        <v>0</v>
      </c>
      <c r="N29" s="298">
        <f t="shared" si="6"/>
        <v>3150000</v>
      </c>
      <c r="P29" s="183" t="s">
        <v>56</v>
      </c>
      <c r="Q29" s="299">
        <v>2499000</v>
      </c>
      <c r="R29" s="294">
        <v>51000</v>
      </c>
      <c r="S29" s="294">
        <v>0</v>
      </c>
      <c r="T29" s="297">
        <v>0</v>
      </c>
      <c r="U29" s="300">
        <f t="shared" si="9"/>
        <v>2550000</v>
      </c>
      <c r="W29" s="183" t="s">
        <v>56</v>
      </c>
      <c r="X29" s="299">
        <v>2668932</v>
      </c>
      <c r="Y29" s="294">
        <v>54468</v>
      </c>
      <c r="Z29" s="294">
        <v>0</v>
      </c>
      <c r="AA29" s="297">
        <v>0</v>
      </c>
      <c r="AB29" s="300">
        <f t="shared" si="7"/>
        <v>2723400</v>
      </c>
      <c r="AD29" s="183" t="s">
        <v>56</v>
      </c>
      <c r="AE29" s="299">
        <v>2773020.3479999998</v>
      </c>
      <c r="AF29" s="294">
        <v>56592.251999999993</v>
      </c>
      <c r="AG29" s="294">
        <v>0</v>
      </c>
      <c r="AH29" s="297">
        <v>0</v>
      </c>
      <c r="AI29" s="300">
        <f t="shared" si="8"/>
        <v>2829612.5999999996</v>
      </c>
      <c r="AK29" s="183" t="s">
        <v>56</v>
      </c>
      <c r="AL29" s="299">
        <v>2839572.836352</v>
      </c>
      <c r="AM29" s="294">
        <v>57950.466047999995</v>
      </c>
      <c r="AN29" s="294">
        <v>0</v>
      </c>
      <c r="AO29" s="297">
        <v>0</v>
      </c>
      <c r="AP29" s="300">
        <f t="shared" si="4"/>
        <v>2897523.3023999999</v>
      </c>
      <c r="AR29" s="42" t="s">
        <v>57</v>
      </c>
      <c r="AS29" s="299">
        <v>3178709</v>
      </c>
      <c r="AT29" s="294">
        <v>25000</v>
      </c>
      <c r="AU29" s="294">
        <v>0</v>
      </c>
      <c r="AV29" s="297">
        <v>0</v>
      </c>
      <c r="AW29" s="300">
        <f t="shared" si="11"/>
        <v>3203709</v>
      </c>
      <c r="AX29" s="294"/>
      <c r="AY29" s="42" t="s">
        <v>57</v>
      </c>
      <c r="AZ29" s="299">
        <v>3307129</v>
      </c>
      <c r="BA29" s="294">
        <v>25430</v>
      </c>
      <c r="BB29" s="294">
        <v>0</v>
      </c>
      <c r="BC29" s="297">
        <v>0</v>
      </c>
      <c r="BD29" s="300">
        <f t="shared" si="12"/>
        <v>3332559</v>
      </c>
      <c r="BF29" s="42" t="s">
        <v>57</v>
      </c>
      <c r="BG29" s="299">
        <v>3440737</v>
      </c>
      <c r="BH29" s="294">
        <v>25867</v>
      </c>
      <c r="BI29" s="294">
        <v>0</v>
      </c>
      <c r="BJ29" s="297">
        <v>0</v>
      </c>
      <c r="BK29" s="300">
        <f t="shared" si="13"/>
        <v>3466604</v>
      </c>
      <c r="BM29" s="42" t="s">
        <v>57</v>
      </c>
      <c r="BN29" s="299">
        <v>3579743</v>
      </c>
      <c r="BO29" s="294">
        <v>26312</v>
      </c>
      <c r="BP29" s="294">
        <v>0</v>
      </c>
      <c r="BQ29" s="297">
        <v>0</v>
      </c>
      <c r="BR29" s="300">
        <f t="shared" si="14"/>
        <v>3606055</v>
      </c>
    </row>
    <row r="30" spans="2:71" x14ac:dyDescent="0.25">
      <c r="B30" s="361" t="s">
        <v>59</v>
      </c>
      <c r="C30" s="309">
        <f>SUM(C5,C12,C15,C24,C28)</f>
        <v>93159762</v>
      </c>
      <c r="D30" s="310">
        <v>0</v>
      </c>
      <c r="E30" s="310">
        <v>0</v>
      </c>
      <c r="F30" s="311">
        <f>SUM(F5,F12,F15,F24,F28)</f>
        <v>14370518</v>
      </c>
      <c r="G30" s="311">
        <f t="shared" si="15"/>
        <v>107530280</v>
      </c>
      <c r="I30" s="361" t="s">
        <v>59</v>
      </c>
      <c r="J30" s="309">
        <f>SUM(J5,J12,J15,J24,J28)</f>
        <v>93159762</v>
      </c>
      <c r="K30" s="310">
        <f>SUM(K5,K12,K15,K24,K28)</f>
        <v>0</v>
      </c>
      <c r="L30" s="310">
        <f>SUM(L5,L12,L15,L24,L28)</f>
        <v>0</v>
      </c>
      <c r="M30" s="311">
        <f>SUM(M5,M12,M15,M24,M28)</f>
        <v>14370518</v>
      </c>
      <c r="N30" s="311">
        <f t="shared" si="6"/>
        <v>107530280</v>
      </c>
      <c r="P30" s="361" t="s">
        <v>59</v>
      </c>
      <c r="Q30" s="309">
        <f>SUM(Q5,Q12,Q15,Q24,Q28)</f>
        <v>111364382.91180339</v>
      </c>
      <c r="R30" s="310">
        <f>SUM(R5,R12,R15,R24,R28)</f>
        <v>8186161.6900000004</v>
      </c>
      <c r="S30" s="310">
        <f>SUM(S5,S12,S15,S24,S28)</f>
        <v>8499324.1161965691</v>
      </c>
      <c r="T30" s="312">
        <f>SUM(T5,T12,T15,T24,T28)</f>
        <v>11173893.000093078</v>
      </c>
      <c r="U30" s="311">
        <f t="shared" si="9"/>
        <v>139223761.71809304</v>
      </c>
      <c r="W30" s="361" t="s">
        <v>59</v>
      </c>
      <c r="X30" s="309">
        <f>SUM(X5,X12,X15,X24,X28)</f>
        <v>122524899.03940606</v>
      </c>
      <c r="Y30" s="310">
        <f>SUM(Y5,Y12,Y15,Y24,Y28)</f>
        <v>8933157.1107200012</v>
      </c>
      <c r="Z30" s="310">
        <f>SUM(Z5,Z12,Z15,Z24,Z28)</f>
        <v>8904178.1560979374</v>
      </c>
      <c r="AA30" s="312">
        <f>SUM(AA5,AA12,AA15,AA24,AA28)</f>
        <v>11878480.269601494</v>
      </c>
      <c r="AB30" s="311">
        <f t="shared" si="7"/>
        <v>152240714.57582551</v>
      </c>
      <c r="AD30" s="361" t="s">
        <v>59</v>
      </c>
      <c r="AE30" s="309">
        <f>SUM(AE5,AE12,AE15,AE24,AE28)</f>
        <v>129945387.19306895</v>
      </c>
      <c r="AF30" s="310">
        <f>SUM(AF5,AF12,AF15,AF24,AF28)</f>
        <v>9281550.2380380817</v>
      </c>
      <c r="AG30" s="310">
        <f>SUM(AG5,AG12,AG15,AG24,AG28)</f>
        <v>9251441.1041857544</v>
      </c>
      <c r="AH30" s="312">
        <f>SUM(AH5,AH12,AH15,AH24,AH28)</f>
        <v>12341741.003889298</v>
      </c>
      <c r="AI30" s="311">
        <f t="shared" si="8"/>
        <v>160820119.5391821</v>
      </c>
      <c r="AK30" s="361" t="s">
        <v>59</v>
      </c>
      <c r="AL30" s="309">
        <f>SUM(AL5,AL12,AL15,AL24,AL28)</f>
        <v>133064076.48570262</v>
      </c>
      <c r="AM30" s="310">
        <f>SUM(AM5,AM12,AM15,AM24,AM28)</f>
        <v>9504307.4437509943</v>
      </c>
      <c r="AN30" s="310">
        <f>SUM(AN5,AN12,AN15,AN24,AN28)</f>
        <v>9473475.6906862147</v>
      </c>
      <c r="AO30" s="312">
        <f>SUM(AO5,AO12,AO15,AO24,AO28)</f>
        <v>12637942</v>
      </c>
      <c r="AP30" s="311">
        <f t="shared" si="4"/>
        <v>164679801.62013984</v>
      </c>
      <c r="AR30" s="131" t="s">
        <v>59</v>
      </c>
      <c r="AS30" s="309">
        <f>SUM(AS5,AS12,AS15,AS24,AS28)</f>
        <v>134785541</v>
      </c>
      <c r="AT30" s="310">
        <f>SUM(AT5,AT12,AT15,AT24,AT28)</f>
        <v>11965700</v>
      </c>
      <c r="AU30" s="310">
        <f>SUM(AU5,AU12,AU15,AU24,AU28)</f>
        <v>11756494</v>
      </c>
      <c r="AV30" s="311">
        <f>SUM(AV5,AV12,AV15,AV24,AV28)</f>
        <v>15029335</v>
      </c>
      <c r="AW30" s="311">
        <f>SUM(AW5,AW12,AW15,AW24,AW28)</f>
        <v>173537070</v>
      </c>
      <c r="AY30" s="131" t="s">
        <v>59</v>
      </c>
      <c r="AZ30" s="309">
        <f>SUM(AZ5,AZ12,AZ15,AZ24,AZ28)</f>
        <v>146754892</v>
      </c>
      <c r="BA30" s="310">
        <f>SUM(BA5,BA12,BA15,BA24,BA28)</f>
        <v>12235695</v>
      </c>
      <c r="BB30" s="310">
        <f>SUM(BB5,BB12,BB15,BB24,BB28)</f>
        <v>11995099</v>
      </c>
      <c r="BC30" s="311">
        <f>SUM(BC5,BC12,BC15,BC24,BC28)</f>
        <v>15287839</v>
      </c>
      <c r="BD30" s="311">
        <f>SUM(BD5,BD12,BD15,BD24,BD28)</f>
        <v>186273525</v>
      </c>
      <c r="BE30" s="294"/>
      <c r="BF30" s="129" t="s">
        <v>59</v>
      </c>
      <c r="BG30" s="309">
        <f>SUM(BG5,BG12,BG15,BG24,BG28)</f>
        <v>156829983</v>
      </c>
      <c r="BH30" s="310">
        <f>SUM(BH5,BH12,BH15,BH24,BH28)</f>
        <v>12451478</v>
      </c>
      <c r="BI30" s="310">
        <f>SUM(BI5,BI12,BI15,BI24,BI28)</f>
        <v>12780139</v>
      </c>
      <c r="BJ30" s="311">
        <f>SUM(BJ5,BJ12,BJ15,BJ24,BJ28)</f>
        <v>15550791</v>
      </c>
      <c r="BK30" s="311">
        <f>SUM(BK5,BK12,BK15,BK24,BK28)</f>
        <v>197612391</v>
      </c>
      <c r="BL30" s="294"/>
      <c r="BM30" s="129" t="s">
        <v>59</v>
      </c>
      <c r="BN30" s="309">
        <f>SUM(BN5,BN12,BN15,BN24,BN28)</f>
        <v>166234535</v>
      </c>
      <c r="BO30" s="310">
        <f>SUM(BO5,BO12,BO15,BO24,BO28)</f>
        <v>12770421</v>
      </c>
      <c r="BP30" s="310">
        <f>SUM(BP5,BP12,BP15,BP24,BP28)</f>
        <v>13548371</v>
      </c>
      <c r="BQ30" s="311">
        <f>SUM(BQ5,BQ12,BQ15,BQ24,BQ28)</f>
        <v>15818265</v>
      </c>
      <c r="BR30" s="311">
        <f>SUM(BR5,BR12,BR15,BR24,BR28)</f>
        <v>208371592</v>
      </c>
    </row>
    <row r="31" spans="2:71" x14ac:dyDescent="0.25">
      <c r="B31" s="362" t="s">
        <v>62</v>
      </c>
      <c r="C31" s="314">
        <v>0</v>
      </c>
      <c r="D31" s="315">
        <v>0</v>
      </c>
      <c r="E31" s="315">
        <v>0</v>
      </c>
      <c r="F31" s="316">
        <v>2842000</v>
      </c>
      <c r="G31" s="317">
        <f t="shared" si="15"/>
        <v>2842000</v>
      </c>
      <c r="I31" s="362" t="s">
        <v>62</v>
      </c>
      <c r="J31" s="314">
        <v>0</v>
      </c>
      <c r="K31" s="315">
        <v>0</v>
      </c>
      <c r="L31" s="315">
        <v>0</v>
      </c>
      <c r="M31" s="316">
        <v>2842000</v>
      </c>
      <c r="N31" s="317">
        <f t="shared" si="6"/>
        <v>2842000</v>
      </c>
      <c r="P31" s="362" t="s">
        <v>62</v>
      </c>
      <c r="Q31" s="314">
        <v>0</v>
      </c>
      <c r="R31" s="315">
        <v>0</v>
      </c>
      <c r="S31" s="315">
        <v>0</v>
      </c>
      <c r="T31" s="316">
        <v>8569921.678982839</v>
      </c>
      <c r="U31" s="318">
        <f t="shared" si="9"/>
        <v>8569921.678982839</v>
      </c>
      <c r="W31" s="362" t="s">
        <v>62</v>
      </c>
      <c r="X31" s="314">
        <v>0</v>
      </c>
      <c r="Y31" s="315">
        <v>0</v>
      </c>
      <c r="Z31" s="315">
        <v>0</v>
      </c>
      <c r="AA31" s="316">
        <v>9152676.3531536721</v>
      </c>
      <c r="AB31" s="318">
        <f t="shared" si="7"/>
        <v>9152676.3531536721</v>
      </c>
      <c r="AD31" s="362" t="s">
        <v>62</v>
      </c>
      <c r="AE31" s="314">
        <v>0</v>
      </c>
      <c r="AF31" s="315">
        <v>0</v>
      </c>
      <c r="AG31" s="315">
        <v>0</v>
      </c>
      <c r="AH31" s="316">
        <v>9509630.7309266645</v>
      </c>
      <c r="AI31" s="318">
        <f t="shared" si="8"/>
        <v>9509630.7309266645</v>
      </c>
      <c r="AK31" s="362" t="s">
        <v>62</v>
      </c>
      <c r="AL31" s="314">
        <v>0</v>
      </c>
      <c r="AM31" s="315">
        <v>0</v>
      </c>
      <c r="AN31" s="315">
        <v>0</v>
      </c>
      <c r="AO31" s="316">
        <v>9737861.8684689049</v>
      </c>
      <c r="AP31" s="318">
        <f t="shared" si="4"/>
        <v>9737861.8684689049</v>
      </c>
      <c r="AR31" s="313" t="s">
        <v>62</v>
      </c>
      <c r="AS31" s="314">
        <v>0</v>
      </c>
      <c r="AT31" s="315">
        <v>0</v>
      </c>
      <c r="AU31" s="315">
        <v>0</v>
      </c>
      <c r="AV31" s="319">
        <v>7703652</v>
      </c>
      <c r="AW31" s="318">
        <f t="shared" ref="AW31:AW34" si="16">SUM(AS31:AV31)</f>
        <v>7703652</v>
      </c>
      <c r="AX31" s="294"/>
      <c r="AY31" s="313" t="s">
        <v>62</v>
      </c>
      <c r="AZ31" s="314">
        <v>0</v>
      </c>
      <c r="BA31" s="315">
        <v>0</v>
      </c>
      <c r="BB31" s="315">
        <v>0</v>
      </c>
      <c r="BC31" s="319">
        <v>7836155</v>
      </c>
      <c r="BD31" s="318">
        <f t="shared" ref="BD31:BD34" si="17">SUM(AZ31:BC31)</f>
        <v>7836155</v>
      </c>
      <c r="BF31" s="313" t="s">
        <v>62</v>
      </c>
      <c r="BG31" s="314">
        <v>0</v>
      </c>
      <c r="BH31" s="315">
        <v>0</v>
      </c>
      <c r="BI31" s="315">
        <v>0</v>
      </c>
      <c r="BJ31" s="319">
        <v>7970936</v>
      </c>
      <c r="BK31" s="318">
        <f t="shared" ref="BK31:BK34" si="18">SUM(BG31:BJ31)</f>
        <v>7970936</v>
      </c>
      <c r="BM31" s="313" t="s">
        <v>62</v>
      </c>
      <c r="BN31" s="314">
        <v>0</v>
      </c>
      <c r="BO31" s="315">
        <v>0</v>
      </c>
      <c r="BP31" s="315">
        <v>0</v>
      </c>
      <c r="BQ31" s="319">
        <v>8108038</v>
      </c>
      <c r="BR31" s="318">
        <f t="shared" ref="BR31:BR34" si="19">SUM(BN31:BQ31)</f>
        <v>8108038</v>
      </c>
    </row>
    <row r="32" spans="2:71" x14ac:dyDescent="0.25">
      <c r="B32" s="363" t="s">
        <v>64</v>
      </c>
      <c r="C32" s="321">
        <v>0</v>
      </c>
      <c r="D32" s="322">
        <v>0</v>
      </c>
      <c r="E32" s="322">
        <v>0</v>
      </c>
      <c r="F32" s="296">
        <v>1000000</v>
      </c>
      <c r="G32" s="323">
        <f t="shared" si="15"/>
        <v>1000000</v>
      </c>
      <c r="I32" s="363" t="s">
        <v>64</v>
      </c>
      <c r="J32" s="321">
        <v>0</v>
      </c>
      <c r="K32" s="322">
        <v>0</v>
      </c>
      <c r="L32" s="322">
        <v>0</v>
      </c>
      <c r="M32" s="296">
        <v>1000000</v>
      </c>
      <c r="N32" s="323">
        <f t="shared" si="6"/>
        <v>1000000</v>
      </c>
      <c r="P32" s="363" t="s">
        <v>64</v>
      </c>
      <c r="Q32" s="321">
        <v>0</v>
      </c>
      <c r="R32" s="322">
        <v>0</v>
      </c>
      <c r="S32" s="322">
        <v>0</v>
      </c>
      <c r="T32" s="296">
        <v>1020000</v>
      </c>
      <c r="U32" s="324">
        <f t="shared" si="9"/>
        <v>1020000</v>
      </c>
      <c r="W32" s="363" t="s">
        <v>64</v>
      </c>
      <c r="X32" s="321">
        <v>0</v>
      </c>
      <c r="Y32" s="322">
        <v>0</v>
      </c>
      <c r="Z32" s="322">
        <v>0</v>
      </c>
      <c r="AA32" s="296">
        <v>1089360</v>
      </c>
      <c r="AB32" s="324">
        <f t="shared" si="7"/>
        <v>1089360</v>
      </c>
      <c r="AD32" s="363" t="s">
        <v>64</v>
      </c>
      <c r="AE32" s="321">
        <v>0</v>
      </c>
      <c r="AF32" s="322">
        <v>0</v>
      </c>
      <c r="AG32" s="322">
        <v>0</v>
      </c>
      <c r="AH32" s="296">
        <v>1131845.0399999998</v>
      </c>
      <c r="AI32" s="324">
        <f t="shared" si="8"/>
        <v>1131845.0399999998</v>
      </c>
      <c r="AK32" s="363" t="s">
        <v>64</v>
      </c>
      <c r="AL32" s="321">
        <v>0</v>
      </c>
      <c r="AM32" s="322">
        <v>0</v>
      </c>
      <c r="AN32" s="322">
        <v>0</v>
      </c>
      <c r="AO32" s="296">
        <v>1159009.3209599999</v>
      </c>
      <c r="AP32" s="324">
        <f t="shared" si="4"/>
        <v>1159009.3209599999</v>
      </c>
      <c r="AR32" s="320" t="s">
        <v>64</v>
      </c>
      <c r="AS32" s="321">
        <v>0</v>
      </c>
      <c r="AT32" s="322">
        <v>0</v>
      </c>
      <c r="AU32" s="322">
        <v>0</v>
      </c>
      <c r="AV32" s="294">
        <v>1583000</v>
      </c>
      <c r="AW32" s="324">
        <f t="shared" si="16"/>
        <v>1583000</v>
      </c>
      <c r="AY32" s="320" t="s">
        <v>64</v>
      </c>
      <c r="AZ32" s="321">
        <v>0</v>
      </c>
      <c r="BA32" s="322">
        <v>0</v>
      </c>
      <c r="BB32" s="322">
        <v>0</v>
      </c>
      <c r="BC32" s="294">
        <v>1406788</v>
      </c>
      <c r="BD32" s="324">
        <f t="shared" si="17"/>
        <v>1406788</v>
      </c>
      <c r="BF32" s="320" t="s">
        <v>64</v>
      </c>
      <c r="BG32" s="321">
        <v>0</v>
      </c>
      <c r="BH32" s="322">
        <v>0</v>
      </c>
      <c r="BI32" s="322">
        <v>0</v>
      </c>
      <c r="BJ32" s="294">
        <v>1430985</v>
      </c>
      <c r="BK32" s="324">
        <f t="shared" si="18"/>
        <v>1430985</v>
      </c>
      <c r="BM32" s="320" t="s">
        <v>64</v>
      </c>
      <c r="BN32" s="321">
        <v>0</v>
      </c>
      <c r="BO32" s="322">
        <v>0</v>
      </c>
      <c r="BP32" s="322">
        <v>0</v>
      </c>
      <c r="BQ32" s="294">
        <v>1455596</v>
      </c>
      <c r="BR32" s="324">
        <f t="shared" si="19"/>
        <v>1455596</v>
      </c>
      <c r="BS32" s="294"/>
    </row>
    <row r="33" spans="2:71" x14ac:dyDescent="0.25">
      <c r="B33" s="364"/>
      <c r="C33" s="325">
        <v>0</v>
      </c>
      <c r="D33" s="326">
        <v>0</v>
      </c>
      <c r="E33" s="326">
        <v>0</v>
      </c>
      <c r="F33" s="302">
        <v>0</v>
      </c>
      <c r="G33" s="327">
        <f t="shared" si="15"/>
        <v>0</v>
      </c>
      <c r="I33" s="364"/>
      <c r="J33" s="325">
        <v>0</v>
      </c>
      <c r="K33" s="326">
        <v>0</v>
      </c>
      <c r="L33" s="326">
        <v>0</v>
      </c>
      <c r="M33" s="302">
        <v>0</v>
      </c>
      <c r="N33" s="327">
        <f t="shared" si="6"/>
        <v>0</v>
      </c>
      <c r="P33" s="363" t="s">
        <v>66</v>
      </c>
      <c r="Q33" s="321">
        <v>0</v>
      </c>
      <c r="R33" s="322">
        <v>0</v>
      </c>
      <c r="S33" s="322">
        <v>0</v>
      </c>
      <c r="T33" s="296">
        <v>714000</v>
      </c>
      <c r="U33" s="324">
        <f t="shared" si="9"/>
        <v>714000</v>
      </c>
      <c r="W33" s="363" t="s">
        <v>66</v>
      </c>
      <c r="X33" s="321">
        <v>0</v>
      </c>
      <c r="Y33" s="322">
        <v>0</v>
      </c>
      <c r="Z33" s="322">
        <v>0</v>
      </c>
      <c r="AA33" s="296">
        <v>762552</v>
      </c>
      <c r="AB33" s="324">
        <f t="shared" si="7"/>
        <v>762552</v>
      </c>
      <c r="AD33" s="363" t="s">
        <v>66</v>
      </c>
      <c r="AE33" s="321">
        <v>0</v>
      </c>
      <c r="AF33" s="322">
        <v>0</v>
      </c>
      <c r="AG33" s="322">
        <v>0</v>
      </c>
      <c r="AH33" s="296">
        <v>792291.52799999993</v>
      </c>
      <c r="AI33" s="324">
        <f t="shared" si="8"/>
        <v>792291.52799999993</v>
      </c>
      <c r="AK33" s="363" t="s">
        <v>66</v>
      </c>
      <c r="AL33" s="321">
        <v>0</v>
      </c>
      <c r="AM33" s="322">
        <v>0</v>
      </c>
      <c r="AN33" s="322">
        <v>0</v>
      </c>
      <c r="AO33" s="296">
        <v>811306.52467199997</v>
      </c>
      <c r="AP33" s="324">
        <f t="shared" si="4"/>
        <v>811306.52467199997</v>
      </c>
      <c r="AR33" s="320" t="s">
        <v>66</v>
      </c>
      <c r="AS33" s="321">
        <v>0</v>
      </c>
      <c r="AT33" s="322">
        <v>0</v>
      </c>
      <c r="AU33" s="322">
        <v>0</v>
      </c>
      <c r="AV33" s="294">
        <v>828000</v>
      </c>
      <c r="AW33" s="324">
        <f t="shared" si="16"/>
        <v>828000</v>
      </c>
      <c r="AY33" s="320" t="s">
        <v>66</v>
      </c>
      <c r="AZ33" s="321">
        <v>0</v>
      </c>
      <c r="BA33" s="322">
        <v>0</v>
      </c>
      <c r="BB33" s="322">
        <v>0</v>
      </c>
      <c r="BC33" s="294">
        <v>842242</v>
      </c>
      <c r="BD33" s="324">
        <f t="shared" si="17"/>
        <v>842242</v>
      </c>
      <c r="BF33" s="320" t="s">
        <v>66</v>
      </c>
      <c r="BG33" s="321">
        <v>0</v>
      </c>
      <c r="BH33" s="322">
        <v>0</v>
      </c>
      <c r="BI33" s="322">
        <v>0</v>
      </c>
      <c r="BJ33" s="294">
        <v>856728</v>
      </c>
      <c r="BK33" s="324">
        <f t="shared" si="18"/>
        <v>856728</v>
      </c>
      <c r="BM33" s="320" t="s">
        <v>66</v>
      </c>
      <c r="BN33" s="321">
        <v>0</v>
      </c>
      <c r="BO33" s="322">
        <v>0</v>
      </c>
      <c r="BP33" s="322">
        <v>0</v>
      </c>
      <c r="BQ33" s="294">
        <v>871464</v>
      </c>
      <c r="BR33" s="324">
        <f t="shared" si="19"/>
        <v>871464</v>
      </c>
    </row>
    <row r="34" spans="2:71" x14ac:dyDescent="0.25">
      <c r="B34" s="364"/>
      <c r="C34" s="325">
        <v>0</v>
      </c>
      <c r="D34" s="326">
        <v>0</v>
      </c>
      <c r="E34" s="326">
        <v>0</v>
      </c>
      <c r="F34" s="302">
        <v>0</v>
      </c>
      <c r="G34" s="327">
        <f t="shared" si="15"/>
        <v>0</v>
      </c>
      <c r="I34" s="364"/>
      <c r="J34" s="325">
        <v>0</v>
      </c>
      <c r="K34" s="326">
        <v>0</v>
      </c>
      <c r="L34" s="326">
        <v>0</v>
      </c>
      <c r="M34" s="302">
        <v>0</v>
      </c>
      <c r="N34" s="327">
        <f t="shared" si="6"/>
        <v>0</v>
      </c>
      <c r="P34" s="363" t="s">
        <v>67</v>
      </c>
      <c r="Q34" s="321">
        <v>0</v>
      </c>
      <c r="R34" s="322">
        <v>0</v>
      </c>
      <c r="S34" s="322">
        <v>0</v>
      </c>
      <c r="T34" s="296">
        <v>1662600</v>
      </c>
      <c r="U34" s="324">
        <f t="shared" si="9"/>
        <v>1662600</v>
      </c>
      <c r="W34" s="363" t="s">
        <v>67</v>
      </c>
      <c r="X34" s="321">
        <v>0</v>
      </c>
      <c r="Y34" s="322">
        <v>0</v>
      </c>
      <c r="Z34" s="322">
        <v>0</v>
      </c>
      <c r="AA34" s="296">
        <v>1775656.8</v>
      </c>
      <c r="AB34" s="324">
        <f t="shared" si="7"/>
        <v>1775656.8</v>
      </c>
      <c r="AD34" s="363" t="s">
        <v>67</v>
      </c>
      <c r="AE34" s="321">
        <v>0</v>
      </c>
      <c r="AF34" s="322">
        <v>0</v>
      </c>
      <c r="AG34" s="322">
        <v>0</v>
      </c>
      <c r="AH34" s="296">
        <v>1844907</v>
      </c>
      <c r="AI34" s="324">
        <f t="shared" si="8"/>
        <v>1844907</v>
      </c>
      <c r="AK34" s="363" t="s">
        <v>67</v>
      </c>
      <c r="AL34" s="321">
        <v>0</v>
      </c>
      <c r="AM34" s="322">
        <v>0</v>
      </c>
      <c r="AN34" s="322">
        <v>0</v>
      </c>
      <c r="AO34" s="296">
        <v>1889184.7679999999</v>
      </c>
      <c r="AP34" s="324">
        <f t="shared" si="4"/>
        <v>1889184.7679999999</v>
      </c>
      <c r="AR34" s="320" t="s">
        <v>67</v>
      </c>
      <c r="AS34" s="321">
        <v>0</v>
      </c>
      <c r="AT34" s="322">
        <v>0</v>
      </c>
      <c r="AU34" s="322">
        <v>0</v>
      </c>
      <c r="AV34" s="294">
        <v>610000</v>
      </c>
      <c r="AW34" s="324">
        <f t="shared" si="16"/>
        <v>610000</v>
      </c>
      <c r="AY34" s="320" t="s">
        <v>67</v>
      </c>
      <c r="AZ34" s="321">
        <v>0</v>
      </c>
      <c r="BA34" s="322">
        <v>0</v>
      </c>
      <c r="BB34" s="322">
        <v>0</v>
      </c>
      <c r="BC34" s="294">
        <v>620492</v>
      </c>
      <c r="BD34" s="324">
        <f t="shared" si="17"/>
        <v>620492</v>
      </c>
      <c r="BF34" s="320" t="s">
        <v>67</v>
      </c>
      <c r="BG34" s="321">
        <v>0</v>
      </c>
      <c r="BH34" s="322">
        <v>0</v>
      </c>
      <c r="BI34" s="322">
        <v>0</v>
      </c>
      <c r="BJ34" s="294">
        <v>631164</v>
      </c>
      <c r="BK34" s="324">
        <f t="shared" si="18"/>
        <v>631164</v>
      </c>
      <c r="BM34" s="320" t="s">
        <v>67</v>
      </c>
      <c r="BN34" s="321">
        <v>0</v>
      </c>
      <c r="BO34" s="322">
        <v>0</v>
      </c>
      <c r="BP34" s="322">
        <v>0</v>
      </c>
      <c r="BQ34" s="294">
        <v>642020</v>
      </c>
      <c r="BR34" s="324">
        <f t="shared" si="19"/>
        <v>642020</v>
      </c>
    </row>
    <row r="35" spans="2:71" ht="25.5" x14ac:dyDescent="0.25">
      <c r="B35" s="328" t="s">
        <v>69</v>
      </c>
      <c r="C35" s="321">
        <v>0</v>
      </c>
      <c r="D35" s="322">
        <v>0</v>
      </c>
      <c r="E35" s="322">
        <v>0</v>
      </c>
      <c r="F35" s="298">
        <v>2543663</v>
      </c>
      <c r="G35" s="323">
        <f t="shared" si="15"/>
        <v>2543663</v>
      </c>
      <c r="I35" s="328" t="s">
        <v>69</v>
      </c>
      <c r="J35" s="321">
        <v>0</v>
      </c>
      <c r="K35" s="322">
        <v>0</v>
      </c>
      <c r="L35" s="322">
        <v>0</v>
      </c>
      <c r="M35" s="298">
        <v>2543663</v>
      </c>
      <c r="N35" s="323">
        <f t="shared" si="6"/>
        <v>2543663</v>
      </c>
      <c r="P35" s="328" t="s">
        <v>69</v>
      </c>
      <c r="Q35" s="321">
        <v>0</v>
      </c>
      <c r="R35" s="322">
        <v>0</v>
      </c>
      <c r="S35" s="322">
        <v>0</v>
      </c>
      <c r="T35" s="298">
        <v>3231478.3200000003</v>
      </c>
      <c r="U35" s="324">
        <f t="shared" si="9"/>
        <v>3231478.3200000003</v>
      </c>
      <c r="W35" s="328" t="s">
        <v>69</v>
      </c>
      <c r="X35" s="321">
        <v>0</v>
      </c>
      <c r="Y35" s="322">
        <v>0</v>
      </c>
      <c r="Z35" s="322">
        <v>0</v>
      </c>
      <c r="AA35" s="298">
        <v>3451218.8457599999</v>
      </c>
      <c r="AB35" s="324">
        <f t="shared" si="7"/>
        <v>3451218.8457599999</v>
      </c>
      <c r="AD35" s="328" t="s">
        <v>69</v>
      </c>
      <c r="AE35" s="321">
        <v>0</v>
      </c>
      <c r="AF35" s="322">
        <v>0</v>
      </c>
      <c r="AG35" s="322">
        <v>0</v>
      </c>
      <c r="AH35" s="298">
        <v>3585816.3807446398</v>
      </c>
      <c r="AI35" s="324">
        <f t="shared" si="8"/>
        <v>3585816.3807446398</v>
      </c>
      <c r="AK35" s="328" t="s">
        <v>69</v>
      </c>
      <c r="AL35" s="321">
        <v>0</v>
      </c>
      <c r="AM35" s="322">
        <v>0</v>
      </c>
      <c r="AN35" s="322">
        <v>0</v>
      </c>
      <c r="AO35" s="298">
        <v>3671875.9738825113</v>
      </c>
      <c r="AP35" s="324">
        <f t="shared" si="4"/>
        <v>3671875.9738825113</v>
      </c>
      <c r="AR35" s="329" t="s">
        <v>196</v>
      </c>
      <c r="AS35" s="321">
        <v>0</v>
      </c>
      <c r="AT35" s="322">
        <v>0</v>
      </c>
      <c r="AU35" s="322">
        <v>0</v>
      </c>
      <c r="AV35" s="300">
        <v>3223200</v>
      </c>
      <c r="AW35" s="324">
        <f>SUM(AS35:AV35)</f>
        <v>3223200</v>
      </c>
      <c r="AY35" s="329" t="s">
        <v>196</v>
      </c>
      <c r="AZ35" s="321">
        <v>0</v>
      </c>
      <c r="BA35" s="322">
        <v>0</v>
      </c>
      <c r="BB35" s="322">
        <v>0</v>
      </c>
      <c r="BC35" s="300">
        <v>3278639</v>
      </c>
      <c r="BD35" s="324">
        <f>SUM(AZ35:BC35)</f>
        <v>3278639</v>
      </c>
      <c r="BF35" s="329" t="s">
        <v>196</v>
      </c>
      <c r="BG35" s="321">
        <v>0</v>
      </c>
      <c r="BH35" s="322">
        <v>0</v>
      </c>
      <c r="BI35" s="322">
        <v>0</v>
      </c>
      <c r="BJ35" s="300">
        <v>3335032</v>
      </c>
      <c r="BK35" s="324">
        <f>SUM(BG35:BJ35)</f>
        <v>3335032</v>
      </c>
      <c r="BM35" s="329" t="s">
        <v>196</v>
      </c>
      <c r="BN35" s="321">
        <v>0</v>
      </c>
      <c r="BO35" s="322">
        <v>0</v>
      </c>
      <c r="BP35" s="322">
        <v>0</v>
      </c>
      <c r="BQ35" s="300">
        <v>3392393</v>
      </c>
      <c r="BR35" s="324">
        <f>SUM(BN35:BQ35)</f>
        <v>3392393</v>
      </c>
      <c r="BS35" s="294"/>
    </row>
    <row r="36" spans="2:71" x14ac:dyDescent="0.25">
      <c r="B36" s="328" t="s">
        <v>70</v>
      </c>
      <c r="C36" s="321">
        <v>0</v>
      </c>
      <c r="D36" s="322">
        <v>0</v>
      </c>
      <c r="E36" s="322">
        <v>0</v>
      </c>
      <c r="F36" s="298">
        <v>4520056</v>
      </c>
      <c r="G36" s="323">
        <f t="shared" si="15"/>
        <v>4520056</v>
      </c>
      <c r="I36" s="328" t="s">
        <v>70</v>
      </c>
      <c r="J36" s="321">
        <v>0</v>
      </c>
      <c r="K36" s="322">
        <v>0</v>
      </c>
      <c r="L36" s="322">
        <v>0</v>
      </c>
      <c r="M36" s="298">
        <v>4520056</v>
      </c>
      <c r="N36" s="323">
        <f t="shared" si="6"/>
        <v>4520056</v>
      </c>
      <c r="P36" s="328" t="s">
        <v>70</v>
      </c>
      <c r="Q36" s="321">
        <v>0</v>
      </c>
      <c r="R36" s="322">
        <v>0</v>
      </c>
      <c r="S36" s="322">
        <v>0</v>
      </c>
      <c r="T36" s="298">
        <v>2652000</v>
      </c>
      <c r="U36" s="324">
        <f t="shared" si="9"/>
        <v>2652000</v>
      </c>
      <c r="W36" s="328" t="s">
        <v>70</v>
      </c>
      <c r="X36" s="321">
        <v>0</v>
      </c>
      <c r="Y36" s="322">
        <v>0</v>
      </c>
      <c r="Z36" s="322">
        <v>0</v>
      </c>
      <c r="AA36" s="298">
        <v>2832336</v>
      </c>
      <c r="AB36" s="324">
        <f t="shared" si="7"/>
        <v>2832336</v>
      </c>
      <c r="AD36" s="328" t="s">
        <v>70</v>
      </c>
      <c r="AE36" s="321">
        <v>0</v>
      </c>
      <c r="AF36" s="322">
        <v>0</v>
      </c>
      <c r="AG36" s="322">
        <v>0</v>
      </c>
      <c r="AH36" s="298">
        <v>2942797.1039999998</v>
      </c>
      <c r="AI36" s="324">
        <f t="shared" si="8"/>
        <v>2942797.1039999998</v>
      </c>
      <c r="AK36" s="328" t="s">
        <v>70</v>
      </c>
      <c r="AL36" s="321">
        <v>0</v>
      </c>
      <c r="AM36" s="322">
        <v>0</v>
      </c>
      <c r="AN36" s="322">
        <v>0</v>
      </c>
      <c r="AO36" s="298">
        <v>3013424.2344959998</v>
      </c>
      <c r="AP36" s="324">
        <f t="shared" si="4"/>
        <v>3013424.2344959998</v>
      </c>
      <c r="AR36" s="329" t="s">
        <v>194</v>
      </c>
      <c r="AS36" s="321">
        <v>0</v>
      </c>
      <c r="AT36" s="322">
        <v>0</v>
      </c>
      <c r="AU36" s="322">
        <v>0</v>
      </c>
      <c r="AV36" s="300">
        <v>3100000</v>
      </c>
      <c r="AW36" s="324">
        <f>SUM(AS36:AV36)</f>
        <v>3100000</v>
      </c>
      <c r="AY36" s="329" t="s">
        <v>194</v>
      </c>
      <c r="AZ36" s="321">
        <v>0</v>
      </c>
      <c r="BA36" s="322">
        <v>0</v>
      </c>
      <c r="BB36" s="322">
        <v>0</v>
      </c>
      <c r="BC36" s="300">
        <v>3153320</v>
      </c>
      <c r="BD36" s="324">
        <f>SUM(AZ36:BC36)</f>
        <v>3153320</v>
      </c>
      <c r="BF36" s="329" t="s">
        <v>194</v>
      </c>
      <c r="BG36" s="321">
        <v>0</v>
      </c>
      <c r="BH36" s="322">
        <v>0</v>
      </c>
      <c r="BI36" s="322">
        <v>0</v>
      </c>
      <c r="BJ36" s="300">
        <v>3207557</v>
      </c>
      <c r="BK36" s="324">
        <f>SUM(BG36:BJ36)</f>
        <v>3207557</v>
      </c>
      <c r="BM36" s="329" t="s">
        <v>194</v>
      </c>
      <c r="BN36" s="321">
        <v>0</v>
      </c>
      <c r="BO36" s="322">
        <v>0</v>
      </c>
      <c r="BP36" s="322">
        <v>0</v>
      </c>
      <c r="BQ36" s="300">
        <v>3262727</v>
      </c>
      <c r="BR36" s="324">
        <f>SUM(BN36:BQ36)</f>
        <v>3262727</v>
      </c>
    </row>
    <row r="37" spans="2:71" x14ac:dyDescent="0.25">
      <c r="B37" s="364"/>
      <c r="C37" s="325">
        <v>0</v>
      </c>
      <c r="D37" s="326">
        <v>0</v>
      </c>
      <c r="E37" s="326">
        <v>0</v>
      </c>
      <c r="F37" s="302">
        <v>0</v>
      </c>
      <c r="G37" s="327">
        <f t="shared" si="15"/>
        <v>0</v>
      </c>
      <c r="I37" s="364"/>
      <c r="J37" s="325">
        <v>0</v>
      </c>
      <c r="K37" s="326">
        <v>0</v>
      </c>
      <c r="L37" s="326">
        <v>0</v>
      </c>
      <c r="M37" s="302"/>
      <c r="N37" s="327">
        <f t="shared" si="6"/>
        <v>0</v>
      </c>
      <c r="P37" s="363" t="s">
        <v>71</v>
      </c>
      <c r="Q37" s="321">
        <v>0</v>
      </c>
      <c r="R37" s="322">
        <v>0</v>
      </c>
      <c r="S37" s="322">
        <v>0</v>
      </c>
      <c r="T37" s="296">
        <v>510000</v>
      </c>
      <c r="U37" s="324">
        <f t="shared" si="9"/>
        <v>510000</v>
      </c>
      <c r="W37" s="363" t="s">
        <v>71</v>
      </c>
      <c r="X37" s="321">
        <v>0</v>
      </c>
      <c r="Y37" s="322">
        <v>0</v>
      </c>
      <c r="Z37" s="322">
        <v>0</v>
      </c>
      <c r="AA37" s="296">
        <v>544680</v>
      </c>
      <c r="AB37" s="324">
        <f t="shared" si="7"/>
        <v>544680</v>
      </c>
      <c r="AD37" s="363" t="s">
        <v>71</v>
      </c>
      <c r="AE37" s="321">
        <v>0</v>
      </c>
      <c r="AF37" s="322">
        <v>0</v>
      </c>
      <c r="AG37" s="322">
        <v>0</v>
      </c>
      <c r="AH37" s="296">
        <v>565922.5199999999</v>
      </c>
      <c r="AI37" s="324">
        <f t="shared" si="8"/>
        <v>565922.5199999999</v>
      </c>
      <c r="AK37" s="363" t="s">
        <v>71</v>
      </c>
      <c r="AL37" s="321">
        <v>0</v>
      </c>
      <c r="AM37" s="322">
        <v>0</v>
      </c>
      <c r="AN37" s="322">
        <v>0</v>
      </c>
      <c r="AO37" s="296">
        <v>579504.66047999996</v>
      </c>
      <c r="AP37" s="324">
        <f t="shared" si="4"/>
        <v>579504.66047999996</v>
      </c>
      <c r="AR37" s="320" t="s">
        <v>195</v>
      </c>
      <c r="AS37" s="321">
        <v>0</v>
      </c>
      <c r="AT37" s="322">
        <v>0</v>
      </c>
      <c r="AU37" s="322">
        <v>0</v>
      </c>
      <c r="AV37" s="294">
        <v>590000</v>
      </c>
      <c r="AW37" s="324">
        <f>SUM(AS37:AV37)</f>
        <v>590000</v>
      </c>
      <c r="AY37" s="320" t="s">
        <v>195</v>
      </c>
      <c r="AZ37" s="321">
        <v>0</v>
      </c>
      <c r="BA37" s="322">
        <v>0</v>
      </c>
      <c r="BB37" s="322">
        <v>0</v>
      </c>
      <c r="BC37" s="294">
        <v>600148</v>
      </c>
      <c r="BD37" s="324">
        <f>SUM(AZ37:BC37)</f>
        <v>600148</v>
      </c>
      <c r="BF37" s="320" t="s">
        <v>195</v>
      </c>
      <c r="BG37" s="321">
        <v>0</v>
      </c>
      <c r="BH37" s="322">
        <v>0</v>
      </c>
      <c r="BI37" s="322">
        <v>0</v>
      </c>
      <c r="BJ37" s="294">
        <v>610471</v>
      </c>
      <c r="BK37" s="324">
        <f>SUM(BG37:BJ37)</f>
        <v>610471</v>
      </c>
      <c r="BM37" s="320" t="s">
        <v>195</v>
      </c>
      <c r="BN37" s="321">
        <v>0</v>
      </c>
      <c r="BO37" s="322">
        <v>0</v>
      </c>
      <c r="BP37" s="322">
        <v>0</v>
      </c>
      <c r="BQ37" s="294">
        <v>620971</v>
      </c>
      <c r="BR37" s="324">
        <f>SUM(BN37:BQ37)</f>
        <v>620971</v>
      </c>
    </row>
    <row r="38" spans="2:71" ht="13.5" thickBot="1" x14ac:dyDescent="0.3">
      <c r="B38" s="361" t="s">
        <v>220</v>
      </c>
      <c r="C38" s="330">
        <f>SUM(C31:C37)</f>
        <v>0</v>
      </c>
      <c r="D38" s="331">
        <f>SUM(D31:D37)</f>
        <v>0</v>
      </c>
      <c r="E38" s="331">
        <f>SUM(E31:E37)</f>
        <v>0</v>
      </c>
      <c r="F38" s="332">
        <f>SUM(F31:F37)</f>
        <v>10905719</v>
      </c>
      <c r="G38" s="311">
        <f t="shared" si="15"/>
        <v>10905719</v>
      </c>
      <c r="I38" s="361" t="s">
        <v>220</v>
      </c>
      <c r="J38" s="330">
        <f t="shared" ref="J38:L38" si="20">SUM(J31:J37)</f>
        <v>0</v>
      </c>
      <c r="K38" s="331">
        <f t="shared" si="20"/>
        <v>0</v>
      </c>
      <c r="L38" s="331">
        <f t="shared" si="20"/>
        <v>0</v>
      </c>
      <c r="M38" s="332">
        <f>SUM(M31:M37)</f>
        <v>10905719</v>
      </c>
      <c r="N38" s="311">
        <f t="shared" si="6"/>
        <v>10905719</v>
      </c>
      <c r="P38" s="361" t="s">
        <v>220</v>
      </c>
      <c r="Q38" s="333">
        <f t="shared" ref="Q38:S38" si="21">SUM(Q31:Q37)</f>
        <v>0</v>
      </c>
      <c r="R38" s="333">
        <f t="shared" si="21"/>
        <v>0</v>
      </c>
      <c r="S38" s="333">
        <f t="shared" si="21"/>
        <v>0</v>
      </c>
      <c r="T38" s="312">
        <f>SUM(T31:T37)</f>
        <v>18359999.998982839</v>
      </c>
      <c r="U38" s="311">
        <f t="shared" si="9"/>
        <v>18359999.998982839</v>
      </c>
      <c r="W38" s="361" t="s">
        <v>220</v>
      </c>
      <c r="X38" s="333">
        <f t="shared" ref="X38:Z38" si="22">SUM(X31:X37)</f>
        <v>0</v>
      </c>
      <c r="Y38" s="333">
        <f t="shared" si="22"/>
        <v>0</v>
      </c>
      <c r="Z38" s="333">
        <f t="shared" si="22"/>
        <v>0</v>
      </c>
      <c r="AA38" s="312">
        <f>SUM(AA31:AA37)</f>
        <v>19608479.998913672</v>
      </c>
      <c r="AB38" s="311">
        <f t="shared" si="7"/>
        <v>19608479.998913672</v>
      </c>
      <c r="AD38" s="361" t="s">
        <v>220</v>
      </c>
      <c r="AE38" s="333">
        <f t="shared" ref="AE38:AF38" si="23">SUM(AE31:AE37)</f>
        <v>0</v>
      </c>
      <c r="AF38" s="333">
        <f t="shared" si="23"/>
        <v>0</v>
      </c>
      <c r="AG38" s="333">
        <f>SUM(AG31:AG37)</f>
        <v>0</v>
      </c>
      <c r="AH38" s="312">
        <f>SUM(AH31:AH37)</f>
        <v>20373210.3036713</v>
      </c>
      <c r="AI38" s="311">
        <f t="shared" si="8"/>
        <v>20373210.3036713</v>
      </c>
      <c r="AK38" s="361" t="s">
        <v>220</v>
      </c>
      <c r="AL38" s="333">
        <f t="shared" ref="AL38:AN38" si="24">SUM(AL31:AL37)</f>
        <v>0</v>
      </c>
      <c r="AM38" s="333">
        <f t="shared" si="24"/>
        <v>0</v>
      </c>
      <c r="AN38" s="333">
        <f t="shared" si="24"/>
        <v>0</v>
      </c>
      <c r="AO38" s="312">
        <f>SUM(AO31:AO37)</f>
        <v>20862167.350959416</v>
      </c>
      <c r="AP38" s="311">
        <f t="shared" si="4"/>
        <v>20862167.350959416</v>
      </c>
      <c r="AR38" s="131" t="s">
        <v>8</v>
      </c>
      <c r="AS38" s="333">
        <f>SUM(AS31:AS37)</f>
        <v>0</v>
      </c>
      <c r="AT38" s="333">
        <f>SUM(AT31:AT37)</f>
        <v>0</v>
      </c>
      <c r="AU38" s="333">
        <f>SUM(AU31:AU37)</f>
        <v>0</v>
      </c>
      <c r="AV38" s="311">
        <f>SUM(AV31:AV37)</f>
        <v>17637852</v>
      </c>
      <c r="AW38" s="311">
        <f>SUM(AS38:AV38)</f>
        <v>17637852</v>
      </c>
      <c r="AY38" s="131" t="s">
        <v>8</v>
      </c>
      <c r="AZ38" s="333">
        <f>SUM(AZ31:AZ37)</f>
        <v>0</v>
      </c>
      <c r="BA38" s="333">
        <f>SUM(BA31:BA37)</f>
        <v>0</v>
      </c>
      <c r="BB38" s="333">
        <f>SUM(BB31:BB37)</f>
        <v>0</v>
      </c>
      <c r="BC38" s="311">
        <f>SUM(BC31:BC37)</f>
        <v>17737784</v>
      </c>
      <c r="BD38" s="311">
        <f>SUM(AZ38:BC38)</f>
        <v>17737784</v>
      </c>
      <c r="BF38" s="129" t="s">
        <v>8</v>
      </c>
      <c r="BG38" s="333">
        <f>SUM(BG31:BG37)</f>
        <v>0</v>
      </c>
      <c r="BH38" s="333">
        <f>SUM(BH31:BH37)</f>
        <v>0</v>
      </c>
      <c r="BI38" s="333">
        <f>SUM(BI31:BI37)</f>
        <v>0</v>
      </c>
      <c r="BJ38" s="311">
        <f>SUM(BJ31:BJ37)</f>
        <v>18042873</v>
      </c>
      <c r="BK38" s="311">
        <f>SUM(BG38:BJ38)</f>
        <v>18042873</v>
      </c>
      <c r="BM38" s="129" t="s">
        <v>8</v>
      </c>
      <c r="BN38" s="333">
        <f>SUM(BN31:BN37)</f>
        <v>0</v>
      </c>
      <c r="BO38" s="333">
        <f>SUM(BO31:BO37)</f>
        <v>0</v>
      </c>
      <c r="BP38" s="333">
        <f>SUM(BP31:BP37)</f>
        <v>0</v>
      </c>
      <c r="BQ38" s="311">
        <f>SUM(BQ31:BQ37)</f>
        <v>18353209</v>
      </c>
      <c r="BR38" s="311">
        <f>SUM(BN38:BQ38)</f>
        <v>18353209</v>
      </c>
    </row>
    <row r="39" spans="2:71" ht="13.5" thickTop="1" x14ac:dyDescent="0.25">
      <c r="B39" s="365" t="s">
        <v>73</v>
      </c>
      <c r="C39" s="334">
        <f>C30+C38</f>
        <v>93159762</v>
      </c>
      <c r="D39" s="335">
        <f>D30+D38</f>
        <v>0</v>
      </c>
      <c r="E39" s="335">
        <f>E30+E38</f>
        <v>0</v>
      </c>
      <c r="F39" s="335">
        <f>F30+F38</f>
        <v>25276237</v>
      </c>
      <c r="G39" s="336">
        <f t="shared" si="15"/>
        <v>118435999</v>
      </c>
      <c r="I39" s="365" t="s">
        <v>73</v>
      </c>
      <c r="J39" s="334">
        <f>J30+J38</f>
        <v>93159762</v>
      </c>
      <c r="K39" s="335">
        <f>K30+K38</f>
        <v>0</v>
      </c>
      <c r="L39" s="335">
        <f>L30+L38</f>
        <v>0</v>
      </c>
      <c r="M39" s="335">
        <f>M30+M38</f>
        <v>25276237</v>
      </c>
      <c r="N39" s="336">
        <f t="shared" si="6"/>
        <v>118435999</v>
      </c>
      <c r="P39" s="365" t="s">
        <v>73</v>
      </c>
      <c r="Q39" s="334">
        <f>Q30+Q38</f>
        <v>111364382.91180339</v>
      </c>
      <c r="R39" s="335">
        <f>R30+R38</f>
        <v>8186161.6900000004</v>
      </c>
      <c r="S39" s="335">
        <f>S30+S38</f>
        <v>8499324.1161965691</v>
      </c>
      <c r="T39" s="337">
        <f>T30+T38</f>
        <v>29533892.999075919</v>
      </c>
      <c r="U39" s="336">
        <f t="shared" si="9"/>
        <v>157583761.71707588</v>
      </c>
      <c r="W39" s="365" t="s">
        <v>73</v>
      </c>
      <c r="X39" s="334">
        <f>X30+X38</f>
        <v>122524899.03940606</v>
      </c>
      <c r="Y39" s="335">
        <f>Y30+Y38</f>
        <v>8933157.1107200012</v>
      </c>
      <c r="Z39" s="335">
        <f>Z30+Z38</f>
        <v>8904178.1560979374</v>
      </c>
      <c r="AA39" s="337">
        <f>AA30+AA38</f>
        <v>31486960.268515166</v>
      </c>
      <c r="AB39" s="336">
        <f t="shared" si="7"/>
        <v>171849194.57473919</v>
      </c>
      <c r="AD39" s="365" t="s">
        <v>73</v>
      </c>
      <c r="AE39" s="334">
        <f>AE30+AE38</f>
        <v>129945387.19306895</v>
      </c>
      <c r="AF39" s="335">
        <f>AF30+AF38</f>
        <v>9281550.2380380817</v>
      </c>
      <c r="AG39" s="335">
        <f>AG30+AG38</f>
        <v>9251441.1041857544</v>
      </c>
      <c r="AH39" s="337">
        <f>AH30+AH38</f>
        <v>32714951.3075606</v>
      </c>
      <c r="AI39" s="336">
        <f t="shared" si="8"/>
        <v>181193329.8428534</v>
      </c>
      <c r="AK39" s="365" t="s">
        <v>73</v>
      </c>
      <c r="AL39" s="334">
        <f>AL30+AL38</f>
        <v>133064076.48570262</v>
      </c>
      <c r="AM39" s="335">
        <f>AM30+AM38</f>
        <v>9504307.4437509943</v>
      </c>
      <c r="AN39" s="335">
        <f>AN30+AN38</f>
        <v>9473475.6906862147</v>
      </c>
      <c r="AO39" s="337">
        <f>AO30+AO38</f>
        <v>33500109.350959416</v>
      </c>
      <c r="AP39" s="336">
        <f t="shared" si="4"/>
        <v>185541968.97109926</v>
      </c>
      <c r="AR39" s="338" t="s">
        <v>9</v>
      </c>
      <c r="AS39" s="339">
        <f>AS38+AS30</f>
        <v>134785541</v>
      </c>
      <c r="AT39" s="340">
        <f>AT38+AT30</f>
        <v>11965700</v>
      </c>
      <c r="AU39" s="340">
        <f>AU38+AU30</f>
        <v>11756494</v>
      </c>
      <c r="AV39" s="340">
        <f>AV38+AV30</f>
        <v>32667187</v>
      </c>
      <c r="AW39" s="341">
        <f>SUM(AS39:AV39)</f>
        <v>191174922</v>
      </c>
      <c r="AY39" s="338" t="s">
        <v>9</v>
      </c>
      <c r="AZ39" s="339">
        <f>AZ38+AZ30</f>
        <v>146754892</v>
      </c>
      <c r="BA39" s="340">
        <f>BA38+BA30</f>
        <v>12235695</v>
      </c>
      <c r="BB39" s="340">
        <f>BB38+BB30</f>
        <v>11995099</v>
      </c>
      <c r="BC39" s="340">
        <f>BC38+BC30</f>
        <v>33025623</v>
      </c>
      <c r="BD39" s="341">
        <f>SUM(AZ39:BC39)</f>
        <v>204011309</v>
      </c>
      <c r="BF39" s="338" t="s">
        <v>9</v>
      </c>
      <c r="BG39" s="339">
        <f>BG38+BG30</f>
        <v>156829983</v>
      </c>
      <c r="BH39" s="340">
        <f>BH38+BH30</f>
        <v>12451478</v>
      </c>
      <c r="BI39" s="340">
        <f>BI38+BI30</f>
        <v>12780139</v>
      </c>
      <c r="BJ39" s="340">
        <f>BJ38+BJ30</f>
        <v>33593664</v>
      </c>
      <c r="BK39" s="341">
        <f>SUM(BG39:BJ39)</f>
        <v>215655264</v>
      </c>
      <c r="BM39" s="338" t="s">
        <v>9</v>
      </c>
      <c r="BN39" s="339">
        <f>BN38+BN30</f>
        <v>166234535</v>
      </c>
      <c r="BO39" s="340">
        <f>BO38+BO30</f>
        <v>12770421</v>
      </c>
      <c r="BP39" s="340">
        <f>BP38+BP30</f>
        <v>13548371</v>
      </c>
      <c r="BQ39" s="340">
        <f>BQ38+BQ30</f>
        <v>34171474</v>
      </c>
      <c r="BR39" s="341">
        <f>SUM(BN39:BQ39)</f>
        <v>226724801</v>
      </c>
    </row>
    <row r="40" spans="2:71" x14ac:dyDescent="0.25">
      <c r="B40" s="366" t="s">
        <v>10</v>
      </c>
      <c r="C40" s="342"/>
      <c r="D40" s="342"/>
      <c r="E40" s="342"/>
      <c r="F40" s="342"/>
      <c r="G40" s="343">
        <f t="shared" si="15"/>
        <v>0</v>
      </c>
      <c r="I40" s="370" t="s">
        <v>10</v>
      </c>
      <c r="J40" s="342"/>
      <c r="K40" s="342"/>
      <c r="L40" s="342"/>
      <c r="M40" s="342"/>
      <c r="N40" s="343">
        <f t="shared" si="6"/>
        <v>0</v>
      </c>
      <c r="P40" s="370" t="s">
        <v>10</v>
      </c>
      <c r="Q40" s="287"/>
      <c r="R40" s="287"/>
      <c r="S40" s="287"/>
      <c r="T40" s="342"/>
      <c r="U40" s="288">
        <f t="shared" si="9"/>
        <v>0</v>
      </c>
      <c r="W40" s="370" t="s">
        <v>10</v>
      </c>
      <c r="X40" s="287"/>
      <c r="Y40" s="287"/>
      <c r="Z40" s="287"/>
      <c r="AA40" s="342"/>
      <c r="AB40" s="288">
        <f t="shared" si="7"/>
        <v>0</v>
      </c>
      <c r="AD40" s="370" t="s">
        <v>10</v>
      </c>
      <c r="AE40" s="287"/>
      <c r="AF40" s="287"/>
      <c r="AG40" s="287"/>
      <c r="AH40" s="342"/>
      <c r="AI40" s="288">
        <f t="shared" si="8"/>
        <v>0</v>
      </c>
      <c r="AK40" s="370" t="s">
        <v>10</v>
      </c>
      <c r="AL40" s="287"/>
      <c r="AM40" s="287"/>
      <c r="AN40" s="287"/>
      <c r="AO40" s="342"/>
      <c r="AP40" s="288">
        <f t="shared" si="4"/>
        <v>0</v>
      </c>
    </row>
    <row r="41" spans="2:71" x14ac:dyDescent="0.25">
      <c r="B41" s="128" t="s">
        <v>114</v>
      </c>
      <c r="C41" s="293">
        <f>SUM(C42:C44)</f>
        <v>6970924</v>
      </c>
      <c r="D41" s="293">
        <f t="shared" ref="D41:E41" si="25">SUM(D42:D44)</f>
        <v>0</v>
      </c>
      <c r="E41" s="293">
        <f t="shared" si="25"/>
        <v>0</v>
      </c>
      <c r="F41" s="308">
        <v>903491</v>
      </c>
      <c r="G41" s="308">
        <f t="shared" si="15"/>
        <v>7874415</v>
      </c>
      <c r="I41" s="128" t="s">
        <v>114</v>
      </c>
      <c r="J41" s="293">
        <f>SUM(J42:J44)</f>
        <v>6970924</v>
      </c>
      <c r="K41" s="293">
        <f>SUM(K42:K44)</f>
        <v>0</v>
      </c>
      <c r="L41" s="293">
        <f>SUM(L42:L44)</f>
        <v>0</v>
      </c>
      <c r="M41" s="308">
        <v>903491</v>
      </c>
      <c r="N41" s="308">
        <f t="shared" si="6"/>
        <v>7874415</v>
      </c>
      <c r="P41" s="132" t="s">
        <v>114</v>
      </c>
      <c r="Q41" s="306">
        <f>SUM(Q42:Q45)</f>
        <v>2818600</v>
      </c>
      <c r="R41" s="291">
        <f t="shared" ref="R41:S41" si="26">SUM(R42:R45)</f>
        <v>1393431.9992126175</v>
      </c>
      <c r="S41" s="291">
        <f t="shared" si="26"/>
        <v>3702900</v>
      </c>
      <c r="T41" s="308">
        <v>522570.99884141923</v>
      </c>
      <c r="U41" s="307">
        <f t="shared" si="9"/>
        <v>8437502.9980540369</v>
      </c>
      <c r="W41" s="132" t="s">
        <v>114</v>
      </c>
      <c r="X41" s="306">
        <f>SUM(X42:X45)</f>
        <v>3714492.8000000003</v>
      </c>
      <c r="Y41" s="291">
        <f>SUM(Y42:Y45)</f>
        <v>1174115.7313590746</v>
      </c>
      <c r="Z41" s="291">
        <f>SUM(Z42:Z45)</f>
        <v>4505539.2</v>
      </c>
      <c r="AA41" s="308">
        <v>557206.4045626357</v>
      </c>
      <c r="AB41" s="307">
        <f t="shared" si="7"/>
        <v>9951354.1359217111</v>
      </c>
      <c r="AD41" s="132" t="s">
        <v>114</v>
      </c>
      <c r="AE41" s="306">
        <f>SUM(AE42:AE45)</f>
        <v>4756540.1297304947</v>
      </c>
      <c r="AF41" s="291">
        <f>SUM(AF42:AF45)</f>
        <v>1510957.3746976606</v>
      </c>
      <c r="AG41" s="291">
        <f>SUM(AG42:AG45)</f>
        <v>5743813.314782491</v>
      </c>
      <c r="AH41" s="308">
        <v>578937.45434057841</v>
      </c>
      <c r="AI41" s="307">
        <f t="shared" si="8"/>
        <v>12590248.273551226</v>
      </c>
      <c r="AK41" s="132" t="s">
        <v>114</v>
      </c>
      <c r="AL41" s="306">
        <f>SUM(AL42:AL45)</f>
        <v>4870697.0928440271</v>
      </c>
      <c r="AM41" s="291">
        <f>SUM(AM42:AM45)</f>
        <v>1547220.3516904043</v>
      </c>
      <c r="AN41" s="291">
        <f>SUM(AN42:AN45)</f>
        <v>5881664.8343372717</v>
      </c>
      <c r="AO41" s="308">
        <v>592832</v>
      </c>
      <c r="AP41" s="307">
        <f t="shared" si="4"/>
        <v>12892414.278871704</v>
      </c>
    </row>
    <row r="42" spans="2:71" x14ac:dyDescent="0.25">
      <c r="B42" s="367" t="s">
        <v>232</v>
      </c>
      <c r="C42" s="295">
        <v>3392296</v>
      </c>
      <c r="D42" s="296">
        <v>0</v>
      </c>
      <c r="E42" s="296">
        <v>0</v>
      </c>
      <c r="F42" s="297">
        <v>0</v>
      </c>
      <c r="G42" s="298">
        <f t="shared" si="15"/>
        <v>3392296</v>
      </c>
      <c r="I42" s="371" t="s">
        <v>232</v>
      </c>
      <c r="J42" s="296">
        <v>3392296</v>
      </c>
      <c r="K42" s="296">
        <v>0</v>
      </c>
      <c r="L42" s="296">
        <v>0</v>
      </c>
      <c r="M42" s="297">
        <v>0</v>
      </c>
      <c r="N42" s="298">
        <f t="shared" si="6"/>
        <v>3392296</v>
      </c>
      <c r="P42" s="367" t="s">
        <v>163</v>
      </c>
      <c r="Q42" s="299">
        <v>1600000</v>
      </c>
      <c r="R42" s="294">
        <v>900000</v>
      </c>
      <c r="S42" s="294">
        <v>1557500</v>
      </c>
      <c r="T42" s="297">
        <v>0</v>
      </c>
      <c r="U42" s="300">
        <f t="shared" si="9"/>
        <v>4057500</v>
      </c>
      <c r="W42" s="367" t="s">
        <v>232</v>
      </c>
      <c r="X42" s="299">
        <v>2226800</v>
      </c>
      <c r="Y42" s="294">
        <v>693199.99999999988</v>
      </c>
      <c r="Z42" s="294">
        <v>1989760</v>
      </c>
      <c r="AA42" s="297">
        <v>0</v>
      </c>
      <c r="AB42" s="300">
        <f t="shared" si="7"/>
        <v>4909760</v>
      </c>
      <c r="AD42" s="367" t="s">
        <v>232</v>
      </c>
      <c r="AE42" s="299">
        <v>2900352.923944857</v>
      </c>
      <c r="AF42" s="294">
        <v>902876.16619300086</v>
      </c>
      <c r="AG42" s="294">
        <v>2591614.0802714736</v>
      </c>
      <c r="AH42" s="297">
        <v>0</v>
      </c>
      <c r="AI42" s="300">
        <f t="shared" si="8"/>
        <v>6394843.1704093311</v>
      </c>
      <c r="AK42" s="367" t="s">
        <v>232</v>
      </c>
      <c r="AL42" s="299">
        <v>2969961.3941195332</v>
      </c>
      <c r="AM42" s="294">
        <v>924545.19418163295</v>
      </c>
      <c r="AN42" s="294">
        <v>2653812.8181979889</v>
      </c>
      <c r="AO42" s="297">
        <v>0</v>
      </c>
      <c r="AP42" s="300">
        <f t="shared" si="4"/>
        <v>6548319.4064991549</v>
      </c>
    </row>
    <row r="43" spans="2:71" x14ac:dyDescent="0.25">
      <c r="B43" s="367" t="s">
        <v>167</v>
      </c>
      <c r="C43" s="295">
        <v>2122068</v>
      </c>
      <c r="D43" s="296">
        <v>0</v>
      </c>
      <c r="E43" s="296">
        <v>0</v>
      </c>
      <c r="F43" s="297">
        <v>0</v>
      </c>
      <c r="G43" s="298">
        <f t="shared" si="15"/>
        <v>2122068</v>
      </c>
      <c r="I43" s="371" t="s">
        <v>167</v>
      </c>
      <c r="J43" s="296">
        <v>2122068</v>
      </c>
      <c r="K43" s="296">
        <v>0</v>
      </c>
      <c r="L43" s="296">
        <v>0</v>
      </c>
      <c r="M43" s="297">
        <v>0</v>
      </c>
      <c r="N43" s="298">
        <f t="shared" si="6"/>
        <v>2122068</v>
      </c>
      <c r="P43" s="367" t="s">
        <v>167</v>
      </c>
      <c r="Q43" s="299">
        <v>0</v>
      </c>
      <c r="R43" s="294">
        <v>200000</v>
      </c>
      <c r="S43" s="294">
        <v>1036000</v>
      </c>
      <c r="T43" s="297">
        <v>0</v>
      </c>
      <c r="U43" s="300">
        <f t="shared" si="9"/>
        <v>1236000</v>
      </c>
      <c r="W43" s="367" t="s">
        <v>167</v>
      </c>
      <c r="X43" s="299">
        <v>0</v>
      </c>
      <c r="Y43" s="294">
        <v>209600</v>
      </c>
      <c r="Z43" s="294">
        <v>1196728</v>
      </c>
      <c r="AA43" s="297">
        <v>0</v>
      </c>
      <c r="AB43" s="300">
        <f t="shared" si="7"/>
        <v>1406328</v>
      </c>
      <c r="AD43" s="367" t="s">
        <v>167</v>
      </c>
      <c r="AE43" s="299">
        <v>0</v>
      </c>
      <c r="AF43" s="294">
        <v>265458.78901262057</v>
      </c>
      <c r="AG43" s="294">
        <v>1515658.2330987377</v>
      </c>
      <c r="AH43" s="297">
        <v>0</v>
      </c>
      <c r="AI43" s="300">
        <f t="shared" si="8"/>
        <v>1781117.0221113581</v>
      </c>
      <c r="AK43" s="367" t="s">
        <v>167</v>
      </c>
      <c r="AL43" s="299">
        <v>0</v>
      </c>
      <c r="AM43" s="294">
        <v>271829.79994892346</v>
      </c>
      <c r="AN43" s="294">
        <v>1552034.0306931073</v>
      </c>
      <c r="AO43" s="297">
        <v>0</v>
      </c>
      <c r="AP43" s="300">
        <f t="shared" si="4"/>
        <v>1823863.8306420308</v>
      </c>
    </row>
    <row r="44" spans="2:71" x14ac:dyDescent="0.25">
      <c r="B44" s="283" t="s">
        <v>233</v>
      </c>
      <c r="C44" s="295">
        <v>1456560</v>
      </c>
      <c r="D44" s="296">
        <v>0</v>
      </c>
      <c r="E44" s="296">
        <v>0</v>
      </c>
      <c r="F44" s="297">
        <v>0</v>
      </c>
      <c r="G44" s="298">
        <f t="shared" si="15"/>
        <v>1456560</v>
      </c>
      <c r="I44" s="354" t="s">
        <v>233</v>
      </c>
      <c r="J44" s="296">
        <v>1456560</v>
      </c>
      <c r="K44" s="296">
        <v>0</v>
      </c>
      <c r="L44" s="296">
        <v>0</v>
      </c>
      <c r="M44" s="297">
        <v>0</v>
      </c>
      <c r="N44" s="298">
        <f t="shared" si="6"/>
        <v>1456560</v>
      </c>
      <c r="P44" s="283" t="s">
        <v>233</v>
      </c>
      <c r="Q44" s="299">
        <v>993600</v>
      </c>
      <c r="R44" s="294">
        <v>160000</v>
      </c>
      <c r="S44" s="294">
        <v>984400</v>
      </c>
      <c r="T44" s="297">
        <v>0</v>
      </c>
      <c r="U44" s="300">
        <f t="shared" si="9"/>
        <v>2138000</v>
      </c>
      <c r="W44" s="283" t="s">
        <v>233</v>
      </c>
      <c r="X44" s="299">
        <v>1206892.8000000003</v>
      </c>
      <c r="Y44" s="294">
        <v>167680</v>
      </c>
      <c r="Z44" s="294">
        <v>1188051.2</v>
      </c>
      <c r="AA44" s="297">
        <v>0</v>
      </c>
      <c r="AB44" s="300">
        <f t="shared" si="7"/>
        <v>2562624</v>
      </c>
      <c r="AD44" s="283" t="s">
        <v>233</v>
      </c>
      <c r="AE44" s="299">
        <v>1488005.6071024393</v>
      </c>
      <c r="AF44" s="294">
        <v>206736.48910569103</v>
      </c>
      <c r="AG44" s="294">
        <v>1464775.3695479673</v>
      </c>
      <c r="AH44" s="297">
        <v>0</v>
      </c>
      <c r="AI44" s="300">
        <f t="shared" si="8"/>
        <v>3159517.4657560978</v>
      </c>
      <c r="AK44" s="283" t="s">
        <v>233</v>
      </c>
      <c r="AL44" s="299">
        <v>1523717.7416728979</v>
      </c>
      <c r="AM44" s="294">
        <v>211698.16484422761</v>
      </c>
      <c r="AN44" s="294">
        <v>1499929.9784171185</v>
      </c>
      <c r="AO44" s="297">
        <v>0</v>
      </c>
      <c r="AP44" s="300">
        <f t="shared" si="4"/>
        <v>3235345.8849342442</v>
      </c>
    </row>
    <row r="45" spans="2:71" ht="27" x14ac:dyDescent="0.25">
      <c r="B45" s="117" t="s">
        <v>282</v>
      </c>
      <c r="C45" s="344">
        <f>SUM(C46:C49)</f>
        <v>3433971</v>
      </c>
      <c r="D45" s="293">
        <f t="shared" ref="D45:E45" si="27">SUM(D46:D49)</f>
        <v>0</v>
      </c>
      <c r="E45" s="293">
        <f t="shared" si="27"/>
        <v>0</v>
      </c>
      <c r="F45" s="308">
        <v>850852</v>
      </c>
      <c r="G45" s="308">
        <f t="shared" si="15"/>
        <v>4284823</v>
      </c>
      <c r="I45" s="290" t="s">
        <v>282</v>
      </c>
      <c r="J45" s="293">
        <f>SUM(J46:J49)</f>
        <v>3433971</v>
      </c>
      <c r="K45" s="293">
        <f>SUM(K46:K49)</f>
        <v>0</v>
      </c>
      <c r="L45" s="293">
        <f>SUM(L46:L49)</f>
        <v>0</v>
      </c>
      <c r="M45" s="308">
        <v>850852</v>
      </c>
      <c r="N45" s="308">
        <f t="shared" si="6"/>
        <v>4284823</v>
      </c>
      <c r="P45" s="367" t="s">
        <v>175</v>
      </c>
      <c r="Q45" s="299">
        <v>225000</v>
      </c>
      <c r="R45" s="294">
        <v>133431.99921261758</v>
      </c>
      <c r="S45" s="294">
        <v>125000</v>
      </c>
      <c r="T45" s="297">
        <v>0</v>
      </c>
      <c r="U45" s="300">
        <f t="shared" si="9"/>
        <v>483431.99921261758</v>
      </c>
      <c r="W45" s="367" t="s">
        <v>175</v>
      </c>
      <c r="X45" s="299">
        <v>280800</v>
      </c>
      <c r="Y45" s="294">
        <v>103635.73135907452</v>
      </c>
      <c r="Z45" s="294">
        <v>131000</v>
      </c>
      <c r="AA45" s="297">
        <v>0</v>
      </c>
      <c r="AB45" s="300">
        <f t="shared" si="7"/>
        <v>515435.73135907453</v>
      </c>
      <c r="AD45" s="367" t="s">
        <v>175</v>
      </c>
      <c r="AE45" s="299">
        <v>368181.59868319862</v>
      </c>
      <c r="AF45" s="294">
        <v>135885.93038634813</v>
      </c>
      <c r="AG45" s="294">
        <v>171765.63186431275</v>
      </c>
      <c r="AH45" s="297">
        <v>0</v>
      </c>
      <c r="AI45" s="300">
        <f t="shared" si="8"/>
        <v>675833.16093385941</v>
      </c>
      <c r="AK45" s="367" t="s">
        <v>175</v>
      </c>
      <c r="AL45" s="299">
        <v>377017.95705159538</v>
      </c>
      <c r="AM45" s="294">
        <v>139147.19271562048</v>
      </c>
      <c r="AN45" s="294">
        <v>175888.00702905626</v>
      </c>
      <c r="AO45" s="297">
        <v>0</v>
      </c>
      <c r="AP45" s="300">
        <f t="shared" si="4"/>
        <v>692053.15679627215</v>
      </c>
      <c r="AR45" s="114"/>
      <c r="AS45" s="345"/>
      <c r="AT45" s="345"/>
      <c r="AU45" s="345"/>
      <c r="AV45" s="294"/>
      <c r="AW45" s="294"/>
      <c r="AY45" s="114"/>
      <c r="AZ45" s="345"/>
      <c r="BA45" s="345"/>
      <c r="BB45" s="345"/>
      <c r="BC45" s="294"/>
      <c r="BD45" s="294"/>
      <c r="BF45" s="114"/>
      <c r="BG45" s="345"/>
      <c r="BH45" s="345"/>
      <c r="BI45" s="345"/>
      <c r="BJ45" s="294"/>
      <c r="BK45" s="294"/>
      <c r="BM45" s="114"/>
      <c r="BN45" s="345"/>
      <c r="BO45" s="345"/>
      <c r="BP45" s="345"/>
      <c r="BQ45" s="294"/>
      <c r="BR45" s="294"/>
    </row>
    <row r="46" spans="2:71" x14ac:dyDescent="0.25">
      <c r="B46" s="367" t="s">
        <v>170</v>
      </c>
      <c r="C46" s="295">
        <v>520200</v>
      </c>
      <c r="D46" s="296">
        <v>0</v>
      </c>
      <c r="E46" s="296">
        <v>0</v>
      </c>
      <c r="F46" s="297">
        <v>0</v>
      </c>
      <c r="G46" s="298">
        <f t="shared" si="15"/>
        <v>520200</v>
      </c>
      <c r="I46" s="371" t="s">
        <v>170</v>
      </c>
      <c r="J46" s="296">
        <v>520200</v>
      </c>
      <c r="K46" s="296">
        <v>0</v>
      </c>
      <c r="L46" s="296">
        <v>0</v>
      </c>
      <c r="M46" s="297">
        <v>0</v>
      </c>
      <c r="N46" s="298">
        <f t="shared" si="6"/>
        <v>520200</v>
      </c>
      <c r="P46" s="132" t="s">
        <v>111</v>
      </c>
      <c r="Q46" s="306">
        <f>+Q47</f>
        <v>637500</v>
      </c>
      <c r="R46" s="291">
        <f t="shared" ref="R46:S46" si="28">+R47</f>
        <v>30000</v>
      </c>
      <c r="S46" s="291">
        <f t="shared" si="28"/>
        <v>450000</v>
      </c>
      <c r="T46" s="308">
        <v>104156</v>
      </c>
      <c r="U46" s="307">
        <f t="shared" si="9"/>
        <v>1221656</v>
      </c>
      <c r="W46" s="132" t="s">
        <v>111</v>
      </c>
      <c r="X46" s="306">
        <f>+X47</f>
        <v>668100</v>
      </c>
      <c r="Y46" s="291">
        <f t="shared" ref="Y46:Z46" si="29">+Y47</f>
        <v>31440</v>
      </c>
      <c r="Z46" s="291">
        <f t="shared" si="29"/>
        <v>471600</v>
      </c>
      <c r="AA46" s="308">
        <v>110238</v>
      </c>
      <c r="AB46" s="307">
        <f t="shared" si="7"/>
        <v>1281378</v>
      </c>
      <c r="AD46" s="132" t="s">
        <v>111</v>
      </c>
      <c r="AE46" s="306">
        <f>+AE47</f>
        <v>694155.89999999991</v>
      </c>
      <c r="AF46" s="291">
        <f t="shared" ref="AF46:AG46" si="30">+AF47</f>
        <v>32666.159999999996</v>
      </c>
      <c r="AG46" s="291">
        <f t="shared" si="30"/>
        <v>489992.39999999997</v>
      </c>
      <c r="AH46" s="308">
        <v>114538</v>
      </c>
      <c r="AI46" s="307">
        <f t="shared" si="8"/>
        <v>1331352.46</v>
      </c>
      <c r="AK46" s="132" t="s">
        <v>3</v>
      </c>
      <c r="AL46" s="306">
        <f>+AL47</f>
        <v>710815.64159999997</v>
      </c>
      <c r="AM46" s="291">
        <f t="shared" ref="AM46:AN46" si="31">+AM47</f>
        <v>33450.147839999998</v>
      </c>
      <c r="AN46" s="291">
        <f t="shared" si="31"/>
        <v>501752.21759999997</v>
      </c>
      <c r="AO46" s="308">
        <v>117287</v>
      </c>
      <c r="AP46" s="307">
        <f t="shared" si="4"/>
        <v>1363305.0070400001</v>
      </c>
      <c r="AR46" s="114"/>
      <c r="AS46" s="345"/>
      <c r="AT46" s="345"/>
      <c r="AU46" s="345"/>
      <c r="AV46" s="294"/>
      <c r="AW46" s="294"/>
      <c r="AY46" s="114"/>
      <c r="AZ46" s="345"/>
      <c r="BA46" s="345"/>
      <c r="BB46" s="345"/>
      <c r="BC46" s="294"/>
      <c r="BD46" s="294"/>
      <c r="BF46" s="114"/>
      <c r="BG46" s="345"/>
      <c r="BH46" s="345"/>
      <c r="BI46" s="345"/>
      <c r="BJ46" s="294"/>
      <c r="BK46" s="294"/>
      <c r="BM46" s="114"/>
      <c r="BN46" s="345"/>
      <c r="BO46" s="345"/>
      <c r="BP46" s="345"/>
      <c r="BQ46" s="294"/>
      <c r="BR46" s="294"/>
    </row>
    <row r="47" spans="2:71" x14ac:dyDescent="0.25">
      <c r="B47" s="367" t="s">
        <v>234</v>
      </c>
      <c r="C47" s="295">
        <v>629209</v>
      </c>
      <c r="D47" s="296">
        <v>0</v>
      </c>
      <c r="E47" s="296">
        <v>0</v>
      </c>
      <c r="F47" s="297">
        <v>0</v>
      </c>
      <c r="G47" s="298">
        <f t="shared" si="15"/>
        <v>629209</v>
      </c>
      <c r="I47" s="371" t="s">
        <v>234</v>
      </c>
      <c r="J47" s="296">
        <v>629209</v>
      </c>
      <c r="K47" s="296">
        <v>0</v>
      </c>
      <c r="L47" s="296">
        <v>0</v>
      </c>
      <c r="M47" s="297">
        <v>0</v>
      </c>
      <c r="N47" s="298">
        <f t="shared" si="6"/>
        <v>629209</v>
      </c>
      <c r="P47" s="367" t="s">
        <v>46</v>
      </c>
      <c r="Q47" s="299">
        <v>637500</v>
      </c>
      <c r="R47" s="294">
        <v>30000</v>
      </c>
      <c r="S47" s="294">
        <v>450000</v>
      </c>
      <c r="T47" s="297">
        <v>0</v>
      </c>
      <c r="U47" s="300">
        <f t="shared" si="9"/>
        <v>1117500</v>
      </c>
      <c r="W47" s="367" t="s">
        <v>46</v>
      </c>
      <c r="X47" s="299">
        <v>668100</v>
      </c>
      <c r="Y47" s="294">
        <v>31440</v>
      </c>
      <c r="Z47" s="294">
        <v>471600</v>
      </c>
      <c r="AA47" s="297">
        <v>0</v>
      </c>
      <c r="AB47" s="300">
        <f t="shared" si="7"/>
        <v>1171140</v>
      </c>
      <c r="AD47" s="367" t="s">
        <v>46</v>
      </c>
      <c r="AE47" s="299">
        <v>694155.89999999991</v>
      </c>
      <c r="AF47" s="294">
        <v>32666.159999999996</v>
      </c>
      <c r="AG47" s="294">
        <v>489992.39999999997</v>
      </c>
      <c r="AH47" s="297"/>
      <c r="AI47" s="300">
        <f t="shared" si="8"/>
        <v>1216814.46</v>
      </c>
      <c r="AK47" s="367" t="s">
        <v>46</v>
      </c>
      <c r="AL47" s="299">
        <v>710815.64159999997</v>
      </c>
      <c r="AM47" s="294">
        <v>33450.147839999998</v>
      </c>
      <c r="AN47" s="294">
        <v>501752.21759999997</v>
      </c>
      <c r="AO47" s="297"/>
      <c r="AP47" s="300">
        <f t="shared" si="4"/>
        <v>1246018.0070400001</v>
      </c>
      <c r="AR47" s="114"/>
      <c r="AS47" s="345"/>
      <c r="AT47" s="345"/>
      <c r="AU47" s="345"/>
      <c r="AV47" s="294"/>
      <c r="AW47" s="294"/>
      <c r="AY47" s="114"/>
      <c r="AZ47" s="345"/>
      <c r="BA47" s="345"/>
      <c r="BB47" s="345"/>
      <c r="BC47" s="294"/>
      <c r="BD47" s="294"/>
      <c r="BF47" s="114"/>
      <c r="BG47" s="345"/>
      <c r="BH47" s="345"/>
      <c r="BI47" s="345"/>
      <c r="BJ47" s="294"/>
      <c r="BK47" s="294"/>
      <c r="BM47" s="114"/>
      <c r="BN47" s="345"/>
      <c r="BO47" s="345"/>
      <c r="BP47" s="345"/>
      <c r="BQ47" s="294"/>
      <c r="BR47" s="294"/>
    </row>
    <row r="48" spans="2:71" ht="26.25" thickBot="1" x14ac:dyDescent="0.3">
      <c r="B48" s="367" t="s">
        <v>235</v>
      </c>
      <c r="C48" s="295">
        <v>1443562</v>
      </c>
      <c r="D48" s="296">
        <v>0</v>
      </c>
      <c r="E48" s="296">
        <v>0</v>
      </c>
      <c r="F48" s="297">
        <v>0</v>
      </c>
      <c r="G48" s="298">
        <f t="shared" si="15"/>
        <v>1443562</v>
      </c>
      <c r="I48" s="371" t="s">
        <v>235</v>
      </c>
      <c r="J48" s="296">
        <v>1443562</v>
      </c>
      <c r="K48" s="296">
        <v>0</v>
      </c>
      <c r="L48" s="296">
        <v>0</v>
      </c>
      <c r="M48" s="297">
        <v>0</v>
      </c>
      <c r="N48" s="298">
        <f t="shared" si="6"/>
        <v>1443562</v>
      </c>
      <c r="O48" s="133"/>
      <c r="P48" s="372" t="s">
        <v>280</v>
      </c>
      <c r="Q48" s="309">
        <f>Q41+Q46</f>
        <v>3456100</v>
      </c>
      <c r="R48" s="310">
        <f t="shared" ref="R48:T48" si="32">R41+R46</f>
        <v>1423431.9992126175</v>
      </c>
      <c r="S48" s="310">
        <f t="shared" si="32"/>
        <v>4152900</v>
      </c>
      <c r="T48" s="312">
        <f t="shared" si="32"/>
        <v>626726.99884141923</v>
      </c>
      <c r="U48" s="311">
        <f t="shared" si="9"/>
        <v>9659158.9980540369</v>
      </c>
      <c r="W48" s="372" t="s">
        <v>280</v>
      </c>
      <c r="X48" s="309">
        <f>+X41+X46</f>
        <v>4382592.8000000007</v>
      </c>
      <c r="Y48" s="310">
        <f>+Y46+Y41</f>
        <v>1205555.7313590746</v>
      </c>
      <c r="Z48" s="310">
        <f>+Z46+Z41</f>
        <v>4977139.2</v>
      </c>
      <c r="AA48" s="312">
        <f>+AA46+AA41</f>
        <v>667444.4045626357</v>
      </c>
      <c r="AB48" s="311">
        <f t="shared" si="7"/>
        <v>11232732.135921711</v>
      </c>
      <c r="AD48" s="372" t="s">
        <v>280</v>
      </c>
      <c r="AE48" s="309">
        <f>+AE41+AE46</f>
        <v>5450696.0297304951</v>
      </c>
      <c r="AF48" s="310">
        <f t="shared" ref="AF48:AH48" si="33">+AF41+AF46</f>
        <v>1543623.5346976605</v>
      </c>
      <c r="AG48" s="310">
        <f t="shared" si="33"/>
        <v>6233805.7147824913</v>
      </c>
      <c r="AH48" s="312">
        <f t="shared" si="33"/>
        <v>693475.45434057841</v>
      </c>
      <c r="AI48" s="311">
        <f t="shared" si="8"/>
        <v>13921600.733551225</v>
      </c>
      <c r="AK48" s="372" t="s">
        <v>280</v>
      </c>
      <c r="AL48" s="309">
        <f>+AL46+AL41</f>
        <v>5581512.7344440268</v>
      </c>
      <c r="AM48" s="310">
        <f t="shared" ref="AM48:AO48" si="34">+AM46+AM41</f>
        <v>1580670.4995304043</v>
      </c>
      <c r="AN48" s="310">
        <f t="shared" si="34"/>
        <v>6383417.0519372718</v>
      </c>
      <c r="AO48" s="312">
        <f t="shared" si="34"/>
        <v>710119</v>
      </c>
      <c r="AP48" s="311">
        <f t="shared" si="4"/>
        <v>14255719.285911702</v>
      </c>
      <c r="AR48" s="114"/>
      <c r="AS48" s="345"/>
      <c r="AT48" s="345"/>
      <c r="AU48" s="345"/>
      <c r="AV48" s="294"/>
      <c r="AW48" s="294"/>
      <c r="AY48" s="114"/>
      <c r="AZ48" s="345"/>
      <c r="BA48" s="345"/>
      <c r="BB48" s="345"/>
      <c r="BC48" s="294"/>
      <c r="BD48" s="294"/>
      <c r="BF48" s="114"/>
      <c r="BG48" s="345"/>
      <c r="BH48" s="345"/>
      <c r="BI48" s="345"/>
      <c r="BJ48" s="294"/>
      <c r="BK48" s="294"/>
      <c r="BM48" s="114"/>
      <c r="BN48" s="345"/>
      <c r="BO48" s="345"/>
      <c r="BP48" s="345"/>
      <c r="BQ48" s="294"/>
      <c r="BR48" s="294"/>
    </row>
    <row r="49" spans="2:42" ht="13.5" thickTop="1" x14ac:dyDescent="0.25">
      <c r="B49" s="367" t="s">
        <v>215</v>
      </c>
      <c r="C49" s="346">
        <v>841000</v>
      </c>
      <c r="D49" s="347">
        <v>0</v>
      </c>
      <c r="E49" s="347">
        <v>0</v>
      </c>
      <c r="F49" s="348">
        <v>0</v>
      </c>
      <c r="G49" s="298">
        <f t="shared" si="15"/>
        <v>841000</v>
      </c>
      <c r="I49" s="371" t="s">
        <v>215</v>
      </c>
      <c r="J49" s="347">
        <v>841000</v>
      </c>
      <c r="K49" s="347">
        <v>0</v>
      </c>
      <c r="L49" s="347">
        <v>0</v>
      </c>
      <c r="M49" s="348">
        <v>0</v>
      </c>
      <c r="N49" s="298">
        <f t="shared" si="6"/>
        <v>841000</v>
      </c>
      <c r="P49" s="368" t="s">
        <v>74</v>
      </c>
      <c r="Q49" s="339">
        <f>Q39+Q48</f>
        <v>114820482.91180339</v>
      </c>
      <c r="R49" s="340">
        <f t="shared" ref="R49:T49" si="35">R39+R48</f>
        <v>9609593.6892126184</v>
      </c>
      <c r="S49" s="340">
        <f t="shared" si="35"/>
        <v>12652224.116196569</v>
      </c>
      <c r="T49" s="349">
        <f t="shared" si="35"/>
        <v>30160619.997917339</v>
      </c>
      <c r="U49" s="341">
        <f t="shared" si="9"/>
        <v>167242920.71512991</v>
      </c>
      <c r="W49" s="368" t="s">
        <v>74</v>
      </c>
      <c r="X49" s="339">
        <f>X48+X39</f>
        <v>126907491.83940606</v>
      </c>
      <c r="Y49" s="340">
        <f>Y48+Y39</f>
        <v>10138712.842079075</v>
      </c>
      <c r="Z49" s="340">
        <f>Z48+Z39</f>
        <v>13881317.356097937</v>
      </c>
      <c r="AA49" s="349">
        <f>AA48+AA39</f>
        <v>32154404.673077803</v>
      </c>
      <c r="AB49" s="341">
        <f t="shared" si="7"/>
        <v>183081926.71066087</v>
      </c>
      <c r="AD49" s="368" t="s">
        <v>74</v>
      </c>
      <c r="AE49" s="339">
        <f>AE48+AE39</f>
        <v>135396083.22279945</v>
      </c>
      <c r="AF49" s="340">
        <f>AF48+AF39</f>
        <v>10825173.772735743</v>
      </c>
      <c r="AG49" s="340">
        <f>AG48+AG39</f>
        <v>15485246.818968246</v>
      </c>
      <c r="AH49" s="349">
        <f>AH48+AH39</f>
        <v>33408426.761901177</v>
      </c>
      <c r="AI49" s="341">
        <f t="shared" si="8"/>
        <v>195114930.5764046</v>
      </c>
      <c r="AK49" s="368" t="s">
        <v>74</v>
      </c>
      <c r="AL49" s="339">
        <f>AE49*(1+0.024)</f>
        <v>138645589.22014663</v>
      </c>
      <c r="AM49" s="340">
        <f>AF49*(1+0.024)</f>
        <v>11084977.943281401</v>
      </c>
      <c r="AN49" s="340">
        <f>AG49*(1+0.024)</f>
        <v>15856892.742623484</v>
      </c>
      <c r="AO49" s="349">
        <f>AH49*(1+0.024)</f>
        <v>34210229.004186809</v>
      </c>
      <c r="AP49" s="341">
        <f t="shared" si="4"/>
        <v>199797688.91023833</v>
      </c>
    </row>
    <row r="50" spans="2:42" ht="14.25" x14ac:dyDescent="0.25">
      <c r="B50" s="132" t="s">
        <v>283</v>
      </c>
      <c r="C50" s="350">
        <f>SUM(C51:C52)</f>
        <v>1365000</v>
      </c>
      <c r="D50" s="351">
        <f t="shared" ref="D50:E50" si="36">SUM(D51:D52)</f>
        <v>0</v>
      </c>
      <c r="E50" s="351">
        <f t="shared" si="36"/>
        <v>0</v>
      </c>
      <c r="F50" s="352">
        <v>146680</v>
      </c>
      <c r="G50" s="308">
        <f t="shared" si="15"/>
        <v>1511680</v>
      </c>
      <c r="I50" s="128" t="s">
        <v>284</v>
      </c>
      <c r="J50" s="351">
        <f>SUM(J51:J52)</f>
        <v>1365000</v>
      </c>
      <c r="K50" s="351">
        <f>SUM(K51:K52)</f>
        <v>0</v>
      </c>
      <c r="L50" s="351">
        <f>SUM(L51:L52)</f>
        <v>0</v>
      </c>
      <c r="M50" s="352">
        <v>146680</v>
      </c>
      <c r="N50" s="308">
        <f t="shared" si="6"/>
        <v>1511680</v>
      </c>
    </row>
    <row r="51" spans="2:42" x14ac:dyDescent="0.25">
      <c r="B51" s="367" t="s">
        <v>236</v>
      </c>
      <c r="C51" s="295">
        <v>917000</v>
      </c>
      <c r="D51" s="296">
        <v>0</v>
      </c>
      <c r="E51" s="296">
        <v>0</v>
      </c>
      <c r="F51" s="297">
        <v>0</v>
      </c>
      <c r="G51" s="298">
        <f t="shared" si="15"/>
        <v>917000</v>
      </c>
      <c r="I51" s="371" t="s">
        <v>236</v>
      </c>
      <c r="J51" s="296">
        <v>917000</v>
      </c>
      <c r="K51" s="296">
        <v>0</v>
      </c>
      <c r="L51" s="296">
        <v>0</v>
      </c>
      <c r="M51" s="297">
        <v>0</v>
      </c>
      <c r="N51" s="298">
        <f t="shared" si="6"/>
        <v>917000</v>
      </c>
      <c r="AP51" s="353"/>
    </row>
    <row r="52" spans="2:42" x14ac:dyDescent="0.25">
      <c r="B52" s="367" t="s">
        <v>237</v>
      </c>
      <c r="C52" s="295">
        <v>448000</v>
      </c>
      <c r="D52" s="296">
        <v>0</v>
      </c>
      <c r="E52" s="296">
        <v>0</v>
      </c>
      <c r="F52" s="297">
        <v>0</v>
      </c>
      <c r="G52" s="298">
        <f t="shared" si="15"/>
        <v>448000</v>
      </c>
      <c r="I52" s="371" t="s">
        <v>237</v>
      </c>
      <c r="J52" s="296">
        <v>448000</v>
      </c>
      <c r="K52" s="296">
        <v>0</v>
      </c>
      <c r="L52" s="296">
        <v>0</v>
      </c>
      <c r="M52" s="297">
        <v>0</v>
      </c>
      <c r="N52" s="298">
        <f t="shared" si="6"/>
        <v>448000</v>
      </c>
    </row>
    <row r="53" spans="2:42" ht="13.5" thickBot="1" x14ac:dyDescent="0.3">
      <c r="B53" s="361" t="s">
        <v>280</v>
      </c>
      <c r="C53" s="309">
        <f>+C50+C45+C41</f>
        <v>11769895</v>
      </c>
      <c r="D53" s="333">
        <f t="shared" ref="D53:E53" si="37">+D50+D45+D41</f>
        <v>0</v>
      </c>
      <c r="E53" s="333">
        <f t="shared" si="37"/>
        <v>0</v>
      </c>
      <c r="F53" s="311">
        <f>+F50+F45+F41</f>
        <v>1901023</v>
      </c>
      <c r="G53" s="311">
        <f t="shared" si="15"/>
        <v>13670918</v>
      </c>
      <c r="I53" s="372" t="s">
        <v>280</v>
      </c>
      <c r="J53" s="310">
        <f>+J41+J45+J50</f>
        <v>11769895</v>
      </c>
      <c r="K53" s="333">
        <f>+K50+K45+K41</f>
        <v>0</v>
      </c>
      <c r="L53" s="333">
        <f>+L50+L45+L41</f>
        <v>0</v>
      </c>
      <c r="M53" s="311">
        <f>+M50+M45+M41</f>
        <v>1901023</v>
      </c>
      <c r="N53" s="311">
        <f t="shared" si="6"/>
        <v>13670918</v>
      </c>
    </row>
    <row r="54" spans="2:42" ht="13.5" thickTop="1" x14ac:dyDescent="0.25">
      <c r="B54" s="368" t="s">
        <v>74</v>
      </c>
      <c r="C54" s="339">
        <f>C39+C53</f>
        <v>104929657</v>
      </c>
      <c r="D54" s="340">
        <f t="shared" ref="D54:E54" si="38">D39+D53</f>
        <v>0</v>
      </c>
      <c r="E54" s="340">
        <f t="shared" si="38"/>
        <v>0</v>
      </c>
      <c r="F54" s="340">
        <f>F39+F53</f>
        <v>27177260</v>
      </c>
      <c r="G54" s="341">
        <f t="shared" si="15"/>
        <v>132106917</v>
      </c>
      <c r="I54" s="368" t="s">
        <v>74</v>
      </c>
      <c r="J54" s="340">
        <f>J53+J39</f>
        <v>104929657</v>
      </c>
      <c r="K54" s="340">
        <f>K53+K39</f>
        <v>0</v>
      </c>
      <c r="L54" s="340">
        <f>L53+L39</f>
        <v>0</v>
      </c>
      <c r="M54" s="340">
        <f>M53+M39</f>
        <v>27177260</v>
      </c>
      <c r="N54" s="341">
        <f t="shared" si="6"/>
        <v>132106917</v>
      </c>
    </row>
    <row r="57" spans="2:42" x14ac:dyDescent="0.2">
      <c r="B57" s="99" t="s">
        <v>198</v>
      </c>
    </row>
    <row r="58" spans="2:42" x14ac:dyDescent="0.2">
      <c r="B58" s="120" t="s">
        <v>225</v>
      </c>
    </row>
    <row r="59" spans="2:42" x14ac:dyDescent="0.2">
      <c r="B59" s="94" t="s">
        <v>279</v>
      </c>
    </row>
    <row r="60" spans="2:42" x14ac:dyDescent="0.2">
      <c r="B60" s="94" t="s">
        <v>226</v>
      </c>
    </row>
    <row r="61" spans="2:42" x14ac:dyDescent="0.2">
      <c r="B61" s="94" t="s">
        <v>227</v>
      </c>
    </row>
    <row r="62" spans="2:42" x14ac:dyDescent="0.2">
      <c r="B62" s="94" t="s">
        <v>228</v>
      </c>
    </row>
    <row r="63" spans="2:42" x14ac:dyDescent="0.2">
      <c r="B63" s="94" t="s">
        <v>229</v>
      </c>
    </row>
    <row r="64" spans="2:42" x14ac:dyDescent="0.2">
      <c r="B64" s="94" t="s">
        <v>285</v>
      </c>
    </row>
    <row r="65" spans="2:2" x14ac:dyDescent="0.2">
      <c r="B65" s="94" t="s">
        <v>286</v>
      </c>
    </row>
    <row r="66" spans="2:2" x14ac:dyDescent="0.25">
      <c r="B66" s="369"/>
    </row>
  </sheetData>
  <mergeCells count="20">
    <mergeCell ref="BN1:BP1"/>
    <mergeCell ref="BN2:BP2"/>
    <mergeCell ref="C1:E1"/>
    <mergeCell ref="C2:E2"/>
    <mergeCell ref="J1:L1"/>
    <mergeCell ref="J2:L2"/>
    <mergeCell ref="Q1:S1"/>
    <mergeCell ref="Q2:S2"/>
    <mergeCell ref="X1:Z1"/>
    <mergeCell ref="X2:Z2"/>
    <mergeCell ref="AE1:AG1"/>
    <mergeCell ref="AE2:AG2"/>
    <mergeCell ref="AS1:AU1"/>
    <mergeCell ref="AS2:AU2"/>
    <mergeCell ref="AL1:AN1"/>
    <mergeCell ref="AL2:AN2"/>
    <mergeCell ref="AZ1:BB1"/>
    <mergeCell ref="AZ2:BB2"/>
    <mergeCell ref="BG1:BI1"/>
    <mergeCell ref="BG2:BI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C326E-7B62-4CCA-AB5D-37505C810573}">
  <sheetPr codeName="Sheet4"/>
  <dimension ref="B1:AI56"/>
  <sheetViews>
    <sheetView showGridLines="0" zoomScaleNormal="100" zoomScaleSheetLayoutView="100" workbookViewId="0">
      <selection activeCell="B1" sqref="B1"/>
    </sheetView>
  </sheetViews>
  <sheetFormatPr defaultColWidth="8.7109375" defaultRowHeight="12.75" x14ac:dyDescent="0.25"/>
  <cols>
    <col min="1" max="1" width="5.7109375" style="15" customWidth="1"/>
    <col min="2" max="2" width="40.7109375" style="15" customWidth="1"/>
    <col min="3" max="7" width="15.7109375" style="15" customWidth="1"/>
    <col min="8" max="8" width="5.7109375" style="15" customWidth="1"/>
    <col min="9" max="9" width="40.7109375" style="15" customWidth="1"/>
    <col min="10" max="14" width="15.7109375" style="15" customWidth="1"/>
    <col min="15" max="15" width="5.7109375" style="15" customWidth="1"/>
    <col min="16" max="16" width="40.7109375" style="15" customWidth="1"/>
    <col min="17" max="21" width="15.7109375" style="15" customWidth="1"/>
    <col min="22" max="22" width="5.7109375" style="15" customWidth="1"/>
    <col min="23" max="23" width="40.7109375" style="15" customWidth="1"/>
    <col min="24" max="28" width="15.7109375" style="15" customWidth="1"/>
    <col min="29" max="29" width="5.7109375" style="15" customWidth="1"/>
    <col min="30" max="30" width="40.7109375" style="15" customWidth="1"/>
    <col min="31" max="35" width="15.7109375" style="15" customWidth="1"/>
    <col min="36" max="36" width="5.7109375" style="15" customWidth="1"/>
    <col min="37" max="16384" width="8.7109375" style="15"/>
  </cols>
  <sheetData>
    <row r="1" spans="2:35" x14ac:dyDescent="0.2">
      <c r="C1" s="484" t="s">
        <v>466</v>
      </c>
      <c r="D1" s="484"/>
      <c r="E1" s="484"/>
      <c r="F1" s="53"/>
      <c r="G1" s="53"/>
      <c r="J1" s="484" t="s">
        <v>468</v>
      </c>
      <c r="K1" s="484"/>
      <c r="L1" s="484"/>
      <c r="M1" s="53"/>
      <c r="N1" s="53"/>
      <c r="Q1" s="484" t="s">
        <v>518</v>
      </c>
      <c r="R1" s="484"/>
      <c r="S1" s="484"/>
      <c r="T1" s="53"/>
      <c r="U1" s="53"/>
      <c r="X1" s="484" t="s">
        <v>519</v>
      </c>
      <c r="Y1" s="484"/>
      <c r="Z1" s="484"/>
      <c r="AA1" s="53"/>
      <c r="AB1" s="53"/>
      <c r="AE1" s="484" t="s">
        <v>520</v>
      </c>
      <c r="AF1" s="484"/>
      <c r="AG1" s="484"/>
      <c r="AH1" s="53"/>
      <c r="AI1" s="53"/>
    </row>
    <row r="2" spans="2:35" x14ac:dyDescent="0.2">
      <c r="C2" s="484" t="s">
        <v>526</v>
      </c>
      <c r="D2" s="484"/>
      <c r="E2" s="484"/>
      <c r="F2" s="53"/>
      <c r="G2" s="53"/>
      <c r="J2" s="484" t="s">
        <v>527</v>
      </c>
      <c r="K2" s="484"/>
      <c r="L2" s="484"/>
      <c r="M2" s="53"/>
      <c r="N2" s="53"/>
      <c r="Q2" s="484" t="s">
        <v>528</v>
      </c>
      <c r="R2" s="484"/>
      <c r="S2" s="484"/>
      <c r="T2" s="53"/>
      <c r="U2" s="53"/>
      <c r="X2" s="484" t="s">
        <v>529</v>
      </c>
      <c r="Y2" s="484"/>
      <c r="Z2" s="484"/>
      <c r="AA2" s="53"/>
      <c r="AB2" s="53"/>
      <c r="AE2" s="484" t="s">
        <v>530</v>
      </c>
      <c r="AF2" s="484"/>
      <c r="AG2" s="484"/>
      <c r="AH2" s="53"/>
      <c r="AI2" s="53"/>
    </row>
    <row r="4" spans="2:35" ht="28.5" x14ac:dyDescent="0.25">
      <c r="B4" s="1" t="s">
        <v>75</v>
      </c>
      <c r="C4" s="121" t="s">
        <v>15</v>
      </c>
      <c r="D4" s="121" t="s">
        <v>16</v>
      </c>
      <c r="E4" s="121" t="s">
        <v>294</v>
      </c>
      <c r="F4" s="122" t="s">
        <v>295</v>
      </c>
      <c r="G4" s="122" t="s">
        <v>76</v>
      </c>
      <c r="I4" s="1" t="s">
        <v>77</v>
      </c>
      <c r="J4" s="121" t="s">
        <v>15</v>
      </c>
      <c r="K4" s="121" t="s">
        <v>16</v>
      </c>
      <c r="L4" s="121" t="s">
        <v>294</v>
      </c>
      <c r="M4" s="122" t="s">
        <v>295</v>
      </c>
      <c r="N4" s="122" t="s">
        <v>78</v>
      </c>
      <c r="P4" s="1" t="s">
        <v>79</v>
      </c>
      <c r="Q4" s="121" t="s">
        <v>15</v>
      </c>
      <c r="R4" s="121" t="s">
        <v>16</v>
      </c>
      <c r="S4" s="121" t="s">
        <v>12</v>
      </c>
      <c r="T4" s="122" t="s">
        <v>13</v>
      </c>
      <c r="U4" s="122" t="s">
        <v>80</v>
      </c>
      <c r="W4" s="1" t="s">
        <v>81</v>
      </c>
      <c r="X4" s="121" t="s">
        <v>15</v>
      </c>
      <c r="Y4" s="121" t="s">
        <v>16</v>
      </c>
      <c r="Z4" s="121" t="s">
        <v>12</v>
      </c>
      <c r="AA4" s="122" t="s">
        <v>13</v>
      </c>
      <c r="AB4" s="122" t="s">
        <v>82</v>
      </c>
      <c r="AD4" s="1" t="s">
        <v>83</v>
      </c>
      <c r="AE4" s="121" t="s">
        <v>15</v>
      </c>
      <c r="AF4" s="121" t="s">
        <v>16</v>
      </c>
      <c r="AG4" s="121" t="s">
        <v>12</v>
      </c>
      <c r="AH4" s="122" t="s">
        <v>13</v>
      </c>
      <c r="AI4" s="122" t="s">
        <v>84</v>
      </c>
    </row>
    <row r="5" spans="2:35" x14ac:dyDescent="0.25">
      <c r="B5" s="222" t="s">
        <v>1</v>
      </c>
      <c r="C5" s="439">
        <f>SUM(C6:C8)</f>
        <v>41126623.890000001</v>
      </c>
      <c r="D5" s="440">
        <f>SUM(D6:D8)</f>
        <v>3452983.4399999995</v>
      </c>
      <c r="E5" s="440">
        <f t="shared" ref="E5" si="0">SUM(E6:E8)</f>
        <v>0</v>
      </c>
      <c r="F5" s="441">
        <v>4560451.7084264774</v>
      </c>
      <c r="G5" s="441">
        <f t="shared" ref="G5:G20" si="1">SUM(C5:F5)</f>
        <v>49140059.038426474</v>
      </c>
      <c r="I5" s="222" t="s">
        <v>1</v>
      </c>
      <c r="J5" s="439">
        <f>SUM(J6:J8)</f>
        <v>48321504.68</v>
      </c>
      <c r="K5" s="440">
        <f>SUM(K6:K8)</f>
        <v>3736826.0300000003</v>
      </c>
      <c r="L5" s="440">
        <f>SUM(L6:L8)</f>
        <v>0</v>
      </c>
      <c r="M5" s="441">
        <v>4849125.8711774871</v>
      </c>
      <c r="N5" s="441">
        <f t="shared" ref="N5:N20" si="2">SUM(J5:M5)</f>
        <v>56907456.581177488</v>
      </c>
      <c r="P5" s="222" t="s">
        <v>1</v>
      </c>
      <c r="Q5" s="439">
        <f>SUM(Q6:Q8)</f>
        <v>55369907.940000027</v>
      </c>
      <c r="R5" s="440">
        <f>SUM(R6:R8)</f>
        <v>5209213.25</v>
      </c>
      <c r="S5" s="440">
        <f t="shared" ref="S5" si="3">SUM(S6:S8)</f>
        <v>2315938.8699999996</v>
      </c>
      <c r="T5" s="441">
        <v>1208869.3299999975</v>
      </c>
      <c r="U5" s="441">
        <f t="shared" ref="U5:U12" si="4">SUM(Q5:T5)</f>
        <v>64103929.390000023</v>
      </c>
      <c r="W5" s="222" t="s">
        <v>1</v>
      </c>
      <c r="X5" s="439">
        <f>SUM(X6:X8)</f>
        <v>196646266.37000099</v>
      </c>
      <c r="Y5" s="440">
        <f>SUM(Y6:Y8)</f>
        <v>1405175.17</v>
      </c>
      <c r="Z5" s="440">
        <f>SUM(Z6:Z8)</f>
        <v>2987998.8</v>
      </c>
      <c r="AA5" s="441">
        <v>1974779.2000007678</v>
      </c>
      <c r="AB5" s="441">
        <f t="shared" ref="AB5:AB8" si="5">SUM(X5:AA5)</f>
        <v>203014219.54000175</v>
      </c>
      <c r="AD5" s="222" t="s">
        <v>1</v>
      </c>
      <c r="AE5" s="439">
        <f>SUM(AE6:AE8)</f>
        <v>55230333.929999977</v>
      </c>
      <c r="AF5" s="440">
        <f>SUM(AF6:AF8)</f>
        <v>4642182.7200000007</v>
      </c>
      <c r="AG5" s="440">
        <f>SUM(AG6:AG8)</f>
        <v>3346183.43</v>
      </c>
      <c r="AH5" s="441">
        <v>2148212.6399999987</v>
      </c>
      <c r="AI5" s="441">
        <f>SUM(AE5:AH5)</f>
        <v>65366912.719999976</v>
      </c>
    </row>
    <row r="6" spans="2:35" x14ac:dyDescent="0.25">
      <c r="B6" s="105" t="s">
        <v>25</v>
      </c>
      <c r="C6" s="442">
        <v>38529153.890000001</v>
      </c>
      <c r="D6" s="443">
        <v>2559997.1499999994</v>
      </c>
      <c r="E6" s="443">
        <v>0</v>
      </c>
      <c r="F6" s="444">
        <v>0</v>
      </c>
      <c r="G6" s="444">
        <f t="shared" si="1"/>
        <v>41089151.039999999</v>
      </c>
      <c r="I6" s="105" t="s">
        <v>25</v>
      </c>
      <c r="J6" s="442">
        <v>45355309.68</v>
      </c>
      <c r="K6" s="443">
        <v>2568782.1799999997</v>
      </c>
      <c r="L6" s="443"/>
      <c r="M6" s="444"/>
      <c r="N6" s="444">
        <f t="shared" si="2"/>
        <v>47924091.859999999</v>
      </c>
      <c r="P6" s="105" t="s">
        <v>25</v>
      </c>
      <c r="Q6" s="442">
        <v>50896812.380000025</v>
      </c>
      <c r="R6" s="443">
        <v>2568018.66</v>
      </c>
      <c r="S6" s="443">
        <v>1851876.5399999998</v>
      </c>
      <c r="T6" s="444">
        <v>0</v>
      </c>
      <c r="U6" s="444">
        <f t="shared" si="4"/>
        <v>55316707.580000021</v>
      </c>
      <c r="W6" s="105" t="s">
        <v>25</v>
      </c>
      <c r="X6" s="442">
        <f>195104254.370001-1</f>
        <v>195104253.37000099</v>
      </c>
      <c r="Y6" s="443">
        <v>83082.500000000015</v>
      </c>
      <c r="Z6" s="443">
        <v>2252643</v>
      </c>
      <c r="AA6" s="444">
        <v>0</v>
      </c>
      <c r="AB6" s="444">
        <f>SUM(X6:AA6)</f>
        <v>197439978.87000099</v>
      </c>
      <c r="AD6" s="105" t="s">
        <v>25</v>
      </c>
      <c r="AE6" s="442">
        <v>43619713.579999976</v>
      </c>
      <c r="AF6" s="443">
        <v>1776927.0899999999</v>
      </c>
      <c r="AG6" s="443">
        <v>2039817.8199999998</v>
      </c>
      <c r="AH6" s="444">
        <v>0</v>
      </c>
      <c r="AI6" s="444">
        <f t="shared" ref="AI6:AI8" si="6">SUM(AE6:AH6)</f>
        <v>47436458.489999972</v>
      </c>
    </row>
    <row r="7" spans="2:35" ht="14.25" x14ac:dyDescent="0.25">
      <c r="B7" s="105" t="s">
        <v>296</v>
      </c>
      <c r="C7" s="470">
        <v>0</v>
      </c>
      <c r="D7" s="471">
        <v>0</v>
      </c>
      <c r="E7" s="471">
        <v>0</v>
      </c>
      <c r="F7" s="472">
        <v>0</v>
      </c>
      <c r="G7" s="472">
        <f t="shared" si="1"/>
        <v>0</v>
      </c>
      <c r="I7" s="105" t="s">
        <v>296</v>
      </c>
      <c r="J7" s="470">
        <v>0</v>
      </c>
      <c r="K7" s="471">
        <v>0</v>
      </c>
      <c r="L7" s="471"/>
      <c r="M7" s="472"/>
      <c r="N7" s="472">
        <f t="shared" si="2"/>
        <v>0</v>
      </c>
      <c r="P7" s="105" t="s">
        <v>296</v>
      </c>
      <c r="Q7" s="442">
        <v>0</v>
      </c>
      <c r="R7" s="443">
        <v>14600</v>
      </c>
      <c r="S7" s="443">
        <v>0</v>
      </c>
      <c r="T7" s="444">
        <v>0</v>
      </c>
      <c r="U7" s="444">
        <f t="shared" si="4"/>
        <v>14600</v>
      </c>
      <c r="W7" s="105" t="s">
        <v>27</v>
      </c>
      <c r="X7" s="442">
        <v>0</v>
      </c>
      <c r="Y7" s="443">
        <v>18865</v>
      </c>
      <c r="Z7" s="443">
        <v>54805</v>
      </c>
      <c r="AA7" s="444">
        <v>0</v>
      </c>
      <c r="AB7" s="444">
        <f t="shared" si="5"/>
        <v>73670</v>
      </c>
      <c r="AD7" s="105" t="s">
        <v>27</v>
      </c>
      <c r="AE7" s="442">
        <v>8830691.8499999978</v>
      </c>
      <c r="AF7" s="443">
        <v>978209.14000000013</v>
      </c>
      <c r="AG7" s="443">
        <v>826410.37000000011</v>
      </c>
      <c r="AH7" s="444">
        <v>0</v>
      </c>
      <c r="AI7" s="444">
        <f t="shared" si="6"/>
        <v>10635311.359999999</v>
      </c>
    </row>
    <row r="8" spans="2:35" x14ac:dyDescent="0.25">
      <c r="B8" s="105" t="s">
        <v>29</v>
      </c>
      <c r="C8" s="442">
        <v>2597470</v>
      </c>
      <c r="D8" s="443">
        <v>892986.29</v>
      </c>
      <c r="E8" s="443">
        <v>0</v>
      </c>
      <c r="F8" s="444">
        <v>0</v>
      </c>
      <c r="G8" s="444">
        <f t="shared" si="1"/>
        <v>3490456.29</v>
      </c>
      <c r="I8" s="105" t="s">
        <v>29</v>
      </c>
      <c r="J8" s="442">
        <v>2966195</v>
      </c>
      <c r="K8" s="443">
        <v>1168043.8500000003</v>
      </c>
      <c r="L8" s="443"/>
      <c r="M8" s="444"/>
      <c r="N8" s="444">
        <f t="shared" si="2"/>
        <v>4134238.8500000006</v>
      </c>
      <c r="P8" s="105" t="s">
        <v>29</v>
      </c>
      <c r="Q8" s="442">
        <v>4473095.5600000005</v>
      </c>
      <c r="R8" s="443">
        <v>2626594.59</v>
      </c>
      <c r="S8" s="443">
        <v>464062.33</v>
      </c>
      <c r="T8" s="444">
        <v>0</v>
      </c>
      <c r="U8" s="444">
        <f t="shared" si="4"/>
        <v>7563752.4800000004</v>
      </c>
      <c r="W8" s="105" t="s">
        <v>29</v>
      </c>
      <c r="X8" s="442">
        <v>1542013</v>
      </c>
      <c r="Y8" s="443">
        <v>1303227.67</v>
      </c>
      <c r="Z8" s="443">
        <v>680550.79999999993</v>
      </c>
      <c r="AA8" s="444">
        <v>0</v>
      </c>
      <c r="AB8" s="444">
        <f t="shared" si="5"/>
        <v>3525791.4699999997</v>
      </c>
      <c r="AD8" s="105" t="s">
        <v>29</v>
      </c>
      <c r="AE8" s="442">
        <v>2779928.5</v>
      </c>
      <c r="AF8" s="443">
        <v>1887046.4900000002</v>
      </c>
      <c r="AG8" s="443">
        <v>479955.24000000005</v>
      </c>
      <c r="AH8" s="444">
        <v>0</v>
      </c>
      <c r="AI8" s="444">
        <f t="shared" si="6"/>
        <v>5146930.2300000004</v>
      </c>
    </row>
    <row r="9" spans="2:35" x14ac:dyDescent="0.25">
      <c r="B9" s="106" t="s">
        <v>34</v>
      </c>
      <c r="C9" s="439">
        <f>SUM(C10:C11)</f>
        <v>14198244.649999999</v>
      </c>
      <c r="D9" s="440">
        <f>SUM(D10:D11)</f>
        <v>7058816.1600000001</v>
      </c>
      <c r="E9" s="440">
        <f>SUM(E10:E12)</f>
        <v>0</v>
      </c>
      <c r="F9" s="441">
        <v>1920449.6666434067</v>
      </c>
      <c r="G9" s="441">
        <f t="shared" si="1"/>
        <v>23177510.476643406</v>
      </c>
      <c r="I9" s="106" t="s">
        <v>34</v>
      </c>
      <c r="J9" s="439">
        <f>SUM(J10:J11)</f>
        <v>12121525.02</v>
      </c>
      <c r="K9" s="440">
        <f>SUM(K10:K11)</f>
        <v>7001608.629999999</v>
      </c>
      <c r="L9" s="440">
        <f>SUM(L10:L11)</f>
        <v>0</v>
      </c>
      <c r="M9" s="441">
        <v>1930089.1805553953</v>
      </c>
      <c r="N9" s="441">
        <f t="shared" si="2"/>
        <v>21053222.830555394</v>
      </c>
      <c r="P9" s="106" t="s">
        <v>34</v>
      </c>
      <c r="Q9" s="439">
        <f>SUM(Q10:Q11)</f>
        <v>15488125.979999999</v>
      </c>
      <c r="R9" s="440">
        <f>SUM(R10:R11)</f>
        <v>4338717.59</v>
      </c>
      <c r="S9" s="440">
        <f>SUM(S10:S11)</f>
        <v>2848787.07</v>
      </c>
      <c r="T9" s="441">
        <v>1168390.29</v>
      </c>
      <c r="U9" s="441">
        <f t="shared" si="4"/>
        <v>23844020.93</v>
      </c>
      <c r="W9" s="106" t="s">
        <v>34</v>
      </c>
      <c r="X9" s="439">
        <f>SUM(X10:X11)</f>
        <v>24404832.130000003</v>
      </c>
      <c r="Y9" s="440">
        <f>SUM(Y10:Y11)</f>
        <v>4387133.03</v>
      </c>
      <c r="Z9" s="440">
        <f>SUM(Z10:Z11)</f>
        <v>2469226.3100000005</v>
      </c>
      <c r="AA9" s="441">
        <v>1385537</v>
      </c>
      <c r="AB9" s="441">
        <f>SUM(X9:AA9)</f>
        <v>32646728.470000006</v>
      </c>
      <c r="AD9" s="106" t="s">
        <v>34</v>
      </c>
      <c r="AE9" s="439">
        <f>SUM(AE10:AE11)</f>
        <v>21532360.870000001</v>
      </c>
      <c r="AF9" s="440">
        <f>SUM(AF10:AF11)</f>
        <v>4395024.1399999987</v>
      </c>
      <c r="AG9" s="440">
        <f>SUM(AG10:AG11)</f>
        <v>2004381.41</v>
      </c>
      <c r="AH9" s="441">
        <v>1470402.44</v>
      </c>
      <c r="AI9" s="441">
        <f t="shared" ref="AI9:AI16" si="7">SUM(AE9:AH9)</f>
        <v>29402168.859999999</v>
      </c>
    </row>
    <row r="10" spans="2:35" x14ac:dyDescent="0.25">
      <c r="B10" s="105" t="s">
        <v>36</v>
      </c>
      <c r="C10" s="442">
        <v>9466266.0199999996</v>
      </c>
      <c r="D10" s="443">
        <v>5750689.3000000007</v>
      </c>
      <c r="E10" s="443">
        <v>0</v>
      </c>
      <c r="F10" s="444">
        <v>0</v>
      </c>
      <c r="G10" s="444">
        <f t="shared" si="1"/>
        <v>15216955.32</v>
      </c>
      <c r="I10" s="105" t="s">
        <v>36</v>
      </c>
      <c r="J10" s="442">
        <f>9465292.34-95802</f>
        <v>9369490.3399999999</v>
      </c>
      <c r="K10" s="443">
        <f>5713364.54-55381</f>
        <v>5657983.54</v>
      </c>
      <c r="L10" s="443"/>
      <c r="M10" s="444"/>
      <c r="N10" s="444">
        <f t="shared" si="2"/>
        <v>15027473.879999999</v>
      </c>
      <c r="P10" s="105" t="s">
        <v>36</v>
      </c>
      <c r="Q10" s="442">
        <v>11331197.829999998</v>
      </c>
      <c r="R10" s="443">
        <v>3404257.66</v>
      </c>
      <c r="S10" s="443">
        <v>2816039.01</v>
      </c>
      <c r="T10" s="444">
        <v>0</v>
      </c>
      <c r="U10" s="444">
        <f t="shared" si="4"/>
        <v>17551494.5</v>
      </c>
      <c r="W10" s="105" t="s">
        <v>36</v>
      </c>
      <c r="X10" s="442">
        <v>15832795.300000003</v>
      </c>
      <c r="Y10" s="443">
        <v>3647871</v>
      </c>
      <c r="Z10" s="443">
        <v>2385800.3600000003</v>
      </c>
      <c r="AA10" s="444">
        <v>0</v>
      </c>
      <c r="AB10" s="444">
        <v>21866467</v>
      </c>
      <c r="AD10" s="105" t="s">
        <v>36</v>
      </c>
      <c r="AE10" s="442">
        <v>16097039.050000001</v>
      </c>
      <c r="AF10" s="443">
        <v>3462166.7599999993</v>
      </c>
      <c r="AG10" s="443">
        <v>1943573.5799999998</v>
      </c>
      <c r="AH10" s="444">
        <v>0</v>
      </c>
      <c r="AI10" s="444">
        <f t="shared" si="7"/>
        <v>21502779.389999997</v>
      </c>
    </row>
    <row r="11" spans="2:35" x14ac:dyDescent="0.25">
      <c r="B11" s="105" t="s">
        <v>38</v>
      </c>
      <c r="C11" s="442">
        <v>4731978.63</v>
      </c>
      <c r="D11" s="443">
        <v>1308126.8599999999</v>
      </c>
      <c r="E11" s="443">
        <v>0</v>
      </c>
      <c r="F11" s="444">
        <v>0</v>
      </c>
      <c r="G11" s="444">
        <f t="shared" si="1"/>
        <v>6040105.4900000002</v>
      </c>
      <c r="I11" s="105" t="s">
        <v>38</v>
      </c>
      <c r="J11" s="442">
        <v>2752034.6799999992</v>
      </c>
      <c r="K11" s="443">
        <v>1343625.0899999994</v>
      </c>
      <c r="L11" s="443"/>
      <c r="M11" s="444"/>
      <c r="N11" s="444">
        <f t="shared" si="2"/>
        <v>4095659.7699999986</v>
      </c>
      <c r="P11" s="105" t="s">
        <v>38</v>
      </c>
      <c r="Q11" s="442">
        <v>4156928.1500000008</v>
      </c>
      <c r="R11" s="443">
        <v>934459.93</v>
      </c>
      <c r="S11" s="443">
        <v>32748.059999999998</v>
      </c>
      <c r="T11" s="444">
        <v>0</v>
      </c>
      <c r="U11" s="444">
        <f t="shared" si="4"/>
        <v>5124136.1400000006</v>
      </c>
      <c r="W11" s="105" t="s">
        <v>38</v>
      </c>
      <c r="X11" s="442">
        <v>8572036.8299999982</v>
      </c>
      <c r="Y11" s="443">
        <v>739262.03</v>
      </c>
      <c r="Z11" s="443">
        <v>83425.95</v>
      </c>
      <c r="AA11" s="444">
        <v>0</v>
      </c>
      <c r="AB11" s="444">
        <f t="shared" ref="AB11:AB25" si="8">SUM(X11:AA11)</f>
        <v>9394724.8099999968</v>
      </c>
      <c r="AD11" s="105" t="s">
        <v>38</v>
      </c>
      <c r="AE11" s="442">
        <v>5435321.8200000003</v>
      </c>
      <c r="AF11" s="443">
        <v>932857.37999999989</v>
      </c>
      <c r="AG11" s="443">
        <v>60807.83</v>
      </c>
      <c r="AH11" s="444">
        <v>0</v>
      </c>
      <c r="AI11" s="444">
        <f t="shared" si="7"/>
        <v>6428987.0300000003</v>
      </c>
    </row>
    <row r="12" spans="2:35" x14ac:dyDescent="0.25">
      <c r="B12" s="106" t="s">
        <v>3</v>
      </c>
      <c r="C12" s="439">
        <f>SUM(C13:C16)</f>
        <v>14500895.459999997</v>
      </c>
      <c r="D12" s="440">
        <f>SUM(D13:D16)</f>
        <v>2457322.42</v>
      </c>
      <c r="E12" s="440">
        <f>SUM(E13:E16)</f>
        <v>0</v>
      </c>
      <c r="F12" s="441">
        <v>3050629.0612454498</v>
      </c>
      <c r="G12" s="441">
        <f t="shared" si="1"/>
        <v>20008846.941245444</v>
      </c>
      <c r="I12" s="106" t="s">
        <v>3</v>
      </c>
      <c r="J12" s="439">
        <f>SUM(J13:J16)</f>
        <v>12728925.720000003</v>
      </c>
      <c r="K12" s="440">
        <f>SUM(K13:K16)</f>
        <v>2144266.3600000003</v>
      </c>
      <c r="L12" s="440">
        <f>SUM(L13:L16)</f>
        <v>0</v>
      </c>
      <c r="M12" s="441">
        <v>2720053.1773029808</v>
      </c>
      <c r="N12" s="441">
        <f t="shared" si="2"/>
        <v>17593245.257302985</v>
      </c>
      <c r="P12" s="106" t="s">
        <v>3</v>
      </c>
      <c r="Q12" s="439">
        <f>SUM(Q13:Q16)</f>
        <v>13957728.899999999</v>
      </c>
      <c r="R12" s="440">
        <f>SUM(R13:R16)</f>
        <v>1406624.2100000007</v>
      </c>
      <c r="S12" s="440">
        <f>SUM(S13:S16)</f>
        <v>1730180.7699999996</v>
      </c>
      <c r="T12" s="441">
        <f>3765348.83999999</f>
        <v>3765348.8399999901</v>
      </c>
      <c r="U12" s="441">
        <f t="shared" si="4"/>
        <v>20859882.719999988</v>
      </c>
      <c r="W12" s="106" t="s">
        <v>3</v>
      </c>
      <c r="X12" s="439">
        <f>SUM(X13:X16)</f>
        <v>17922692.249999993</v>
      </c>
      <c r="Y12" s="440">
        <f>SUM(Y13:Y16)</f>
        <v>1271852.5</v>
      </c>
      <c r="Z12" s="440">
        <f>SUM(Z13:Z16)</f>
        <v>1947695.4200000004</v>
      </c>
      <c r="AA12" s="441">
        <f>4209840.13000001</f>
        <v>4209840.1300000101</v>
      </c>
      <c r="AB12" s="441">
        <f t="shared" si="8"/>
        <v>25352080.300000004</v>
      </c>
      <c r="AD12" s="106" t="s">
        <v>3</v>
      </c>
      <c r="AE12" s="439">
        <f>SUM(AE13:AE16)</f>
        <v>19594558.009999998</v>
      </c>
      <c r="AF12" s="440">
        <f>SUM(AF13:AF16)</f>
        <v>2060899.5000000002</v>
      </c>
      <c r="AG12" s="440">
        <f>SUM(AG13:AG16)</f>
        <v>1915655.51</v>
      </c>
      <c r="AH12" s="441">
        <f>4189638.27</f>
        <v>4189638.27</v>
      </c>
      <c r="AI12" s="441">
        <f>SUM(AE12:AH12)</f>
        <v>27760751.289999999</v>
      </c>
    </row>
    <row r="13" spans="2:35" ht="14.25" x14ac:dyDescent="0.25">
      <c r="B13" s="105" t="s">
        <v>297</v>
      </c>
      <c r="C13" s="442">
        <v>6528113.6499999966</v>
      </c>
      <c r="D13" s="443">
        <v>919024.25999999978</v>
      </c>
      <c r="E13" s="443">
        <v>0</v>
      </c>
      <c r="F13" s="445">
        <v>0</v>
      </c>
      <c r="G13" s="444">
        <f t="shared" si="1"/>
        <v>7447137.9099999964</v>
      </c>
      <c r="I13" s="105" t="s">
        <v>297</v>
      </c>
      <c r="J13" s="442">
        <v>5108879.7400000039</v>
      </c>
      <c r="K13" s="443">
        <v>847417.33000000007</v>
      </c>
      <c r="L13" s="443"/>
      <c r="M13" s="445"/>
      <c r="N13" s="444">
        <f t="shared" si="2"/>
        <v>5956297.070000004</v>
      </c>
      <c r="P13" s="105" t="s">
        <v>39</v>
      </c>
      <c r="Q13" s="442">
        <v>7152236.8799999999</v>
      </c>
      <c r="R13" s="443">
        <v>1003212.5800000004</v>
      </c>
      <c r="S13" s="443">
        <v>238418.15</v>
      </c>
      <c r="T13" s="445">
        <v>0</v>
      </c>
      <c r="U13" s="444">
        <f t="shared" ref="U13:U20" si="9">SUM(Q13:T13)</f>
        <v>8393867.6099999994</v>
      </c>
      <c r="W13" s="105" t="s">
        <v>39</v>
      </c>
      <c r="X13" s="442">
        <v>9564202.1399999913</v>
      </c>
      <c r="Y13" s="443">
        <v>534634.89</v>
      </c>
      <c r="Z13" s="443">
        <v>241389</v>
      </c>
      <c r="AA13" s="445">
        <v>0</v>
      </c>
      <c r="AB13" s="444">
        <f t="shared" si="8"/>
        <v>10340226.029999992</v>
      </c>
      <c r="AD13" s="105" t="s">
        <v>39</v>
      </c>
      <c r="AE13" s="442">
        <v>8299498.0600000005</v>
      </c>
      <c r="AF13" s="443">
        <v>1156467.4400000002</v>
      </c>
      <c r="AG13" s="443">
        <v>204148</v>
      </c>
      <c r="AH13" s="445">
        <v>0</v>
      </c>
      <c r="AI13" s="444">
        <f t="shared" si="7"/>
        <v>9660113.5</v>
      </c>
    </row>
    <row r="14" spans="2:35" x14ac:dyDescent="0.25">
      <c r="B14" s="105" t="s">
        <v>41</v>
      </c>
      <c r="C14" s="442">
        <v>3322969.54</v>
      </c>
      <c r="D14" s="443">
        <v>1380908.5700000003</v>
      </c>
      <c r="E14" s="443">
        <v>0</v>
      </c>
      <c r="F14" s="445">
        <v>0</v>
      </c>
      <c r="G14" s="444">
        <f t="shared" si="1"/>
        <v>4703878.1100000003</v>
      </c>
      <c r="I14" s="105" t="s">
        <v>41</v>
      </c>
      <c r="J14" s="442">
        <v>3126922.45</v>
      </c>
      <c r="K14" s="443">
        <v>1077351.52</v>
      </c>
      <c r="L14" s="443"/>
      <c r="M14" s="445"/>
      <c r="N14" s="444">
        <f t="shared" si="2"/>
        <v>4204273.9700000007</v>
      </c>
      <c r="P14" s="105" t="s">
        <v>41</v>
      </c>
      <c r="Q14" s="442">
        <v>2708695.82</v>
      </c>
      <c r="R14" s="443">
        <v>209323.69000000003</v>
      </c>
      <c r="S14" s="443">
        <v>148037.5</v>
      </c>
      <c r="T14" s="445">
        <v>0</v>
      </c>
      <c r="U14" s="444">
        <f t="shared" si="9"/>
        <v>3066057.01</v>
      </c>
      <c r="W14" s="105" t="s">
        <v>41</v>
      </c>
      <c r="X14" s="442">
        <v>2234438.9700000002</v>
      </c>
      <c r="Y14" s="443">
        <v>186427.37999999998</v>
      </c>
      <c r="Z14" s="443">
        <v>75782.5</v>
      </c>
      <c r="AA14" s="445">
        <v>0</v>
      </c>
      <c r="AB14" s="444">
        <f t="shared" si="8"/>
        <v>2496648.85</v>
      </c>
      <c r="AD14" s="105" t="s">
        <v>41</v>
      </c>
      <c r="AE14" s="442">
        <v>2980514.11</v>
      </c>
      <c r="AF14" s="443">
        <v>194896.74</v>
      </c>
      <c r="AG14" s="443">
        <v>80095</v>
      </c>
      <c r="AH14" s="445">
        <v>0</v>
      </c>
      <c r="AI14" s="444">
        <f t="shared" si="7"/>
        <v>3255505.8499999996</v>
      </c>
    </row>
    <row r="15" spans="2:35" x14ac:dyDescent="0.25">
      <c r="B15" s="105" t="s">
        <v>43</v>
      </c>
      <c r="C15" s="442">
        <v>4649812.2699999996</v>
      </c>
      <c r="D15" s="443">
        <v>157389.58999999997</v>
      </c>
      <c r="E15" s="443">
        <v>0</v>
      </c>
      <c r="F15" s="445">
        <v>0</v>
      </c>
      <c r="G15" s="444">
        <f t="shared" si="1"/>
        <v>4807201.8599999994</v>
      </c>
      <c r="I15" s="105" t="s">
        <v>43</v>
      </c>
      <c r="J15" s="442">
        <v>4493123.5299999993</v>
      </c>
      <c r="K15" s="443">
        <v>219497.5100000001</v>
      </c>
      <c r="L15" s="443"/>
      <c r="M15" s="445"/>
      <c r="N15" s="444">
        <f t="shared" si="2"/>
        <v>4712621.0399999991</v>
      </c>
      <c r="P15" s="105" t="s">
        <v>43</v>
      </c>
      <c r="Q15" s="442">
        <v>3691266.2</v>
      </c>
      <c r="R15" s="443">
        <v>53753.599999999999</v>
      </c>
      <c r="S15" s="443">
        <v>0</v>
      </c>
      <c r="T15" s="445">
        <v>0</v>
      </c>
      <c r="U15" s="444">
        <f t="shared" si="9"/>
        <v>3745019.8000000003</v>
      </c>
      <c r="W15" s="105" t="s">
        <v>43</v>
      </c>
      <c r="X15" s="442">
        <v>5753591.1399999997</v>
      </c>
      <c r="Y15" s="443">
        <v>395662.23</v>
      </c>
      <c r="Z15" s="443">
        <v>0</v>
      </c>
      <c r="AA15" s="445">
        <v>0</v>
      </c>
      <c r="AB15" s="444">
        <f t="shared" si="8"/>
        <v>6149253.3699999992</v>
      </c>
      <c r="AD15" s="105" t="s">
        <v>43</v>
      </c>
      <c r="AE15" s="442">
        <v>7708972.8399999999</v>
      </c>
      <c r="AF15" s="443">
        <v>521562.85</v>
      </c>
      <c r="AG15" s="443">
        <v>79800</v>
      </c>
      <c r="AH15" s="445">
        <v>0</v>
      </c>
      <c r="AI15" s="444">
        <f>SUM(AE15:AH15)</f>
        <v>8310335.6899999995</v>
      </c>
    </row>
    <row r="16" spans="2:35" ht="14.25" x14ac:dyDescent="0.25">
      <c r="B16" s="105" t="s">
        <v>298</v>
      </c>
      <c r="C16" s="442">
        <v>0</v>
      </c>
      <c r="D16" s="443">
        <v>0</v>
      </c>
      <c r="E16" s="443">
        <v>0</v>
      </c>
      <c r="F16" s="445">
        <v>0</v>
      </c>
      <c r="G16" s="444">
        <f t="shared" si="1"/>
        <v>0</v>
      </c>
      <c r="I16" s="105" t="s">
        <v>298</v>
      </c>
      <c r="J16" s="442">
        <v>0</v>
      </c>
      <c r="K16" s="443">
        <v>0</v>
      </c>
      <c r="L16" s="443"/>
      <c r="M16" s="445"/>
      <c r="N16" s="444">
        <f t="shared" si="2"/>
        <v>0</v>
      </c>
      <c r="P16" s="105" t="s">
        <v>44</v>
      </c>
      <c r="Q16" s="442">
        <v>405530</v>
      </c>
      <c r="R16" s="443">
        <v>140334.34</v>
      </c>
      <c r="S16" s="443">
        <v>1343725.1199999996</v>
      </c>
      <c r="T16" s="445">
        <v>0</v>
      </c>
      <c r="U16" s="444">
        <f t="shared" si="9"/>
        <v>1889589.4599999995</v>
      </c>
      <c r="W16" s="105" t="s">
        <v>44</v>
      </c>
      <c r="X16" s="442">
        <v>370460</v>
      </c>
      <c r="Y16" s="443">
        <v>155128</v>
      </c>
      <c r="Z16" s="443">
        <v>1630523.9200000004</v>
      </c>
      <c r="AA16" s="445">
        <v>0</v>
      </c>
      <c r="AB16" s="444">
        <f t="shared" si="8"/>
        <v>2156111.9200000004</v>
      </c>
      <c r="AD16" s="105" t="s">
        <v>44</v>
      </c>
      <c r="AE16" s="442">
        <v>605573</v>
      </c>
      <c r="AF16" s="443">
        <v>187972.47000000003</v>
      </c>
      <c r="AG16" s="443">
        <v>1551612.51</v>
      </c>
      <c r="AH16" s="445">
        <v>0</v>
      </c>
      <c r="AI16" s="444">
        <f t="shared" si="7"/>
        <v>2345157.98</v>
      </c>
    </row>
    <row r="17" spans="2:35" x14ac:dyDescent="0.25">
      <c r="B17" s="106" t="s">
        <v>4</v>
      </c>
      <c r="C17" s="439">
        <f>SUM(C18:C18)</f>
        <v>8832382.879999999</v>
      </c>
      <c r="D17" s="440">
        <f>SUM(D18:D18)</f>
        <v>233686.02000000002</v>
      </c>
      <c r="E17" s="440">
        <f>SUM(E18:E18)</f>
        <v>0</v>
      </c>
      <c r="F17" s="441">
        <v>2211002.1496559936</v>
      </c>
      <c r="G17" s="441">
        <f t="shared" si="1"/>
        <v>11277071.049655993</v>
      </c>
      <c r="I17" s="106" t="s">
        <v>4</v>
      </c>
      <c r="J17" s="439">
        <f>SUM(J18:J18)</f>
        <v>6387662.8399999999</v>
      </c>
      <c r="K17" s="440">
        <f>SUM(K18:K18)</f>
        <v>216153.19999999998</v>
      </c>
      <c r="L17" s="440">
        <f>SUM(L18:L18)</f>
        <v>0</v>
      </c>
      <c r="M17" s="441">
        <v>2011612.1538521019</v>
      </c>
      <c r="N17" s="441">
        <f t="shared" si="2"/>
        <v>8615428.1938521024</v>
      </c>
      <c r="P17" s="106" t="s">
        <v>4</v>
      </c>
      <c r="Q17" s="439">
        <f>SUM(Q18:Q18)</f>
        <v>9094178.9499999955</v>
      </c>
      <c r="R17" s="440">
        <f>SUM(R18:R18)</f>
        <v>527318.62</v>
      </c>
      <c r="S17" s="440">
        <f>SUM(S18:S18)</f>
        <v>15799.080000000002</v>
      </c>
      <c r="T17" s="441">
        <v>3651724.5500000101</v>
      </c>
      <c r="U17" s="441">
        <f t="shared" si="9"/>
        <v>13289021.200000005</v>
      </c>
      <c r="W17" s="106" t="s">
        <v>4</v>
      </c>
      <c r="X17" s="439">
        <f>+X18</f>
        <v>11436528.739999995</v>
      </c>
      <c r="Y17" s="440">
        <f>+Y18</f>
        <v>330753.21000000002</v>
      </c>
      <c r="Z17" s="440">
        <f>SUM(Z18:Z19)</f>
        <v>0</v>
      </c>
      <c r="AA17" s="441">
        <v>3717549.1000000047</v>
      </c>
      <c r="AB17" s="441">
        <f t="shared" si="8"/>
        <v>15484831.050000001</v>
      </c>
      <c r="AD17" s="106" t="s">
        <v>4</v>
      </c>
      <c r="AE17" s="439">
        <f>SUM(AE18:AE18)</f>
        <v>11526077.749999996</v>
      </c>
      <c r="AF17" s="440">
        <f>SUM(AF18:AF18)</f>
        <v>354400.59</v>
      </c>
      <c r="AG17" s="440">
        <f>SUM(AG18:AG18)</f>
        <v>0</v>
      </c>
      <c r="AH17" s="441">
        <v>3808854.9400000051</v>
      </c>
      <c r="AI17" s="441">
        <f t="shared" ref="AI17:AI28" si="10">SUM(AE17:AH17)</f>
        <v>15689333.280000001</v>
      </c>
    </row>
    <row r="18" spans="2:35" ht="14.25" x14ac:dyDescent="0.25">
      <c r="B18" s="105" t="s">
        <v>299</v>
      </c>
      <c r="C18" s="442">
        <v>8832382.879999999</v>
      </c>
      <c r="D18" s="443">
        <v>233686.02000000002</v>
      </c>
      <c r="E18" s="443">
        <v>0</v>
      </c>
      <c r="F18" s="444">
        <v>0</v>
      </c>
      <c r="G18" s="444">
        <f t="shared" si="1"/>
        <v>9066068.8999999985</v>
      </c>
      <c r="I18" s="105" t="s">
        <v>299</v>
      </c>
      <c r="J18" s="442">
        <v>6387662.8399999999</v>
      </c>
      <c r="K18" s="443">
        <v>216153.19999999998</v>
      </c>
      <c r="L18" s="443"/>
      <c r="M18" s="444"/>
      <c r="N18" s="444">
        <f t="shared" si="2"/>
        <v>6603816.04</v>
      </c>
      <c r="P18" s="105" t="s">
        <v>52</v>
      </c>
      <c r="Q18" s="442">
        <v>9094178.9499999955</v>
      </c>
      <c r="R18" s="443">
        <v>527318.62</v>
      </c>
      <c r="S18" s="443">
        <v>15799.080000000002</v>
      </c>
      <c r="T18" s="444">
        <v>0</v>
      </c>
      <c r="U18" s="444">
        <f t="shared" si="9"/>
        <v>9637296.6499999948</v>
      </c>
      <c r="W18" s="105" t="s">
        <v>52</v>
      </c>
      <c r="X18" s="442">
        <v>11436528.739999995</v>
      </c>
      <c r="Y18" s="443">
        <v>330753.21000000002</v>
      </c>
      <c r="Z18" s="443">
        <v>0</v>
      </c>
      <c r="AA18" s="444">
        <v>0</v>
      </c>
      <c r="AB18" s="444">
        <f t="shared" si="8"/>
        <v>11767281.949999996</v>
      </c>
      <c r="AD18" s="105" t="s">
        <v>52</v>
      </c>
      <c r="AE18" s="442">
        <v>11526077.749999996</v>
      </c>
      <c r="AF18" s="443">
        <v>354400.59</v>
      </c>
      <c r="AG18" s="443">
        <v>0</v>
      </c>
      <c r="AH18" s="444">
        <v>0</v>
      </c>
      <c r="AI18" s="444">
        <f t="shared" si="10"/>
        <v>11880478.339999996</v>
      </c>
    </row>
    <row r="19" spans="2:35" x14ac:dyDescent="0.25">
      <c r="B19" s="106" t="s">
        <v>5</v>
      </c>
      <c r="C19" s="439">
        <f>SUM(C20)</f>
        <v>2250475.42</v>
      </c>
      <c r="D19" s="440">
        <f>SUM(D20)</f>
        <v>79322</v>
      </c>
      <c r="E19" s="440">
        <f>SUM(E20)</f>
        <v>0</v>
      </c>
      <c r="F19" s="441">
        <v>399516.08999999997</v>
      </c>
      <c r="G19" s="441">
        <f t="shared" si="1"/>
        <v>2729313.51</v>
      </c>
      <c r="I19" s="106" t="s">
        <v>5</v>
      </c>
      <c r="J19" s="439">
        <f>SUM(J20)</f>
        <v>2714346.6799999997</v>
      </c>
      <c r="K19" s="440">
        <f>SUM(K20)</f>
        <v>42119.8</v>
      </c>
      <c r="L19" s="440">
        <f>SUM(L20)</f>
        <v>0</v>
      </c>
      <c r="M19" s="441">
        <v>322805.39999999997</v>
      </c>
      <c r="N19" s="441">
        <f t="shared" si="2"/>
        <v>3079271.8799999994</v>
      </c>
      <c r="P19" s="106" t="s">
        <v>5</v>
      </c>
      <c r="Q19" s="439">
        <f>SUM(Q20)</f>
        <v>2468422.4500000002</v>
      </c>
      <c r="R19" s="440">
        <f>SUM(R20)</f>
        <v>24601.289999999997</v>
      </c>
      <c r="S19" s="440">
        <f>SUM(S20)</f>
        <v>0</v>
      </c>
      <c r="T19" s="441">
        <v>191867.45000000004</v>
      </c>
      <c r="U19" s="441">
        <f t="shared" si="9"/>
        <v>2684891.1900000004</v>
      </c>
      <c r="W19" s="106" t="s">
        <v>5</v>
      </c>
      <c r="X19" s="439">
        <f>SUM(X20)</f>
        <v>2239533.61</v>
      </c>
      <c r="Y19" s="440">
        <f>SUM(Y20)</f>
        <v>5365</v>
      </c>
      <c r="Z19" s="440">
        <f>SUM(Z20)</f>
        <v>0</v>
      </c>
      <c r="AA19" s="441">
        <v>230240.56000000017</v>
      </c>
      <c r="AB19" s="441">
        <f t="shared" si="8"/>
        <v>2475139.17</v>
      </c>
      <c r="AD19" s="106" t="s">
        <v>5</v>
      </c>
      <c r="AE19" s="439">
        <f>SUM(AE20)</f>
        <v>2510576.3600000003</v>
      </c>
      <c r="AF19" s="440">
        <f>SUM(AF20)</f>
        <v>759.7</v>
      </c>
      <c r="AG19" s="440">
        <f>SUM(AG20)</f>
        <v>0</v>
      </c>
      <c r="AH19" s="441">
        <v>253245.23999999996</v>
      </c>
      <c r="AI19" s="441">
        <f t="shared" si="10"/>
        <v>2764581.3000000003</v>
      </c>
    </row>
    <row r="20" spans="2:35" x14ac:dyDescent="0.25">
      <c r="B20" s="105" t="s">
        <v>56</v>
      </c>
      <c r="C20" s="442">
        <v>2250475.42</v>
      </c>
      <c r="D20" s="443">
        <v>79322</v>
      </c>
      <c r="E20" s="443">
        <v>0</v>
      </c>
      <c r="F20" s="444">
        <v>0</v>
      </c>
      <c r="G20" s="444">
        <f t="shared" si="1"/>
        <v>2329797.42</v>
      </c>
      <c r="I20" s="105" t="s">
        <v>56</v>
      </c>
      <c r="J20" s="442">
        <v>2714346.6799999997</v>
      </c>
      <c r="K20" s="443">
        <v>42119.8</v>
      </c>
      <c r="L20" s="443"/>
      <c r="M20" s="444"/>
      <c r="N20" s="444">
        <f t="shared" si="2"/>
        <v>2756466.4799999995</v>
      </c>
      <c r="P20" s="105" t="s">
        <v>56</v>
      </c>
      <c r="Q20" s="442">
        <v>2468422.4500000002</v>
      </c>
      <c r="R20" s="443">
        <v>24601.289999999997</v>
      </c>
      <c r="S20" s="443">
        <v>0</v>
      </c>
      <c r="T20" s="444">
        <v>0</v>
      </c>
      <c r="U20" s="444">
        <f t="shared" si="9"/>
        <v>2493023.7400000002</v>
      </c>
      <c r="W20" s="105" t="s">
        <v>56</v>
      </c>
      <c r="X20" s="442">
        <v>2239533.61</v>
      </c>
      <c r="Y20" s="443">
        <v>5365</v>
      </c>
      <c r="Z20" s="443">
        <v>0</v>
      </c>
      <c r="AA20" s="444">
        <v>0</v>
      </c>
      <c r="AB20" s="444">
        <f t="shared" si="8"/>
        <v>2244898.61</v>
      </c>
      <c r="AD20" s="105" t="s">
        <v>56</v>
      </c>
      <c r="AE20" s="442">
        <v>2510576.3600000003</v>
      </c>
      <c r="AF20" s="443">
        <v>759.7</v>
      </c>
      <c r="AG20" s="443">
        <v>0</v>
      </c>
      <c r="AH20" s="444">
        <v>0</v>
      </c>
      <c r="AI20" s="444">
        <f t="shared" si="10"/>
        <v>2511336.0600000005</v>
      </c>
    </row>
    <row r="21" spans="2:35" x14ac:dyDescent="0.25">
      <c r="B21" s="129" t="s">
        <v>60</v>
      </c>
      <c r="C21" s="446">
        <f>SUM(C5,C9,C12,C17,C19)</f>
        <v>80908622.299999997</v>
      </c>
      <c r="D21" s="447">
        <f>SUM(D5,D9,D12,D17,D19)</f>
        <v>13282130.039999999</v>
      </c>
      <c r="E21" s="447">
        <f>SUM(E5,E9,E12,E17,E19)</f>
        <v>0</v>
      </c>
      <c r="F21" s="448">
        <f>SUM(F5,F9,F12,F17,F19)</f>
        <v>12142048.675971329</v>
      </c>
      <c r="G21" s="448">
        <f>SUM(G5,G9,G12,G17,G19)</f>
        <v>106332801.0159713</v>
      </c>
      <c r="I21" s="129" t="s">
        <v>60</v>
      </c>
      <c r="J21" s="446">
        <f>SUM(J5,J9,J12,J17,J19)</f>
        <v>82273964.939999998</v>
      </c>
      <c r="K21" s="447">
        <f>SUM(K5,K9,K12,K17,K19)</f>
        <v>13140974.02</v>
      </c>
      <c r="L21" s="447">
        <f>SUM(L5,L9,L12,L17,L19)</f>
        <v>0</v>
      </c>
      <c r="M21" s="448">
        <f>SUM(M5,M9,M12,M17,M19)</f>
        <v>11833685.782887965</v>
      </c>
      <c r="N21" s="448">
        <f>SUM(N5,N9,N12,N17,N19)</f>
        <v>107248624.74288796</v>
      </c>
      <c r="P21" s="129" t="s">
        <v>60</v>
      </c>
      <c r="Q21" s="446">
        <f>SUM(Q5,Q9,Q12,Q17,Q19)</f>
        <v>96378364.220000014</v>
      </c>
      <c r="R21" s="447">
        <f>SUM(R5,R9,R12,R17,R19)</f>
        <v>11506474.959999999</v>
      </c>
      <c r="S21" s="447">
        <f>SUM(S5,S9,S12,S17,S19)</f>
        <v>6910705.7899999991</v>
      </c>
      <c r="T21" s="448">
        <f>SUM(T5,T9,T12,T17,T19)</f>
        <v>9986200.4599999972</v>
      </c>
      <c r="U21" s="448">
        <f>SUM(U5,U9,U12,U17,U19)</f>
        <v>124781745.43000001</v>
      </c>
      <c r="W21" s="129" t="s">
        <v>60</v>
      </c>
      <c r="X21" s="446">
        <f>SUM(X5,X9,X12,X17,X19)</f>
        <v>252649853.10000098</v>
      </c>
      <c r="Y21" s="447">
        <f>SUM(Y5,Y9,Y12,Y17,Y19)</f>
        <v>7400278.9100000001</v>
      </c>
      <c r="Z21" s="447">
        <f>SUM(Z5,Z9,Z12,Z17,Z19)</f>
        <v>7404920.5300000012</v>
      </c>
      <c r="AA21" s="448">
        <f>SUM(AA5,AA9,AA12,AA17,AA19)</f>
        <v>11517945.990000783</v>
      </c>
      <c r="AB21" s="448">
        <f t="shared" si="8"/>
        <v>278972998.53000176</v>
      </c>
      <c r="AD21" s="129" t="s">
        <v>60</v>
      </c>
      <c r="AE21" s="446">
        <f>SUM(AE5,AE9,AE12,AE17,AE19)</f>
        <v>110393906.91999997</v>
      </c>
      <c r="AF21" s="447">
        <f>SUM(AF5,AF9,AF12,AF17,AF19)</f>
        <v>11453266.649999999</v>
      </c>
      <c r="AG21" s="447">
        <f>SUM(AG5,AG9,AG12,AG17,AG19)</f>
        <v>7266220.3499999996</v>
      </c>
      <c r="AH21" s="448">
        <f>SUM(AH5,AH9,AH12,AH17,AH19)</f>
        <v>11870353.530000003</v>
      </c>
      <c r="AI21" s="448">
        <f t="shared" si="10"/>
        <v>140983747.44999996</v>
      </c>
    </row>
    <row r="22" spans="2:35" ht="14.25" x14ac:dyDescent="0.25">
      <c r="B22" s="282" t="s">
        <v>62</v>
      </c>
      <c r="C22" s="449">
        <v>0</v>
      </c>
      <c r="D22" s="450">
        <v>0</v>
      </c>
      <c r="E22" s="450">
        <v>0</v>
      </c>
      <c r="F22" s="444">
        <v>3442572.55</v>
      </c>
      <c r="G22" s="444">
        <f t="shared" ref="G22:G28" si="11">SUM(C22:F22)</f>
        <v>3442572.55</v>
      </c>
      <c r="I22" s="282" t="s">
        <v>300</v>
      </c>
      <c r="J22" s="442">
        <v>0</v>
      </c>
      <c r="K22" s="443">
        <v>0</v>
      </c>
      <c r="L22" s="443">
        <v>0</v>
      </c>
      <c r="M22" s="444">
        <v>3539066.7200000007</v>
      </c>
      <c r="N22" s="444">
        <f t="shared" ref="N22:N28" si="12">SUM(J22:M22)</f>
        <v>3539066.7200000007</v>
      </c>
      <c r="P22" s="282" t="s">
        <v>62</v>
      </c>
      <c r="Q22" s="442">
        <v>0</v>
      </c>
      <c r="R22" s="443">
        <v>0</v>
      </c>
      <c r="S22" s="443">
        <v>0</v>
      </c>
      <c r="T22" s="444">
        <v>6291990.0700000348</v>
      </c>
      <c r="U22" s="444">
        <f t="shared" ref="U22:U28" si="13">SUM(Q22:T22)</f>
        <v>6291990.0700000348</v>
      </c>
      <c r="W22" s="282" t="s">
        <v>62</v>
      </c>
      <c r="X22" s="442">
        <v>0</v>
      </c>
      <c r="Y22" s="443">
        <v>0</v>
      </c>
      <c r="Z22" s="443">
        <v>0</v>
      </c>
      <c r="AA22" s="444">
        <v>6563988.6400000006</v>
      </c>
      <c r="AB22" s="444">
        <f t="shared" si="8"/>
        <v>6563988.6400000006</v>
      </c>
      <c r="AD22" s="282" t="s">
        <v>62</v>
      </c>
      <c r="AE22" s="442">
        <v>0</v>
      </c>
      <c r="AF22" s="443">
        <v>0</v>
      </c>
      <c r="AG22" s="443">
        <v>0</v>
      </c>
      <c r="AH22" s="444">
        <v>7120383.4400000218</v>
      </c>
      <c r="AI22" s="444">
        <f t="shared" si="10"/>
        <v>7120383.4400000218</v>
      </c>
    </row>
    <row r="23" spans="2:35" ht="14.25" x14ac:dyDescent="0.25">
      <c r="B23" s="282" t="s">
        <v>301</v>
      </c>
      <c r="C23" s="470">
        <v>0</v>
      </c>
      <c r="D23" s="471">
        <v>0</v>
      </c>
      <c r="E23" s="471">
        <v>0</v>
      </c>
      <c r="F23" s="472">
        <v>0</v>
      </c>
      <c r="G23" s="472">
        <f t="shared" si="11"/>
        <v>0</v>
      </c>
      <c r="I23" s="282" t="s">
        <v>301</v>
      </c>
      <c r="J23" s="470">
        <v>0</v>
      </c>
      <c r="K23" s="471">
        <v>0</v>
      </c>
      <c r="L23" s="471">
        <v>0</v>
      </c>
      <c r="M23" s="472">
        <v>0</v>
      </c>
      <c r="N23" s="472">
        <f t="shared" si="12"/>
        <v>0</v>
      </c>
      <c r="P23" s="282" t="s">
        <v>64</v>
      </c>
      <c r="Q23" s="442">
        <v>0</v>
      </c>
      <c r="R23" s="443">
        <v>0</v>
      </c>
      <c r="S23" s="443">
        <v>0</v>
      </c>
      <c r="T23" s="444">
        <v>499121.45999999996</v>
      </c>
      <c r="U23" s="444">
        <f t="shared" si="13"/>
        <v>499121.45999999996</v>
      </c>
      <c r="W23" s="282" t="s">
        <v>64</v>
      </c>
      <c r="X23" s="442">
        <v>0</v>
      </c>
      <c r="Y23" s="443">
        <v>0</v>
      </c>
      <c r="Z23" s="443">
        <v>0</v>
      </c>
      <c r="AA23" s="444">
        <v>714991.06000000017</v>
      </c>
      <c r="AB23" s="444">
        <f t="shared" si="8"/>
        <v>714991.06000000017</v>
      </c>
      <c r="AD23" s="282" t="s">
        <v>64</v>
      </c>
      <c r="AE23" s="442">
        <v>0</v>
      </c>
      <c r="AF23" s="443">
        <v>0</v>
      </c>
      <c r="AG23" s="443">
        <v>0</v>
      </c>
      <c r="AH23" s="444">
        <v>624643.05000000005</v>
      </c>
      <c r="AI23" s="444">
        <f t="shared" si="10"/>
        <v>624643.05000000005</v>
      </c>
    </row>
    <row r="24" spans="2:35" ht="14.25" x14ac:dyDescent="0.25">
      <c r="B24" s="282" t="s">
        <v>302</v>
      </c>
      <c r="C24" s="470">
        <v>0</v>
      </c>
      <c r="D24" s="471">
        <v>0</v>
      </c>
      <c r="E24" s="471">
        <v>0</v>
      </c>
      <c r="F24" s="472">
        <v>0</v>
      </c>
      <c r="G24" s="472">
        <f t="shared" si="11"/>
        <v>0</v>
      </c>
      <c r="I24" s="282" t="s">
        <v>302</v>
      </c>
      <c r="J24" s="470">
        <v>0</v>
      </c>
      <c r="K24" s="471">
        <v>0</v>
      </c>
      <c r="L24" s="471">
        <v>0</v>
      </c>
      <c r="M24" s="472">
        <v>0</v>
      </c>
      <c r="N24" s="472">
        <f t="shared" si="12"/>
        <v>0</v>
      </c>
      <c r="P24" s="282" t="s">
        <v>66</v>
      </c>
      <c r="Q24" s="442">
        <v>0</v>
      </c>
      <c r="R24" s="443">
        <v>0</v>
      </c>
      <c r="S24" s="443">
        <v>0</v>
      </c>
      <c r="T24" s="444">
        <v>391115.37</v>
      </c>
      <c r="U24" s="444">
        <f t="shared" si="13"/>
        <v>391115.37</v>
      </c>
      <c r="W24" s="282" t="s">
        <v>66</v>
      </c>
      <c r="X24" s="442">
        <v>0</v>
      </c>
      <c r="Y24" s="443">
        <v>0</v>
      </c>
      <c r="Z24" s="443">
        <v>0</v>
      </c>
      <c r="AA24" s="444">
        <v>482022.16</v>
      </c>
      <c r="AB24" s="444">
        <f t="shared" si="8"/>
        <v>482022.16</v>
      </c>
      <c r="AD24" s="282" t="s">
        <v>66</v>
      </c>
      <c r="AE24" s="442">
        <v>0</v>
      </c>
      <c r="AF24" s="443">
        <v>0</v>
      </c>
      <c r="AG24" s="443">
        <v>0</v>
      </c>
      <c r="AH24" s="444">
        <v>542391.88</v>
      </c>
      <c r="AI24" s="444">
        <f t="shared" si="10"/>
        <v>542391.88</v>
      </c>
    </row>
    <row r="25" spans="2:35" ht="14.25" x14ac:dyDescent="0.25">
      <c r="B25" s="282" t="s">
        <v>303</v>
      </c>
      <c r="C25" s="470">
        <v>0</v>
      </c>
      <c r="D25" s="471">
        <v>0</v>
      </c>
      <c r="E25" s="471">
        <v>0</v>
      </c>
      <c r="F25" s="472">
        <v>0</v>
      </c>
      <c r="G25" s="472">
        <f t="shared" si="11"/>
        <v>0</v>
      </c>
      <c r="I25" s="282" t="s">
        <v>303</v>
      </c>
      <c r="J25" s="470">
        <v>0</v>
      </c>
      <c r="K25" s="471">
        <v>0</v>
      </c>
      <c r="L25" s="471">
        <v>0</v>
      </c>
      <c r="M25" s="472">
        <v>0</v>
      </c>
      <c r="N25" s="472">
        <f t="shared" si="12"/>
        <v>0</v>
      </c>
      <c r="P25" s="282" t="s">
        <v>67</v>
      </c>
      <c r="Q25" s="442">
        <v>0</v>
      </c>
      <c r="R25" s="443">
        <v>0</v>
      </c>
      <c r="S25" s="443">
        <v>0</v>
      </c>
      <c r="T25" s="444">
        <v>611594.74</v>
      </c>
      <c r="U25" s="444">
        <f t="shared" si="13"/>
        <v>611594.74</v>
      </c>
      <c r="W25" s="282" t="s">
        <v>67</v>
      </c>
      <c r="X25" s="442">
        <v>0</v>
      </c>
      <c r="Y25" s="443">
        <v>0</v>
      </c>
      <c r="Z25" s="443">
        <v>0</v>
      </c>
      <c r="AA25" s="444">
        <v>1501861.23</v>
      </c>
      <c r="AB25" s="444">
        <f t="shared" si="8"/>
        <v>1501861.23</v>
      </c>
      <c r="AD25" s="282" t="s">
        <v>67</v>
      </c>
      <c r="AE25" s="442">
        <v>0</v>
      </c>
      <c r="AF25" s="443">
        <v>0</v>
      </c>
      <c r="AG25" s="443">
        <v>0</v>
      </c>
      <c r="AH25" s="444">
        <v>1552100.3399999996</v>
      </c>
      <c r="AI25" s="444">
        <f t="shared" si="10"/>
        <v>1552100.3399999996</v>
      </c>
    </row>
    <row r="26" spans="2:35" ht="25.5" x14ac:dyDescent="0.25">
      <c r="B26" s="283" t="s">
        <v>69</v>
      </c>
      <c r="C26" s="442">
        <v>0</v>
      </c>
      <c r="D26" s="443">
        <v>0</v>
      </c>
      <c r="E26" s="443">
        <v>0</v>
      </c>
      <c r="F26" s="444">
        <v>2080612.0400000003</v>
      </c>
      <c r="G26" s="444">
        <f t="shared" si="11"/>
        <v>2080612.0400000003</v>
      </c>
      <c r="I26" s="283" t="s">
        <v>69</v>
      </c>
      <c r="J26" s="442">
        <v>0</v>
      </c>
      <c r="K26" s="443">
        <v>0</v>
      </c>
      <c r="L26" s="443">
        <v>0</v>
      </c>
      <c r="M26" s="444">
        <v>2052394.34</v>
      </c>
      <c r="N26" s="444">
        <f t="shared" si="12"/>
        <v>2052394.34</v>
      </c>
      <c r="P26" s="283" t="s">
        <v>69</v>
      </c>
      <c r="Q26" s="442">
        <v>0</v>
      </c>
      <c r="R26" s="443">
        <v>0</v>
      </c>
      <c r="S26" s="443">
        <v>0</v>
      </c>
      <c r="T26" s="444">
        <v>2895826.67</v>
      </c>
      <c r="U26" s="444">
        <f t="shared" si="13"/>
        <v>2895826.67</v>
      </c>
      <c r="W26" s="283" t="s">
        <v>69</v>
      </c>
      <c r="X26" s="442">
        <v>0</v>
      </c>
      <c r="Y26" s="443">
        <v>0</v>
      </c>
      <c r="Z26" s="443">
        <v>0</v>
      </c>
      <c r="AA26" s="444">
        <v>2685801.5799999996</v>
      </c>
      <c r="AB26" s="444">
        <f>SUM(X26:AA26)</f>
        <v>2685801.5799999996</v>
      </c>
      <c r="AD26" s="283" t="s">
        <v>69</v>
      </c>
      <c r="AE26" s="442">
        <v>0</v>
      </c>
      <c r="AF26" s="443">
        <v>0</v>
      </c>
      <c r="AG26" s="443">
        <v>0</v>
      </c>
      <c r="AH26" s="444">
        <v>2443013.3400000003</v>
      </c>
      <c r="AI26" s="444">
        <f t="shared" si="10"/>
        <v>2443013.3400000003</v>
      </c>
    </row>
    <row r="27" spans="2:35" x14ac:dyDescent="0.25">
      <c r="B27" s="282" t="s">
        <v>70</v>
      </c>
      <c r="C27" s="442">
        <v>0</v>
      </c>
      <c r="D27" s="443">
        <v>0</v>
      </c>
      <c r="E27" s="443">
        <v>0</v>
      </c>
      <c r="F27" s="444">
        <v>1989931.17</v>
      </c>
      <c r="G27" s="444">
        <f t="shared" si="11"/>
        <v>1989931.17</v>
      </c>
      <c r="I27" s="282" t="s">
        <v>70</v>
      </c>
      <c r="J27" s="442">
        <v>0</v>
      </c>
      <c r="K27" s="443">
        <v>0</v>
      </c>
      <c r="L27" s="443">
        <v>0</v>
      </c>
      <c r="M27" s="444">
        <v>2182548.2100000004</v>
      </c>
      <c r="N27" s="444">
        <f t="shared" si="12"/>
        <v>2182548.2100000004</v>
      </c>
      <c r="P27" s="282" t="s">
        <v>70</v>
      </c>
      <c r="Q27" s="442">
        <v>0</v>
      </c>
      <c r="R27" s="443">
        <v>0</v>
      </c>
      <c r="S27" s="443">
        <v>0</v>
      </c>
      <c r="T27" s="444">
        <v>1180645.1100000001</v>
      </c>
      <c r="U27" s="444">
        <f t="shared" si="13"/>
        <v>1180645.1100000001</v>
      </c>
      <c r="W27" s="282" t="s">
        <v>70</v>
      </c>
      <c r="X27" s="442">
        <v>0</v>
      </c>
      <c r="Y27" s="443">
        <v>0</v>
      </c>
      <c r="Z27" s="443">
        <v>0</v>
      </c>
      <c r="AA27" s="444">
        <v>2520362.64</v>
      </c>
      <c r="AB27" s="444">
        <f>SUM(X27:AA27)</f>
        <v>2520362.64</v>
      </c>
      <c r="AD27" s="282" t="s">
        <v>70</v>
      </c>
      <c r="AE27" s="442">
        <v>0</v>
      </c>
      <c r="AF27" s="443">
        <v>0</v>
      </c>
      <c r="AG27" s="443">
        <v>0</v>
      </c>
      <c r="AH27" s="444">
        <v>681458.07000000007</v>
      </c>
      <c r="AI27" s="444">
        <f t="shared" si="10"/>
        <v>681458.07000000007</v>
      </c>
    </row>
    <row r="28" spans="2:35" ht="14.25" x14ac:dyDescent="0.25">
      <c r="B28" s="284" t="s">
        <v>304</v>
      </c>
      <c r="C28" s="473">
        <v>0</v>
      </c>
      <c r="D28" s="474">
        <v>0</v>
      </c>
      <c r="E28" s="474">
        <v>0</v>
      </c>
      <c r="F28" s="475">
        <v>0</v>
      </c>
      <c r="G28" s="472">
        <f t="shared" si="11"/>
        <v>0</v>
      </c>
      <c r="I28" s="284" t="s">
        <v>304</v>
      </c>
      <c r="J28" s="473">
        <v>0</v>
      </c>
      <c r="K28" s="474">
        <v>0</v>
      </c>
      <c r="L28" s="474">
        <v>0</v>
      </c>
      <c r="M28" s="475">
        <v>0</v>
      </c>
      <c r="N28" s="475">
        <f t="shared" si="12"/>
        <v>0</v>
      </c>
      <c r="P28" s="284" t="s">
        <v>71</v>
      </c>
      <c r="Q28" s="451">
        <v>0</v>
      </c>
      <c r="R28" s="452">
        <v>0</v>
      </c>
      <c r="S28" s="452">
        <v>0</v>
      </c>
      <c r="T28" s="453">
        <v>219526.97999999998</v>
      </c>
      <c r="U28" s="453">
        <f t="shared" si="13"/>
        <v>219526.97999999998</v>
      </c>
      <c r="W28" s="284" t="s">
        <v>71</v>
      </c>
      <c r="X28" s="451">
        <v>0</v>
      </c>
      <c r="Y28" s="452">
        <v>0</v>
      </c>
      <c r="Z28" s="452">
        <v>0</v>
      </c>
      <c r="AA28" s="453">
        <v>119008</v>
      </c>
      <c r="AB28" s="453">
        <f>SUM(X28:AA28)</f>
        <v>119008</v>
      </c>
      <c r="AD28" s="284" t="s">
        <v>71</v>
      </c>
      <c r="AE28" s="451">
        <v>0</v>
      </c>
      <c r="AF28" s="452">
        <v>0</v>
      </c>
      <c r="AG28" s="452">
        <v>0</v>
      </c>
      <c r="AH28" s="453">
        <v>102030</v>
      </c>
      <c r="AI28" s="453">
        <f t="shared" si="10"/>
        <v>102030</v>
      </c>
    </row>
    <row r="29" spans="2:35" x14ac:dyDescent="0.25">
      <c r="B29" s="129" t="s">
        <v>72</v>
      </c>
      <c r="C29" s="446">
        <f t="shared" ref="C29:E29" si="14">SUM(C22:C28)</f>
        <v>0</v>
      </c>
      <c r="D29" s="447">
        <f t="shared" si="14"/>
        <v>0</v>
      </c>
      <c r="E29" s="447">
        <f t="shared" si="14"/>
        <v>0</v>
      </c>
      <c r="F29" s="448">
        <f>SUM(F22:F28)</f>
        <v>7513115.7599999998</v>
      </c>
      <c r="G29" s="448">
        <f>SUM(G22:G28)</f>
        <v>7513115.7599999998</v>
      </c>
      <c r="I29" s="129" t="s">
        <v>220</v>
      </c>
      <c r="J29" s="466"/>
      <c r="K29" s="467"/>
      <c r="L29" s="467"/>
      <c r="M29" s="448">
        <f>SUM(M22:M28)</f>
        <v>7774009.2700000014</v>
      </c>
      <c r="N29" s="448">
        <f>SUM(N22:N28)</f>
        <v>7774009.2700000014</v>
      </c>
      <c r="P29" s="129" t="s">
        <v>220</v>
      </c>
      <c r="Q29" s="446">
        <f>SUM(Q22:Q28)</f>
        <v>0</v>
      </c>
      <c r="R29" s="447">
        <f>SUM(R22:R28)</f>
        <v>0</v>
      </c>
      <c r="S29" s="447">
        <f>SUM(S22:S28)</f>
        <v>0</v>
      </c>
      <c r="T29" s="448">
        <f>SUM(T22:T28)</f>
        <v>12089820.400000036</v>
      </c>
      <c r="U29" s="448">
        <f>SUM(U22:U28)</f>
        <v>12089820.400000036</v>
      </c>
      <c r="W29" s="129" t="s">
        <v>220</v>
      </c>
      <c r="X29" s="446">
        <f>SUM(X22:X28)</f>
        <v>0</v>
      </c>
      <c r="Y29" s="447">
        <f>SUM(Y22:Y28)</f>
        <v>0</v>
      </c>
      <c r="Z29" s="447">
        <f>SUM(Z22:Z28)</f>
        <v>0</v>
      </c>
      <c r="AA29" s="448">
        <f>SUM(AA22:AA28)</f>
        <v>14588035.310000002</v>
      </c>
      <c r="AB29" s="448">
        <f>SUM(X29:AA29)</f>
        <v>14588035.310000002</v>
      </c>
      <c r="AD29" s="129" t="s">
        <v>72</v>
      </c>
      <c r="AE29" s="446">
        <f>SUM(AE22:AE28)</f>
        <v>0</v>
      </c>
      <c r="AF29" s="447">
        <f>SUM(AF22:AF28)</f>
        <v>0</v>
      </c>
      <c r="AG29" s="447">
        <f>SUM(AG22:AG28)</f>
        <v>0</v>
      </c>
      <c r="AH29" s="448">
        <f>SUM(AH22:AH28)</f>
        <v>13066020.120000022</v>
      </c>
      <c r="AI29" s="448">
        <f>SUM(AI22:AI28)</f>
        <v>13066020.120000022</v>
      </c>
    </row>
    <row r="30" spans="2:35" x14ac:dyDescent="0.25">
      <c r="B30" s="285" t="s">
        <v>73</v>
      </c>
      <c r="C30" s="454">
        <f>C21+C29</f>
        <v>80908622.299999997</v>
      </c>
      <c r="D30" s="455">
        <f>D21+D29</f>
        <v>13282130.039999999</v>
      </c>
      <c r="E30" s="455">
        <f>E21+E29</f>
        <v>0</v>
      </c>
      <c r="F30" s="456">
        <f>F21+F29</f>
        <v>19655164.435971327</v>
      </c>
      <c r="G30" s="456">
        <f>G21+G29</f>
        <v>113845916.77597131</v>
      </c>
      <c r="I30" s="285" t="s">
        <v>73</v>
      </c>
      <c r="J30" s="454">
        <f>J21+J29</f>
        <v>82273964.939999998</v>
      </c>
      <c r="K30" s="455">
        <f>K21+K29</f>
        <v>13140974.02</v>
      </c>
      <c r="L30" s="455">
        <f>L21+L29</f>
        <v>0</v>
      </c>
      <c r="M30" s="456">
        <f>M21+M29</f>
        <v>19607695.052887969</v>
      </c>
      <c r="N30" s="456">
        <f>N21+N29</f>
        <v>115022634.01288795</v>
      </c>
      <c r="P30" s="285" t="s">
        <v>73</v>
      </c>
      <c r="Q30" s="454">
        <f>Q21+Q29</f>
        <v>96378364.220000014</v>
      </c>
      <c r="R30" s="455">
        <f>R21+R29</f>
        <v>11506474.959999999</v>
      </c>
      <c r="S30" s="455">
        <f>S21+S29</f>
        <v>6910705.7899999991</v>
      </c>
      <c r="T30" s="456">
        <f>T21+T29</f>
        <v>22076020.860000033</v>
      </c>
      <c r="U30" s="456">
        <f>U21+U29</f>
        <v>136871565.83000004</v>
      </c>
      <c r="W30" s="285" t="s">
        <v>73</v>
      </c>
      <c r="X30" s="454">
        <f>X21+X29</f>
        <v>252649853.10000098</v>
      </c>
      <c r="Y30" s="455">
        <f>Y21+Y29</f>
        <v>7400278.9100000001</v>
      </c>
      <c r="Z30" s="455">
        <f>Z21+Z29</f>
        <v>7404920.5300000012</v>
      </c>
      <c r="AA30" s="456">
        <f>AA21+AA29</f>
        <v>26105981.300000787</v>
      </c>
      <c r="AB30" s="456">
        <f>AB21+AB29</f>
        <v>293561033.84000176</v>
      </c>
      <c r="AD30" s="285" t="s">
        <v>73</v>
      </c>
      <c r="AE30" s="454">
        <f>AE21+AE29</f>
        <v>110393906.91999997</v>
      </c>
      <c r="AF30" s="455">
        <f>AF21+AF29</f>
        <v>11453266.649999999</v>
      </c>
      <c r="AG30" s="455">
        <f>AG21+AG29</f>
        <v>7266220.3499999996</v>
      </c>
      <c r="AH30" s="456">
        <f>AH21+AH29</f>
        <v>24936373.650000025</v>
      </c>
      <c r="AI30" s="456">
        <f>AI21+AI29</f>
        <v>154049767.56999999</v>
      </c>
    </row>
    <row r="31" spans="2:35" x14ac:dyDescent="0.25">
      <c r="B31" s="286" t="s">
        <v>10</v>
      </c>
      <c r="C31" s="457"/>
      <c r="D31" s="457"/>
      <c r="E31" s="457"/>
      <c r="F31" s="457"/>
      <c r="G31" s="458"/>
      <c r="I31" s="286" t="s">
        <v>10</v>
      </c>
      <c r="J31" s="457"/>
      <c r="K31" s="457"/>
      <c r="L31" s="457"/>
      <c r="M31" s="457"/>
      <c r="N31" s="458"/>
      <c r="P31" s="286" t="s">
        <v>10</v>
      </c>
      <c r="Q31" s="457"/>
      <c r="R31" s="457"/>
      <c r="S31" s="457"/>
      <c r="T31" s="457"/>
      <c r="U31" s="458"/>
      <c r="W31" s="286" t="s">
        <v>10</v>
      </c>
      <c r="X31" s="457"/>
      <c r="Y31" s="457"/>
      <c r="Z31" s="457"/>
      <c r="AA31" s="457"/>
      <c r="AB31" s="458"/>
      <c r="AD31" s="286" t="s">
        <v>10</v>
      </c>
      <c r="AE31" s="457"/>
      <c r="AF31" s="457"/>
      <c r="AG31" s="457"/>
      <c r="AH31" s="457"/>
      <c r="AI31" s="458"/>
    </row>
    <row r="32" spans="2:35" x14ac:dyDescent="0.25">
      <c r="B32" s="289" t="s">
        <v>114</v>
      </c>
      <c r="C32" s="459">
        <f>SUM(C33:C36)</f>
        <v>5858249.2300000004</v>
      </c>
      <c r="D32" s="459">
        <f>SUM(D33:D36)</f>
        <v>913285.06</v>
      </c>
      <c r="E32" s="459">
        <f>SUM(E33:E36)</f>
        <v>0</v>
      </c>
      <c r="F32" s="460">
        <v>813273.4747093172</v>
      </c>
      <c r="G32" s="460">
        <f>SUM(C32:F32)</f>
        <v>7584807.7647093181</v>
      </c>
      <c r="I32" s="289" t="s">
        <v>114</v>
      </c>
      <c r="J32" s="459">
        <f>SUM(J33:J36)</f>
        <v>3931783.11</v>
      </c>
      <c r="K32" s="459">
        <f>SUM(K33:K36)</f>
        <v>673374.26</v>
      </c>
      <c r="L32" s="459">
        <f>SUM(L33:L36)</f>
        <v>0</v>
      </c>
      <c r="M32" s="460">
        <v>597310.88196680788</v>
      </c>
      <c r="N32" s="460">
        <f t="shared" ref="N32:N37" si="15">SUM(J32:M32)</f>
        <v>5202468.251966808</v>
      </c>
      <c r="P32" s="289" t="s">
        <v>114</v>
      </c>
      <c r="Q32" s="459">
        <f>SUM(Q33:Q36)</f>
        <v>1911549.9999999998</v>
      </c>
      <c r="R32" s="459">
        <f>SUM(R33:R36)</f>
        <v>1121485.5299999998</v>
      </c>
      <c r="S32" s="459">
        <f>SUM(S33:S36)</f>
        <v>2566849.06</v>
      </c>
      <c r="T32" s="460">
        <v>785975.27000000025</v>
      </c>
      <c r="U32" s="460">
        <f t="shared" ref="U32:U38" si="16">SUM(Q32:T32)</f>
        <v>6385859.8600000003</v>
      </c>
      <c r="W32" s="289" t="s">
        <v>114</v>
      </c>
      <c r="X32" s="459">
        <f>SUM(X33:X36)</f>
        <v>2441524.79</v>
      </c>
      <c r="Y32" s="459">
        <f>SUM(Y33:Y36)</f>
        <v>1024420.2300000001</v>
      </c>
      <c r="Z32" s="459">
        <f>SUM(Z33:Z36)</f>
        <v>3343991.87</v>
      </c>
      <c r="AA32" s="460">
        <v>657377</v>
      </c>
      <c r="AB32" s="460">
        <f t="shared" ref="AB32:AB38" si="17">SUM(X32:AA32)</f>
        <v>7467313.8900000006</v>
      </c>
      <c r="AD32" s="289" t="s">
        <v>114</v>
      </c>
      <c r="AE32" s="459">
        <f>SUM(AE33:AE36)</f>
        <v>2213122.08</v>
      </c>
      <c r="AF32" s="459">
        <f>SUM(AF33:AF36)</f>
        <v>1030901.3200000001</v>
      </c>
      <c r="AG32" s="459">
        <f>SUM(AG33:AG36)</f>
        <v>3227831.5300000003</v>
      </c>
      <c r="AH32" s="460">
        <v>572969.13000000012</v>
      </c>
      <c r="AI32" s="460">
        <f t="shared" ref="AI32:AI38" si="18">SUM(AE32:AH32)</f>
        <v>7044824.0600000005</v>
      </c>
    </row>
    <row r="33" spans="2:35" x14ac:dyDescent="0.25">
      <c r="B33" s="10" t="s">
        <v>232</v>
      </c>
      <c r="C33" s="443">
        <v>3446500</v>
      </c>
      <c r="D33" s="443">
        <v>363118</v>
      </c>
      <c r="E33" s="443">
        <v>0</v>
      </c>
      <c r="F33" s="461">
        <v>0</v>
      </c>
      <c r="G33" s="444">
        <f>SUM(C33:F33)</f>
        <v>3809618</v>
      </c>
      <c r="I33" s="10" t="s">
        <v>232</v>
      </c>
      <c r="J33" s="443">
        <v>2434100</v>
      </c>
      <c r="K33" s="443">
        <v>318061</v>
      </c>
      <c r="L33" s="443">
        <v>0</v>
      </c>
      <c r="M33" s="444">
        <v>0</v>
      </c>
      <c r="N33" s="444">
        <f t="shared" si="15"/>
        <v>2752161</v>
      </c>
      <c r="P33" s="10" t="s">
        <v>232</v>
      </c>
      <c r="Q33" s="443">
        <v>1048449.9999999999</v>
      </c>
      <c r="R33" s="443">
        <v>560861.61999999988</v>
      </c>
      <c r="S33" s="443">
        <v>927522.19</v>
      </c>
      <c r="T33" s="444">
        <v>0</v>
      </c>
      <c r="U33" s="444">
        <f t="shared" si="16"/>
        <v>2536833.8099999996</v>
      </c>
      <c r="W33" s="10" t="s">
        <v>232</v>
      </c>
      <c r="X33" s="443">
        <v>1097859.19</v>
      </c>
      <c r="Y33" s="443">
        <v>570890.30000000005</v>
      </c>
      <c r="Z33" s="443">
        <v>934148.65999999992</v>
      </c>
      <c r="AA33" s="444">
        <v>0</v>
      </c>
      <c r="AB33" s="444">
        <f t="shared" si="17"/>
        <v>2602898.15</v>
      </c>
      <c r="AD33" s="10" t="s">
        <v>232</v>
      </c>
      <c r="AE33" s="443">
        <v>2611888.08</v>
      </c>
      <c r="AF33" s="443">
        <v>549178.38</v>
      </c>
      <c r="AG33" s="443">
        <v>1285769.1800000002</v>
      </c>
      <c r="AH33" s="444">
        <v>0</v>
      </c>
      <c r="AI33" s="444">
        <f t="shared" si="18"/>
        <v>4446835.6400000006</v>
      </c>
    </row>
    <row r="34" spans="2:35" x14ac:dyDescent="0.25">
      <c r="B34" s="10" t="s">
        <v>167</v>
      </c>
      <c r="C34" s="443">
        <v>1122249.23</v>
      </c>
      <c r="D34" s="443">
        <v>298800.67000000004</v>
      </c>
      <c r="E34" s="443">
        <v>0</v>
      </c>
      <c r="F34" s="461">
        <v>0</v>
      </c>
      <c r="G34" s="444">
        <f>SUM(C34:F34)</f>
        <v>1421049.9</v>
      </c>
      <c r="I34" s="10" t="s">
        <v>167</v>
      </c>
      <c r="J34" s="443">
        <v>802669.50999999989</v>
      </c>
      <c r="K34" s="443">
        <v>218809.05000000005</v>
      </c>
      <c r="L34" s="443">
        <v>0</v>
      </c>
      <c r="M34" s="444">
        <v>0</v>
      </c>
      <c r="N34" s="444">
        <f t="shared" si="15"/>
        <v>1021478.5599999999</v>
      </c>
      <c r="P34" s="10" t="s">
        <v>167</v>
      </c>
      <c r="Q34" s="443">
        <v>-59760</v>
      </c>
      <c r="R34" s="443">
        <v>190550.84999999998</v>
      </c>
      <c r="S34" s="443">
        <v>623270.19000000018</v>
      </c>
      <c r="T34" s="444">
        <v>0</v>
      </c>
      <c r="U34" s="444">
        <f t="shared" si="16"/>
        <v>754061.04000000015</v>
      </c>
      <c r="W34" s="10" t="s">
        <v>167</v>
      </c>
      <c r="X34" s="443">
        <v>-62280</v>
      </c>
      <c r="Y34" s="443">
        <v>169417.92</v>
      </c>
      <c r="Z34" s="443">
        <v>867237.32000000007</v>
      </c>
      <c r="AA34" s="444">
        <v>0</v>
      </c>
      <c r="AB34" s="444">
        <f t="shared" si="17"/>
        <v>974375.24000000011</v>
      </c>
      <c r="AD34" s="10" t="s">
        <v>167</v>
      </c>
      <c r="AE34" s="443">
        <v>11800</v>
      </c>
      <c r="AF34" s="443">
        <v>186267.51999999999</v>
      </c>
      <c r="AG34" s="443">
        <v>1026995.0800000001</v>
      </c>
      <c r="AH34" s="444">
        <v>0</v>
      </c>
      <c r="AI34" s="444">
        <f t="shared" si="18"/>
        <v>1225062.6000000001</v>
      </c>
    </row>
    <row r="35" spans="2:35" x14ac:dyDescent="0.25">
      <c r="B35" s="10" t="s">
        <v>233</v>
      </c>
      <c r="C35" s="443">
        <v>1289500</v>
      </c>
      <c r="D35" s="443">
        <v>251366.39</v>
      </c>
      <c r="E35" s="443">
        <v>0</v>
      </c>
      <c r="F35" s="461">
        <v>0</v>
      </c>
      <c r="G35" s="444">
        <f>SUM(C35:F35)</f>
        <v>1540866.3900000001</v>
      </c>
      <c r="I35" s="10" t="s">
        <v>233</v>
      </c>
      <c r="J35" s="443">
        <v>695013.6</v>
      </c>
      <c r="K35" s="443">
        <v>136504.20999999996</v>
      </c>
      <c r="L35" s="443">
        <v>0</v>
      </c>
      <c r="M35" s="444">
        <v>0</v>
      </c>
      <c r="N35" s="444">
        <f t="shared" si="15"/>
        <v>831517.80999999994</v>
      </c>
      <c r="P35" s="10" t="s">
        <v>233</v>
      </c>
      <c r="Q35" s="443">
        <v>845299.99999999988</v>
      </c>
      <c r="R35" s="443">
        <v>238835.63999999998</v>
      </c>
      <c r="S35" s="443">
        <v>899547.38</v>
      </c>
      <c r="T35" s="444">
        <v>0</v>
      </c>
      <c r="U35" s="444">
        <f t="shared" si="16"/>
        <v>1983683.02</v>
      </c>
      <c r="W35" s="10" t="s">
        <v>233</v>
      </c>
      <c r="X35" s="443">
        <v>1263600</v>
      </c>
      <c r="Y35" s="443">
        <v>185000.01</v>
      </c>
      <c r="Z35" s="443">
        <v>1435303.6400000001</v>
      </c>
      <c r="AA35" s="444">
        <v>0</v>
      </c>
      <c r="AB35" s="444">
        <f t="shared" si="17"/>
        <v>2883903.6500000004</v>
      </c>
      <c r="AD35" s="10" t="s">
        <v>233</v>
      </c>
      <c r="AE35" s="443">
        <v>-511050</v>
      </c>
      <c r="AF35" s="443">
        <v>195471.64</v>
      </c>
      <c r="AG35" s="443">
        <v>915067.2699999999</v>
      </c>
      <c r="AH35" s="444">
        <v>0</v>
      </c>
      <c r="AI35" s="444">
        <f t="shared" si="18"/>
        <v>599488.90999999992</v>
      </c>
    </row>
    <row r="36" spans="2:35" x14ac:dyDescent="0.25">
      <c r="B36" s="10" t="s">
        <v>175</v>
      </c>
      <c r="C36" s="443">
        <v>0</v>
      </c>
      <c r="D36" s="443">
        <v>0</v>
      </c>
      <c r="E36" s="443">
        <v>0</v>
      </c>
      <c r="F36" s="462">
        <v>0</v>
      </c>
      <c r="G36" s="444">
        <f>SUM(C36:F36)</f>
        <v>0</v>
      </c>
      <c r="I36" s="10" t="s">
        <v>175</v>
      </c>
      <c r="J36" s="443">
        <v>0</v>
      </c>
      <c r="K36" s="443">
        <v>0</v>
      </c>
      <c r="L36" s="443">
        <v>0</v>
      </c>
      <c r="M36" s="453">
        <v>0</v>
      </c>
      <c r="N36" s="468">
        <f t="shared" si="15"/>
        <v>0</v>
      </c>
      <c r="P36" s="126" t="s">
        <v>175</v>
      </c>
      <c r="Q36" s="443">
        <v>77560</v>
      </c>
      <c r="R36" s="443">
        <v>131237.42000000001</v>
      </c>
      <c r="S36" s="443">
        <v>116509.29999999996</v>
      </c>
      <c r="T36" s="453">
        <v>0</v>
      </c>
      <c r="U36" s="444">
        <f t="shared" si="16"/>
        <v>325306.71999999997</v>
      </c>
      <c r="W36" s="126" t="s">
        <v>175</v>
      </c>
      <c r="X36" s="443">
        <v>142345.60000000001</v>
      </c>
      <c r="Y36" s="443">
        <v>99112</v>
      </c>
      <c r="Z36" s="443">
        <v>107302.25</v>
      </c>
      <c r="AA36" s="453">
        <v>0</v>
      </c>
      <c r="AB36" s="444">
        <f t="shared" si="17"/>
        <v>348759.85</v>
      </c>
      <c r="AD36" s="126" t="s">
        <v>175</v>
      </c>
      <c r="AE36" s="443">
        <v>100484</v>
      </c>
      <c r="AF36" s="443">
        <v>99983.78</v>
      </c>
      <c r="AG36" s="443">
        <v>0</v>
      </c>
      <c r="AH36" s="453">
        <v>0</v>
      </c>
      <c r="AI36" s="444">
        <f t="shared" si="18"/>
        <v>200467.78</v>
      </c>
    </row>
    <row r="37" spans="2:35" ht="25.5" x14ac:dyDescent="0.25">
      <c r="B37" s="128" t="s">
        <v>247</v>
      </c>
      <c r="C37" s="440">
        <f>SUM(C38:C40)</f>
        <v>70355</v>
      </c>
      <c r="D37" s="440">
        <f>SUM(D38:D40)</f>
        <v>451382.75</v>
      </c>
      <c r="E37" s="440">
        <f>SUM(E38:E40)</f>
        <v>0</v>
      </c>
      <c r="F37" s="460">
        <v>572870.71931935463</v>
      </c>
      <c r="G37" s="441">
        <f t="shared" ref="G37" si="19">SUM(C37:F37)</f>
        <v>1094608.4693193547</v>
      </c>
      <c r="I37" s="128" t="s">
        <v>247</v>
      </c>
      <c r="J37" s="440">
        <f>SUM(J38:J40)</f>
        <v>34818.400000000001</v>
      </c>
      <c r="K37" s="440">
        <f>SUM(K38:K40)</f>
        <v>49594.36</v>
      </c>
      <c r="L37" s="440">
        <f>SUM(L38:L40)</f>
        <v>0</v>
      </c>
      <c r="M37" s="460">
        <v>489606.8151452248</v>
      </c>
      <c r="N37" s="460">
        <f t="shared" si="15"/>
        <v>574019.57514522481</v>
      </c>
      <c r="P37" s="289" t="s">
        <v>111</v>
      </c>
      <c r="Q37" s="440">
        <f>SUM(Q38:Q38)</f>
        <v>663448</v>
      </c>
      <c r="R37" s="440">
        <f>SUM(R38:R38)</f>
        <v>18850</v>
      </c>
      <c r="S37" s="440">
        <f>SUM(S38:S38)</f>
        <v>744311.28</v>
      </c>
      <c r="T37" s="460">
        <v>37427.860000000008</v>
      </c>
      <c r="U37" s="441">
        <f t="shared" si="16"/>
        <v>1464037.1400000001</v>
      </c>
      <c r="W37" s="289" t="s">
        <v>111</v>
      </c>
      <c r="X37" s="440">
        <f>SUM(X38:X38)</f>
        <v>328699.59999999998</v>
      </c>
      <c r="Y37" s="440">
        <f>SUM(Y38:Y38)</f>
        <v>3320</v>
      </c>
      <c r="Z37" s="440">
        <f>SUM(Z38:Z38)</f>
        <v>701719.68</v>
      </c>
      <c r="AA37" s="460">
        <v>47725.640000000029</v>
      </c>
      <c r="AB37" s="441">
        <f t="shared" si="17"/>
        <v>1081464.9200000002</v>
      </c>
      <c r="AD37" s="289" t="s">
        <v>111</v>
      </c>
      <c r="AE37" s="440">
        <f>SUM(AE38:AE38)</f>
        <v>345891</v>
      </c>
      <c r="AF37" s="440">
        <f>SUM(AF38:AF38)</f>
        <v>0</v>
      </c>
      <c r="AG37" s="440">
        <f>SUM(AG38:AG38)</f>
        <v>757784.19</v>
      </c>
      <c r="AH37" s="460">
        <v>44759.999999999971</v>
      </c>
      <c r="AI37" s="441">
        <f t="shared" si="18"/>
        <v>1148435.19</v>
      </c>
    </row>
    <row r="38" spans="2:35" x14ac:dyDescent="0.25">
      <c r="B38" s="10" t="s">
        <v>234</v>
      </c>
      <c r="C38" s="443">
        <v>55355</v>
      </c>
      <c r="D38" s="443">
        <v>216221.5</v>
      </c>
      <c r="E38" s="443">
        <v>0</v>
      </c>
      <c r="F38" s="461">
        <v>0</v>
      </c>
      <c r="G38" s="444">
        <f t="shared" ref="G38:G46" si="20">SUM(C38:F38)</f>
        <v>271576.5</v>
      </c>
      <c r="I38" s="10" t="s">
        <v>234</v>
      </c>
      <c r="J38" s="443">
        <v>11000</v>
      </c>
      <c r="K38" s="443">
        <v>-14251.89</v>
      </c>
      <c r="L38" s="443">
        <v>0</v>
      </c>
      <c r="M38" s="444">
        <v>0</v>
      </c>
      <c r="N38" s="444">
        <f t="shared" ref="N38:N47" si="21">SUM(J38:M38)</f>
        <v>-3251.8899999999994</v>
      </c>
      <c r="P38" s="10" t="s">
        <v>46</v>
      </c>
      <c r="Q38" s="443">
        <v>663448</v>
      </c>
      <c r="R38" s="443">
        <v>18850</v>
      </c>
      <c r="S38" s="443">
        <v>744311.28</v>
      </c>
      <c r="T38" s="444">
        <v>0</v>
      </c>
      <c r="U38" s="444">
        <f t="shared" si="16"/>
        <v>1426609.28</v>
      </c>
      <c r="W38" s="10" t="s">
        <v>46</v>
      </c>
      <c r="X38" s="443">
        <v>328699.59999999998</v>
      </c>
      <c r="Y38" s="443">
        <v>3320</v>
      </c>
      <c r="Z38" s="443">
        <v>701719.68</v>
      </c>
      <c r="AA38" s="444">
        <v>0</v>
      </c>
      <c r="AB38" s="444">
        <f t="shared" si="17"/>
        <v>1033739.28</v>
      </c>
      <c r="AD38" s="10" t="s">
        <v>46</v>
      </c>
      <c r="AE38" s="443">
        <v>345891</v>
      </c>
      <c r="AF38" s="443">
        <v>0</v>
      </c>
      <c r="AG38" s="443">
        <v>757784.19</v>
      </c>
      <c r="AH38" s="444">
        <v>0</v>
      </c>
      <c r="AI38" s="444">
        <f t="shared" si="18"/>
        <v>1103675.19</v>
      </c>
    </row>
    <row r="39" spans="2:35" ht="15" thickBot="1" x14ac:dyDescent="0.3">
      <c r="B39" s="10" t="s">
        <v>235</v>
      </c>
      <c r="C39" s="443">
        <v>15000</v>
      </c>
      <c r="D39" s="443">
        <v>172083.90000000002</v>
      </c>
      <c r="E39" s="443">
        <v>0</v>
      </c>
      <c r="F39" s="461">
        <v>0</v>
      </c>
      <c r="G39" s="444">
        <f t="shared" si="20"/>
        <v>187083.90000000002</v>
      </c>
      <c r="I39" s="10" t="s">
        <v>235</v>
      </c>
      <c r="J39" s="443">
        <v>23818.400000000001</v>
      </c>
      <c r="K39" s="443">
        <v>39846.25</v>
      </c>
      <c r="L39" s="443">
        <v>0</v>
      </c>
      <c r="M39" s="444">
        <v>0</v>
      </c>
      <c r="N39" s="444">
        <f t="shared" si="21"/>
        <v>63664.65</v>
      </c>
      <c r="P39" s="131" t="s">
        <v>305</v>
      </c>
      <c r="Q39" s="463">
        <f>+Q32+Q37</f>
        <v>2574998</v>
      </c>
      <c r="R39" s="464">
        <f>+R32+R37</f>
        <v>1140335.5299999998</v>
      </c>
      <c r="S39" s="464">
        <f>+S32+S37</f>
        <v>3311160.34</v>
      </c>
      <c r="T39" s="465">
        <f>+T32+T37</f>
        <v>823403.13000000024</v>
      </c>
      <c r="U39" s="465">
        <f>SUM(Q39:T39)</f>
        <v>7849896.9999999991</v>
      </c>
      <c r="W39" s="131" t="s">
        <v>305</v>
      </c>
      <c r="X39" s="463">
        <f>+X37+X32</f>
        <v>2770224.39</v>
      </c>
      <c r="Y39" s="464">
        <f>+Y37+Y32</f>
        <v>1027740.2300000001</v>
      </c>
      <c r="Z39" s="464">
        <f>+Z37+Z32</f>
        <v>4045711.5500000003</v>
      </c>
      <c r="AA39" s="465">
        <f>+AA37+AA32</f>
        <v>705102.64</v>
      </c>
      <c r="AB39" s="465">
        <f>SUM(X39:AA39)</f>
        <v>8548778.8100000005</v>
      </c>
      <c r="AD39" s="131" t="s">
        <v>305</v>
      </c>
      <c r="AE39" s="463">
        <f>+AE32+AE37</f>
        <v>2559013.08</v>
      </c>
      <c r="AF39" s="464">
        <f>+AF32+AF37</f>
        <v>1030901.3200000001</v>
      </c>
      <c r="AG39" s="464">
        <f>+AG32+AG37</f>
        <v>3985615.72</v>
      </c>
      <c r="AH39" s="465">
        <f>+AH32+AH37</f>
        <v>617729.13000000012</v>
      </c>
      <c r="AI39" s="465">
        <f>SUM(AE39:AH39)</f>
        <v>8193259.2500000009</v>
      </c>
    </row>
    <row r="40" spans="2:35" ht="13.5" thickTop="1" x14ac:dyDescent="0.25">
      <c r="B40" s="10" t="s">
        <v>215</v>
      </c>
      <c r="C40" s="443">
        <v>0</v>
      </c>
      <c r="D40" s="443">
        <v>63077.35</v>
      </c>
      <c r="E40" s="443">
        <v>0</v>
      </c>
      <c r="F40" s="462">
        <v>0</v>
      </c>
      <c r="G40" s="444">
        <f t="shared" si="20"/>
        <v>63077.35</v>
      </c>
      <c r="I40" s="10" t="s">
        <v>215</v>
      </c>
      <c r="J40" s="443">
        <v>0</v>
      </c>
      <c r="K40" s="443">
        <v>24000</v>
      </c>
      <c r="L40" s="443">
        <v>0</v>
      </c>
      <c r="M40" s="453">
        <v>0</v>
      </c>
      <c r="N40" s="468">
        <f t="shared" si="21"/>
        <v>24000</v>
      </c>
      <c r="P40" s="338" t="s">
        <v>74</v>
      </c>
      <c r="Q40" s="476">
        <f>Q30+Q39</f>
        <v>98953362.220000014</v>
      </c>
      <c r="R40" s="477">
        <f>R30+R39</f>
        <v>12646810.489999998</v>
      </c>
      <c r="S40" s="477">
        <f>S30+S39</f>
        <v>10221866.129999999</v>
      </c>
      <c r="T40" s="478">
        <f>T30+T39</f>
        <v>22899423.990000032</v>
      </c>
      <c r="U40" s="479">
        <f>U30+U39</f>
        <v>144721462.83000004</v>
      </c>
      <c r="W40" s="338" t="s">
        <v>74</v>
      </c>
      <c r="X40" s="476">
        <f>X30+X39</f>
        <v>255420077.49000096</v>
      </c>
      <c r="Y40" s="477">
        <f>Y30+Y39</f>
        <v>8428019.1400000006</v>
      </c>
      <c r="Z40" s="477">
        <f>Z30+Z39</f>
        <v>11450632.080000002</v>
      </c>
      <c r="AA40" s="478">
        <f>AA30+AA39</f>
        <v>26811083.940000787</v>
      </c>
      <c r="AB40" s="479">
        <f>AB30+AB39</f>
        <v>302109812.65000176</v>
      </c>
      <c r="AD40" s="338" t="s">
        <v>74</v>
      </c>
      <c r="AE40" s="476">
        <f>AE30+AE39</f>
        <v>112952919.99999997</v>
      </c>
      <c r="AF40" s="477">
        <f>AF30+AF39</f>
        <v>12484167.969999999</v>
      </c>
      <c r="AG40" s="477">
        <f>AG30+AG39</f>
        <v>11251836.07</v>
      </c>
      <c r="AH40" s="478">
        <f>AH30+AH39</f>
        <v>25554102.780000024</v>
      </c>
      <c r="AI40" s="479">
        <f>+AI39+AI30</f>
        <v>162243026.81999999</v>
      </c>
    </row>
    <row r="41" spans="2:35" x14ac:dyDescent="0.25">
      <c r="B41" s="6" t="s">
        <v>248</v>
      </c>
      <c r="C41" s="440">
        <f>SUM(C42:C42)</f>
        <v>1794.1</v>
      </c>
      <c r="D41" s="440">
        <f>SUM(D42:D42)</f>
        <v>69650</v>
      </c>
      <c r="E41" s="440">
        <f>SUM(E42:E42)</f>
        <v>0</v>
      </c>
      <c r="F41" s="460">
        <v>0</v>
      </c>
      <c r="G41" s="441">
        <f t="shared" si="20"/>
        <v>71444.100000000006</v>
      </c>
      <c r="I41" s="6" t="s">
        <v>248</v>
      </c>
      <c r="J41" s="440">
        <f>SUM(J42:J42)</f>
        <v>95802</v>
      </c>
      <c r="K41" s="440">
        <f>SUM(K42:K42)</f>
        <v>55381</v>
      </c>
      <c r="L41" s="440">
        <f>SUM(L42:L42)</f>
        <v>0</v>
      </c>
      <c r="M41" s="469">
        <v>0</v>
      </c>
      <c r="N41" s="460">
        <f t="shared" si="21"/>
        <v>151183</v>
      </c>
      <c r="U41" s="260"/>
      <c r="AB41" s="260"/>
      <c r="AI41" s="260"/>
    </row>
    <row r="42" spans="2:35" x14ac:dyDescent="0.25">
      <c r="B42" s="10" t="s">
        <v>237</v>
      </c>
      <c r="C42" s="443">
        <v>1794.1</v>
      </c>
      <c r="D42" s="443">
        <v>69650</v>
      </c>
      <c r="E42" s="443">
        <v>0</v>
      </c>
      <c r="F42" s="461">
        <v>0</v>
      </c>
      <c r="G42" s="444">
        <f t="shared" si="20"/>
        <v>71444.100000000006</v>
      </c>
      <c r="I42" s="10" t="s">
        <v>237</v>
      </c>
      <c r="J42" s="443">
        <v>95802</v>
      </c>
      <c r="K42" s="443">
        <v>55381</v>
      </c>
      <c r="L42" s="443">
        <v>0</v>
      </c>
      <c r="M42" s="444">
        <v>0</v>
      </c>
      <c r="N42" s="444">
        <f t="shared" si="21"/>
        <v>151183</v>
      </c>
      <c r="W42" s="127"/>
      <c r="X42" s="125"/>
      <c r="Y42" s="125"/>
      <c r="Z42" s="125"/>
      <c r="AA42" s="125"/>
      <c r="AB42" s="125"/>
      <c r="AD42" s="127"/>
      <c r="AE42" s="125"/>
      <c r="AF42" s="125"/>
      <c r="AG42" s="125"/>
      <c r="AH42" s="125"/>
      <c r="AI42" s="125"/>
    </row>
    <row r="43" spans="2:35" x14ac:dyDescent="0.25">
      <c r="B43" s="129" t="s">
        <v>6</v>
      </c>
      <c r="C43" s="447">
        <f>C32+C37+C41</f>
        <v>5930398.3300000001</v>
      </c>
      <c r="D43" s="447">
        <f>D32+D37+D41</f>
        <v>1434317.81</v>
      </c>
      <c r="E43" s="447">
        <f>E32+E37+E41</f>
        <v>0</v>
      </c>
      <c r="F43" s="448">
        <f>F32+F37+F41</f>
        <v>1386144.1940286718</v>
      </c>
      <c r="G43" s="448">
        <f t="shared" si="20"/>
        <v>8750860.3340286724</v>
      </c>
      <c r="I43" s="129" t="s">
        <v>6</v>
      </c>
      <c r="J43" s="447">
        <f>J32+J37+J41</f>
        <v>4062403.51</v>
      </c>
      <c r="K43" s="447">
        <f>K32+K37+K41</f>
        <v>778349.62</v>
      </c>
      <c r="L43" s="447">
        <f>L32+L37+L41</f>
        <v>0</v>
      </c>
      <c r="M43" s="448">
        <f>M32+M37+M41</f>
        <v>1086917.6971120327</v>
      </c>
      <c r="N43" s="448">
        <f t="shared" si="21"/>
        <v>5927670.8271120321</v>
      </c>
      <c r="P43" s="127"/>
      <c r="Q43" s="125"/>
      <c r="R43" s="125"/>
      <c r="S43" s="125"/>
      <c r="T43" s="125"/>
      <c r="U43" s="125"/>
      <c r="V43" s="127"/>
      <c r="W43" s="127"/>
      <c r="X43" s="125"/>
      <c r="Y43" s="125"/>
      <c r="Z43" s="125"/>
      <c r="AA43" s="125"/>
      <c r="AB43" s="125"/>
      <c r="AD43" s="127"/>
      <c r="AE43" s="125"/>
      <c r="AF43" s="125"/>
      <c r="AG43" s="125"/>
      <c r="AH43" s="125"/>
      <c r="AI43" s="125"/>
    </row>
    <row r="44" spans="2:35" x14ac:dyDescent="0.25">
      <c r="B44" s="6" t="s">
        <v>244</v>
      </c>
      <c r="C44" s="440">
        <v>0</v>
      </c>
      <c r="D44" s="440">
        <v>0</v>
      </c>
      <c r="E44" s="440">
        <v>0</v>
      </c>
      <c r="F44" s="441">
        <v>-72.27</v>
      </c>
      <c r="G44" s="441">
        <f t="shared" si="20"/>
        <v>-72.27</v>
      </c>
      <c r="I44" s="6" t="s">
        <v>244</v>
      </c>
      <c r="J44" s="440">
        <v>0</v>
      </c>
      <c r="K44" s="440">
        <v>0</v>
      </c>
      <c r="L44" s="440">
        <v>0</v>
      </c>
      <c r="M44" s="441">
        <v>-584.56999999999994</v>
      </c>
      <c r="N44" s="441">
        <f t="shared" si="21"/>
        <v>-584.56999999999994</v>
      </c>
      <c r="P44" s="127"/>
      <c r="Q44" s="125"/>
      <c r="R44" s="125"/>
      <c r="S44" s="125"/>
      <c r="T44" s="125"/>
      <c r="U44" s="125"/>
      <c r="V44" s="127"/>
    </row>
    <row r="45" spans="2:35" x14ac:dyDescent="0.25">
      <c r="B45" s="130" t="s">
        <v>245</v>
      </c>
      <c r="C45" s="443">
        <v>0</v>
      </c>
      <c r="D45" s="443">
        <v>0</v>
      </c>
      <c r="E45" s="443">
        <v>0</v>
      </c>
      <c r="F45" s="444">
        <v>-72.27</v>
      </c>
      <c r="G45" s="444">
        <f t="shared" si="20"/>
        <v>-72.27</v>
      </c>
      <c r="I45" s="130" t="s">
        <v>245</v>
      </c>
      <c r="J45" s="443">
        <v>0</v>
      </c>
      <c r="K45" s="443">
        <v>0</v>
      </c>
      <c r="L45" s="443">
        <v>0</v>
      </c>
      <c r="M45" s="444">
        <v>-584.56999999999994</v>
      </c>
      <c r="N45" s="444">
        <f t="shared" si="21"/>
        <v>-584.56999999999994</v>
      </c>
      <c r="P45" s="127"/>
      <c r="Q45" s="125"/>
      <c r="R45" s="125"/>
      <c r="S45" s="125"/>
      <c r="T45" s="125"/>
      <c r="U45" s="125"/>
      <c r="V45" s="127"/>
    </row>
    <row r="46" spans="2:35" ht="15" thickBot="1" x14ac:dyDescent="0.3">
      <c r="B46" s="131" t="s">
        <v>305</v>
      </c>
      <c r="C46" s="463">
        <f>C44+C43</f>
        <v>5930398.3300000001</v>
      </c>
      <c r="D46" s="464">
        <f>D44+D43</f>
        <v>1434317.81</v>
      </c>
      <c r="E46" s="464">
        <f>E44+E43</f>
        <v>0</v>
      </c>
      <c r="F46" s="465">
        <f>F44+F43</f>
        <v>1386071.9240286718</v>
      </c>
      <c r="G46" s="465">
        <f t="shared" si="20"/>
        <v>8750788.0640286729</v>
      </c>
      <c r="I46" s="131" t="s">
        <v>246</v>
      </c>
      <c r="J46" s="464">
        <f>J43+J44</f>
        <v>4062403.51</v>
      </c>
      <c r="K46" s="464">
        <f>K43+K44</f>
        <v>778349.62</v>
      </c>
      <c r="L46" s="464">
        <f>L43+L44</f>
        <v>0</v>
      </c>
      <c r="M46" s="464">
        <f>M43+M44</f>
        <v>1086333.1271120326</v>
      </c>
      <c r="N46" s="480">
        <f t="shared" si="21"/>
        <v>5927086.2571120327</v>
      </c>
      <c r="P46" s="127"/>
      <c r="Q46" s="125"/>
      <c r="R46" s="125"/>
      <c r="S46" s="125"/>
      <c r="T46" s="125"/>
      <c r="U46" s="125"/>
      <c r="V46" s="127"/>
    </row>
    <row r="47" spans="2:35" ht="13.5" thickTop="1" x14ac:dyDescent="0.25">
      <c r="B47" s="338" t="s">
        <v>74</v>
      </c>
      <c r="C47" s="476">
        <f>C30+C46</f>
        <v>86839020.629999995</v>
      </c>
      <c r="D47" s="477">
        <f>D30+D46</f>
        <v>14716447.85</v>
      </c>
      <c r="E47" s="477">
        <f>E30+E46</f>
        <v>0</v>
      </c>
      <c r="F47" s="478">
        <f>F30+F46</f>
        <v>21041236.359999999</v>
      </c>
      <c r="G47" s="479">
        <f>G30+G46</f>
        <v>122596704.83999997</v>
      </c>
      <c r="I47" s="338" t="s">
        <v>74</v>
      </c>
      <c r="J47" s="476">
        <f>J46+J30</f>
        <v>86336368.450000003</v>
      </c>
      <c r="K47" s="477">
        <f>K46+K30</f>
        <v>13919323.639999999</v>
      </c>
      <c r="L47" s="477">
        <f>L46+L30</f>
        <v>0</v>
      </c>
      <c r="M47" s="478">
        <f>M46+M30</f>
        <v>20694028.18</v>
      </c>
      <c r="N47" s="479">
        <f t="shared" si="21"/>
        <v>120949720.27000001</v>
      </c>
    </row>
    <row r="49" spans="2:9" x14ac:dyDescent="0.25">
      <c r="B49" s="277" t="s">
        <v>198</v>
      </c>
    </row>
    <row r="50" spans="2:9" x14ac:dyDescent="0.25">
      <c r="B50" s="15" t="s">
        <v>287</v>
      </c>
    </row>
    <row r="51" spans="2:9" x14ac:dyDescent="0.25">
      <c r="B51" s="15" t="s">
        <v>288</v>
      </c>
      <c r="I51" s="279"/>
    </row>
    <row r="52" spans="2:9" x14ac:dyDescent="0.25">
      <c r="B52" s="15" t="s">
        <v>289</v>
      </c>
    </row>
    <row r="53" spans="2:9" x14ac:dyDescent="0.25">
      <c r="B53" s="15" t="s">
        <v>323</v>
      </c>
    </row>
    <row r="54" spans="2:9" x14ac:dyDescent="0.25">
      <c r="B54" s="15" t="s">
        <v>292</v>
      </c>
    </row>
    <row r="55" spans="2:9" x14ac:dyDescent="0.25">
      <c r="B55" s="15" t="s">
        <v>290</v>
      </c>
    </row>
    <row r="56" spans="2:9" x14ac:dyDescent="0.25">
      <c r="B56" s="15" t="s">
        <v>291</v>
      </c>
    </row>
  </sheetData>
  <mergeCells count="10">
    <mergeCell ref="C1:E1"/>
    <mergeCell ref="C2:E2"/>
    <mergeCell ref="AE1:AG1"/>
    <mergeCell ref="AE2:AG2"/>
    <mergeCell ref="X1:Z1"/>
    <mergeCell ref="X2:Z2"/>
    <mergeCell ref="Q1:S1"/>
    <mergeCell ref="Q2:S2"/>
    <mergeCell ref="J1:L1"/>
    <mergeCell ref="J2:L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0B272-7D8C-41DD-B0E6-1BEDF189737D}">
  <sheetPr codeName="Sheet5"/>
  <dimension ref="B1:AX41"/>
  <sheetViews>
    <sheetView showGridLines="0" zoomScaleNormal="100" workbookViewId="0"/>
  </sheetViews>
  <sheetFormatPr defaultRowHeight="12.75" x14ac:dyDescent="0.2"/>
  <cols>
    <col min="1" max="1" width="5.7109375" style="14" customWidth="1"/>
    <col min="2" max="2" width="40.7109375" style="14" customWidth="1"/>
    <col min="3" max="5" width="18.7109375" style="14" customWidth="1"/>
    <col min="6" max="6" width="5.7109375" style="14" customWidth="1"/>
    <col min="7" max="7" width="40.7109375" style="14" customWidth="1"/>
    <col min="8" max="10" width="18.7109375" style="14" customWidth="1"/>
    <col min="11" max="11" width="5.7109375" style="14" customWidth="1"/>
    <col min="12" max="12" width="40.7109375" style="14" customWidth="1"/>
    <col min="13" max="15" width="18.7109375" style="14" customWidth="1"/>
    <col min="16" max="16" width="5.7109375" style="14" customWidth="1"/>
    <col min="17" max="17" width="40.7109375" style="14" customWidth="1"/>
    <col min="18" max="20" width="18.7109375" style="14" customWidth="1"/>
    <col min="21" max="21" width="5.7109375" style="14" customWidth="1"/>
    <col min="22" max="22" width="40.7109375" style="14" customWidth="1"/>
    <col min="23" max="25" width="18.7109375" style="14" customWidth="1"/>
    <col min="26" max="26" width="5.7109375" style="14" customWidth="1"/>
    <col min="27" max="27" width="40.7109375" style="14" customWidth="1"/>
    <col min="28" max="30" width="18.7109375" style="14" customWidth="1"/>
    <col min="31" max="31" width="5.7109375" style="14" customWidth="1"/>
    <col min="32" max="32" width="40.7109375" style="14" customWidth="1"/>
    <col min="33" max="35" width="18.7109375" style="14" customWidth="1"/>
    <col min="36" max="36" width="5.7109375" style="14" customWidth="1"/>
    <col min="37" max="37" width="40.7109375" style="14" customWidth="1"/>
    <col min="38" max="40" width="18.7109375" style="14" customWidth="1"/>
    <col min="41" max="41" width="5.7109375" style="14" customWidth="1"/>
    <col min="42" max="42" width="40.7109375" style="14" customWidth="1"/>
    <col min="43" max="45" width="18.7109375" style="14" customWidth="1"/>
    <col min="46" max="46" width="5.7109375" style="14" customWidth="1"/>
    <col min="47" max="47" width="40.7109375" style="14" customWidth="1"/>
    <col min="48" max="50" width="18.7109375" style="14" customWidth="1"/>
    <col min="51" max="51" width="5.7109375" style="14" customWidth="1"/>
    <col min="52" max="16384" width="9.140625" style="14"/>
  </cols>
  <sheetData>
    <row r="1" spans="2:50" x14ac:dyDescent="0.2">
      <c r="B1" s="484" t="s">
        <v>466</v>
      </c>
      <c r="C1" s="484"/>
      <c r="D1" s="484"/>
      <c r="E1" s="484"/>
      <c r="G1" s="484" t="s">
        <v>468</v>
      </c>
      <c r="H1" s="484"/>
      <c r="I1" s="484"/>
      <c r="J1" s="484"/>
      <c r="L1" s="484" t="s">
        <v>518</v>
      </c>
      <c r="M1" s="484"/>
      <c r="N1" s="484"/>
      <c r="O1" s="484"/>
      <c r="Q1" s="484" t="s">
        <v>519</v>
      </c>
      <c r="R1" s="484"/>
      <c r="S1" s="484"/>
      <c r="T1" s="484"/>
      <c r="V1" s="484" t="s">
        <v>520</v>
      </c>
      <c r="W1" s="484"/>
      <c r="X1" s="484"/>
      <c r="Y1" s="484"/>
      <c r="AA1" s="484" t="s">
        <v>521</v>
      </c>
      <c r="AB1" s="484"/>
      <c r="AC1" s="484"/>
      <c r="AD1" s="484"/>
      <c r="AF1" s="484" t="s">
        <v>522</v>
      </c>
      <c r="AG1" s="484"/>
      <c r="AH1" s="484"/>
      <c r="AI1" s="484"/>
      <c r="AK1" s="484" t="s">
        <v>523</v>
      </c>
      <c r="AL1" s="484"/>
      <c r="AM1" s="484"/>
      <c r="AN1" s="484"/>
      <c r="AP1" s="484" t="s">
        <v>524</v>
      </c>
      <c r="AQ1" s="484"/>
      <c r="AR1" s="484"/>
      <c r="AS1" s="484"/>
      <c r="AU1" s="484" t="s">
        <v>525</v>
      </c>
      <c r="AV1" s="484"/>
      <c r="AW1" s="484"/>
      <c r="AX1" s="484"/>
    </row>
    <row r="2" spans="2:50" ht="14.25" x14ac:dyDescent="0.2">
      <c r="B2" s="484" t="s">
        <v>536</v>
      </c>
      <c r="C2" s="484"/>
      <c r="D2" s="484"/>
      <c r="E2" s="484"/>
      <c r="G2" s="484" t="s">
        <v>535</v>
      </c>
      <c r="H2" s="484"/>
      <c r="I2" s="484"/>
      <c r="J2" s="484"/>
      <c r="L2" s="484" t="s">
        <v>534</v>
      </c>
      <c r="M2" s="484"/>
      <c r="N2" s="484"/>
      <c r="O2" s="484"/>
      <c r="Q2" s="484" t="s">
        <v>537</v>
      </c>
      <c r="R2" s="484"/>
      <c r="S2" s="484"/>
      <c r="T2" s="484"/>
      <c r="V2" s="484" t="s">
        <v>538</v>
      </c>
      <c r="W2" s="484"/>
      <c r="X2" s="484"/>
      <c r="Y2" s="484"/>
      <c r="AA2" s="484" t="s">
        <v>539</v>
      </c>
      <c r="AB2" s="484"/>
      <c r="AC2" s="484"/>
      <c r="AD2" s="484"/>
      <c r="AF2" s="484" t="s">
        <v>540</v>
      </c>
      <c r="AG2" s="484"/>
      <c r="AH2" s="484"/>
      <c r="AI2" s="484"/>
      <c r="AK2" s="484" t="s">
        <v>541</v>
      </c>
      <c r="AL2" s="484"/>
      <c r="AM2" s="484"/>
      <c r="AN2" s="484"/>
      <c r="AP2" s="484" t="s">
        <v>542</v>
      </c>
      <c r="AQ2" s="484"/>
      <c r="AR2" s="484"/>
      <c r="AS2" s="484"/>
      <c r="AU2" s="484" t="s">
        <v>543</v>
      </c>
      <c r="AV2" s="484"/>
      <c r="AW2" s="484"/>
      <c r="AX2" s="484"/>
    </row>
    <row r="4" spans="2:50" ht="27" x14ac:dyDescent="0.2">
      <c r="B4" s="5" t="s">
        <v>383</v>
      </c>
      <c r="C4" s="17" t="s">
        <v>87</v>
      </c>
      <c r="D4" s="17" t="s">
        <v>88</v>
      </c>
      <c r="E4" s="17" t="s">
        <v>89</v>
      </c>
      <c r="G4" s="5" t="s">
        <v>385</v>
      </c>
      <c r="H4" s="17" t="s">
        <v>87</v>
      </c>
      <c r="I4" s="17" t="s">
        <v>88</v>
      </c>
      <c r="J4" s="17" t="s">
        <v>89</v>
      </c>
      <c r="L4" s="5" t="s">
        <v>386</v>
      </c>
      <c r="M4" s="17" t="s">
        <v>87</v>
      </c>
      <c r="N4" s="17" t="s">
        <v>88</v>
      </c>
      <c r="O4" s="17" t="s">
        <v>89</v>
      </c>
      <c r="Q4" s="5" t="s">
        <v>399</v>
      </c>
      <c r="R4" s="17" t="s">
        <v>87</v>
      </c>
      <c r="S4" s="17" t="s">
        <v>88</v>
      </c>
      <c r="T4" s="17" t="s">
        <v>89</v>
      </c>
      <c r="V4" s="5" t="s">
        <v>400</v>
      </c>
      <c r="W4" s="17" t="s">
        <v>87</v>
      </c>
      <c r="X4" s="17" t="s">
        <v>88</v>
      </c>
      <c r="Y4" s="17" t="s">
        <v>89</v>
      </c>
      <c r="AA4" s="5" t="s">
        <v>387</v>
      </c>
      <c r="AB4" s="17" t="s">
        <v>531</v>
      </c>
      <c r="AC4" s="17" t="s">
        <v>532</v>
      </c>
      <c r="AD4" s="17" t="s">
        <v>533</v>
      </c>
      <c r="AF4" s="5" t="s">
        <v>238</v>
      </c>
      <c r="AG4" s="17" t="s">
        <v>87</v>
      </c>
      <c r="AH4" s="17" t="s">
        <v>88</v>
      </c>
      <c r="AI4" s="17" t="s">
        <v>89</v>
      </c>
      <c r="AK4" s="5" t="s">
        <v>239</v>
      </c>
      <c r="AL4" s="17" t="s">
        <v>87</v>
      </c>
      <c r="AM4" s="17" t="s">
        <v>88</v>
      </c>
      <c r="AN4" s="17" t="s">
        <v>89</v>
      </c>
      <c r="AP4" s="5" t="s">
        <v>240</v>
      </c>
      <c r="AQ4" s="17" t="s">
        <v>87</v>
      </c>
      <c r="AR4" s="17" t="s">
        <v>88</v>
      </c>
      <c r="AS4" s="17" t="s">
        <v>89</v>
      </c>
      <c r="AU4" s="5" t="s">
        <v>241</v>
      </c>
      <c r="AV4" s="17" t="s">
        <v>87</v>
      </c>
      <c r="AW4" s="17" t="s">
        <v>88</v>
      </c>
      <c r="AX4" s="17" t="s">
        <v>89</v>
      </c>
    </row>
    <row r="5" spans="2:50" x14ac:dyDescent="0.2">
      <c r="B5" s="6" t="s">
        <v>1</v>
      </c>
      <c r="C5" s="18">
        <f>SUM(C6:C11)</f>
        <v>17775284.439999998</v>
      </c>
      <c r="D5" s="18">
        <f>SUM(D6:D11)</f>
        <v>16939760.82824</v>
      </c>
      <c r="E5" s="18">
        <f>SUM(E6:E11)</f>
        <v>372383032.03359997</v>
      </c>
      <c r="G5" s="6" t="s">
        <v>1</v>
      </c>
      <c r="H5" s="18">
        <f>SUM(H6:H11)</f>
        <v>18520329.933184024</v>
      </c>
      <c r="I5" s="18">
        <f>SUM(I6:I11)</f>
        <v>17657349.77846412</v>
      </c>
      <c r="J5" s="18">
        <f>SUM(J6:J11)</f>
        <v>380918857.7251116</v>
      </c>
      <c r="L5" s="6" t="s">
        <v>1</v>
      </c>
      <c r="M5" s="18">
        <f>SUM(M6:M11)</f>
        <v>24318381.316092692</v>
      </c>
      <c r="N5" s="18">
        <f>SUM(N6:N11)</f>
        <v>23183758.904855907</v>
      </c>
      <c r="O5" s="18">
        <f>SUM(O6:O11)</f>
        <v>501549185.89083683</v>
      </c>
      <c r="Q5" s="6" t="s">
        <v>1</v>
      </c>
      <c r="R5" s="18">
        <f>SUM(R6:R11)</f>
        <v>59413554.124226913</v>
      </c>
      <c r="S5" s="18">
        <f>SUM(S6:S11)</f>
        <v>56482829.430014007</v>
      </c>
      <c r="T5" s="18">
        <f>SUM(T6:T11)</f>
        <v>1373715844.2304122</v>
      </c>
      <c r="V5" s="6" t="s">
        <v>1</v>
      </c>
      <c r="W5" s="18">
        <f>SUM(W6:W11)</f>
        <v>22784590.705992974</v>
      </c>
      <c r="X5" s="18">
        <f>SUM(X6:X11)</f>
        <v>21477483.483490724</v>
      </c>
      <c r="Y5" s="18">
        <f>SUM(Y6:Y11)</f>
        <v>458678566.21234864</v>
      </c>
      <c r="AA5" s="6" t="s">
        <v>1</v>
      </c>
      <c r="AB5" s="18">
        <f>SUM(AB6:AB11)</f>
        <v>28283578.680932403</v>
      </c>
      <c r="AC5" s="18">
        <f>SUM(AC6:AC11)</f>
        <v>26715185</v>
      </c>
      <c r="AD5" s="18">
        <f>SUM(AD6:AD11)</f>
        <v>577438081.93836808</v>
      </c>
      <c r="AF5" s="6" t="s">
        <v>1</v>
      </c>
      <c r="AG5" s="18">
        <f>SUM(AG6:AG11)</f>
        <v>22050060</v>
      </c>
      <c r="AH5" s="18">
        <f>SUM(AH6:AH11)</f>
        <v>19911599.600000001</v>
      </c>
      <c r="AI5" s="18">
        <f>SUM(AI6:AI11)</f>
        <v>359010641.60000002</v>
      </c>
      <c r="AK5" s="6" t="s">
        <v>1</v>
      </c>
      <c r="AL5" s="18">
        <f>SUM(AL6:AL11)</f>
        <v>24605060</v>
      </c>
      <c r="AM5" s="18">
        <f>SUM(AM6:AM11)</f>
        <v>22400728.600000001</v>
      </c>
      <c r="AN5" s="18">
        <f>SUM(AN6:AN11)</f>
        <v>375643761.60000002</v>
      </c>
      <c r="AP5" s="6" t="s">
        <v>1</v>
      </c>
      <c r="AQ5" s="18">
        <f>SUM(AQ6:AQ11)</f>
        <v>26071232</v>
      </c>
      <c r="AR5" s="18">
        <f>SUM(AR6:AR11)</f>
        <v>23828214.400000002</v>
      </c>
      <c r="AS5" s="18">
        <f>SUM(AS6:AS11)</f>
        <v>384540711.60000002</v>
      </c>
      <c r="AU5" s="6" t="s">
        <v>1</v>
      </c>
      <c r="AV5" s="18">
        <f>SUM(AV6:AV11)</f>
        <v>27329847.5</v>
      </c>
      <c r="AW5" s="18">
        <f>SUM(AW6:AW11)</f>
        <v>25053075.350000001</v>
      </c>
      <c r="AX5" s="18">
        <f>SUM(AX6:AX11)</f>
        <v>392077620.35000002</v>
      </c>
    </row>
    <row r="6" spans="2:50" x14ac:dyDescent="0.2">
      <c r="B6" s="8" t="s">
        <v>26</v>
      </c>
      <c r="C6" s="19">
        <f>'Other Consolidated Data'!K7</f>
        <v>12451223.109999999</v>
      </c>
      <c r="D6" s="19">
        <f>'Other Consolidated Data'!L7</f>
        <v>11828661.949999999</v>
      </c>
      <c r="E6" s="19">
        <f>'Other Consolidated Data'!M7</f>
        <v>295716548.86000001</v>
      </c>
      <c r="G6" s="8" t="s">
        <v>26</v>
      </c>
      <c r="H6" s="19">
        <f>'Other Consolidated Data'!AH7</f>
        <v>12216695.902190067</v>
      </c>
      <c r="I6" s="19">
        <f>'Other Consolidated Data'!AI7</f>
        <v>11605861.108700946</v>
      </c>
      <c r="J6" s="19">
        <f>'Other Consolidated Data'!AJ7</f>
        <v>290146527.67863262</v>
      </c>
      <c r="L6" s="8" t="s">
        <v>26</v>
      </c>
      <c r="M6" s="19">
        <f>'Other Consolidated Data'!BE7</f>
        <v>16188716.036090989</v>
      </c>
      <c r="N6" s="19">
        <f>'Other Consolidated Data'!BF7</f>
        <v>15379280.23605906</v>
      </c>
      <c r="O6" s="19">
        <f>'Other Consolidated Data'!BG7</f>
        <v>384482005.85887277</v>
      </c>
      <c r="Q6" s="8" t="s">
        <v>26</v>
      </c>
      <c r="R6" s="19">
        <f>'Other Consolidated Data'!CB7</f>
        <v>55418252.924226157</v>
      </c>
      <c r="S6" s="19">
        <f>'Other Consolidated Data'!CC7</f>
        <v>52647340.278015219</v>
      </c>
      <c r="T6" s="19">
        <f>'Other Consolidated Data'!CD7</f>
        <v>1316183506.9503796</v>
      </c>
      <c r="V6" s="8" t="s">
        <v>26</v>
      </c>
      <c r="W6" s="19">
        <f>'Other Consolidated Data'!CY7</f>
        <v>12739726.565991985</v>
      </c>
      <c r="X6" s="19">
        <f>'Other Consolidated Data'!CZ7</f>
        <v>12102740.237692432</v>
      </c>
      <c r="Y6" s="19">
        <f>'Other Consolidated Data'!DA7</f>
        <v>302568505.94231117</v>
      </c>
      <c r="AA6" s="8" t="s">
        <v>26</v>
      </c>
      <c r="AB6" s="19">
        <f>'Other Consolidated Data'!DQ7</f>
        <v>16977029.473684143</v>
      </c>
      <c r="AC6" s="19">
        <f>'Other Consolidated Data'!DR7</f>
        <v>16128178</v>
      </c>
      <c r="AD6" s="19">
        <f>'Other Consolidated Data'!DS7</f>
        <v>403204450.00000048</v>
      </c>
      <c r="AF6" s="8" t="s">
        <v>26</v>
      </c>
      <c r="AG6" s="19">
        <f>'Other Consolidated Data'!EE7</f>
        <v>5084600</v>
      </c>
      <c r="AH6" s="19">
        <f>'Other Consolidated Data'!EF7</f>
        <v>4576140</v>
      </c>
      <c r="AI6" s="19">
        <f>'Other Consolidated Data'!EG7</f>
        <v>114403500</v>
      </c>
      <c r="AK6" s="8" t="s">
        <v>26</v>
      </c>
      <c r="AL6" s="19">
        <f>'Other Consolidated Data'!ES7</f>
        <v>4576140</v>
      </c>
      <c r="AM6" s="19">
        <f>'Other Consolidated Data'!ET7</f>
        <v>4118526</v>
      </c>
      <c r="AN6" s="19">
        <f>'Other Consolidated Data'!EU7</f>
        <v>102963150</v>
      </c>
      <c r="AP6" s="8" t="s">
        <v>26</v>
      </c>
      <c r="AQ6" s="19">
        <f>'Other Consolidated Data'!FG7</f>
        <v>4169372</v>
      </c>
      <c r="AR6" s="19">
        <f>'Other Consolidated Data'!FH7</f>
        <v>3752434.8000000003</v>
      </c>
      <c r="AS6" s="19">
        <f>'Other Consolidated Data'!FI7</f>
        <v>93810870</v>
      </c>
      <c r="AU6" s="8" t="s">
        <v>26</v>
      </c>
      <c r="AV6" s="19">
        <f>'Other Consolidated Data'!FU7</f>
        <v>3877007.5</v>
      </c>
      <c r="AW6" s="19">
        <f>'Other Consolidated Data'!FV7</f>
        <v>3489306.75</v>
      </c>
      <c r="AX6" s="19">
        <f>'Other Consolidated Data'!FW7</f>
        <v>87232668.75</v>
      </c>
    </row>
    <row r="7" spans="2:50" x14ac:dyDescent="0.2">
      <c r="B7" s="8" t="s">
        <v>28</v>
      </c>
      <c r="C7" s="19">
        <f>'Other Consolidated Data'!K8</f>
        <v>0</v>
      </c>
      <c r="D7" s="19">
        <f>'Other Consolidated Data'!L8</f>
        <v>0</v>
      </c>
      <c r="E7" s="19">
        <f>'Other Consolidated Data'!M8</f>
        <v>0</v>
      </c>
      <c r="G7" s="8" t="s">
        <v>28</v>
      </c>
      <c r="H7" s="19">
        <f>'Other Consolidated Data'!AH8</f>
        <v>0</v>
      </c>
      <c r="I7" s="19">
        <f>'Other Consolidated Data'!AI8</f>
        <v>0</v>
      </c>
      <c r="J7" s="19">
        <f>'Other Consolidated Data'!AJ8</f>
        <v>0</v>
      </c>
      <c r="L7" s="8" t="s">
        <v>28</v>
      </c>
      <c r="M7" s="19">
        <f>'Other Consolidated Data'!BE8</f>
        <v>0</v>
      </c>
      <c r="N7" s="19">
        <f>'Other Consolidated Data'!BF8</f>
        <v>0</v>
      </c>
      <c r="O7" s="19">
        <f>'Other Consolidated Data'!BG8</f>
        <v>0</v>
      </c>
      <c r="Q7" s="8" t="s">
        <v>28</v>
      </c>
      <c r="R7" s="19">
        <f>'Other Consolidated Data'!CB8</f>
        <v>0</v>
      </c>
      <c r="S7" s="19">
        <f>'Other Consolidated Data'!CC8</f>
        <v>0</v>
      </c>
      <c r="T7" s="19">
        <f>'Other Consolidated Data'!CD8</f>
        <v>0</v>
      </c>
      <c r="V7" s="8" t="s">
        <v>28</v>
      </c>
      <c r="W7" s="19">
        <f>'Other Consolidated Data'!CY8</f>
        <v>5015238.9800000023</v>
      </c>
      <c r="X7" s="19">
        <f>'Other Consolidated Data'!CZ8</f>
        <v>4546303.0921999719</v>
      </c>
      <c r="Y7" s="19">
        <f>'Other Consolidated Data'!DA8</f>
        <v>83683457.965999126</v>
      </c>
      <c r="AA7" s="8" t="s">
        <v>28</v>
      </c>
      <c r="AB7" s="19">
        <f>'Other Consolidated Data'!DQ8</f>
        <v>4995686.7072448228</v>
      </c>
      <c r="AC7" s="19">
        <f>'Other Consolidated Data'!DR8</f>
        <v>4528579</v>
      </c>
      <c r="AD7" s="19">
        <f>'Other Consolidated Data'!DS8</f>
        <v>83357211.938287824</v>
      </c>
      <c r="AF7" s="8" t="s">
        <v>28</v>
      </c>
      <c r="AG7" s="19">
        <f>'Other Consolidated Data'!EE8</f>
        <v>3529500</v>
      </c>
      <c r="AH7" s="19">
        <f>'Other Consolidated Data'!EF8</f>
        <v>3141255</v>
      </c>
      <c r="AI7" s="19">
        <f>'Other Consolidated Data'!EG8</f>
        <v>94237650</v>
      </c>
      <c r="AK7" s="8" t="s">
        <v>28</v>
      </c>
      <c r="AL7" s="19">
        <f>'Other Consolidated Data'!ES8</f>
        <v>4288500</v>
      </c>
      <c r="AM7" s="19">
        <f>'Other Consolidated Data'!ET8</f>
        <v>3816765</v>
      </c>
      <c r="AN7" s="19">
        <f>'Other Consolidated Data'!EU8</f>
        <v>114502950</v>
      </c>
      <c r="AP7" s="8" t="s">
        <v>28</v>
      </c>
      <c r="AQ7" s="19">
        <f>'Other Consolidated Data'!FG8</f>
        <v>4702500</v>
      </c>
      <c r="AR7" s="19">
        <f>'Other Consolidated Data'!FH8</f>
        <v>4185225</v>
      </c>
      <c r="AS7" s="19">
        <f>'Other Consolidated Data'!FI8</f>
        <v>125556750</v>
      </c>
      <c r="AU7" s="8" t="s">
        <v>28</v>
      </c>
      <c r="AV7" s="19">
        <f>'Other Consolidated Data'!FU8</f>
        <v>4978500</v>
      </c>
      <c r="AW7" s="19">
        <f>'Other Consolidated Data'!FV8</f>
        <v>4430865</v>
      </c>
      <c r="AX7" s="19">
        <f>'Other Consolidated Data'!FW8</f>
        <v>132925950</v>
      </c>
    </row>
    <row r="8" spans="2:50" ht="14.25" x14ac:dyDescent="0.2">
      <c r="B8" s="8" t="s">
        <v>389</v>
      </c>
      <c r="C8" s="19">
        <f>'Other Consolidated Data'!K9</f>
        <v>0</v>
      </c>
      <c r="D8" s="19">
        <f>'Other Consolidated Data'!L9</f>
        <v>0</v>
      </c>
      <c r="E8" s="19">
        <f>'Other Consolidated Data'!M9</f>
        <v>0</v>
      </c>
      <c r="G8" s="8" t="s">
        <v>389</v>
      </c>
      <c r="H8" s="19">
        <f>'Other Consolidated Data'!AH9</f>
        <v>0</v>
      </c>
      <c r="I8" s="19">
        <f>'Other Consolidated Data'!AI9</f>
        <v>0</v>
      </c>
      <c r="J8" s="19">
        <f>'Other Consolidated Data'!AJ9</f>
        <v>0</v>
      </c>
      <c r="L8" s="8" t="s">
        <v>389</v>
      </c>
      <c r="M8" s="19">
        <f>'Other Consolidated Data'!BE9</f>
        <v>0</v>
      </c>
      <c r="N8" s="19">
        <f>'Other Consolidated Data'!BF9</f>
        <v>0</v>
      </c>
      <c r="O8" s="19">
        <f>'Other Consolidated Data'!BG9</f>
        <v>0</v>
      </c>
      <c r="Q8" s="8" t="s">
        <v>389</v>
      </c>
      <c r="R8" s="19">
        <f>'Other Consolidated Data'!CB9</f>
        <v>0</v>
      </c>
      <c r="S8" s="19">
        <f>'Other Consolidated Data'!CC9</f>
        <v>0</v>
      </c>
      <c r="T8" s="19">
        <f>'Other Consolidated Data'!CD9</f>
        <v>0</v>
      </c>
      <c r="V8" s="8" t="s">
        <v>389</v>
      </c>
      <c r="W8" s="19">
        <f>'Other Consolidated Data'!CY9</f>
        <v>0</v>
      </c>
      <c r="X8" s="19">
        <f>'Other Consolidated Data'!CZ9</f>
        <v>0</v>
      </c>
      <c r="Y8" s="19">
        <f>'Other Consolidated Data'!DA9</f>
        <v>0</v>
      </c>
      <c r="AA8" s="8" t="s">
        <v>389</v>
      </c>
      <c r="AB8" s="19">
        <f>'Other Consolidated Data'!DQ9</f>
        <v>0</v>
      </c>
      <c r="AC8" s="19">
        <f>'Other Consolidated Data'!DR9</f>
        <v>0</v>
      </c>
      <c r="AD8" s="19">
        <f>'Other Consolidated Data'!DS9</f>
        <v>0</v>
      </c>
      <c r="AF8" s="8" t="s">
        <v>31</v>
      </c>
      <c r="AG8" s="19">
        <f>'Other Consolidated Data'!EE9</f>
        <v>5117760</v>
      </c>
      <c r="AH8" s="19">
        <f>'Other Consolidated Data'!EF9</f>
        <v>4647327.5999999996</v>
      </c>
      <c r="AI8" s="19">
        <f>'Other Consolidated Data'!EG9</f>
        <v>74285721.599999994</v>
      </c>
      <c r="AK8" s="8" t="s">
        <v>31</v>
      </c>
      <c r="AL8" s="19">
        <f>'Other Consolidated Data'!ES9</f>
        <v>5123720</v>
      </c>
      <c r="AM8" s="19">
        <f>'Other Consolidated Data'!ET9</f>
        <v>4652095.5999999996</v>
      </c>
      <c r="AN8" s="19">
        <f>'Other Consolidated Data'!EU9</f>
        <v>74357241.599999994</v>
      </c>
      <c r="AP8" s="8" t="s">
        <v>31</v>
      </c>
      <c r="AQ8" s="19">
        <f>'Other Consolidated Data'!FG9</f>
        <v>5132660</v>
      </c>
      <c r="AR8" s="19">
        <f>'Other Consolidated Data'!FH9</f>
        <v>4659247.5999999996</v>
      </c>
      <c r="AS8" s="19">
        <f>'Other Consolidated Data'!FI9</f>
        <v>74464521.599999994</v>
      </c>
      <c r="AU8" s="8" t="s">
        <v>31</v>
      </c>
      <c r="AV8" s="19">
        <f>'Other Consolidated Data'!FU9</f>
        <v>5135640</v>
      </c>
      <c r="AW8" s="19">
        <f>'Other Consolidated Data'!FV9</f>
        <v>4661631.5999999996</v>
      </c>
      <c r="AX8" s="19">
        <f>'Other Consolidated Data'!FW9</f>
        <v>74500281.599999994</v>
      </c>
    </row>
    <row r="9" spans="2:50" x14ac:dyDescent="0.2">
      <c r="B9" s="8" t="s">
        <v>30</v>
      </c>
      <c r="C9" s="19">
        <f>'Other Consolidated Data'!K10</f>
        <v>5324061.33</v>
      </c>
      <c r="D9" s="19">
        <f>'Other Consolidated Data'!L10</f>
        <v>5111098.8782399986</v>
      </c>
      <c r="E9" s="19">
        <f>'Other Consolidated Data'!M10</f>
        <v>76666483.173599973</v>
      </c>
      <c r="G9" s="8" t="s">
        <v>30</v>
      </c>
      <c r="H9" s="19">
        <f>'Other Consolidated Data'!AH10</f>
        <v>6303634.0309939561</v>
      </c>
      <c r="I9" s="19">
        <f>'Other Consolidated Data'!AI10</f>
        <v>6051488.669763173</v>
      </c>
      <c r="J9" s="19">
        <f>'Other Consolidated Data'!AJ10</f>
        <v>90772330.046478972</v>
      </c>
      <c r="L9" s="8" t="s">
        <v>30</v>
      </c>
      <c r="M9" s="19">
        <f>'Other Consolidated Data'!BE10</f>
        <v>8129665.2800017018</v>
      </c>
      <c r="N9" s="19">
        <f>'Other Consolidated Data'!BF10</f>
        <v>7804478.6687968466</v>
      </c>
      <c r="O9" s="19">
        <f>'Other Consolidated Data'!BG10</f>
        <v>117067180.03196408</v>
      </c>
      <c r="Q9" s="8" t="s">
        <v>30</v>
      </c>
      <c r="R9" s="19">
        <f>'Other Consolidated Data'!CB10</f>
        <v>3995301.2000007555</v>
      </c>
      <c r="S9" s="19">
        <f>'Other Consolidated Data'!CC10</f>
        <v>3835489.1519987872</v>
      </c>
      <c r="T9" s="19">
        <f>'Other Consolidated Data'!CD10</f>
        <v>57532337.280032575</v>
      </c>
      <c r="V9" s="8" t="s">
        <v>30</v>
      </c>
      <c r="W9" s="19">
        <f>'Other Consolidated Data'!CY10</f>
        <v>5029625.1600009874</v>
      </c>
      <c r="X9" s="19">
        <f>'Other Consolidated Data'!CZ10</f>
        <v>4828440.1535983197</v>
      </c>
      <c r="Y9" s="19">
        <f>'Other Consolidated Data'!DA10</f>
        <v>72426602.304038331</v>
      </c>
      <c r="AA9" s="8" t="s">
        <v>30</v>
      </c>
      <c r="AB9" s="19">
        <f>'Other Consolidated Data'!DQ10</f>
        <v>6310862.5000034347</v>
      </c>
      <c r="AC9" s="19">
        <f>'Other Consolidated Data'!DR10</f>
        <v>6058428</v>
      </c>
      <c r="AD9" s="19">
        <f>'Other Consolidated Data'!DS10</f>
        <v>90876420.000079721</v>
      </c>
      <c r="AF9" s="8" t="s">
        <v>30</v>
      </c>
      <c r="AG9" s="19">
        <f>'Other Consolidated Data'!EE10</f>
        <v>3663200</v>
      </c>
      <c r="AH9" s="19">
        <f>'Other Consolidated Data'!EF10</f>
        <v>3150352</v>
      </c>
      <c r="AI9" s="19">
        <f>'Other Consolidated Data'!EG10</f>
        <v>31503520</v>
      </c>
      <c r="AK9" s="8" t="s">
        <v>30</v>
      </c>
      <c r="AL9" s="19">
        <f>'Other Consolidated Data'!ES10</f>
        <v>3663200</v>
      </c>
      <c r="AM9" s="19">
        <f>'Other Consolidated Data'!ET10</f>
        <v>3150352.0000000005</v>
      </c>
      <c r="AN9" s="19">
        <f>'Other Consolidated Data'!EU10</f>
        <v>31503520</v>
      </c>
      <c r="AP9" s="8" t="s">
        <v>30</v>
      </c>
      <c r="AQ9" s="19">
        <f>'Other Consolidated Data'!FG10</f>
        <v>3663200</v>
      </c>
      <c r="AR9" s="19">
        <f>'Other Consolidated Data'!FH10</f>
        <v>3150352.0000000009</v>
      </c>
      <c r="AS9" s="19">
        <f>'Other Consolidated Data'!FI10</f>
        <v>31503520.000000007</v>
      </c>
      <c r="AU9" s="8" t="s">
        <v>30</v>
      </c>
      <c r="AV9" s="19">
        <f>'Other Consolidated Data'!FU10</f>
        <v>3663200</v>
      </c>
      <c r="AW9" s="19">
        <f>'Other Consolidated Data'!FV10</f>
        <v>3150352.0000000005</v>
      </c>
      <c r="AX9" s="19">
        <f>'Other Consolidated Data'!FW10</f>
        <v>31503520.000000004</v>
      </c>
    </row>
    <row r="10" spans="2:50" ht="14.25" x14ac:dyDescent="0.2">
      <c r="B10" s="8" t="s">
        <v>390</v>
      </c>
      <c r="C10" s="19">
        <f>'Other Consolidated Data'!K11</f>
        <v>0</v>
      </c>
      <c r="D10" s="19">
        <f>'Other Consolidated Data'!L11</f>
        <v>0</v>
      </c>
      <c r="E10" s="19">
        <f>'Other Consolidated Data'!M11</f>
        <v>0</v>
      </c>
      <c r="G10" s="8" t="s">
        <v>390</v>
      </c>
      <c r="H10" s="19">
        <f>'Other Consolidated Data'!AH11</f>
        <v>0</v>
      </c>
      <c r="I10" s="19">
        <f>'Other Consolidated Data'!AI11</f>
        <v>0</v>
      </c>
      <c r="J10" s="19">
        <f>'Other Consolidated Data'!AJ11</f>
        <v>0</v>
      </c>
      <c r="L10" s="8" t="s">
        <v>390</v>
      </c>
      <c r="M10" s="19">
        <f>'Other Consolidated Data'!BE11</f>
        <v>0</v>
      </c>
      <c r="N10" s="19">
        <f>'Other Consolidated Data'!BF11</f>
        <v>0</v>
      </c>
      <c r="O10" s="19">
        <f>'Other Consolidated Data'!BG11</f>
        <v>0</v>
      </c>
      <c r="Q10" s="8" t="s">
        <v>390</v>
      </c>
      <c r="R10" s="19">
        <f>'Other Consolidated Data'!CB11</f>
        <v>0</v>
      </c>
      <c r="S10" s="19">
        <f>'Other Consolidated Data'!CC11</f>
        <v>0</v>
      </c>
      <c r="T10" s="19">
        <f>'Other Consolidated Data'!CD11</f>
        <v>0</v>
      </c>
      <c r="V10" s="8" t="s">
        <v>390</v>
      </c>
      <c r="W10" s="19">
        <f>'Other Consolidated Data'!CY11</f>
        <v>0</v>
      </c>
      <c r="X10" s="19">
        <f>'Other Consolidated Data'!CZ11</f>
        <v>0</v>
      </c>
      <c r="Y10" s="19">
        <f>'Other Consolidated Data'!DA11</f>
        <v>0</v>
      </c>
      <c r="AA10" s="8" t="s">
        <v>390</v>
      </c>
      <c r="AB10" s="19">
        <f>'Other Consolidated Data'!DQ11</f>
        <v>0</v>
      </c>
      <c r="AC10" s="19">
        <f>'Other Consolidated Data'!DR11</f>
        <v>0</v>
      </c>
      <c r="AD10" s="19">
        <f>'Other Consolidated Data'!DS11</f>
        <v>0</v>
      </c>
      <c r="AF10" s="8" t="s">
        <v>32</v>
      </c>
      <c r="AG10" s="19">
        <f>'Other Consolidated Data'!EE11</f>
        <v>2127500</v>
      </c>
      <c r="AH10" s="19">
        <f>'Other Consolidated Data'!EF11</f>
        <v>1869025</v>
      </c>
      <c r="AI10" s="19">
        <f>'Other Consolidated Data'!EG11</f>
        <v>42052750</v>
      </c>
      <c r="AK10" s="8" t="s">
        <v>32</v>
      </c>
      <c r="AL10" s="19">
        <f>'Other Consolidated Data'!ES11</f>
        <v>2396500</v>
      </c>
      <c r="AM10" s="19">
        <f>'Other Consolidated Data'!ET11</f>
        <v>2105990</v>
      </c>
      <c r="AN10" s="19">
        <f>'Other Consolidated Data'!EU11</f>
        <v>47759900</v>
      </c>
      <c r="AP10" s="8" t="s">
        <v>32</v>
      </c>
      <c r="AQ10" s="19">
        <f>'Other Consolidated Data'!FG11</f>
        <v>2665500</v>
      </c>
      <c r="AR10" s="19">
        <f>'Other Consolidated Data'!FH11</f>
        <v>2342955</v>
      </c>
      <c r="AS10" s="19">
        <f>'Other Consolidated Data'!FI11</f>
        <v>53467050</v>
      </c>
      <c r="AU10" s="8" t="s">
        <v>32</v>
      </c>
      <c r="AV10" s="19">
        <f>'Other Consolidated Data'!FU11</f>
        <v>2934500</v>
      </c>
      <c r="AW10" s="19">
        <f>'Other Consolidated Data'!FV11</f>
        <v>2579920</v>
      </c>
      <c r="AX10" s="19">
        <f>'Other Consolidated Data'!FW11</f>
        <v>59174200</v>
      </c>
    </row>
    <row r="11" spans="2:50" ht="14.25" x14ac:dyDescent="0.2">
      <c r="B11" s="8" t="s">
        <v>391</v>
      </c>
      <c r="C11" s="19">
        <f>'Other Consolidated Data'!K12</f>
        <v>0</v>
      </c>
      <c r="D11" s="19">
        <f>'Other Consolidated Data'!L12</f>
        <v>0</v>
      </c>
      <c r="E11" s="19">
        <f>'Other Consolidated Data'!M12</f>
        <v>0</v>
      </c>
      <c r="G11" s="8" t="s">
        <v>391</v>
      </c>
      <c r="H11" s="19">
        <f>'Other Consolidated Data'!AH12</f>
        <v>0</v>
      </c>
      <c r="I11" s="19">
        <f>'Other Consolidated Data'!AI12</f>
        <v>0</v>
      </c>
      <c r="J11" s="19">
        <f>'Other Consolidated Data'!AJ12</f>
        <v>0</v>
      </c>
      <c r="L11" s="8" t="s">
        <v>391</v>
      </c>
      <c r="M11" s="19">
        <f>'Other Consolidated Data'!BE12</f>
        <v>0</v>
      </c>
      <c r="N11" s="19">
        <f>'Other Consolidated Data'!BF12</f>
        <v>0</v>
      </c>
      <c r="O11" s="19">
        <f>'Other Consolidated Data'!BG12</f>
        <v>0</v>
      </c>
      <c r="Q11" s="8" t="s">
        <v>391</v>
      </c>
      <c r="R11" s="19">
        <f>'Other Consolidated Data'!CB12</f>
        <v>0</v>
      </c>
      <c r="S11" s="19">
        <f>'Other Consolidated Data'!CC12</f>
        <v>0</v>
      </c>
      <c r="T11" s="19">
        <f>'Other Consolidated Data'!CD12</f>
        <v>0</v>
      </c>
      <c r="V11" s="8" t="s">
        <v>391</v>
      </c>
      <c r="W11" s="19">
        <f>'Other Consolidated Data'!CY12</f>
        <v>0</v>
      </c>
      <c r="X11" s="19">
        <f>'Other Consolidated Data'!CZ12</f>
        <v>0</v>
      </c>
      <c r="Y11" s="19">
        <f>'Other Consolidated Data'!DA12</f>
        <v>0</v>
      </c>
      <c r="AA11" s="8" t="s">
        <v>391</v>
      </c>
      <c r="AB11" s="19">
        <f>'Other Consolidated Data'!DQ12</f>
        <v>0</v>
      </c>
      <c r="AC11" s="19">
        <f>'Other Consolidated Data'!DR12</f>
        <v>0</v>
      </c>
      <c r="AD11" s="19">
        <f>'Other Consolidated Data'!DS12</f>
        <v>0</v>
      </c>
      <c r="AF11" s="8" t="s">
        <v>33</v>
      </c>
      <c r="AG11" s="19">
        <f>'Other Consolidated Data'!EE12</f>
        <v>2527500</v>
      </c>
      <c r="AH11" s="19">
        <f>'Other Consolidated Data'!EF12</f>
        <v>2527500</v>
      </c>
      <c r="AI11" s="19">
        <f>'Other Consolidated Data'!EG12</f>
        <v>2527500</v>
      </c>
      <c r="AK11" s="8" t="s">
        <v>33</v>
      </c>
      <c r="AL11" s="19">
        <f>'Other Consolidated Data'!ES12</f>
        <v>4557000</v>
      </c>
      <c r="AM11" s="19">
        <f>'Other Consolidated Data'!ET12</f>
        <v>4557000</v>
      </c>
      <c r="AN11" s="19">
        <f>'Other Consolidated Data'!EU12</f>
        <v>4557000</v>
      </c>
      <c r="AP11" s="8" t="s">
        <v>33</v>
      </c>
      <c r="AQ11" s="19">
        <f>'Other Consolidated Data'!FG12</f>
        <v>5738000</v>
      </c>
      <c r="AR11" s="19">
        <f>'Other Consolidated Data'!FH12</f>
        <v>5738000</v>
      </c>
      <c r="AS11" s="19">
        <f>'Other Consolidated Data'!FI12</f>
        <v>5738000</v>
      </c>
      <c r="AU11" s="8" t="s">
        <v>33</v>
      </c>
      <c r="AV11" s="19">
        <f>'Other Consolidated Data'!FU12</f>
        <v>6741000</v>
      </c>
      <c r="AW11" s="19">
        <f>'Other Consolidated Data'!FV12</f>
        <v>6741000</v>
      </c>
      <c r="AX11" s="19">
        <f>'Other Consolidated Data'!FW12</f>
        <v>6741000</v>
      </c>
    </row>
    <row r="12" spans="2:50" x14ac:dyDescent="0.2">
      <c r="B12" s="6" t="s">
        <v>2</v>
      </c>
      <c r="C12" s="18">
        <f>SUM(C13:C14)</f>
        <v>8065589.3200000068</v>
      </c>
      <c r="D12" s="18">
        <f>SUM(D13:D14)</f>
        <v>8015580.7500000168</v>
      </c>
      <c r="E12" s="18">
        <f>SUM(E13:E14)</f>
        <v>166578043.18999881</v>
      </c>
      <c r="G12" s="6" t="s">
        <v>2</v>
      </c>
      <c r="H12" s="18">
        <f>SUM(H13:H14)</f>
        <v>6866919.9590506656</v>
      </c>
      <c r="I12" s="18">
        <f>SUM(I13:I14)</f>
        <v>6845364.4792028945</v>
      </c>
      <c r="J12" s="18">
        <f>SUM(J13:J14)</f>
        <v>140241610.49651816</v>
      </c>
      <c r="L12" s="6" t="s">
        <v>2</v>
      </c>
      <c r="M12" s="18">
        <f>SUM(M13:M14)</f>
        <v>6250012.9365088781</v>
      </c>
      <c r="N12" s="18">
        <f>SUM(N13:N14)</f>
        <v>6250012.9365088781</v>
      </c>
      <c r="O12" s="18">
        <f>SUM(O13:O14)</f>
        <v>126943659.620252</v>
      </c>
      <c r="Q12" s="6" t="s">
        <v>2</v>
      </c>
      <c r="R12" s="18">
        <f>SUM(R13:R14)</f>
        <v>7888569.5612587351</v>
      </c>
      <c r="S12" s="18">
        <f>SUM(S13:S14)</f>
        <v>7888569.5612587351</v>
      </c>
      <c r="T12" s="18">
        <f>SUM(T13:T14)</f>
        <v>163046292.34757537</v>
      </c>
      <c r="V12" s="6" t="s">
        <v>2</v>
      </c>
      <c r="W12" s="18">
        <f>SUM(W13:W14)</f>
        <v>5745595.8311970038</v>
      </c>
      <c r="X12" s="18">
        <f>SUM(X13:X14)</f>
        <v>5745595.8311970038</v>
      </c>
      <c r="Y12" s="18">
        <f>SUM(Y13:Y14)</f>
        <v>115669217.62574998</v>
      </c>
      <c r="AA12" s="6" t="s">
        <v>2</v>
      </c>
      <c r="AB12" s="18">
        <f>SUM(AB13:AB14)</f>
        <v>5236408</v>
      </c>
      <c r="AC12" s="18">
        <f>SUM(AC13:AC14)</f>
        <v>5236408</v>
      </c>
      <c r="AD12" s="18">
        <f>SUM(AD13:AD14)</f>
        <v>100101554.68025109</v>
      </c>
      <c r="AF12" s="6" t="s">
        <v>2</v>
      </c>
      <c r="AG12" s="18">
        <f>SUM(AG13:AG14)</f>
        <v>4677266.9425628539</v>
      </c>
      <c r="AH12" s="18">
        <f>SUM(AH13:AH14)</f>
        <v>4677266.9425628539</v>
      </c>
      <c r="AI12" s="18">
        <f>SUM(AI13:AI14)</f>
        <v>91078773.174954236</v>
      </c>
      <c r="AK12" s="6" t="s">
        <v>2</v>
      </c>
      <c r="AL12" s="18">
        <f>SUM(AL13:AL14)</f>
        <v>4894384.0745430216</v>
      </c>
      <c r="AM12" s="18">
        <f>SUM(AM13:AM14)</f>
        <v>4894384.0745430216</v>
      </c>
      <c r="AN12" s="18">
        <f>SUM(AN13:AN14)</f>
        <v>94917544.227716267</v>
      </c>
      <c r="AP12" s="6" t="s">
        <v>2</v>
      </c>
      <c r="AQ12" s="18">
        <f>SUM(AQ13:AQ14)</f>
        <v>5095636.8590231892</v>
      </c>
      <c r="AR12" s="18">
        <f>SUM(AR13:AR14)</f>
        <v>5095636.8590231892</v>
      </c>
      <c r="AS12" s="18">
        <f>SUM(AS13:AS14)</f>
        <v>98804898.263978273</v>
      </c>
      <c r="AU12" s="6" t="s">
        <v>2</v>
      </c>
      <c r="AV12" s="18">
        <f>SUM(AV13:AV14)</f>
        <v>5313785.5638033571</v>
      </c>
      <c r="AW12" s="18">
        <f>SUM(AW13:AW14)</f>
        <v>5313785.5638033571</v>
      </c>
      <c r="AX12" s="18">
        <f>SUM(AX13:AX14)</f>
        <v>102653985.47324029</v>
      </c>
    </row>
    <row r="13" spans="2:50" x14ac:dyDescent="0.2">
      <c r="B13" s="8" t="s">
        <v>36</v>
      </c>
      <c r="C13" s="19">
        <f>'Other Consolidated Data'!K15</f>
        <v>3223724.1600000029</v>
      </c>
      <c r="D13" s="19">
        <f>'Other Consolidated Data'!L15</f>
        <v>3219328.7700000145</v>
      </c>
      <c r="E13" s="19">
        <f>'Other Consolidated Data'!M15</f>
        <v>72347779.229998782</v>
      </c>
      <c r="G13" s="8" t="s">
        <v>36</v>
      </c>
      <c r="H13" s="19">
        <f>'Other Consolidated Data'!AH15</f>
        <v>2908810.8770049056</v>
      </c>
      <c r="I13" s="19">
        <f>'Other Consolidated Data'!AI15</f>
        <v>2905555.6782828956</v>
      </c>
      <c r="J13" s="19">
        <f>'Other Consolidated Data'!AJ15</f>
        <v>63302651.800388135</v>
      </c>
      <c r="L13" s="8" t="s">
        <v>36</v>
      </c>
      <c r="M13" s="19">
        <f>'Other Consolidated Data'!BE15</f>
        <v>3247883.4340499993</v>
      </c>
      <c r="N13" s="19">
        <f>'Other Consolidated Data'!BF15</f>
        <v>3247883.4340499993</v>
      </c>
      <c r="O13" s="19">
        <f>'Other Consolidated Data'!BG15</f>
        <v>69515817.094900027</v>
      </c>
      <c r="Q13" s="8" t="s">
        <v>36</v>
      </c>
      <c r="R13" s="19">
        <f>'Other Consolidated Data'!CB15</f>
        <v>3865193.8216500166</v>
      </c>
      <c r="S13" s="19">
        <f>'Other Consolidated Data'!CC15</f>
        <v>3865193.8216500166</v>
      </c>
      <c r="T13" s="19">
        <f>'Other Consolidated Data'!CD15</f>
        <v>86286043.136550143</v>
      </c>
      <c r="V13" s="8" t="s">
        <v>36</v>
      </c>
      <c r="W13" s="19">
        <f>'Other Consolidated Data'!CY15</f>
        <v>3777687.114270004</v>
      </c>
      <c r="X13" s="19">
        <f>'Other Consolidated Data'!CZ15</f>
        <v>3777687.114270004</v>
      </c>
      <c r="Y13" s="19">
        <f>'Other Consolidated Data'!DA15</f>
        <v>86170946.988199964</v>
      </c>
      <c r="AA13" s="8" t="s">
        <v>36</v>
      </c>
      <c r="AB13" s="19">
        <f>'Other Consolidated Data'!DQ15</f>
        <v>2763077</v>
      </c>
      <c r="AC13" s="19">
        <f>'Other Consolidated Data'!DR15</f>
        <v>2763077</v>
      </c>
      <c r="AD13" s="19">
        <f>'Other Consolidated Data'!DS15</f>
        <v>63027178.929646268</v>
      </c>
      <c r="AF13" s="8" t="s">
        <v>36</v>
      </c>
      <c r="AG13" s="19">
        <f>'Other Consolidated Data'!EE15</f>
        <v>2224164.6831628536</v>
      </c>
      <c r="AH13" s="19">
        <f>'Other Consolidated Data'!EF15</f>
        <v>2224164.6831628536</v>
      </c>
      <c r="AI13" s="19">
        <f>'Other Consolidated Data'!EG15</f>
        <v>49714160.197954245</v>
      </c>
      <c r="AK13" s="8" t="s">
        <v>36</v>
      </c>
      <c r="AL13" s="19">
        <f>'Other Consolidated Data'!ES15</f>
        <v>2415998.9586430215</v>
      </c>
      <c r="AM13" s="19">
        <f>'Other Consolidated Data'!ET15</f>
        <v>2415998.9586430215</v>
      </c>
      <c r="AN13" s="19">
        <f>'Other Consolidated Data'!EU15</f>
        <v>53242215.50371626</v>
      </c>
      <c r="AP13" s="8" t="s">
        <v>36</v>
      </c>
      <c r="AQ13" s="19">
        <f>'Other Consolidated Data'!FG15</f>
        <v>2587295.2341231895</v>
      </c>
      <c r="AR13" s="19">
        <f>'Other Consolidated Data'!FH15</f>
        <v>2587295.2341231895</v>
      </c>
      <c r="AS13" s="19">
        <f>'Other Consolidated Data'!FI15</f>
        <v>56564890.809478275</v>
      </c>
      <c r="AU13" s="8" t="s">
        <v>36</v>
      </c>
      <c r="AV13" s="19">
        <f>'Other Consolidated Data'!FU15</f>
        <v>2802112.5096033574</v>
      </c>
      <c r="AW13" s="19">
        <f>'Other Consolidated Data'!FV15</f>
        <v>2802112.5096033574</v>
      </c>
      <c r="AX13" s="19">
        <f>'Other Consolidated Data'!FW15</f>
        <v>60322776.115240291</v>
      </c>
    </row>
    <row r="14" spans="2:50" x14ac:dyDescent="0.2">
      <c r="B14" s="8" t="s">
        <v>38</v>
      </c>
      <c r="C14" s="19">
        <f>'Other Consolidated Data'!K16</f>
        <v>4841865.1600000039</v>
      </c>
      <c r="D14" s="19">
        <f>'Other Consolidated Data'!L16</f>
        <v>4796251.9800000023</v>
      </c>
      <c r="E14" s="19">
        <f>'Other Consolidated Data'!M16</f>
        <v>94230263.960000008</v>
      </c>
      <c r="G14" s="8" t="s">
        <v>38</v>
      </c>
      <c r="H14" s="19">
        <f>'Other Consolidated Data'!AH16</f>
        <v>3958109.08204576</v>
      </c>
      <c r="I14" s="19">
        <f>'Other Consolidated Data'!AI16</f>
        <v>3939808.8009199989</v>
      </c>
      <c r="J14" s="19">
        <f>'Other Consolidated Data'!AJ16</f>
        <v>76938958.696130022</v>
      </c>
      <c r="L14" s="8" t="s">
        <v>38</v>
      </c>
      <c r="M14" s="19">
        <f>'Other Consolidated Data'!BE16</f>
        <v>3002129.5024588788</v>
      </c>
      <c r="N14" s="19">
        <f>'Other Consolidated Data'!BF16</f>
        <v>3002129.5024588788</v>
      </c>
      <c r="O14" s="19">
        <f>'Other Consolidated Data'!BG16</f>
        <v>57427842.525351971</v>
      </c>
      <c r="Q14" s="8" t="s">
        <v>38</v>
      </c>
      <c r="R14" s="19">
        <f>'Other Consolidated Data'!CB16</f>
        <v>4023375.7396087181</v>
      </c>
      <c r="S14" s="19">
        <f>'Other Consolidated Data'!CC16</f>
        <v>4023375.7396087181</v>
      </c>
      <c r="T14" s="19">
        <f>'Other Consolidated Data'!CD16</f>
        <v>76760249.211025223</v>
      </c>
      <c r="V14" s="8" t="s">
        <v>38</v>
      </c>
      <c r="W14" s="19">
        <f>'Other Consolidated Data'!CY16</f>
        <v>1967908.7169270001</v>
      </c>
      <c r="X14" s="19">
        <f>'Other Consolidated Data'!CZ16</f>
        <v>1967908.7169270001</v>
      </c>
      <c r="Y14" s="19">
        <f>'Other Consolidated Data'!DA16</f>
        <v>29498270.637550011</v>
      </c>
      <c r="AA14" s="8" t="s">
        <v>38</v>
      </c>
      <c r="AB14" s="19">
        <f>'Other Consolidated Data'!DQ16</f>
        <v>2473331</v>
      </c>
      <c r="AC14" s="19">
        <f>'Other Consolidated Data'!DR16</f>
        <v>2473331</v>
      </c>
      <c r="AD14" s="19">
        <f>'Other Consolidated Data'!DS16</f>
        <v>37074375.750604816</v>
      </c>
      <c r="AF14" s="8" t="s">
        <v>38</v>
      </c>
      <c r="AG14" s="19">
        <f>'Other Consolidated Data'!EE16</f>
        <v>2453102.2594000003</v>
      </c>
      <c r="AH14" s="19">
        <f>'Other Consolidated Data'!EF16</f>
        <v>2453102.2594000003</v>
      </c>
      <c r="AI14" s="19">
        <f>'Other Consolidated Data'!EG16</f>
        <v>41364612.976999998</v>
      </c>
      <c r="AK14" s="8" t="s">
        <v>38</v>
      </c>
      <c r="AL14" s="19">
        <f>'Other Consolidated Data'!ES16</f>
        <v>2478385.1158999996</v>
      </c>
      <c r="AM14" s="19">
        <f>'Other Consolidated Data'!ET16</f>
        <v>2478385.1158999996</v>
      </c>
      <c r="AN14" s="19">
        <f>'Other Consolidated Data'!EU16</f>
        <v>41675328.723999999</v>
      </c>
      <c r="AP14" s="8" t="s">
        <v>38</v>
      </c>
      <c r="AQ14" s="19">
        <f>'Other Consolidated Data'!FG16</f>
        <v>2508341.6248999997</v>
      </c>
      <c r="AR14" s="19">
        <f>'Other Consolidated Data'!FH16</f>
        <v>2508341.6248999997</v>
      </c>
      <c r="AS14" s="19">
        <f>'Other Consolidated Data'!FI16</f>
        <v>42240007.454499997</v>
      </c>
      <c r="AU14" s="8" t="s">
        <v>38</v>
      </c>
      <c r="AV14" s="19">
        <f>'Other Consolidated Data'!FU16</f>
        <v>2511673.0541999997</v>
      </c>
      <c r="AW14" s="19">
        <f>'Other Consolidated Data'!FV16</f>
        <v>2511673.0541999997</v>
      </c>
      <c r="AX14" s="19">
        <f>'Other Consolidated Data'!FW16</f>
        <v>42331209.357999995</v>
      </c>
    </row>
    <row r="15" spans="2:50" x14ac:dyDescent="0.2">
      <c r="B15" s="6" t="s">
        <v>3</v>
      </c>
      <c r="C15" s="18">
        <f>SUM(C16:C23)</f>
        <v>31960466.039650001</v>
      </c>
      <c r="D15" s="18">
        <f>SUM(D16:D23)</f>
        <v>19234910.430879001</v>
      </c>
      <c r="E15" s="18">
        <f>SUM(E16:E23)</f>
        <v>307582311.78922999</v>
      </c>
      <c r="G15" s="6" t="s">
        <v>3</v>
      </c>
      <c r="H15" s="18">
        <f>SUM(H16:H23)</f>
        <v>25154368.480847307</v>
      </c>
      <c r="I15" s="18">
        <f>SUM(I16:I23)</f>
        <v>15880805.027641706</v>
      </c>
      <c r="J15" s="18">
        <f>SUM(J16:J23)</f>
        <v>253939381.62196481</v>
      </c>
      <c r="L15" s="6" t="s">
        <v>3</v>
      </c>
      <c r="M15" s="18">
        <f>SUM(M16:M23)</f>
        <v>36043013.955326766</v>
      </c>
      <c r="N15" s="18">
        <f>SUM(N16:N23)</f>
        <v>25051992.692554004</v>
      </c>
      <c r="O15" s="18">
        <f>SUM(O16:O23)</f>
        <v>402007211.08504814</v>
      </c>
      <c r="Q15" s="6" t="s">
        <v>3</v>
      </c>
      <c r="R15" s="18">
        <f>SUM(R16:R23)</f>
        <v>37072558.623710386</v>
      </c>
      <c r="S15" s="18">
        <f>SUM(S16:S23)</f>
        <v>28276347.965384714</v>
      </c>
      <c r="T15" s="18">
        <f>SUM(T16:T23)</f>
        <v>392114044.04448402</v>
      </c>
      <c r="V15" s="6" t="s">
        <v>3</v>
      </c>
      <c r="W15" s="18">
        <f>SUM(W16:W23)</f>
        <v>29374928.966200974</v>
      </c>
      <c r="X15" s="18">
        <f>SUM(X16:X23)</f>
        <v>23668604.384457242</v>
      </c>
      <c r="Y15" s="18">
        <f>SUM(Y16:Y23)</f>
        <v>289601719.9965229</v>
      </c>
      <c r="AA15" s="6" t="s">
        <v>3</v>
      </c>
      <c r="AB15" s="18">
        <f>SUM(AB16:AB23)</f>
        <v>33177247.815564848</v>
      </c>
      <c r="AC15" s="18">
        <f>SUM(AC16:AC23)</f>
        <v>26491292</v>
      </c>
      <c r="AD15" s="18">
        <f>SUM(AD16:AD23)</f>
        <v>323005251.63503724</v>
      </c>
      <c r="AF15" s="6" t="s">
        <v>3</v>
      </c>
      <c r="AG15" s="18">
        <f>SUM(AG16:AG23)</f>
        <v>38102134.48926416</v>
      </c>
      <c r="AH15" s="18">
        <f>SUM(AH16:AH23)</f>
        <v>29114672.08387788</v>
      </c>
      <c r="AI15" s="18">
        <f>SUM(AI16:AI23)</f>
        <v>413533581.23366952</v>
      </c>
      <c r="AK15" s="6" t="s">
        <v>3</v>
      </c>
      <c r="AL15" s="18">
        <f>SUM(AL16:AL23)</f>
        <v>43102839.80926773</v>
      </c>
      <c r="AM15" s="18">
        <f>SUM(AM16:AM23)</f>
        <v>32858094.778249655</v>
      </c>
      <c r="AN15" s="18">
        <f>SUM(AN16:AN23)</f>
        <v>467900643.05079925</v>
      </c>
      <c r="AP15" s="6" t="s">
        <v>3</v>
      </c>
      <c r="AQ15" s="18">
        <f>SUM(AQ16:AQ23)</f>
        <v>46651612.633277878</v>
      </c>
      <c r="AR15" s="18">
        <f>SUM(AR16:AR23)</f>
        <v>35469570.480942838</v>
      </c>
      <c r="AS15" s="18">
        <f>SUM(AS16:AS23)</f>
        <v>506150738.21294439</v>
      </c>
      <c r="AU15" s="6" t="s">
        <v>3</v>
      </c>
      <c r="AV15" s="18">
        <f>SUM(AV16:AV23)</f>
        <v>49130044.157289781</v>
      </c>
      <c r="AW15" s="18">
        <f>SUM(AW16:AW23)</f>
        <v>37305908.0415892</v>
      </c>
      <c r="AX15" s="18">
        <f>SUM(AX16:AX23)</f>
        <v>533168779.82555848</v>
      </c>
    </row>
    <row r="16" spans="2:50" x14ac:dyDescent="0.2">
      <c r="B16" s="8" t="s">
        <v>39</v>
      </c>
      <c r="C16" s="19">
        <f>'Other Consolidated Data'!K19</f>
        <v>20690330</v>
      </c>
      <c r="D16" s="19">
        <f>'Other Consolidated Data'!L19</f>
        <v>9990179</v>
      </c>
      <c r="E16" s="19">
        <f>'Other Consolidated Data'!M19</f>
        <v>188741925</v>
      </c>
      <c r="G16" s="8" t="s">
        <v>39</v>
      </c>
      <c r="H16" s="19">
        <f>'Other Consolidated Data'!AH19</f>
        <v>14363603.512963304</v>
      </c>
      <c r="I16" s="19">
        <f>'Other Consolidated Data'!AI19</f>
        <v>7296998.40484</v>
      </c>
      <c r="J16" s="19">
        <f>'Other Consolidated Data'!AJ19</f>
        <v>141945786.74479404</v>
      </c>
      <c r="L16" s="8" t="s">
        <v>39</v>
      </c>
      <c r="M16" s="19">
        <f>'Other Consolidated Data'!BE19</f>
        <v>25476981.538220759</v>
      </c>
      <c r="N16" s="19">
        <f>'Other Consolidated Data'!BF19</f>
        <v>18300670.317446347</v>
      </c>
      <c r="O16" s="19">
        <f>'Other Consolidated Data'!BG19</f>
        <v>317854861.51456094</v>
      </c>
      <c r="Q16" s="8" t="s">
        <v>39</v>
      </c>
      <c r="R16" s="19">
        <f>'Other Consolidated Data'!CB19</f>
        <v>25248941.696540385</v>
      </c>
      <c r="S16" s="19">
        <f>'Other Consolidated Data'!CC19</f>
        <v>19639721.214831989</v>
      </c>
      <c r="T16" s="19">
        <f>'Other Consolidated Data'!CD19</f>
        <v>282470205.04434007</v>
      </c>
      <c r="V16" s="8" t="s">
        <v>39</v>
      </c>
      <c r="W16" s="19">
        <f>'Other Consolidated Data'!CY19</f>
        <v>17396796.086864978</v>
      </c>
      <c r="X16" s="19">
        <f>'Other Consolidated Data'!CZ19</f>
        <v>13971230.52938142</v>
      </c>
      <c r="Y16" s="19">
        <f>'Other Consolidated Data'!DA19</f>
        <v>165813640.8689971</v>
      </c>
      <c r="AA16" s="8" t="s">
        <v>39</v>
      </c>
      <c r="AB16" s="19">
        <f>'Other Consolidated Data'!DQ19</f>
        <v>22254632.671140842</v>
      </c>
      <c r="AC16" s="19">
        <f>'Other Consolidated Data'!DR19</f>
        <v>17872521</v>
      </c>
      <c r="AD16" s="19">
        <f>'Other Consolidated Data'!DS19</f>
        <v>212115015.37286699</v>
      </c>
      <c r="AF16" s="8" t="s">
        <v>39</v>
      </c>
      <c r="AG16" s="19">
        <f>'Other Consolidated Data'!EE19</f>
        <v>23329735.973343756</v>
      </c>
      <c r="AH16" s="19">
        <f>'Other Consolidated Data'!EF19</f>
        <v>17612901.980007812</v>
      </c>
      <c r="AI16" s="19">
        <f>'Other Consolidated Data'!EG19</f>
        <v>269281638.3666836</v>
      </c>
      <c r="AK16" s="8" t="s">
        <v>39</v>
      </c>
      <c r="AL16" s="19">
        <f>'Other Consolidated Data'!ES19</f>
        <v>26538579.762826458</v>
      </c>
      <c r="AM16" s="19">
        <f>'Other Consolidated Data'!ET19</f>
        <v>19948799.822119839</v>
      </c>
      <c r="AN16" s="19">
        <f>'Other Consolidated Data'!EU19</f>
        <v>306619454.50186235</v>
      </c>
      <c r="AP16" s="8" t="s">
        <v>39</v>
      </c>
      <c r="AQ16" s="19">
        <f>'Other Consolidated Data'!FG19</f>
        <v>28742493.010691494</v>
      </c>
      <c r="AR16" s="19">
        <f>'Other Consolidated Data'!FH19</f>
        <v>21570369.758018624</v>
      </c>
      <c r="AS16" s="19">
        <f>'Other Consolidated Data'!FI19</f>
        <v>332039600.57369167</v>
      </c>
      <c r="AU16" s="8" t="s">
        <v>39</v>
      </c>
      <c r="AV16" s="19">
        <f>'Other Consolidated Data'!FU19</f>
        <v>30398808.129085928</v>
      </c>
      <c r="AW16" s="19">
        <f>'Other Consolidated Data'!FV19</f>
        <v>22799106.096814446</v>
      </c>
      <c r="AX16" s="19">
        <f>'Other Consolidated Data'!FW19</f>
        <v>351049230.70933998</v>
      </c>
    </row>
    <row r="17" spans="2:50" x14ac:dyDescent="0.2">
      <c r="B17" s="8" t="s">
        <v>45</v>
      </c>
      <c r="C17" s="19">
        <f>'Other Consolidated Data'!K20</f>
        <v>5657516.6896499991</v>
      </c>
      <c r="D17" s="19">
        <f>'Other Consolidated Data'!L20</f>
        <v>4107590.7275789995</v>
      </c>
      <c r="E17" s="19">
        <f>'Other Consolidated Data'!M20</f>
        <v>52199395.195730008</v>
      </c>
      <c r="G17" s="8" t="s">
        <v>45</v>
      </c>
      <c r="H17" s="19">
        <f>'Other Consolidated Data'!AH20</f>
        <v>6067266.5478839986</v>
      </c>
      <c r="I17" s="19">
        <f>'Other Consolidated Data'!AI20</f>
        <v>4256505.1320017204</v>
      </c>
      <c r="J17" s="19">
        <f>'Other Consolidated Data'!AJ20</f>
        <v>55463295.371170796</v>
      </c>
      <c r="L17" s="8" t="s">
        <v>45</v>
      </c>
      <c r="M17" s="19">
        <f>'Other Consolidated Data'!BE20</f>
        <v>5990883.937106004</v>
      </c>
      <c r="N17" s="19">
        <f>'Other Consolidated Data'!BF20</f>
        <v>2612969.9947076836</v>
      </c>
      <c r="O17" s="19">
        <f>'Other Consolidated Data'!BG20</f>
        <v>33520416.212487191</v>
      </c>
      <c r="Q17" s="8" t="s">
        <v>45</v>
      </c>
      <c r="R17" s="19">
        <f>'Other Consolidated Data'!CB20</f>
        <v>4874954.4777700016</v>
      </c>
      <c r="S17" s="19">
        <f>'Other Consolidated Data'!CC20</f>
        <v>2265086.1574625992</v>
      </c>
      <c r="T17" s="19">
        <f>'Other Consolidated Data'!CD20</f>
        <v>31080060.08099401</v>
      </c>
      <c r="V17" s="8" t="s">
        <v>45</v>
      </c>
      <c r="W17" s="19">
        <f>'Other Consolidated Data'!CY20</f>
        <v>3852361.3213359984</v>
      </c>
      <c r="X17" s="19">
        <f>'Other Consolidated Data'!CZ20</f>
        <v>2239162.5189757994</v>
      </c>
      <c r="Y17" s="19">
        <f>'Other Consolidated Data'!DA20</f>
        <v>30930407.956026006</v>
      </c>
      <c r="AA17" s="8" t="s">
        <v>45</v>
      </c>
      <c r="AB17" s="19">
        <f>'Other Consolidated Data'!DQ20</f>
        <v>4124550.6902808333</v>
      </c>
      <c r="AC17" s="19">
        <f>'Other Consolidated Data'!DR20</f>
        <v>2397371</v>
      </c>
      <c r="AD17" s="19">
        <f>'Other Consolidated Data'!DS20</f>
        <v>33115802.191018831</v>
      </c>
      <c r="AF17" s="8" t="s">
        <v>45</v>
      </c>
      <c r="AG17" s="19">
        <f>'Other Consolidated Data'!EE20</f>
        <v>5549731.6166091571</v>
      </c>
      <c r="AH17" s="19">
        <f>'Other Consolidated Data'!EF20</f>
        <v>3145180.8974258802</v>
      </c>
      <c r="AI17" s="19">
        <f>'Other Consolidated Data'!EG20</f>
        <v>43435618.150065243</v>
      </c>
      <c r="AK17" s="8" t="s">
        <v>45</v>
      </c>
      <c r="AL17" s="19">
        <f>'Other Consolidated Data'!ES20</f>
        <v>6121170.1727049975</v>
      </c>
      <c r="AM17" s="19">
        <f>'Other Consolidated Data'!ET20</f>
        <v>3474427.4432333936</v>
      </c>
      <c r="AN17" s="19">
        <f>'Other Consolidated Data'!EU20</f>
        <v>48012042.131662019</v>
      </c>
      <c r="AP17" s="8" t="s">
        <v>45</v>
      </c>
      <c r="AQ17" s="19">
        <f>'Other Consolidated Data'!FG20</f>
        <v>6729276.9629867077</v>
      </c>
      <c r="AR17" s="19">
        <f>'Other Consolidated Data'!FH20</f>
        <v>3818289.6984629072</v>
      </c>
      <c r="AS17" s="19">
        <f>'Other Consolidated Data'!FI20</f>
        <v>52765192.680396818</v>
      </c>
      <c r="AU17" s="8" t="s">
        <v>45</v>
      </c>
      <c r="AV17" s="19">
        <f>'Other Consolidated Data'!FU20</f>
        <v>7068748.9760906948</v>
      </c>
      <c r="AW17" s="19">
        <f>'Other Consolidated Data'!FV20</f>
        <v>4011725.1362350872</v>
      </c>
      <c r="AX17" s="19">
        <f>'Other Consolidated Data'!FW20</f>
        <v>55474690.790175922</v>
      </c>
    </row>
    <row r="18" spans="2:50" x14ac:dyDescent="0.2">
      <c r="B18" s="8" t="s">
        <v>47</v>
      </c>
      <c r="C18" s="19">
        <f>'Other Consolidated Data'!K21</f>
        <v>4067757</v>
      </c>
      <c r="D18" s="19">
        <f>'Other Consolidated Data'!L21</f>
        <v>3864369.1500000013</v>
      </c>
      <c r="E18" s="19">
        <f>'Other Consolidated Data'!M21</f>
        <v>50382917.5</v>
      </c>
      <c r="G18" s="8" t="s">
        <v>47</v>
      </c>
      <c r="H18" s="19">
        <f>'Other Consolidated Data'!AH21</f>
        <v>3544004</v>
      </c>
      <c r="I18" s="19">
        <f>'Other Consolidated Data'!AI21</f>
        <v>3366803.7999999872</v>
      </c>
      <c r="J18" s="19">
        <f>'Other Consolidated Data'!AJ21</f>
        <v>44391452.75</v>
      </c>
      <c r="L18" s="8" t="s">
        <v>47</v>
      </c>
      <c r="M18" s="19">
        <f>'Other Consolidated Data'!BE21</f>
        <v>3091033</v>
      </c>
      <c r="N18" s="19">
        <f>'Other Consolidated Data'!BF21</f>
        <v>2936481.3499999708</v>
      </c>
      <c r="O18" s="19">
        <f>'Other Consolidated Data'!BG21</f>
        <v>35184432.75</v>
      </c>
      <c r="Q18" s="8" t="s">
        <v>47</v>
      </c>
      <c r="R18" s="19">
        <f>'Other Consolidated Data'!CB21</f>
        <v>5044781</v>
      </c>
      <c r="S18" s="19">
        <f>'Other Consolidated Data'!CC21</f>
        <v>4792541.9500000933</v>
      </c>
      <c r="T18" s="19">
        <f>'Other Consolidated Data'!CD21</f>
        <v>55889849</v>
      </c>
      <c r="V18" s="8" t="s">
        <v>47</v>
      </c>
      <c r="W18" s="19">
        <f>'Other Consolidated Data'!CY21</f>
        <v>6035458</v>
      </c>
      <c r="X18" s="19">
        <f>'Other Consolidated Data'!CZ21</f>
        <v>5733685.1000000276</v>
      </c>
      <c r="Y18" s="19">
        <f>'Other Consolidated Data'!DA21</f>
        <v>68018304.25</v>
      </c>
      <c r="AA18" s="8" t="s">
        <v>47</v>
      </c>
      <c r="AB18" s="19">
        <f>'Other Consolidated Data'!DQ21</f>
        <v>4903847.3684210284</v>
      </c>
      <c r="AC18" s="19">
        <f>'Other Consolidated Data'!DR21</f>
        <v>4658655</v>
      </c>
      <c r="AD18" s="19">
        <f>'Other Consolidated Data'!DS21</f>
        <v>55265297.563303962</v>
      </c>
      <c r="AF18" s="8" t="s">
        <v>47</v>
      </c>
      <c r="AG18" s="19">
        <f>'Other Consolidated Data'!EE21</f>
        <v>6544554.4488903023</v>
      </c>
      <c r="AH18" s="19">
        <f>'Other Consolidated Data'!EF21</f>
        <v>6227205.2764457874</v>
      </c>
      <c r="AI18" s="19">
        <f>'Other Consolidated Data'!EG21</f>
        <v>75400468.342467129</v>
      </c>
      <c r="AK18" s="8" t="s">
        <v>47</v>
      </c>
      <c r="AL18" s="19">
        <f>'Other Consolidated Data'!ES21</f>
        <v>7253907.2785976818</v>
      </c>
      <c r="AM18" s="19">
        <f>'Other Consolidated Data'!ET21</f>
        <v>6903154.7146677971</v>
      </c>
      <c r="AN18" s="19">
        <f>'Other Consolidated Data'!EU21</f>
        <v>83465972.869826123</v>
      </c>
      <c r="AP18" s="8" t="s">
        <v>47</v>
      </c>
      <c r="AQ18" s="19">
        <f>'Other Consolidated Data'!FG21</f>
        <v>7631699.5319267735</v>
      </c>
      <c r="AR18" s="19">
        <f>'Other Consolidated Data'!FH21</f>
        <v>7263120.1553304363</v>
      </c>
      <c r="AS18" s="19">
        <f>'Other Consolidated Data'!FI21</f>
        <v>87825645.634091377</v>
      </c>
      <c r="AU18" s="8" t="s">
        <v>47</v>
      </c>
      <c r="AV18" s="19">
        <f>'Other Consolidated Data'!FU21</f>
        <v>7824964.0877155792</v>
      </c>
      <c r="AW18" s="19">
        <f>'Other Consolidated Data'!FV21</f>
        <v>7447854.4333298001</v>
      </c>
      <c r="AX18" s="19">
        <f>'Other Consolidated Data'!FW21</f>
        <v>90101927.757835031</v>
      </c>
    </row>
    <row r="19" spans="2:50" ht="14.25" x14ac:dyDescent="0.2">
      <c r="B19" s="8" t="s">
        <v>398</v>
      </c>
      <c r="C19" s="19">
        <f>'Other Consolidated Data'!K22</f>
        <v>1544862.3500000003</v>
      </c>
      <c r="D19" s="19">
        <f>'Other Consolidated Data'!L22</f>
        <v>1272771.5532999991</v>
      </c>
      <c r="E19" s="19">
        <f>'Other Consolidated Data'!M22</f>
        <v>16258074.093499994</v>
      </c>
      <c r="G19" s="8" t="s">
        <v>398</v>
      </c>
      <c r="H19" s="19">
        <f>'Other Consolidated Data'!AH22</f>
        <v>1179494.42</v>
      </c>
      <c r="I19" s="19">
        <f>'Other Consolidated Data'!AI22</f>
        <v>960497.69079999847</v>
      </c>
      <c r="J19" s="19">
        <f>'Other Consolidated Data'!AJ22</f>
        <v>12138846.755999992</v>
      </c>
      <c r="L19" s="8" t="s">
        <v>398</v>
      </c>
      <c r="M19" s="19">
        <f>'Other Consolidated Data'!BE22</f>
        <v>1484115.4800000011</v>
      </c>
      <c r="N19" s="19">
        <f>'Other Consolidated Data'!BF22</f>
        <v>1201871.0304000007</v>
      </c>
      <c r="O19" s="19">
        <f>'Other Consolidated Data'!BG22</f>
        <v>15447500.607999975</v>
      </c>
      <c r="Q19" s="8" t="s">
        <v>398</v>
      </c>
      <c r="R19" s="19">
        <f>'Other Consolidated Data'!CB22</f>
        <v>1903881.4494000007</v>
      </c>
      <c r="S19" s="19">
        <f>'Other Consolidated Data'!CC22</f>
        <v>1578998.643090033</v>
      </c>
      <c r="T19" s="19">
        <f>'Other Consolidated Data'!CD22</f>
        <v>22673929.919149965</v>
      </c>
      <c r="V19" s="8" t="s">
        <v>398</v>
      </c>
      <c r="W19" s="19">
        <f>'Other Consolidated Data'!CY22</f>
        <v>2090313.5579999979</v>
      </c>
      <c r="X19" s="19">
        <f>'Other Consolidated Data'!CZ22</f>
        <v>1724526.2360999936</v>
      </c>
      <c r="Y19" s="19">
        <f>'Other Consolidated Data'!DA22</f>
        <v>24839366.921499815</v>
      </c>
      <c r="AA19" s="8" t="s">
        <v>398</v>
      </c>
      <c r="AB19" s="19">
        <f>'Other Consolidated Data'!DQ22</f>
        <v>1894217.0857221433</v>
      </c>
      <c r="AC19" s="19">
        <f>'Other Consolidated Data'!DR22</f>
        <v>1562745</v>
      </c>
      <c r="AD19" s="19">
        <f>'Other Consolidated Data'!DS22</f>
        <v>22509136.507847514</v>
      </c>
      <c r="AF19" s="8" t="s">
        <v>48</v>
      </c>
      <c r="AG19" s="19">
        <f>'Other Consolidated Data'!EE22</f>
        <v>2371944.8436538475</v>
      </c>
      <c r="AH19" s="19">
        <f>'Other Consolidated Data'!EF22</f>
        <v>1897555.8749230783</v>
      </c>
      <c r="AI19" s="19">
        <f>'Other Consolidated Data'!EG22</f>
        <v>23819561.699076939</v>
      </c>
      <c r="AK19" s="8" t="s">
        <v>48</v>
      </c>
      <c r="AL19" s="19">
        <f>'Other Consolidated Data'!ES22</f>
        <v>2732552.0374935945</v>
      </c>
      <c r="AM19" s="19">
        <f>'Other Consolidated Data'!ET22</f>
        <v>2186041.6299948758</v>
      </c>
      <c r="AN19" s="19">
        <f>'Other Consolidated Data'!EU22</f>
        <v>27438541.706279971</v>
      </c>
      <c r="AP19" s="8" t="s">
        <v>48</v>
      </c>
      <c r="AQ19" s="19">
        <f>'Other Consolidated Data'!FG22</f>
        <v>3005740.4675240275</v>
      </c>
      <c r="AR19" s="19">
        <f>'Other Consolidated Data'!FH22</f>
        <v>2404592.3740192219</v>
      </c>
      <c r="AS19" s="19">
        <f>'Other Consolidated Data'!FI22</f>
        <v>30181754.849206273</v>
      </c>
      <c r="AU19" s="8" t="s">
        <v>48</v>
      </c>
      <c r="AV19" s="19">
        <f>'Other Consolidated Data'!FU22</f>
        <v>3156997.038233825</v>
      </c>
      <c r="AW19" s="19">
        <f>'Other Consolidated Data'!FV22</f>
        <v>2525597.63058706</v>
      </c>
      <c r="AX19" s="19">
        <f>'Other Consolidated Data'!FW22</f>
        <v>31699602.045093495</v>
      </c>
    </row>
    <row r="20" spans="2:50" ht="14.25" x14ac:dyDescent="0.2">
      <c r="B20" s="8" t="s">
        <v>392</v>
      </c>
      <c r="C20" s="19">
        <f>'Other Consolidated Data'!K23</f>
        <v>0</v>
      </c>
      <c r="D20" s="19">
        <f>'Other Consolidated Data'!L23</f>
        <v>0</v>
      </c>
      <c r="E20" s="19">
        <f>'Other Consolidated Data'!M23</f>
        <v>0</v>
      </c>
      <c r="G20" s="8" t="s">
        <v>392</v>
      </c>
      <c r="H20" s="19">
        <f>'Other Consolidated Data'!AH23</f>
        <v>0</v>
      </c>
      <c r="I20" s="19">
        <f>'Other Consolidated Data'!AI23</f>
        <v>0</v>
      </c>
      <c r="J20" s="19">
        <f>'Other Consolidated Data'!AJ23</f>
        <v>0</v>
      </c>
      <c r="L20" s="8" t="s">
        <v>392</v>
      </c>
      <c r="M20" s="19">
        <f>'Other Consolidated Data'!BE23</f>
        <v>0</v>
      </c>
      <c r="N20" s="19">
        <f>'Other Consolidated Data'!BF23</f>
        <v>0</v>
      </c>
      <c r="O20" s="19">
        <f>'Other Consolidated Data'!BG23</f>
        <v>0</v>
      </c>
      <c r="Q20" s="8" t="s">
        <v>392</v>
      </c>
      <c r="R20" s="19">
        <f>'Other Consolidated Data'!CB23</f>
        <v>0</v>
      </c>
      <c r="S20" s="19">
        <f>'Other Consolidated Data'!CC23</f>
        <v>0</v>
      </c>
      <c r="T20" s="19">
        <f>'Other Consolidated Data'!CD23</f>
        <v>0</v>
      </c>
      <c r="V20" s="8" t="s">
        <v>392</v>
      </c>
      <c r="W20" s="19">
        <f>'Other Consolidated Data'!CY23</f>
        <v>0</v>
      </c>
      <c r="X20" s="19">
        <f>'Other Consolidated Data'!CZ23</f>
        <v>0</v>
      </c>
      <c r="Y20" s="19">
        <f>'Other Consolidated Data'!DA23</f>
        <v>0</v>
      </c>
      <c r="AA20" s="8" t="s">
        <v>392</v>
      </c>
      <c r="AB20" s="19">
        <f>'Other Consolidated Data'!DQ23</f>
        <v>0</v>
      </c>
      <c r="AC20" s="19">
        <f>'Other Consolidated Data'!DR23</f>
        <v>0</v>
      </c>
      <c r="AD20" s="19">
        <f>'Other Consolidated Data'!DS23</f>
        <v>0</v>
      </c>
      <c r="AF20" s="8" t="s">
        <v>49</v>
      </c>
      <c r="AG20" s="19">
        <f>'Other Consolidated Data'!EE23</f>
        <v>262120.6067670926</v>
      </c>
      <c r="AH20" s="19">
        <f>'Other Consolidated Data'!EF23</f>
        <v>196590.45507531945</v>
      </c>
      <c r="AI20" s="19">
        <f>'Other Consolidated Data'!EG23</f>
        <v>982952.27537659719</v>
      </c>
      <c r="AK20" s="8" t="s">
        <v>49</v>
      </c>
      <c r="AL20" s="19">
        <f>'Other Consolidated Data'!ES23</f>
        <v>392665.55764499994</v>
      </c>
      <c r="AM20" s="19">
        <f>'Other Consolidated Data'!ET23</f>
        <v>294499.16823374992</v>
      </c>
      <c r="AN20" s="19">
        <f>'Other Consolidated Data'!EU23</f>
        <v>1472495.8411687496</v>
      </c>
      <c r="AP20" s="8" t="s">
        <v>49</v>
      </c>
      <c r="AQ20" s="19">
        <f>'Other Consolidated Data'!FG23</f>
        <v>414472.66014887032</v>
      </c>
      <c r="AR20" s="19">
        <f>'Other Consolidated Data'!FH23</f>
        <v>310854.49511165277</v>
      </c>
      <c r="AS20" s="19">
        <f>'Other Consolidated Data'!FI23</f>
        <v>1554272.4755582639</v>
      </c>
      <c r="AU20" s="8" t="s">
        <v>49</v>
      </c>
      <c r="AV20" s="19">
        <f>'Other Consolidated Data'!FU23</f>
        <v>455919.92616375734</v>
      </c>
      <c r="AW20" s="19">
        <f>'Other Consolidated Data'!FV23</f>
        <v>341939.94462281797</v>
      </c>
      <c r="AX20" s="19">
        <f>'Other Consolidated Data'!FW23</f>
        <v>1709699.7231140898</v>
      </c>
    </row>
    <row r="21" spans="2:50" ht="14.25" x14ac:dyDescent="0.2">
      <c r="B21" s="8" t="s">
        <v>393</v>
      </c>
      <c r="C21" s="19">
        <f>'Other Consolidated Data'!K24</f>
        <v>0</v>
      </c>
      <c r="D21" s="19">
        <f>'Other Consolidated Data'!L24</f>
        <v>0</v>
      </c>
      <c r="E21" s="19">
        <f>'Other Consolidated Data'!M24</f>
        <v>0</v>
      </c>
      <c r="G21" s="8" t="s">
        <v>393</v>
      </c>
      <c r="H21" s="19">
        <f>'Other Consolidated Data'!AH24</f>
        <v>0</v>
      </c>
      <c r="I21" s="19">
        <f>'Other Consolidated Data'!AI24</f>
        <v>0</v>
      </c>
      <c r="J21" s="19">
        <f>'Other Consolidated Data'!AJ24</f>
        <v>0</v>
      </c>
      <c r="L21" s="8" t="s">
        <v>393</v>
      </c>
      <c r="M21" s="19">
        <f>'Other Consolidated Data'!BE24</f>
        <v>0</v>
      </c>
      <c r="N21" s="19">
        <f>'Other Consolidated Data'!BF24</f>
        <v>0</v>
      </c>
      <c r="O21" s="19">
        <f>'Other Consolidated Data'!BG24</f>
        <v>0</v>
      </c>
      <c r="Q21" s="8" t="s">
        <v>393</v>
      </c>
      <c r="R21" s="19">
        <f>'Other Consolidated Data'!CB24</f>
        <v>0</v>
      </c>
      <c r="S21" s="19">
        <f>'Other Consolidated Data'!CC24</f>
        <v>0</v>
      </c>
      <c r="T21" s="19">
        <f>'Other Consolidated Data'!CD24</f>
        <v>0</v>
      </c>
      <c r="V21" s="8" t="s">
        <v>393</v>
      </c>
      <c r="W21" s="19">
        <f>'Other Consolidated Data'!CY24</f>
        <v>0</v>
      </c>
      <c r="X21" s="19">
        <f>'Other Consolidated Data'!CZ24</f>
        <v>0</v>
      </c>
      <c r="Y21" s="19">
        <f>'Other Consolidated Data'!DA24</f>
        <v>0</v>
      </c>
      <c r="AA21" s="8" t="s">
        <v>393</v>
      </c>
      <c r="AB21" s="19">
        <f>'Other Consolidated Data'!DQ24</f>
        <v>0</v>
      </c>
      <c r="AC21" s="19">
        <f>'Other Consolidated Data'!DR24</f>
        <v>0</v>
      </c>
      <c r="AD21" s="19">
        <f>'Other Consolidated Data'!DS24</f>
        <v>0</v>
      </c>
      <c r="AF21" s="8" t="s">
        <v>50</v>
      </c>
      <c r="AG21" s="19">
        <f>'Other Consolidated Data'!EE24</f>
        <v>44047</v>
      </c>
      <c r="AH21" s="19">
        <f>'Other Consolidated Data'!EF24</f>
        <v>35237.600000000006</v>
      </c>
      <c r="AI21" s="19">
        <f>'Other Consolidated Data'!EG24</f>
        <v>613342.4</v>
      </c>
      <c r="AK21" s="8" t="s">
        <v>50</v>
      </c>
      <c r="AL21" s="19">
        <f>'Other Consolidated Data'!ES24</f>
        <v>63965</v>
      </c>
      <c r="AM21" s="19">
        <f>'Other Consolidated Data'!ET24</f>
        <v>51172</v>
      </c>
      <c r="AN21" s="19">
        <f>'Other Consolidated Data'!EU24</f>
        <v>892136</v>
      </c>
      <c r="AP21" s="8" t="s">
        <v>50</v>
      </c>
      <c r="AQ21" s="19">
        <f>'Other Consolidated Data'!FG24</f>
        <v>127930</v>
      </c>
      <c r="AR21" s="19">
        <f>'Other Consolidated Data'!FH24</f>
        <v>102344</v>
      </c>
      <c r="AS21" s="19">
        <f>'Other Consolidated Data'!FI24</f>
        <v>1784272</v>
      </c>
      <c r="AU21" s="8" t="s">
        <v>50</v>
      </c>
      <c r="AV21" s="19">
        <f>'Other Consolidated Data'!FU24</f>
        <v>224606</v>
      </c>
      <c r="AW21" s="19">
        <f>'Other Consolidated Data'!FV24</f>
        <v>179684.8</v>
      </c>
      <c r="AX21" s="19">
        <f>'Other Consolidated Data'!FW24</f>
        <v>3133628.8</v>
      </c>
    </row>
    <row r="22" spans="2:50" ht="14.25" x14ac:dyDescent="0.2">
      <c r="B22" s="8" t="s">
        <v>394</v>
      </c>
      <c r="C22" s="19">
        <f>'Other Consolidated Data'!K25</f>
        <v>0</v>
      </c>
      <c r="D22" s="19">
        <f>'Other Consolidated Data'!L25</f>
        <v>0</v>
      </c>
      <c r="E22" s="19">
        <f>'Other Consolidated Data'!M25</f>
        <v>0</v>
      </c>
      <c r="G22" s="8" t="s">
        <v>394</v>
      </c>
      <c r="H22" s="19">
        <f>'Other Consolidated Data'!AH25</f>
        <v>0</v>
      </c>
      <c r="I22" s="19">
        <f>'Other Consolidated Data'!AI25</f>
        <v>0</v>
      </c>
      <c r="J22" s="19">
        <f>'Other Consolidated Data'!AJ25</f>
        <v>0</v>
      </c>
      <c r="L22" s="8" t="s">
        <v>394</v>
      </c>
      <c r="M22" s="19">
        <f>'Other Consolidated Data'!BE25</f>
        <v>0</v>
      </c>
      <c r="N22" s="19">
        <f>'Other Consolidated Data'!BF25</f>
        <v>0</v>
      </c>
      <c r="O22" s="19">
        <f>'Other Consolidated Data'!BG25</f>
        <v>0</v>
      </c>
      <c r="Q22" s="8" t="s">
        <v>394</v>
      </c>
      <c r="R22" s="19">
        <f>'Other Consolidated Data'!CB25</f>
        <v>0</v>
      </c>
      <c r="S22" s="19">
        <f>'Other Consolidated Data'!CC25</f>
        <v>0</v>
      </c>
      <c r="T22" s="19">
        <f>'Other Consolidated Data'!CD25</f>
        <v>0</v>
      </c>
      <c r="V22" s="8" t="s">
        <v>394</v>
      </c>
      <c r="W22" s="19">
        <f>'Other Consolidated Data'!CY25</f>
        <v>0</v>
      </c>
      <c r="X22" s="19">
        <f>'Other Consolidated Data'!CZ25</f>
        <v>0</v>
      </c>
      <c r="Y22" s="19">
        <f>'Other Consolidated Data'!DA25</f>
        <v>0</v>
      </c>
      <c r="AA22" s="8" t="s">
        <v>394</v>
      </c>
      <c r="AB22" s="19">
        <f>'Other Consolidated Data'!DQ25</f>
        <v>0</v>
      </c>
      <c r="AC22" s="19">
        <f>'Other Consolidated Data'!DR25</f>
        <v>0</v>
      </c>
      <c r="AD22" s="19">
        <f>'Other Consolidated Data'!DS25</f>
        <v>0</v>
      </c>
      <c r="AF22" s="8" t="s">
        <v>51</v>
      </c>
      <c r="AG22" s="19">
        <f>'Other Consolidated Data'!EE25</f>
        <v>0</v>
      </c>
      <c r="AH22" s="19">
        <f>'Other Consolidated Data'!EF25</f>
        <v>0</v>
      </c>
      <c r="AI22" s="19">
        <f>'Other Consolidated Data'!EG25</f>
        <v>0</v>
      </c>
      <c r="AK22" s="8" t="s">
        <v>51</v>
      </c>
      <c r="AL22" s="19">
        <f>'Other Consolidated Data'!ES25</f>
        <v>0</v>
      </c>
      <c r="AM22" s="19">
        <f>'Other Consolidated Data'!ET25</f>
        <v>0</v>
      </c>
      <c r="AN22" s="19">
        <f>'Other Consolidated Data'!EU25</f>
        <v>0</v>
      </c>
      <c r="AP22" s="8" t="s">
        <v>51</v>
      </c>
      <c r="AQ22" s="19">
        <f>'Other Consolidated Data'!FG25</f>
        <v>0</v>
      </c>
      <c r="AR22" s="19">
        <f>'Other Consolidated Data'!FH25</f>
        <v>0</v>
      </c>
      <c r="AS22" s="19">
        <f>'Other Consolidated Data'!FI25</f>
        <v>0</v>
      </c>
      <c r="AU22" s="8" t="s">
        <v>51</v>
      </c>
      <c r="AV22" s="19">
        <f>'Other Consolidated Data'!FU25</f>
        <v>0</v>
      </c>
      <c r="AW22" s="19">
        <f>'Other Consolidated Data'!FV25</f>
        <v>0</v>
      </c>
      <c r="AX22" s="19">
        <f>'Other Consolidated Data'!FW25</f>
        <v>0</v>
      </c>
    </row>
    <row r="23" spans="2:50" ht="14.25" x14ac:dyDescent="0.2">
      <c r="B23" s="8" t="s">
        <v>395</v>
      </c>
      <c r="C23" s="19">
        <f>'Other Consolidated Data'!K26</f>
        <v>0</v>
      </c>
      <c r="D23" s="19">
        <f>'Other Consolidated Data'!L26</f>
        <v>0</v>
      </c>
      <c r="E23" s="19">
        <f>'Other Consolidated Data'!M26</f>
        <v>0</v>
      </c>
      <c r="G23" s="8" t="s">
        <v>395</v>
      </c>
      <c r="H23" s="19">
        <f>'Other Consolidated Data'!AH26</f>
        <v>0</v>
      </c>
      <c r="I23" s="19">
        <f>'Other Consolidated Data'!AI26</f>
        <v>0</v>
      </c>
      <c r="J23" s="19">
        <f>'Other Consolidated Data'!AJ26</f>
        <v>0</v>
      </c>
      <c r="L23" s="8" t="s">
        <v>395</v>
      </c>
      <c r="M23" s="19">
        <f>'Other Consolidated Data'!BE26</f>
        <v>0</v>
      </c>
      <c r="N23" s="19">
        <f>'Other Consolidated Data'!BF26</f>
        <v>0</v>
      </c>
      <c r="O23" s="19">
        <f>'Other Consolidated Data'!BG26</f>
        <v>0</v>
      </c>
      <c r="Q23" s="8" t="s">
        <v>395</v>
      </c>
      <c r="R23" s="19">
        <f>'Other Consolidated Data'!CB26</f>
        <v>0</v>
      </c>
      <c r="S23" s="19">
        <f>'Other Consolidated Data'!CC26</f>
        <v>0</v>
      </c>
      <c r="T23" s="19">
        <f>'Other Consolidated Data'!CD26</f>
        <v>0</v>
      </c>
      <c r="V23" s="8" t="s">
        <v>395</v>
      </c>
      <c r="W23" s="19">
        <f>'Other Consolidated Data'!CY26</f>
        <v>0</v>
      </c>
      <c r="X23" s="19">
        <f>'Other Consolidated Data'!CZ26</f>
        <v>0</v>
      </c>
      <c r="Y23" s="19">
        <f>'Other Consolidated Data'!DA26</f>
        <v>0</v>
      </c>
      <c r="AA23" s="8" t="s">
        <v>395</v>
      </c>
      <c r="AB23" s="19">
        <f>'Other Consolidated Data'!DQ26</f>
        <v>0</v>
      </c>
      <c r="AC23" s="19">
        <f>'Other Consolidated Data'!DR26</f>
        <v>0</v>
      </c>
      <c r="AD23" s="19">
        <f>'Other Consolidated Data'!DS26</f>
        <v>0</v>
      </c>
      <c r="AF23" s="8" t="s">
        <v>53</v>
      </c>
      <c r="AG23" s="19">
        <f>'Other Consolidated Data'!EE26</f>
        <v>0</v>
      </c>
      <c r="AH23" s="19">
        <f>'Other Consolidated Data'!EF26</f>
        <v>0</v>
      </c>
      <c r="AI23" s="19">
        <f>'Other Consolidated Data'!EG26</f>
        <v>0</v>
      </c>
      <c r="AK23" s="8" t="s">
        <v>53</v>
      </c>
      <c r="AL23" s="19">
        <f>'Other Consolidated Data'!ES26</f>
        <v>0</v>
      </c>
      <c r="AM23" s="19">
        <f>'Other Consolidated Data'!ET26</f>
        <v>0</v>
      </c>
      <c r="AN23" s="19">
        <f>'Other Consolidated Data'!EU26</f>
        <v>0</v>
      </c>
      <c r="AP23" s="8" t="s">
        <v>53</v>
      </c>
      <c r="AQ23" s="19">
        <f>'Other Consolidated Data'!FG26</f>
        <v>0</v>
      </c>
      <c r="AR23" s="19">
        <f>'Other Consolidated Data'!FH26</f>
        <v>0</v>
      </c>
      <c r="AS23" s="19">
        <f>'Other Consolidated Data'!FI26</f>
        <v>0</v>
      </c>
      <c r="AU23" s="8" t="s">
        <v>53</v>
      </c>
      <c r="AV23" s="19">
        <f>'Other Consolidated Data'!FU26</f>
        <v>0</v>
      </c>
      <c r="AW23" s="19">
        <f>'Other Consolidated Data'!FV26</f>
        <v>0</v>
      </c>
      <c r="AX23" s="19">
        <f>'Other Consolidated Data'!FW26</f>
        <v>0</v>
      </c>
    </row>
    <row r="24" spans="2:50" x14ac:dyDescent="0.2">
      <c r="B24" s="6" t="s">
        <v>4</v>
      </c>
      <c r="C24" s="18">
        <f>SUM(C25:C27)</f>
        <v>79055062.874111027</v>
      </c>
      <c r="D24" s="18">
        <f>SUM(D25:D27)</f>
        <v>37501716.866080582</v>
      </c>
      <c r="E24" s="18">
        <f>SUM(E25:E27)</f>
        <v>658473459.83116043</v>
      </c>
      <c r="G24" s="6" t="s">
        <v>4</v>
      </c>
      <c r="H24" s="18">
        <f>SUM(H25:H27)</f>
        <v>62710034.28647998</v>
      </c>
      <c r="I24" s="18">
        <f>SUM(I25:I27)</f>
        <v>28968881.214368008</v>
      </c>
      <c r="J24" s="18">
        <f>SUM(J25:J27)</f>
        <v>508553113.06172311</v>
      </c>
      <c r="L24" s="6" t="s">
        <v>4</v>
      </c>
      <c r="M24" s="18">
        <f>SUM(M25:M27)</f>
        <v>62115824.10458798</v>
      </c>
      <c r="N24" s="18">
        <f>SUM(N25:N27)</f>
        <v>44309314.055729605</v>
      </c>
      <c r="O24" s="18">
        <f>SUM(O25:O27)</f>
        <v>653664606.86652374</v>
      </c>
      <c r="Q24" s="6" t="s">
        <v>4</v>
      </c>
      <c r="R24" s="18">
        <f>SUM(R25:R27)</f>
        <v>79508543.191940024</v>
      </c>
      <c r="S24" s="18">
        <f>SUM(S25:S27)</f>
        <v>56794944.486172192</v>
      </c>
      <c r="T24" s="18">
        <f>SUM(T25:T27)</f>
        <v>747187489.68551755</v>
      </c>
      <c r="V24" s="6" t="s">
        <v>4</v>
      </c>
      <c r="W24" s="18">
        <f>SUM(W25:W27)</f>
        <v>83015550.845460027</v>
      </c>
      <c r="X24" s="18">
        <f>SUM(X25:X27)</f>
        <v>59349776.125488207</v>
      </c>
      <c r="Y24" s="18">
        <f>SUM(Y25:Y27)</f>
        <v>761719965.46575904</v>
      </c>
      <c r="AA24" s="6" t="s">
        <v>4</v>
      </c>
      <c r="AB24" s="18">
        <f>SUM(AB25:AB27)</f>
        <v>109711354.40285698</v>
      </c>
      <c r="AC24" s="18">
        <f>SUM(AC25:AC27)</f>
        <v>78435236</v>
      </c>
      <c r="AD24" s="18">
        <f>SUM(AD25:AD27)</f>
        <v>1006670777.1718186</v>
      </c>
      <c r="AF24" s="6" t="s">
        <v>4</v>
      </c>
      <c r="AG24" s="18">
        <f>SUM(AG25:AG27)</f>
        <v>77449853.227206796</v>
      </c>
      <c r="AH24" s="18">
        <f>SUM(AH25:AH27)</f>
        <v>54214897.259044752</v>
      </c>
      <c r="AI24" s="18">
        <f>SUM(AI25:AI27)</f>
        <v>881702950.88867092</v>
      </c>
      <c r="AK24" s="6" t="s">
        <v>4</v>
      </c>
      <c r="AL24" s="18">
        <f>SUM(AL25:AL27)</f>
        <v>82838154.969447315</v>
      </c>
      <c r="AM24" s="18">
        <f>SUM(AM25:AM27)</f>
        <v>57986708.478613123</v>
      </c>
      <c r="AN24" s="18">
        <f>SUM(AN25:AN27)</f>
        <v>946998155.97133923</v>
      </c>
      <c r="AP24" s="6" t="s">
        <v>4</v>
      </c>
      <c r="AQ24" s="18">
        <f>SUM(AQ25:AQ27)</f>
        <v>86127322.592576712</v>
      </c>
      <c r="AR24" s="18">
        <f>SUM(AR25:AR27)</f>
        <v>60289125.814803705</v>
      </c>
      <c r="AS24" s="18">
        <f>SUM(AS25:AS27)</f>
        <v>985844271.1532073</v>
      </c>
      <c r="AU24" s="6" t="s">
        <v>4</v>
      </c>
      <c r="AV24" s="18">
        <f>SUM(AV25:AV27)</f>
        <v>89678881.980595022</v>
      </c>
      <c r="AW24" s="18">
        <f>SUM(AW25:AW27)</f>
        <v>62775217.38641651</v>
      </c>
      <c r="AX24" s="18">
        <f>SUM(AX25:AX27)</f>
        <v>1027996522.5726756</v>
      </c>
    </row>
    <row r="25" spans="2:50" x14ac:dyDescent="0.2">
      <c r="B25" s="8" t="s">
        <v>52</v>
      </c>
      <c r="C25" s="19">
        <f>'Other Consolidated Data'!K29</f>
        <v>79055062.874111027</v>
      </c>
      <c r="D25" s="19">
        <f>'Other Consolidated Data'!L29</f>
        <v>37501716.866080582</v>
      </c>
      <c r="E25" s="19">
        <f>'Other Consolidated Data'!M29</f>
        <v>658473459.83116043</v>
      </c>
      <c r="G25" s="8" t="s">
        <v>52</v>
      </c>
      <c r="H25" s="19">
        <f>'Other Consolidated Data'!AH29</f>
        <v>62710034.28647998</v>
      </c>
      <c r="I25" s="19">
        <f>'Other Consolidated Data'!AI29</f>
        <v>28968881.214368008</v>
      </c>
      <c r="J25" s="19">
        <f>'Other Consolidated Data'!AJ29</f>
        <v>508553113.06172311</v>
      </c>
      <c r="L25" s="8" t="s">
        <v>52</v>
      </c>
      <c r="M25" s="19">
        <f>'Other Consolidated Data'!BE29</f>
        <v>62115824.10458798</v>
      </c>
      <c r="N25" s="19">
        <f>'Other Consolidated Data'!BF29</f>
        <v>44309314.055729605</v>
      </c>
      <c r="O25" s="19">
        <f>'Other Consolidated Data'!BG29</f>
        <v>653664606.86652374</v>
      </c>
      <c r="Q25" s="8" t="s">
        <v>52</v>
      </c>
      <c r="R25" s="19">
        <f>'Other Consolidated Data'!CB29</f>
        <v>79508543.191940024</v>
      </c>
      <c r="S25" s="19">
        <f>'Other Consolidated Data'!CC29</f>
        <v>56794944.486172192</v>
      </c>
      <c r="T25" s="19">
        <f>'Other Consolidated Data'!CD29</f>
        <v>747187489.68551755</v>
      </c>
      <c r="V25" s="8" t="s">
        <v>52</v>
      </c>
      <c r="W25" s="19">
        <f>'Other Consolidated Data'!CY29</f>
        <v>83015550.845460027</v>
      </c>
      <c r="X25" s="19">
        <f>'Other Consolidated Data'!CZ29</f>
        <v>59349776.125488207</v>
      </c>
      <c r="Y25" s="19">
        <f>'Other Consolidated Data'!DA29</f>
        <v>761719965.46575904</v>
      </c>
      <c r="AA25" s="8" t="s">
        <v>52</v>
      </c>
      <c r="AB25" s="19">
        <f>'Other Consolidated Data'!DQ29</f>
        <v>109711354.40285698</v>
      </c>
      <c r="AC25" s="19">
        <f>'Other Consolidated Data'!DR29</f>
        <v>78435236</v>
      </c>
      <c r="AD25" s="19">
        <f>'Other Consolidated Data'!DS29</f>
        <v>1006670777.1718186</v>
      </c>
      <c r="AF25" s="8" t="s">
        <v>52</v>
      </c>
      <c r="AG25" s="19">
        <f>'Other Consolidated Data'!EE29</f>
        <v>77449853.227206796</v>
      </c>
      <c r="AH25" s="19">
        <f>'Other Consolidated Data'!EF29</f>
        <v>54214897.259044752</v>
      </c>
      <c r="AI25" s="19">
        <f>'Other Consolidated Data'!EG29</f>
        <v>881702950.88867092</v>
      </c>
      <c r="AK25" s="8" t="s">
        <v>52</v>
      </c>
      <c r="AL25" s="19">
        <f>'Other Consolidated Data'!ES29</f>
        <v>82838154.969447315</v>
      </c>
      <c r="AM25" s="19">
        <f>'Other Consolidated Data'!ET29</f>
        <v>57986708.478613123</v>
      </c>
      <c r="AN25" s="19">
        <f>'Other Consolidated Data'!EU29</f>
        <v>946998155.97133923</v>
      </c>
      <c r="AP25" s="8" t="s">
        <v>52</v>
      </c>
      <c r="AQ25" s="19">
        <f>'Other Consolidated Data'!FG29</f>
        <v>86127322.592576712</v>
      </c>
      <c r="AR25" s="19">
        <f>'Other Consolidated Data'!FH29</f>
        <v>60289125.814803705</v>
      </c>
      <c r="AS25" s="19">
        <f>'Other Consolidated Data'!FI29</f>
        <v>985844271.1532073</v>
      </c>
      <c r="AU25" s="8" t="s">
        <v>52</v>
      </c>
      <c r="AV25" s="19">
        <f>'Other Consolidated Data'!FU29</f>
        <v>89678881.980595022</v>
      </c>
      <c r="AW25" s="19">
        <f>'Other Consolidated Data'!FV29</f>
        <v>62775217.38641651</v>
      </c>
      <c r="AX25" s="19">
        <f>'Other Consolidated Data'!FW29</f>
        <v>1027996522.5726756</v>
      </c>
    </row>
    <row r="26" spans="2:50" ht="14.25" x14ac:dyDescent="0.2">
      <c r="B26" s="8" t="s">
        <v>396</v>
      </c>
      <c r="C26" s="19">
        <f>'Other Consolidated Data'!K30</f>
        <v>0</v>
      </c>
      <c r="D26" s="19">
        <f>'Other Consolidated Data'!L30</f>
        <v>0</v>
      </c>
      <c r="E26" s="19">
        <f>'Other Consolidated Data'!M30</f>
        <v>0</v>
      </c>
      <c r="G26" s="8" t="s">
        <v>396</v>
      </c>
      <c r="H26" s="19">
        <f>'Other Consolidated Data'!AH30</f>
        <v>0</v>
      </c>
      <c r="I26" s="19">
        <f>'Other Consolidated Data'!AI30</f>
        <v>0</v>
      </c>
      <c r="J26" s="19">
        <f>'Other Consolidated Data'!AJ30</f>
        <v>0</v>
      </c>
      <c r="L26" s="8" t="s">
        <v>396</v>
      </c>
      <c r="M26" s="19">
        <f>'Other Consolidated Data'!BE30</f>
        <v>0</v>
      </c>
      <c r="N26" s="19">
        <f>'Other Consolidated Data'!BF30</f>
        <v>0</v>
      </c>
      <c r="O26" s="19">
        <f>'Other Consolidated Data'!BG30</f>
        <v>0</v>
      </c>
      <c r="Q26" s="8" t="s">
        <v>396</v>
      </c>
      <c r="R26" s="19">
        <f>'Other Consolidated Data'!CB30</f>
        <v>0</v>
      </c>
      <c r="S26" s="19">
        <f>'Other Consolidated Data'!CC30</f>
        <v>0</v>
      </c>
      <c r="T26" s="19">
        <f>'Other Consolidated Data'!CD30</f>
        <v>0</v>
      </c>
      <c r="V26" s="8" t="s">
        <v>396</v>
      </c>
      <c r="W26" s="19">
        <f>'Other Consolidated Data'!CY30</f>
        <v>0</v>
      </c>
      <c r="X26" s="19">
        <f>'Other Consolidated Data'!CZ30</f>
        <v>0</v>
      </c>
      <c r="Y26" s="19">
        <f>'Other Consolidated Data'!DA30</f>
        <v>0</v>
      </c>
      <c r="AA26" s="8" t="s">
        <v>396</v>
      </c>
      <c r="AB26" s="19">
        <f>'Other Consolidated Data'!DQ30</f>
        <v>0</v>
      </c>
      <c r="AC26" s="19">
        <f>'Other Consolidated Data'!DR30</f>
        <v>0</v>
      </c>
      <c r="AD26" s="19">
        <f>'Other Consolidated Data'!DS30</f>
        <v>0</v>
      </c>
      <c r="AF26" s="8" t="s">
        <v>58</v>
      </c>
      <c r="AG26" s="19">
        <f>'Other Consolidated Data'!EE30</f>
        <v>0</v>
      </c>
      <c r="AH26" s="19">
        <f>'Other Consolidated Data'!EF30</f>
        <v>0</v>
      </c>
      <c r="AI26" s="19">
        <f>'Other Consolidated Data'!EG30</f>
        <v>0</v>
      </c>
      <c r="AK26" s="8" t="s">
        <v>58</v>
      </c>
      <c r="AL26" s="19">
        <f>'Other Consolidated Data'!ES30</f>
        <v>0</v>
      </c>
      <c r="AM26" s="19">
        <f>'Other Consolidated Data'!ET30</f>
        <v>0</v>
      </c>
      <c r="AN26" s="19">
        <f>'Other Consolidated Data'!EU30</f>
        <v>0</v>
      </c>
      <c r="AP26" s="8" t="s">
        <v>58</v>
      </c>
      <c r="AQ26" s="19">
        <f>'Other Consolidated Data'!FG30</f>
        <v>0</v>
      </c>
      <c r="AR26" s="19">
        <f>'Other Consolidated Data'!FH30</f>
        <v>0</v>
      </c>
      <c r="AS26" s="19">
        <f>'Other Consolidated Data'!FI30</f>
        <v>0</v>
      </c>
      <c r="AU26" s="8" t="s">
        <v>58</v>
      </c>
      <c r="AV26" s="19">
        <f>'Other Consolidated Data'!FU30</f>
        <v>0</v>
      </c>
      <c r="AW26" s="19">
        <f>'Other Consolidated Data'!FV30</f>
        <v>0</v>
      </c>
      <c r="AX26" s="19">
        <f>'Other Consolidated Data'!FW30</f>
        <v>0</v>
      </c>
    </row>
    <row r="27" spans="2:50" ht="14.25" x14ac:dyDescent="0.2">
      <c r="B27" s="8" t="s">
        <v>397</v>
      </c>
      <c r="C27" s="19">
        <f>'Other Consolidated Data'!K31</f>
        <v>0</v>
      </c>
      <c r="D27" s="19">
        <f>'Other Consolidated Data'!L31</f>
        <v>0</v>
      </c>
      <c r="E27" s="19">
        <f>'Other Consolidated Data'!M31</f>
        <v>0</v>
      </c>
      <c r="G27" s="8" t="s">
        <v>397</v>
      </c>
      <c r="H27" s="19">
        <f>'Other Consolidated Data'!AH31</f>
        <v>0</v>
      </c>
      <c r="I27" s="19">
        <f>'Other Consolidated Data'!AI31</f>
        <v>0</v>
      </c>
      <c r="J27" s="19">
        <f>'Other Consolidated Data'!AJ31</f>
        <v>0</v>
      </c>
      <c r="L27" s="8" t="s">
        <v>397</v>
      </c>
      <c r="M27" s="19">
        <f>'Other Consolidated Data'!BE31</f>
        <v>0</v>
      </c>
      <c r="N27" s="19">
        <f>'Other Consolidated Data'!BF31</f>
        <v>0</v>
      </c>
      <c r="O27" s="19">
        <f>'Other Consolidated Data'!BG31</f>
        <v>0</v>
      </c>
      <c r="Q27" s="8" t="s">
        <v>397</v>
      </c>
      <c r="R27" s="19">
        <f>'Other Consolidated Data'!CB31</f>
        <v>0</v>
      </c>
      <c r="S27" s="19">
        <f>'Other Consolidated Data'!CC31</f>
        <v>0</v>
      </c>
      <c r="T27" s="19">
        <f>'Other Consolidated Data'!CD31</f>
        <v>0</v>
      </c>
      <c r="V27" s="8" t="s">
        <v>397</v>
      </c>
      <c r="W27" s="19">
        <f>'Other Consolidated Data'!CY31</f>
        <v>0</v>
      </c>
      <c r="X27" s="19">
        <f>'Other Consolidated Data'!CZ31</f>
        <v>0</v>
      </c>
      <c r="Y27" s="19">
        <f>'Other Consolidated Data'!DA31</f>
        <v>0</v>
      </c>
      <c r="AA27" s="8" t="s">
        <v>397</v>
      </c>
      <c r="AB27" s="19">
        <f>'Other Consolidated Data'!DQ31</f>
        <v>0</v>
      </c>
      <c r="AC27" s="19">
        <f>'Other Consolidated Data'!DR31</f>
        <v>0</v>
      </c>
      <c r="AD27" s="19">
        <f>'Other Consolidated Data'!DS31</f>
        <v>0</v>
      </c>
      <c r="AF27" s="8" t="s">
        <v>61</v>
      </c>
      <c r="AG27" s="19">
        <f>'Other Consolidated Data'!EE31</f>
        <v>0</v>
      </c>
      <c r="AH27" s="19">
        <f>'Other Consolidated Data'!EF31</f>
        <v>0</v>
      </c>
      <c r="AI27" s="19">
        <f>'Other Consolidated Data'!EG31</f>
        <v>0</v>
      </c>
      <c r="AK27" s="8" t="s">
        <v>61</v>
      </c>
      <c r="AL27" s="19">
        <f>'Other Consolidated Data'!ES31</f>
        <v>0</v>
      </c>
      <c r="AM27" s="19">
        <f>'Other Consolidated Data'!ET31</f>
        <v>0</v>
      </c>
      <c r="AN27" s="19">
        <f>'Other Consolidated Data'!EU31</f>
        <v>0</v>
      </c>
      <c r="AP27" s="8" t="s">
        <v>61</v>
      </c>
      <c r="AQ27" s="19">
        <f>'Other Consolidated Data'!FG31</f>
        <v>0</v>
      </c>
      <c r="AR27" s="19">
        <f>'Other Consolidated Data'!FH31</f>
        <v>0</v>
      </c>
      <c r="AS27" s="19">
        <f>'Other Consolidated Data'!FI31</f>
        <v>0</v>
      </c>
      <c r="AU27" s="8" t="s">
        <v>61</v>
      </c>
      <c r="AV27" s="19">
        <f>'Other Consolidated Data'!FU31</f>
        <v>0</v>
      </c>
      <c r="AW27" s="19">
        <f>'Other Consolidated Data'!FV31</f>
        <v>0</v>
      </c>
      <c r="AX27" s="19">
        <f>'Other Consolidated Data'!FW31</f>
        <v>0</v>
      </c>
    </row>
    <row r="28" spans="2:50" x14ac:dyDescent="0.2">
      <c r="B28" s="6" t="s">
        <v>5</v>
      </c>
      <c r="C28" s="18">
        <f>SUM(C29)</f>
        <v>63438078.54457099</v>
      </c>
      <c r="D28" s="18">
        <f t="shared" ref="D28:E28" si="0">SUM(D29)</f>
        <v>9712369.825173825</v>
      </c>
      <c r="E28" s="18">
        <f t="shared" si="0"/>
        <v>141733709.2545104</v>
      </c>
      <c r="G28" s="6" t="s">
        <v>5</v>
      </c>
      <c r="H28" s="18">
        <f t="shared" ref="H28:J28" si="1">SUM(H29)</f>
        <v>53714579.507830009</v>
      </c>
      <c r="I28" s="18">
        <f t="shared" si="1"/>
        <v>8223702.1226469995</v>
      </c>
      <c r="J28" s="18">
        <f t="shared" si="1"/>
        <v>97042448.452550992</v>
      </c>
      <c r="L28" s="6" t="s">
        <v>5</v>
      </c>
      <c r="M28" s="18">
        <f t="shared" ref="M28:O28" si="2">SUM(M29)</f>
        <v>78995116.239165008</v>
      </c>
      <c r="N28" s="18">
        <f t="shared" si="2"/>
        <v>22726894.942007769</v>
      </c>
      <c r="O28" s="18">
        <f t="shared" si="2"/>
        <v>75471580.997948781</v>
      </c>
      <c r="Q28" s="6" t="s">
        <v>5</v>
      </c>
      <c r="R28" s="18">
        <f t="shared" ref="R28:T28" si="3">SUM(R29)</f>
        <v>47160940.651649997</v>
      </c>
      <c r="S28" s="18">
        <f t="shared" si="3"/>
        <v>11200723.404766873</v>
      </c>
      <c r="T28" s="18">
        <f t="shared" si="3"/>
        <v>29134389.674219027</v>
      </c>
      <c r="V28" s="6" t="s">
        <v>5</v>
      </c>
      <c r="W28" s="18">
        <f t="shared" ref="W28:Y28" si="4">SUM(W29)</f>
        <v>49657012.672238991</v>
      </c>
      <c r="X28" s="18">
        <f t="shared" si="4"/>
        <v>11793540.509656765</v>
      </c>
      <c r="Y28" s="18">
        <f t="shared" si="4"/>
        <v>36242579.096966192</v>
      </c>
      <c r="AA28" s="6" t="s">
        <v>5</v>
      </c>
      <c r="AB28" s="18">
        <f t="shared" ref="AB28:AD28" si="5">SUM(AB29)</f>
        <v>57069347.36842104</v>
      </c>
      <c r="AC28" s="18">
        <f t="shared" si="5"/>
        <v>13553970</v>
      </c>
      <c r="AD28" s="18">
        <f t="shared" si="5"/>
        <v>41652532.536830492</v>
      </c>
      <c r="AF28" s="6" t="s">
        <v>5</v>
      </c>
      <c r="AG28" s="18">
        <f t="shared" ref="AG28:AI28" si="6">SUM(AG29)</f>
        <v>76840507.707485452</v>
      </c>
      <c r="AH28" s="18">
        <f t="shared" si="6"/>
        <v>18249620.580527794</v>
      </c>
      <c r="AI28" s="18">
        <f t="shared" si="6"/>
        <v>200745826.38580573</v>
      </c>
      <c r="AK28" s="6" t="s">
        <v>5</v>
      </c>
      <c r="AL28" s="18">
        <f t="shared" ref="AL28:AN28" si="7">SUM(AL29)</f>
        <v>84868620.45304364</v>
      </c>
      <c r="AM28" s="18">
        <f t="shared" si="7"/>
        <v>20156297.357597861</v>
      </c>
      <c r="AN28" s="18">
        <f t="shared" si="7"/>
        <v>221719270.93357646</v>
      </c>
      <c r="AP28" s="6" t="s">
        <v>5</v>
      </c>
      <c r="AQ28" s="18">
        <f t="shared" ref="AQ28:AS28" si="8">SUM(AQ29)</f>
        <v>89456113.45050545</v>
      </c>
      <c r="AR28" s="18">
        <f t="shared" si="8"/>
        <v>21245826.944495041</v>
      </c>
      <c r="AS28" s="18">
        <f t="shared" si="8"/>
        <v>233704096.38944545</v>
      </c>
      <c r="AU28" s="6" t="s">
        <v>5</v>
      </c>
      <c r="AV28" s="18">
        <f t="shared" ref="AV28:AX28" si="9">SUM(AV29)</f>
        <v>90602986.699870914</v>
      </c>
      <c r="AW28" s="18">
        <f t="shared" si="9"/>
        <v>21518209.34121934</v>
      </c>
      <c r="AX28" s="18">
        <f t="shared" si="9"/>
        <v>236700302.75341272</v>
      </c>
    </row>
    <row r="29" spans="2:50" x14ac:dyDescent="0.2">
      <c r="B29" s="9" t="s">
        <v>57</v>
      </c>
      <c r="C29" s="19">
        <f>'Other Consolidated Data'!K34</f>
        <v>63438078.54457099</v>
      </c>
      <c r="D29" s="19">
        <f>'Other Consolidated Data'!L34</f>
        <v>9712369.825173825</v>
      </c>
      <c r="E29" s="19">
        <f>'Other Consolidated Data'!M34</f>
        <v>141733709.2545104</v>
      </c>
      <c r="G29" s="9" t="s">
        <v>57</v>
      </c>
      <c r="H29" s="19">
        <f>'Other Consolidated Data'!AH34</f>
        <v>53714579.507830009</v>
      </c>
      <c r="I29" s="19">
        <f>'Other Consolidated Data'!AI34</f>
        <v>8223702.1226469995</v>
      </c>
      <c r="J29" s="19">
        <f>'Other Consolidated Data'!AJ34</f>
        <v>97042448.452550992</v>
      </c>
      <c r="L29" s="9" t="s">
        <v>57</v>
      </c>
      <c r="M29" s="19">
        <f>'Other Consolidated Data'!BE34</f>
        <v>78995116.239165008</v>
      </c>
      <c r="N29" s="19">
        <f>'Other Consolidated Data'!BF34</f>
        <v>22726894.942007769</v>
      </c>
      <c r="O29" s="19">
        <f>'Other Consolidated Data'!BG34</f>
        <v>75471580.997948781</v>
      </c>
      <c r="Q29" s="9" t="s">
        <v>57</v>
      </c>
      <c r="R29" s="19">
        <f>'Other Consolidated Data'!CB34</f>
        <v>47160940.651649997</v>
      </c>
      <c r="S29" s="19">
        <f>'Other Consolidated Data'!CC34</f>
        <v>11200723.404766873</v>
      </c>
      <c r="T29" s="19">
        <f>'Other Consolidated Data'!CD34</f>
        <v>29134389.674219027</v>
      </c>
      <c r="V29" s="9" t="s">
        <v>57</v>
      </c>
      <c r="W29" s="19">
        <f>'Other Consolidated Data'!CY34</f>
        <v>49657012.672238991</v>
      </c>
      <c r="X29" s="19">
        <f>'Other Consolidated Data'!CZ34</f>
        <v>11793540.509656765</v>
      </c>
      <c r="Y29" s="19">
        <f>'Other Consolidated Data'!DA34</f>
        <v>36242579.096966192</v>
      </c>
      <c r="AA29" s="9" t="s">
        <v>57</v>
      </c>
      <c r="AB29" s="19">
        <f>'Other Consolidated Data'!DQ34</f>
        <v>57069347.36842104</v>
      </c>
      <c r="AC29" s="19">
        <f>'Other Consolidated Data'!DR34</f>
        <v>13553970</v>
      </c>
      <c r="AD29" s="19">
        <f>'Other Consolidated Data'!DS34</f>
        <v>41652532.536830492</v>
      </c>
      <c r="AF29" s="9" t="s">
        <v>57</v>
      </c>
      <c r="AG29" s="19">
        <f>'Other Consolidated Data'!EE34</f>
        <v>76840507.707485452</v>
      </c>
      <c r="AH29" s="19">
        <f>'Other Consolidated Data'!EF34</f>
        <v>18249620.580527794</v>
      </c>
      <c r="AI29" s="19">
        <f>'Other Consolidated Data'!EG34</f>
        <v>200745826.38580573</v>
      </c>
      <c r="AK29" s="9" t="s">
        <v>57</v>
      </c>
      <c r="AL29" s="19">
        <f>'Other Consolidated Data'!ES34</f>
        <v>84868620.45304364</v>
      </c>
      <c r="AM29" s="19">
        <f>'Other Consolidated Data'!ET34</f>
        <v>20156297.357597861</v>
      </c>
      <c r="AN29" s="19">
        <f>'Other Consolidated Data'!EU34</f>
        <v>221719270.93357646</v>
      </c>
      <c r="AP29" s="9" t="s">
        <v>57</v>
      </c>
      <c r="AQ29" s="19">
        <f>'Other Consolidated Data'!FG34</f>
        <v>89456113.45050545</v>
      </c>
      <c r="AR29" s="19">
        <f>'Other Consolidated Data'!FH34</f>
        <v>21245826.944495041</v>
      </c>
      <c r="AS29" s="19">
        <f>'Other Consolidated Data'!FI34</f>
        <v>233704096.38944545</v>
      </c>
      <c r="AU29" s="9" t="s">
        <v>57</v>
      </c>
      <c r="AV29" s="19">
        <f>'Other Consolidated Data'!FU34</f>
        <v>90602986.699870914</v>
      </c>
      <c r="AW29" s="19">
        <f>'Other Consolidated Data'!FV34</f>
        <v>21518209.34121934</v>
      </c>
      <c r="AX29" s="19">
        <f>'Other Consolidated Data'!FW34</f>
        <v>236700302.75341272</v>
      </c>
    </row>
    <row r="30" spans="2:50" ht="13.5" thickBot="1" x14ac:dyDescent="0.25">
      <c r="B30" s="6" t="s">
        <v>311</v>
      </c>
      <c r="C30" s="18">
        <f>'Other Consolidated Data'!K36+'Other Consolidated Data'!K40</f>
        <v>1309464.6296000001</v>
      </c>
      <c r="D30" s="18">
        <f>'Other Consolidated Data'!L36+'Other Consolidated Data'!L40</f>
        <v>1144957.0063327202</v>
      </c>
      <c r="E30" s="18">
        <f>'Other Consolidated Data'!M36+'Other Consolidated Data'!M40</f>
        <v>8164849.2475629998</v>
      </c>
      <c r="G30" s="6" t="s">
        <v>311</v>
      </c>
      <c r="H30" s="18">
        <f>'Other Consolidated Data'!AH36+'Other Consolidated Data'!AH40</f>
        <v>1042670</v>
      </c>
      <c r="I30" s="18">
        <f>'Other Consolidated Data'!AI36+'Other Consolidated Data'!AI40</f>
        <v>1009360.5061999999</v>
      </c>
      <c r="J30" s="18">
        <f>'Other Consolidated Data'!AJ36+'Other Consolidated Data'!AJ40</f>
        <v>5189874.5310000004</v>
      </c>
      <c r="L30" s="6" t="s">
        <v>311</v>
      </c>
      <c r="M30" s="18">
        <f>'Other Consolidated Data'!BE36</f>
        <v>0</v>
      </c>
      <c r="N30" s="18">
        <f>'Other Consolidated Data'!BF36</f>
        <v>0</v>
      </c>
      <c r="O30" s="18">
        <f>'Other Consolidated Data'!BG36</f>
        <v>0</v>
      </c>
      <c r="Q30" s="6" t="s">
        <v>311</v>
      </c>
      <c r="R30" s="18">
        <f>'Other Consolidated Data'!CB36</f>
        <v>276138</v>
      </c>
      <c r="S30" s="18">
        <f>'Other Consolidated Data'!CC36</f>
        <v>276138</v>
      </c>
      <c r="T30" s="18">
        <f>'Other Consolidated Data'!CD36</f>
        <v>2761380</v>
      </c>
      <c r="V30" s="6" t="s">
        <v>311</v>
      </c>
      <c r="W30" s="18">
        <f>'Other Consolidated Data'!CY36</f>
        <v>375033</v>
      </c>
      <c r="X30" s="18">
        <f>'Other Consolidated Data'!CZ36</f>
        <v>375033</v>
      </c>
      <c r="Y30" s="18">
        <f>'Other Consolidated Data'!DA36</f>
        <v>3750330</v>
      </c>
      <c r="AA30" s="6" t="s">
        <v>311</v>
      </c>
      <c r="AB30" s="18">
        <f>'Other Consolidated Data'!DQ36</f>
        <v>375000</v>
      </c>
      <c r="AC30" s="18">
        <f>'Other Consolidated Data'!DR36</f>
        <v>375000</v>
      </c>
      <c r="AD30" s="18">
        <f>'Other Consolidated Data'!DS36</f>
        <v>3750000</v>
      </c>
      <c r="AF30" s="382"/>
      <c r="AG30" s="383"/>
      <c r="AH30" s="383"/>
      <c r="AI30" s="383"/>
      <c r="AK30" s="382"/>
      <c r="AL30" s="383"/>
      <c r="AM30" s="383"/>
      <c r="AN30" s="383"/>
      <c r="AP30" s="382"/>
      <c r="AQ30" s="383"/>
      <c r="AR30" s="383"/>
      <c r="AS30" s="383"/>
      <c r="AU30" s="382"/>
      <c r="AV30" s="383"/>
      <c r="AW30" s="383"/>
      <c r="AX30" s="383"/>
    </row>
    <row r="31" spans="2:50" ht="13.5" thickTop="1" x14ac:dyDescent="0.2">
      <c r="B31" s="7" t="s">
        <v>9</v>
      </c>
      <c r="C31" s="20">
        <f>SUM(C5,C12,C15,C24,C28,C30)</f>
        <v>201603945.84793201</v>
      </c>
      <c r="D31" s="20">
        <f t="shared" ref="D31:E31" si="10">SUM(D5,D12,D15,D24,D28,D30)</f>
        <v>92549295.706706151</v>
      </c>
      <c r="E31" s="20">
        <f t="shared" si="10"/>
        <v>1654915405.3460624</v>
      </c>
      <c r="G31" s="7" t="s">
        <v>9</v>
      </c>
      <c r="H31" s="20">
        <f t="shared" ref="H31:J31" si="11">SUM(H5,H12,H15,H24,H28,H30)</f>
        <v>168008902.16739199</v>
      </c>
      <c r="I31" s="20">
        <f t="shared" si="11"/>
        <v>78585463.128523737</v>
      </c>
      <c r="J31" s="20">
        <f t="shared" si="11"/>
        <v>1385885285.8888686</v>
      </c>
      <c r="L31" s="7" t="s">
        <v>9</v>
      </c>
      <c r="M31" s="20">
        <f t="shared" ref="M31:O31" si="12">SUM(M5,M12,M15,M24,M28,M30)</f>
        <v>207722348.55168134</v>
      </c>
      <c r="N31" s="20">
        <f t="shared" si="12"/>
        <v>121521973.53165616</v>
      </c>
      <c r="O31" s="20">
        <f t="shared" si="12"/>
        <v>1759636244.4606097</v>
      </c>
      <c r="Q31" s="7" t="s">
        <v>9</v>
      </c>
      <c r="R31" s="20">
        <f t="shared" ref="R31:T31" si="13">SUM(R5,R12,R15,R24,R28,R30)</f>
        <v>231320304.15278608</v>
      </c>
      <c r="S31" s="20">
        <f t="shared" si="13"/>
        <v>160919552.84759653</v>
      </c>
      <c r="T31" s="20">
        <f t="shared" si="13"/>
        <v>2707959439.9822083</v>
      </c>
      <c r="V31" s="7" t="s">
        <v>9</v>
      </c>
      <c r="W31" s="20">
        <f t="shared" ref="W31:Y31" si="14">SUM(W5,W12,W15,W24,W28,W30)</f>
        <v>190952712.02108997</v>
      </c>
      <c r="X31" s="20">
        <f t="shared" si="14"/>
        <v>122410033.33428994</v>
      </c>
      <c r="Y31" s="20">
        <f t="shared" si="14"/>
        <v>1665662378.397347</v>
      </c>
      <c r="AA31" s="7" t="s">
        <v>9</v>
      </c>
      <c r="AB31" s="20">
        <f t="shared" ref="AB31:AD31" si="15">SUM(AB5,AB12,AB15,AB24,AB28,AB30)</f>
        <v>233852936.26777527</v>
      </c>
      <c r="AC31" s="20">
        <f t="shared" si="15"/>
        <v>150807091</v>
      </c>
      <c r="AD31" s="20">
        <f t="shared" si="15"/>
        <v>2052618197.9623055</v>
      </c>
      <c r="AF31" s="7" t="s">
        <v>9</v>
      </c>
      <c r="AG31" s="20">
        <f>SUM(AG5,AG12,AG15,AG24,AG28)</f>
        <v>219119822.36651927</v>
      </c>
      <c r="AH31" s="20">
        <f>SUM(AH5,AH12,AH15,AH24,AH28)</f>
        <v>126168056.46601328</v>
      </c>
      <c r="AI31" s="20">
        <f>SUM(AI5,AI12,AI15,AI24,AI28)</f>
        <v>1946071773.2831006</v>
      </c>
      <c r="AK31" s="7" t="s">
        <v>9</v>
      </c>
      <c r="AL31" s="20">
        <f>SUM(AL5,AL12,AL15,AL24,AL28)</f>
        <v>240309059.30630171</v>
      </c>
      <c r="AM31" s="20">
        <f>SUM(AM5,AM12,AM15,AM24,AM28)</f>
        <v>138296213.28900367</v>
      </c>
      <c r="AN31" s="20">
        <f>SUM(AN5,AN12,AN15,AN24,AN28)</f>
        <v>2107179375.7834311</v>
      </c>
      <c r="AP31" s="7" t="s">
        <v>9</v>
      </c>
      <c r="AQ31" s="20">
        <f>SUM(AQ5,AQ12,AQ15,AQ24,AQ28)</f>
        <v>253401917.53538322</v>
      </c>
      <c r="AR31" s="20">
        <f>SUM(AR5,AR12,AR15,AR24,AR28)</f>
        <v>145928374.49926478</v>
      </c>
      <c r="AS31" s="20">
        <f>SUM(AS5,AS12,AS15,AS24,AS28)</f>
        <v>2209044715.6195755</v>
      </c>
      <c r="AU31" s="7" t="s">
        <v>9</v>
      </c>
      <c r="AV31" s="20">
        <f>SUM(AV5,AV12,AV15,AV24,AV28)</f>
        <v>262055545.90155908</v>
      </c>
      <c r="AW31" s="20">
        <f>SUM(AW5,AW12,AW15,AW24,AW28)</f>
        <v>151966195.6830284</v>
      </c>
      <c r="AX31" s="20">
        <f>SUM(AX5,AX12,AX15,AX24,AX28)</f>
        <v>2292597210.9748869</v>
      </c>
    </row>
    <row r="32" spans="2:50" ht="15" x14ac:dyDescent="0.25">
      <c r="B32"/>
      <c r="C32" s="56"/>
      <c r="D32" s="56"/>
      <c r="H32" s="56"/>
      <c r="I32" s="56"/>
      <c r="M32" s="56"/>
      <c r="N32" s="56"/>
      <c r="R32" s="56"/>
      <c r="S32" s="56"/>
      <c r="W32" s="56"/>
      <c r="X32" s="56"/>
      <c r="AB32" s="56"/>
      <c r="AC32" s="56"/>
    </row>
    <row r="33" spans="2:39" x14ac:dyDescent="0.2">
      <c r="B33" s="99" t="s">
        <v>198</v>
      </c>
    </row>
    <row r="34" spans="2:39" x14ac:dyDescent="0.2">
      <c r="B34" s="14" t="s">
        <v>376</v>
      </c>
    </row>
    <row r="35" spans="2:39" x14ac:dyDescent="0.2">
      <c r="B35" s="57" t="s">
        <v>377</v>
      </c>
    </row>
    <row r="36" spans="2:39" x14ac:dyDescent="0.2">
      <c r="B36" s="57" t="s">
        <v>378</v>
      </c>
      <c r="C36" s="56"/>
      <c r="D36" s="56"/>
      <c r="H36" s="56"/>
      <c r="I36" s="56"/>
      <c r="M36" s="56"/>
      <c r="N36" s="56"/>
      <c r="R36" s="56"/>
      <c r="S36" s="56"/>
      <c r="W36" s="56"/>
      <c r="X36" s="56"/>
      <c r="AB36" s="56"/>
      <c r="AC36" s="56"/>
      <c r="AG36" s="56"/>
      <c r="AH36" s="56"/>
      <c r="AL36" s="56"/>
      <c r="AM36" s="56"/>
    </row>
    <row r="37" spans="2:39" x14ac:dyDescent="0.2">
      <c r="B37" s="57" t="s">
        <v>379</v>
      </c>
    </row>
    <row r="38" spans="2:39" x14ac:dyDescent="0.2">
      <c r="B38" s="14" t="s">
        <v>380</v>
      </c>
      <c r="C38" s="384"/>
      <c r="D38" s="384"/>
    </row>
    <row r="39" spans="2:39" x14ac:dyDescent="0.2">
      <c r="B39" s="14" t="s">
        <v>381</v>
      </c>
    </row>
    <row r="40" spans="2:39" x14ac:dyDescent="0.2">
      <c r="B40" s="57" t="s">
        <v>382</v>
      </c>
    </row>
    <row r="41" spans="2:39" ht="14.25" x14ac:dyDescent="0.2">
      <c r="B41" s="57" t="s">
        <v>401</v>
      </c>
    </row>
  </sheetData>
  <mergeCells count="20">
    <mergeCell ref="AU1:AX1"/>
    <mergeCell ref="AU2:AX2"/>
    <mergeCell ref="AF1:AI1"/>
    <mergeCell ref="AF2:AI2"/>
    <mergeCell ref="AK1:AN1"/>
    <mergeCell ref="AK2:AN2"/>
    <mergeCell ref="AP1:AS1"/>
    <mergeCell ref="AP2:AS2"/>
    <mergeCell ref="Q1:T1"/>
    <mergeCell ref="Q2:T2"/>
    <mergeCell ref="V1:Y1"/>
    <mergeCell ref="V2:Y2"/>
    <mergeCell ref="AA1:AD1"/>
    <mergeCell ref="AA2:AD2"/>
    <mergeCell ref="B1:E1"/>
    <mergeCell ref="B2:E2"/>
    <mergeCell ref="G1:J1"/>
    <mergeCell ref="G2:J2"/>
    <mergeCell ref="L1:O1"/>
    <mergeCell ref="L2:O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87EB2-D4E3-4033-B342-534953E3AB74}">
  <sheetPr codeName="Sheet6"/>
  <dimension ref="B1:L7"/>
  <sheetViews>
    <sheetView showGridLines="0" zoomScale="115" zoomScaleNormal="115" workbookViewId="0"/>
  </sheetViews>
  <sheetFormatPr defaultRowHeight="12.75" x14ac:dyDescent="0.25"/>
  <cols>
    <col min="1" max="1" width="5.7109375" style="15" customWidth="1"/>
    <col min="2" max="2" width="32" style="15" customWidth="1"/>
    <col min="3" max="12" width="14.42578125" style="15" customWidth="1"/>
    <col min="13" max="13" width="5.7109375" style="15" customWidth="1"/>
    <col min="14" max="16384" width="9.140625" style="15"/>
  </cols>
  <sheetData>
    <row r="1" spans="2:12" x14ac:dyDescent="0.25">
      <c r="C1" s="385"/>
      <c r="D1" s="385"/>
      <c r="E1" s="483" t="s">
        <v>466</v>
      </c>
      <c r="F1" s="483"/>
      <c r="G1" s="483"/>
      <c r="H1" s="385"/>
      <c r="I1" s="385"/>
      <c r="J1" s="385"/>
      <c r="K1" s="385"/>
      <c r="L1" s="385"/>
    </row>
    <row r="2" spans="2:12" x14ac:dyDescent="0.25">
      <c r="C2" s="385"/>
      <c r="D2" s="385"/>
      <c r="E2" s="483" t="s">
        <v>490</v>
      </c>
      <c r="F2" s="483"/>
      <c r="G2" s="483"/>
      <c r="H2" s="385"/>
      <c r="I2" s="385"/>
      <c r="J2" s="385"/>
      <c r="K2" s="385"/>
      <c r="L2" s="385"/>
    </row>
    <row r="4" spans="2:12" x14ac:dyDescent="0.25">
      <c r="B4" s="109"/>
      <c r="C4" s="135" t="s">
        <v>250</v>
      </c>
      <c r="D4" s="135" t="s">
        <v>251</v>
      </c>
      <c r="E4" s="135" t="s">
        <v>252</v>
      </c>
      <c r="F4" s="135" t="s">
        <v>253</v>
      </c>
      <c r="G4" s="135" t="s">
        <v>254</v>
      </c>
      <c r="H4" s="135" t="s">
        <v>255</v>
      </c>
      <c r="I4" s="135" t="s">
        <v>256</v>
      </c>
      <c r="J4" s="135" t="s">
        <v>257</v>
      </c>
      <c r="K4" s="135" t="s">
        <v>258</v>
      </c>
      <c r="L4" s="135" t="s">
        <v>259</v>
      </c>
    </row>
    <row r="5" spans="2:12" ht="27" x14ac:dyDescent="0.25">
      <c r="B5" s="109" t="s">
        <v>306</v>
      </c>
      <c r="C5" s="280">
        <f>'Other Consolidated Data'!L42-'Other Consolidated Data'!L33</f>
        <v>82836925.881532326</v>
      </c>
      <c r="D5" s="280">
        <f>'Other Consolidated Data'!AI42-'Other Consolidated Data'!AI33</f>
        <v>70361761.005876735</v>
      </c>
      <c r="E5" s="280">
        <f>'Other Consolidated Data'!BF41-'Other Consolidated Data'!BF33</f>
        <v>98795078.589648396</v>
      </c>
      <c r="F5" s="280">
        <f>'Other Consolidated Data'!CC41-'Other Consolidated Data'!CC33</f>
        <v>149718829.44282967</v>
      </c>
      <c r="G5" s="280">
        <f>'Other Consolidated Data'!CZ41-'Other Consolidated Data'!CZ33</f>
        <v>110616492.82463318</v>
      </c>
      <c r="H5" s="280">
        <f>'Other Consolidated Data'!DR41-'Other Consolidated Data'!DR33</f>
        <v>137253121</v>
      </c>
      <c r="I5" s="280">
        <f>'Other Consolidated Data'!EF37-'Other Consolidated Data'!EF33</f>
        <v>107918435.88548549</v>
      </c>
      <c r="J5" s="280">
        <f>'Other Consolidated Data'!ET37-'Other Consolidated Data'!ET33</f>
        <v>118139915.93140581</v>
      </c>
      <c r="K5" s="280">
        <f>'Other Consolidated Data'!FH37-'Other Consolidated Data'!FH33</f>
        <v>124682547.55476974</v>
      </c>
      <c r="L5" s="280">
        <f>'Other Consolidated Data'!FV37-'Other Consolidated Data'!FV33</f>
        <v>130447986.34180906</v>
      </c>
    </row>
    <row r="6" spans="2:12" ht="27" x14ac:dyDescent="0.25">
      <c r="B6" s="109" t="s">
        <v>307</v>
      </c>
      <c r="C6" s="280">
        <f>'Other Consolidated Data'!M42-'Other Consolidated Data'!M33</f>
        <v>1513181696.091552</v>
      </c>
      <c r="D6" s="280">
        <f>'Other Consolidated Data'!AJ42-'Other Consolidated Data'!AJ33</f>
        <v>1288842837.4363177</v>
      </c>
      <c r="E6" s="280">
        <f>'Other Consolidated Data'!BG41-'Other Consolidated Data'!BG33</f>
        <v>1684164663.4626608</v>
      </c>
      <c r="F6" s="280">
        <f>'Other Consolidated Data'!CD41-'Other Consolidated Data'!CD33</f>
        <v>2678825050.3079891</v>
      </c>
      <c r="G6" s="280">
        <f>'Other Consolidated Data'!DA41-'Other Consolidated Data'!DA33</f>
        <v>1629419799.3003807</v>
      </c>
      <c r="H6" s="280">
        <f>'Other Consolidated Data'!DS41-'Other Consolidated Data'!DS33</f>
        <v>2010965665.4254751</v>
      </c>
      <c r="I6" s="280">
        <f>'Other Consolidated Data'!EG37-'Other Consolidated Data'!EG33</f>
        <v>1745325946.897295</v>
      </c>
      <c r="J6" s="280">
        <f>'Other Consolidated Data'!EU37-'Other Consolidated Data'!EU33</f>
        <v>1885460104.8498545</v>
      </c>
      <c r="K6" s="280">
        <f>'Other Consolidated Data'!FI37-'Other Consolidated Data'!FI33</f>
        <v>1975340619.23013</v>
      </c>
      <c r="L6" s="280">
        <f>'Other Consolidated Data'!FW37-'Other Consolidated Data'!FW33</f>
        <v>2055896908.2214742</v>
      </c>
    </row>
    <row r="7" spans="2:12" x14ac:dyDescent="0.25">
      <c r="B7" s="109" t="s">
        <v>277</v>
      </c>
      <c r="C7" s="281">
        <f t="shared" ref="C7:H7" si="0">C6/C5</f>
        <v>18.266994821314356</v>
      </c>
      <c r="D7" s="281">
        <f t="shared" si="0"/>
        <v>18.31737607204958</v>
      </c>
      <c r="E7" s="281">
        <f t="shared" si="0"/>
        <v>17.047050192226123</v>
      </c>
      <c r="F7" s="281">
        <f t="shared" si="0"/>
        <v>17.892372390814756</v>
      </c>
      <c r="G7" s="281">
        <f t="shared" si="0"/>
        <v>14.730351303793329</v>
      </c>
      <c r="H7" s="281">
        <f t="shared" si="0"/>
        <v>14.651511388403875</v>
      </c>
      <c r="I7" s="281">
        <f t="shared" ref="I7" si="1">I6/I5</f>
        <v>16.172639388040214</v>
      </c>
      <c r="J7" s="281">
        <f t="shared" ref="J7" si="2">J6/J5</f>
        <v>15.959551773717081</v>
      </c>
      <c r="K7" s="281">
        <f>K6/K5</f>
        <v>15.842960045089031</v>
      </c>
      <c r="L7" s="281">
        <f>L6/L5</f>
        <v>15.760280904869372</v>
      </c>
    </row>
  </sheetData>
  <mergeCells count="2">
    <mergeCell ref="E1:G1"/>
    <mergeCell ref="E2:G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238F1-9D42-4B05-A564-F54A03E3EB2D}">
  <sheetPr codeName="Sheet7"/>
  <dimension ref="A1:GC59"/>
  <sheetViews>
    <sheetView showGridLines="0" zoomScaleNormal="100" workbookViewId="0"/>
  </sheetViews>
  <sheetFormatPr defaultColWidth="8.7109375" defaultRowHeight="15" x14ac:dyDescent="0.25"/>
  <cols>
    <col min="1" max="1" width="5.7109375" style="393" customWidth="1"/>
    <col min="2" max="2" width="54.140625" style="264" customWidth="1"/>
    <col min="3" max="22" width="15.7109375" style="264" customWidth="1"/>
    <col min="23" max="23" width="5.7109375" customWidth="1"/>
    <col min="24" max="24" width="5.7109375" customWidth="1" collapsed="1"/>
    <col min="25" max="25" width="55.140625" style="264" customWidth="1"/>
    <col min="26" max="45" width="15.7109375" style="264" customWidth="1"/>
    <col min="46" max="46" width="5.7109375" customWidth="1"/>
    <col min="47" max="47" width="5.7109375" customWidth="1" collapsed="1"/>
    <col min="48" max="48" width="39.5703125" style="264" customWidth="1"/>
    <col min="49" max="68" width="15.7109375" style="264" customWidth="1"/>
    <col min="69" max="69" width="5.7109375" customWidth="1"/>
    <col min="70" max="70" width="5.7109375" customWidth="1" collapsed="1"/>
    <col min="71" max="71" width="36.7109375" style="264" bestFit="1" customWidth="1"/>
    <col min="72" max="91" width="15.7109375" style="264" customWidth="1"/>
    <col min="92" max="92" width="5.7109375" customWidth="1"/>
    <col min="93" max="93" width="5.7109375" customWidth="1" collapsed="1"/>
    <col min="94" max="94" width="36.7109375" style="264" bestFit="1" customWidth="1"/>
    <col min="95" max="114" width="15.7109375" style="264" customWidth="1"/>
    <col min="115" max="115" width="5.7109375" customWidth="1"/>
    <col min="116" max="116" width="5.7109375" customWidth="1" collapsed="1"/>
    <col min="117" max="117" width="40.5703125" style="264" customWidth="1"/>
    <col min="118" max="128" width="15.7109375" style="264" customWidth="1"/>
    <col min="129" max="130" width="5.7109375" customWidth="1"/>
    <col min="131" max="131" width="36.7109375" style="15" bestFit="1" customWidth="1"/>
    <col min="132" max="132" width="15.7109375" style="395" customWidth="1"/>
    <col min="133" max="134" width="15.7109375" style="396" customWidth="1"/>
    <col min="135" max="137" width="15.7109375" style="397" customWidth="1"/>
    <col min="138" max="138" width="15.7109375" style="396" customWidth="1"/>
    <col min="139" max="139" width="15.7109375" style="397" customWidth="1"/>
    <col min="140" max="142" width="15.7109375" style="264" customWidth="1"/>
    <col min="143" max="144" width="5.7109375" customWidth="1"/>
    <col min="145" max="145" width="36.7109375" style="15" bestFit="1" customWidth="1"/>
    <col min="146" max="146" width="15.7109375" style="395" customWidth="1"/>
    <col min="147" max="148" width="15.7109375" style="396" customWidth="1"/>
    <col min="149" max="151" width="15.7109375" style="397" customWidth="1"/>
    <col min="152" max="152" width="15.7109375" style="396" customWidth="1"/>
    <col min="153" max="153" width="15.7109375" style="397" customWidth="1"/>
    <col min="154" max="156" width="15.7109375" style="264" customWidth="1"/>
    <col min="157" max="158" width="5.7109375" customWidth="1"/>
    <col min="159" max="159" width="36.7109375" style="15" bestFit="1" customWidth="1"/>
    <col min="160" max="160" width="15.7109375" style="395" customWidth="1"/>
    <col min="161" max="162" width="15.7109375" style="396" customWidth="1"/>
    <col min="163" max="165" width="15.7109375" style="397" customWidth="1"/>
    <col min="166" max="166" width="15.7109375" style="396" customWidth="1"/>
    <col min="167" max="167" width="15.7109375" style="397" customWidth="1"/>
    <col min="168" max="170" width="15.7109375" style="264" customWidth="1"/>
    <col min="171" max="172" width="5.7109375" customWidth="1"/>
    <col min="173" max="173" width="36.7109375" style="15" bestFit="1" customWidth="1"/>
    <col min="174" max="174" width="15.7109375" style="395" customWidth="1"/>
    <col min="175" max="176" width="15.7109375" style="396" customWidth="1"/>
    <col min="177" max="179" width="15.7109375" style="397" customWidth="1"/>
    <col min="180" max="180" width="15.7109375" style="396" customWidth="1"/>
    <col min="181" max="181" width="15.7109375" style="397" customWidth="1"/>
    <col min="182" max="184" width="15.7109375" style="264" customWidth="1"/>
    <col min="185" max="185" width="5.7109375" style="15" customWidth="1"/>
    <col min="186" max="16384" width="8.7109375" style="15"/>
  </cols>
  <sheetData>
    <row r="1" spans="1:184" x14ac:dyDescent="0.25">
      <c r="C1" s="394"/>
      <c r="D1" s="394"/>
      <c r="E1" s="394"/>
      <c r="F1" s="394"/>
      <c r="G1" s="394"/>
      <c r="H1" s="394"/>
      <c r="I1" s="394"/>
      <c r="J1" s="485" t="s">
        <v>466</v>
      </c>
      <c r="K1" s="485"/>
      <c r="L1" s="485"/>
      <c r="M1" s="394"/>
      <c r="N1" s="394"/>
      <c r="O1" s="394"/>
      <c r="P1" s="394"/>
      <c r="Q1" s="394"/>
      <c r="R1" s="394"/>
      <c r="S1" s="394"/>
      <c r="T1" s="394"/>
      <c r="U1" s="394"/>
      <c r="V1" s="394"/>
      <c r="Z1" s="394"/>
      <c r="AA1" s="394"/>
      <c r="AB1" s="394"/>
      <c r="AC1" s="394"/>
      <c r="AD1" s="394"/>
      <c r="AE1" s="394"/>
      <c r="AF1" s="394"/>
      <c r="AG1" s="485" t="s">
        <v>468</v>
      </c>
      <c r="AH1" s="485"/>
      <c r="AI1" s="485"/>
      <c r="AJ1" s="394"/>
      <c r="AK1" s="394"/>
      <c r="AL1" s="394"/>
      <c r="AM1" s="394"/>
      <c r="AN1" s="394"/>
      <c r="AO1" s="394"/>
      <c r="AP1" s="394"/>
      <c r="AQ1" s="394"/>
      <c r="AR1" s="394"/>
      <c r="AS1" s="394"/>
      <c r="AW1" s="394"/>
      <c r="AX1" s="394"/>
      <c r="AY1" s="394"/>
      <c r="AZ1" s="394"/>
      <c r="BA1" s="394"/>
      <c r="BB1" s="394"/>
      <c r="BC1" s="394"/>
      <c r="BD1" s="485" t="s">
        <v>518</v>
      </c>
      <c r="BE1" s="485"/>
      <c r="BF1" s="485"/>
      <c r="BG1" s="394"/>
      <c r="BH1" s="394"/>
      <c r="BI1" s="394"/>
      <c r="BJ1" s="394"/>
      <c r="BK1" s="394"/>
      <c r="BL1" s="394"/>
      <c r="BM1" s="394"/>
      <c r="BN1" s="394"/>
      <c r="BO1" s="394"/>
      <c r="BP1" s="394"/>
      <c r="BT1" s="394"/>
      <c r="BU1" s="394"/>
      <c r="BV1" s="394"/>
      <c r="BW1" s="394"/>
      <c r="BX1" s="394"/>
      <c r="BY1" s="394"/>
      <c r="BZ1" s="394"/>
      <c r="CA1" s="485" t="s">
        <v>519</v>
      </c>
      <c r="CB1" s="485"/>
      <c r="CC1" s="485"/>
      <c r="CD1" s="394"/>
      <c r="CE1" s="394"/>
      <c r="CF1" s="394"/>
      <c r="CG1" s="394"/>
      <c r="CH1" s="394"/>
      <c r="CI1" s="394"/>
      <c r="CJ1" s="394"/>
      <c r="CK1" s="394"/>
      <c r="CL1" s="394"/>
      <c r="CM1" s="394"/>
      <c r="CQ1" s="394"/>
      <c r="CR1" s="394"/>
      <c r="CS1" s="394"/>
      <c r="CT1" s="394"/>
      <c r="CU1" s="394"/>
      <c r="CV1" s="394"/>
      <c r="CW1" s="394"/>
      <c r="CX1" s="485" t="s">
        <v>520</v>
      </c>
      <c r="CY1" s="485"/>
      <c r="CZ1" s="485"/>
      <c r="DA1" s="394"/>
      <c r="DB1" s="394"/>
      <c r="DC1" s="394"/>
      <c r="DD1" s="394"/>
      <c r="DE1" s="394"/>
      <c r="DF1" s="394"/>
      <c r="DG1" s="394"/>
      <c r="DH1" s="394"/>
      <c r="DI1" s="394"/>
      <c r="DJ1" s="394"/>
      <c r="DN1" s="394"/>
      <c r="DO1" s="394"/>
      <c r="DP1" s="394"/>
      <c r="DQ1" s="485" t="s">
        <v>521</v>
      </c>
      <c r="DR1" s="485"/>
      <c r="DS1" s="485"/>
      <c r="DT1" s="394"/>
      <c r="DU1" s="394"/>
      <c r="DV1" s="394"/>
      <c r="DW1" s="394"/>
      <c r="DX1" s="394"/>
      <c r="EB1" s="394"/>
      <c r="EC1" s="394"/>
      <c r="ED1" s="394"/>
      <c r="EE1" s="485" t="s">
        <v>522</v>
      </c>
      <c r="EF1" s="485"/>
      <c r="EG1" s="485"/>
      <c r="EH1" s="394"/>
      <c r="EI1" s="394"/>
      <c r="EJ1" s="394"/>
      <c r="EK1" s="394"/>
      <c r="EL1" s="394"/>
      <c r="EP1" s="394"/>
      <c r="EQ1" s="394"/>
      <c r="ER1" s="394"/>
      <c r="ES1" s="485" t="s">
        <v>523</v>
      </c>
      <c r="ET1" s="485"/>
      <c r="EU1" s="485"/>
      <c r="EV1" s="394"/>
      <c r="EW1" s="394"/>
      <c r="EX1" s="394"/>
      <c r="EY1" s="394"/>
      <c r="EZ1" s="394"/>
      <c r="FD1" s="394"/>
      <c r="FE1" s="394"/>
      <c r="FF1" s="394"/>
      <c r="FG1" s="485" t="s">
        <v>524</v>
      </c>
      <c r="FH1" s="485"/>
      <c r="FI1" s="485"/>
      <c r="FJ1" s="394"/>
      <c r="FK1" s="394"/>
      <c r="FL1" s="394"/>
      <c r="FM1" s="394"/>
      <c r="FN1" s="394"/>
      <c r="FR1" s="394"/>
      <c r="FS1" s="394"/>
      <c r="FT1" s="394"/>
      <c r="FU1" s="485" t="s">
        <v>525</v>
      </c>
      <c r="FV1" s="485"/>
      <c r="FW1" s="485"/>
      <c r="FX1" s="394"/>
      <c r="FY1" s="394"/>
      <c r="FZ1" s="394"/>
      <c r="GA1" s="394"/>
      <c r="GB1" s="394"/>
    </row>
    <row r="2" spans="1:184" x14ac:dyDescent="0.25">
      <c r="C2" s="394"/>
      <c r="D2" s="394"/>
      <c r="E2" s="394"/>
      <c r="F2" s="394"/>
      <c r="G2" s="394"/>
      <c r="H2" s="394"/>
      <c r="I2" s="394"/>
      <c r="J2" s="485" t="s">
        <v>582</v>
      </c>
      <c r="K2" s="485"/>
      <c r="L2" s="485"/>
      <c r="M2" s="394"/>
      <c r="N2" s="394"/>
      <c r="O2" s="394"/>
      <c r="P2" s="394"/>
      <c r="Q2" s="394"/>
      <c r="R2" s="394"/>
      <c r="S2" s="394"/>
      <c r="T2" s="394"/>
      <c r="U2" s="394"/>
      <c r="V2" s="394"/>
      <c r="Z2" s="394"/>
      <c r="AA2" s="394"/>
      <c r="AB2" s="394"/>
      <c r="AC2" s="394"/>
      <c r="AD2" s="394"/>
      <c r="AE2" s="394"/>
      <c r="AF2" s="394"/>
      <c r="AG2" s="485" t="s">
        <v>583</v>
      </c>
      <c r="AH2" s="485"/>
      <c r="AI2" s="485"/>
      <c r="AJ2" s="394"/>
      <c r="AK2" s="394"/>
      <c r="AL2" s="394"/>
      <c r="AM2" s="394"/>
      <c r="AN2" s="394"/>
      <c r="AO2" s="394"/>
      <c r="AP2" s="394"/>
      <c r="AQ2" s="394"/>
      <c r="AR2" s="394"/>
      <c r="AS2" s="394"/>
      <c r="AW2" s="394"/>
      <c r="AX2" s="394"/>
      <c r="AY2" s="394"/>
      <c r="AZ2" s="394"/>
      <c r="BA2" s="394"/>
      <c r="BB2" s="394"/>
      <c r="BC2" s="394"/>
      <c r="BD2" s="485" t="s">
        <v>584</v>
      </c>
      <c r="BE2" s="485"/>
      <c r="BF2" s="485"/>
      <c r="BG2" s="394"/>
      <c r="BH2" s="394"/>
      <c r="BI2" s="394"/>
      <c r="BJ2" s="394"/>
      <c r="BK2" s="394"/>
      <c r="BL2" s="394"/>
      <c r="BM2" s="394"/>
      <c r="BN2" s="394"/>
      <c r="BO2" s="394"/>
      <c r="BP2" s="394"/>
      <c r="BT2" s="394"/>
      <c r="BU2" s="394"/>
      <c r="BV2" s="394"/>
      <c r="BW2" s="394"/>
      <c r="BX2" s="394"/>
      <c r="BY2" s="394"/>
      <c r="BZ2" s="394"/>
      <c r="CA2" s="485" t="s">
        <v>585</v>
      </c>
      <c r="CB2" s="485"/>
      <c r="CC2" s="485"/>
      <c r="CD2" s="394"/>
      <c r="CE2" s="394"/>
      <c r="CF2" s="394"/>
      <c r="CG2" s="394"/>
      <c r="CH2" s="394"/>
      <c r="CI2" s="394"/>
      <c r="CJ2" s="394"/>
      <c r="CK2" s="394"/>
      <c r="CL2" s="394"/>
      <c r="CM2" s="394"/>
      <c r="CQ2" s="394"/>
      <c r="CR2" s="394"/>
      <c r="CS2" s="394"/>
      <c r="CT2" s="394"/>
      <c r="CU2" s="394"/>
      <c r="CV2" s="394"/>
      <c r="CW2" s="394"/>
      <c r="CX2" s="485" t="s">
        <v>586</v>
      </c>
      <c r="CY2" s="485"/>
      <c r="CZ2" s="485"/>
      <c r="DA2" s="394"/>
      <c r="DB2" s="394"/>
      <c r="DC2" s="394"/>
      <c r="DD2" s="394"/>
      <c r="DE2" s="394"/>
      <c r="DF2" s="394"/>
      <c r="DG2" s="394"/>
      <c r="DH2" s="394"/>
      <c r="DI2" s="394"/>
      <c r="DJ2" s="394"/>
      <c r="DN2" s="394"/>
      <c r="DO2" s="394"/>
      <c r="DP2" s="394"/>
      <c r="DQ2" s="485" t="s">
        <v>587</v>
      </c>
      <c r="DR2" s="485"/>
      <c r="DS2" s="485"/>
      <c r="DT2" s="394"/>
      <c r="DU2" s="394"/>
      <c r="DV2" s="394"/>
      <c r="DW2" s="394"/>
      <c r="DX2" s="394"/>
      <c r="EB2" s="394"/>
      <c r="EC2" s="394"/>
      <c r="ED2" s="394"/>
      <c r="EE2" s="485" t="s">
        <v>588</v>
      </c>
      <c r="EF2" s="485"/>
      <c r="EG2" s="485"/>
      <c r="EH2" s="394"/>
      <c r="EI2" s="394"/>
      <c r="EJ2" s="394"/>
      <c r="EK2" s="394"/>
      <c r="EL2" s="394"/>
      <c r="EP2" s="394"/>
      <c r="EQ2" s="394"/>
      <c r="ER2" s="394"/>
      <c r="ES2" s="485" t="s">
        <v>589</v>
      </c>
      <c r="ET2" s="485"/>
      <c r="EU2" s="485"/>
      <c r="EV2" s="394"/>
      <c r="EW2" s="394"/>
      <c r="EX2" s="394"/>
      <c r="EY2" s="394"/>
      <c r="EZ2" s="394"/>
      <c r="FD2" s="394"/>
      <c r="FE2" s="394"/>
      <c r="FF2" s="394"/>
      <c r="FG2" s="485" t="s">
        <v>590</v>
      </c>
      <c r="FH2" s="485"/>
      <c r="FI2" s="485"/>
      <c r="FJ2" s="394"/>
      <c r="FK2" s="394"/>
      <c r="FL2" s="394"/>
      <c r="FM2" s="394"/>
      <c r="FN2" s="394"/>
      <c r="FR2" s="394"/>
      <c r="FS2" s="394"/>
      <c r="FT2" s="394"/>
      <c r="FU2" s="485" t="s">
        <v>591</v>
      </c>
      <c r="FV2" s="485"/>
      <c r="FW2" s="485"/>
      <c r="FX2" s="394"/>
      <c r="FY2" s="394"/>
      <c r="FZ2" s="394"/>
      <c r="GA2" s="394"/>
      <c r="GB2" s="394"/>
    </row>
    <row r="3" spans="1:184" s="14" customFormat="1" x14ac:dyDescent="0.25">
      <c r="W3"/>
      <c r="X3"/>
      <c r="AT3"/>
      <c r="AU3"/>
      <c r="BQ3"/>
      <c r="BR3"/>
      <c r="CN3"/>
      <c r="CO3"/>
      <c r="DK3"/>
      <c r="DL3"/>
      <c r="DY3"/>
      <c r="DZ3"/>
      <c r="EM3"/>
      <c r="EN3"/>
      <c r="FA3"/>
      <c r="FB3"/>
      <c r="FO3"/>
      <c r="FP3"/>
    </row>
    <row r="4" spans="1:184" s="14" customFormat="1" x14ac:dyDescent="0.25">
      <c r="B4" s="402" t="s">
        <v>592</v>
      </c>
      <c r="C4" s="184">
        <v>1</v>
      </c>
      <c r="D4" s="184">
        <v>2</v>
      </c>
      <c r="E4" s="184">
        <v>3</v>
      </c>
      <c r="F4" s="184">
        <v>4</v>
      </c>
      <c r="G4" s="184">
        <v>5</v>
      </c>
      <c r="H4" s="184">
        <v>6</v>
      </c>
      <c r="I4" s="184">
        <v>7</v>
      </c>
      <c r="J4" s="184">
        <v>8</v>
      </c>
      <c r="K4" s="184">
        <v>9</v>
      </c>
      <c r="L4" s="184">
        <v>10</v>
      </c>
      <c r="M4" s="184">
        <v>11</v>
      </c>
      <c r="N4" s="184">
        <v>12</v>
      </c>
      <c r="O4" s="184">
        <v>13</v>
      </c>
      <c r="P4" s="184">
        <v>14</v>
      </c>
      <c r="Q4" s="184">
        <v>15</v>
      </c>
      <c r="R4" s="184">
        <v>16</v>
      </c>
      <c r="S4" s="184">
        <v>17</v>
      </c>
      <c r="T4" s="184">
        <v>18</v>
      </c>
      <c r="U4" s="184">
        <v>19</v>
      </c>
      <c r="V4" s="184">
        <v>20</v>
      </c>
      <c r="W4"/>
      <c r="X4"/>
      <c r="Y4" s="402" t="s">
        <v>592</v>
      </c>
      <c r="Z4" s="184">
        <v>1</v>
      </c>
      <c r="AA4" s="184">
        <v>2</v>
      </c>
      <c r="AB4" s="184">
        <v>3</v>
      </c>
      <c r="AC4" s="184">
        <v>4</v>
      </c>
      <c r="AD4" s="184">
        <v>5</v>
      </c>
      <c r="AE4" s="184">
        <v>6</v>
      </c>
      <c r="AF4" s="184">
        <v>7</v>
      </c>
      <c r="AG4" s="184">
        <v>8</v>
      </c>
      <c r="AH4" s="184">
        <v>9</v>
      </c>
      <c r="AI4" s="184">
        <v>10</v>
      </c>
      <c r="AJ4" s="184">
        <v>11</v>
      </c>
      <c r="AK4" s="184">
        <v>12</v>
      </c>
      <c r="AL4" s="184">
        <v>13</v>
      </c>
      <c r="AM4" s="184">
        <v>14</v>
      </c>
      <c r="AN4" s="184">
        <v>15</v>
      </c>
      <c r="AO4" s="184">
        <v>16</v>
      </c>
      <c r="AP4" s="184">
        <v>17</v>
      </c>
      <c r="AQ4" s="184">
        <v>18</v>
      </c>
      <c r="AR4" s="184">
        <v>19</v>
      </c>
      <c r="AS4" s="184">
        <v>20</v>
      </c>
      <c r="AT4"/>
      <c r="AU4"/>
      <c r="AV4" s="402" t="s">
        <v>592</v>
      </c>
      <c r="AW4" s="184">
        <v>1</v>
      </c>
      <c r="AX4" s="184">
        <v>2</v>
      </c>
      <c r="AY4" s="184">
        <v>3</v>
      </c>
      <c r="AZ4" s="184">
        <v>4</v>
      </c>
      <c r="BA4" s="184">
        <v>5</v>
      </c>
      <c r="BB4" s="184">
        <v>6</v>
      </c>
      <c r="BC4" s="184">
        <v>7</v>
      </c>
      <c r="BD4" s="184">
        <v>8</v>
      </c>
      <c r="BE4" s="184">
        <v>9</v>
      </c>
      <c r="BF4" s="184">
        <v>10</v>
      </c>
      <c r="BG4" s="184">
        <v>11</v>
      </c>
      <c r="BH4" s="184">
        <v>12</v>
      </c>
      <c r="BI4" s="184">
        <v>13</v>
      </c>
      <c r="BJ4" s="184">
        <v>14</v>
      </c>
      <c r="BK4" s="184">
        <v>15</v>
      </c>
      <c r="BL4" s="184">
        <v>16</v>
      </c>
      <c r="BM4" s="184">
        <v>17</v>
      </c>
      <c r="BN4" s="184">
        <v>18</v>
      </c>
      <c r="BO4" s="184">
        <v>19</v>
      </c>
      <c r="BP4" s="184">
        <v>20</v>
      </c>
      <c r="BQ4"/>
      <c r="BR4"/>
      <c r="BS4" s="402" t="s">
        <v>592</v>
      </c>
      <c r="BT4" s="184">
        <v>1</v>
      </c>
      <c r="BU4" s="184">
        <v>2</v>
      </c>
      <c r="BV4" s="184">
        <v>3</v>
      </c>
      <c r="BW4" s="184">
        <v>4</v>
      </c>
      <c r="BX4" s="184">
        <v>5</v>
      </c>
      <c r="BY4" s="184">
        <v>6</v>
      </c>
      <c r="BZ4" s="184">
        <v>7</v>
      </c>
      <c r="CA4" s="184">
        <v>8</v>
      </c>
      <c r="CB4" s="184">
        <v>9</v>
      </c>
      <c r="CC4" s="184">
        <v>10</v>
      </c>
      <c r="CD4" s="184">
        <v>11</v>
      </c>
      <c r="CE4" s="184">
        <v>12</v>
      </c>
      <c r="CF4" s="184">
        <v>13</v>
      </c>
      <c r="CG4" s="184">
        <v>14</v>
      </c>
      <c r="CH4" s="184">
        <v>15</v>
      </c>
      <c r="CI4" s="184">
        <v>16</v>
      </c>
      <c r="CJ4" s="184">
        <v>17</v>
      </c>
      <c r="CK4" s="184">
        <v>18</v>
      </c>
      <c r="CL4" s="184">
        <v>19</v>
      </c>
      <c r="CM4" s="184">
        <v>20</v>
      </c>
      <c r="CN4"/>
      <c r="CO4"/>
      <c r="CP4" s="402" t="s">
        <v>592</v>
      </c>
      <c r="CQ4" s="184">
        <v>1</v>
      </c>
      <c r="CR4" s="184">
        <v>2</v>
      </c>
      <c r="CS4" s="184">
        <v>3</v>
      </c>
      <c r="CT4" s="184">
        <v>4</v>
      </c>
      <c r="CU4" s="184">
        <v>5</v>
      </c>
      <c r="CV4" s="184">
        <v>6</v>
      </c>
      <c r="CW4" s="184">
        <v>7</v>
      </c>
      <c r="CX4" s="184">
        <v>8</v>
      </c>
      <c r="CY4" s="184">
        <v>9</v>
      </c>
      <c r="CZ4" s="184">
        <v>10</v>
      </c>
      <c r="DA4" s="184">
        <v>11</v>
      </c>
      <c r="DB4" s="184">
        <v>12</v>
      </c>
      <c r="DC4" s="184">
        <v>13</v>
      </c>
      <c r="DD4" s="184">
        <v>14</v>
      </c>
      <c r="DE4" s="184">
        <v>15</v>
      </c>
      <c r="DF4" s="184">
        <v>16</v>
      </c>
      <c r="DG4" s="184">
        <v>17</v>
      </c>
      <c r="DH4" s="184">
        <v>18</v>
      </c>
      <c r="DI4" s="184">
        <v>19</v>
      </c>
      <c r="DJ4" s="184">
        <v>20</v>
      </c>
      <c r="DK4"/>
      <c r="DL4"/>
      <c r="DM4" s="402" t="s">
        <v>592</v>
      </c>
      <c r="DN4" s="184">
        <v>1</v>
      </c>
      <c r="DO4" s="184">
        <v>2</v>
      </c>
      <c r="DP4" s="184">
        <v>3</v>
      </c>
      <c r="DQ4" s="184">
        <v>4</v>
      </c>
      <c r="DR4" s="184">
        <v>5</v>
      </c>
      <c r="DS4" s="184">
        <v>6</v>
      </c>
      <c r="DT4" s="184">
        <v>7</v>
      </c>
      <c r="DU4" s="184">
        <v>8</v>
      </c>
      <c r="DV4" s="184">
        <v>9</v>
      </c>
      <c r="DW4" s="184">
        <v>10</v>
      </c>
      <c r="DX4" s="184">
        <v>11</v>
      </c>
      <c r="DY4" s="184"/>
      <c r="DZ4" s="184"/>
      <c r="EA4" s="402" t="s">
        <v>592</v>
      </c>
      <c r="EB4" s="184">
        <v>1</v>
      </c>
      <c r="EC4" s="184">
        <v>2</v>
      </c>
      <c r="ED4" s="184">
        <v>3</v>
      </c>
      <c r="EE4" s="184">
        <v>4</v>
      </c>
      <c r="EF4" s="184">
        <v>5</v>
      </c>
      <c r="EG4" s="184">
        <v>6</v>
      </c>
      <c r="EH4" s="184">
        <v>7</v>
      </c>
      <c r="EI4" s="184">
        <v>8</v>
      </c>
      <c r="EJ4" s="184">
        <v>9</v>
      </c>
      <c r="EK4" s="184">
        <v>10</v>
      </c>
      <c r="EL4" s="184">
        <v>11</v>
      </c>
      <c r="EM4"/>
      <c r="EN4"/>
      <c r="EO4" s="402" t="s">
        <v>592</v>
      </c>
      <c r="EP4" s="184">
        <v>1</v>
      </c>
      <c r="EQ4" s="184">
        <v>2</v>
      </c>
      <c r="ER4" s="184">
        <v>3</v>
      </c>
      <c r="ES4" s="184">
        <v>4</v>
      </c>
      <c r="ET4" s="184">
        <v>5</v>
      </c>
      <c r="EU4" s="184">
        <v>6</v>
      </c>
      <c r="EV4" s="184">
        <v>7</v>
      </c>
      <c r="EW4" s="184">
        <v>8</v>
      </c>
      <c r="EX4" s="184">
        <v>9</v>
      </c>
      <c r="EY4" s="184">
        <v>10</v>
      </c>
      <c r="EZ4" s="184">
        <v>11</v>
      </c>
      <c r="FA4"/>
      <c r="FB4"/>
      <c r="FC4" s="402" t="s">
        <v>592</v>
      </c>
      <c r="FD4" s="184">
        <v>1</v>
      </c>
      <c r="FE4" s="184">
        <v>2</v>
      </c>
      <c r="FF4" s="184">
        <v>3</v>
      </c>
      <c r="FG4" s="184">
        <v>4</v>
      </c>
      <c r="FH4" s="184">
        <v>5</v>
      </c>
      <c r="FI4" s="184">
        <v>6</v>
      </c>
      <c r="FJ4" s="184">
        <v>7</v>
      </c>
      <c r="FK4" s="184">
        <v>8</v>
      </c>
      <c r="FL4" s="184">
        <v>9</v>
      </c>
      <c r="FM4" s="184">
        <v>10</v>
      </c>
      <c r="FN4" s="184">
        <v>11</v>
      </c>
      <c r="FO4"/>
      <c r="FP4"/>
      <c r="FQ4" s="402" t="s">
        <v>592</v>
      </c>
      <c r="FR4" s="184">
        <v>1</v>
      </c>
      <c r="FS4" s="184">
        <v>2</v>
      </c>
      <c r="FT4" s="184">
        <v>3</v>
      </c>
      <c r="FU4" s="184">
        <v>4</v>
      </c>
      <c r="FV4" s="184">
        <v>5</v>
      </c>
      <c r="FW4" s="184">
        <v>6</v>
      </c>
      <c r="FX4" s="184">
        <v>7</v>
      </c>
      <c r="FY4" s="184">
        <v>8</v>
      </c>
      <c r="FZ4" s="184">
        <v>9</v>
      </c>
      <c r="GA4" s="184">
        <v>10</v>
      </c>
      <c r="GB4" s="184">
        <v>11</v>
      </c>
    </row>
    <row r="5" spans="1:184" ht="63.75" x14ac:dyDescent="0.25">
      <c r="A5" s="387" t="s">
        <v>318</v>
      </c>
      <c r="B5" s="5" t="s">
        <v>334</v>
      </c>
      <c r="C5" s="17" t="s">
        <v>86</v>
      </c>
      <c r="D5" s="17" t="s">
        <v>350</v>
      </c>
      <c r="E5" s="17" t="s">
        <v>351</v>
      </c>
      <c r="F5" s="17" t="s">
        <v>352</v>
      </c>
      <c r="G5" s="101" t="s">
        <v>319</v>
      </c>
      <c r="H5" s="101" t="s">
        <v>320</v>
      </c>
      <c r="I5" s="101" t="s">
        <v>321</v>
      </c>
      <c r="J5" s="101" t="s">
        <v>322</v>
      </c>
      <c r="K5" s="17" t="s">
        <v>87</v>
      </c>
      <c r="L5" s="17" t="s">
        <v>88</v>
      </c>
      <c r="M5" s="17" t="s">
        <v>89</v>
      </c>
      <c r="N5" s="21" t="s">
        <v>90</v>
      </c>
      <c r="O5" s="17" t="s">
        <v>91</v>
      </c>
      <c r="P5" s="17" t="s">
        <v>278</v>
      </c>
      <c r="Q5" s="16" t="s">
        <v>92</v>
      </c>
      <c r="R5" s="16" t="s">
        <v>93</v>
      </c>
      <c r="S5" s="16" t="s">
        <v>94</v>
      </c>
      <c r="T5" s="16" t="s">
        <v>95</v>
      </c>
      <c r="U5" s="16" t="s">
        <v>96</v>
      </c>
      <c r="V5" s="16" t="s">
        <v>97</v>
      </c>
      <c r="X5" s="387" t="s">
        <v>318</v>
      </c>
      <c r="Y5" s="5" t="s">
        <v>335</v>
      </c>
      <c r="Z5" s="17" t="s">
        <v>86</v>
      </c>
      <c r="AA5" s="17" t="s">
        <v>350</v>
      </c>
      <c r="AB5" s="17" t="s">
        <v>351</v>
      </c>
      <c r="AC5" s="17" t="s">
        <v>352</v>
      </c>
      <c r="AD5" s="101" t="s">
        <v>319</v>
      </c>
      <c r="AE5" s="101" t="s">
        <v>320</v>
      </c>
      <c r="AF5" s="101" t="s">
        <v>321</v>
      </c>
      <c r="AG5" s="101" t="s">
        <v>322</v>
      </c>
      <c r="AH5" s="17" t="s">
        <v>87</v>
      </c>
      <c r="AI5" s="17" t="s">
        <v>88</v>
      </c>
      <c r="AJ5" s="17" t="s">
        <v>89</v>
      </c>
      <c r="AK5" s="21" t="s">
        <v>90</v>
      </c>
      <c r="AL5" s="17" t="s">
        <v>91</v>
      </c>
      <c r="AM5" s="17" t="s">
        <v>278</v>
      </c>
      <c r="AN5" s="16" t="s">
        <v>92</v>
      </c>
      <c r="AO5" s="16" t="s">
        <v>93</v>
      </c>
      <c r="AP5" s="16" t="s">
        <v>94</v>
      </c>
      <c r="AQ5" s="16" t="s">
        <v>95</v>
      </c>
      <c r="AR5" s="16" t="s">
        <v>96</v>
      </c>
      <c r="AS5" s="16" t="s">
        <v>97</v>
      </c>
      <c r="AU5" s="387" t="s">
        <v>318</v>
      </c>
      <c r="AV5" s="5" t="s">
        <v>336</v>
      </c>
      <c r="AW5" s="17" t="s">
        <v>86</v>
      </c>
      <c r="AX5" s="17" t="s">
        <v>350</v>
      </c>
      <c r="AY5" s="17" t="s">
        <v>351</v>
      </c>
      <c r="AZ5" s="17" t="s">
        <v>352</v>
      </c>
      <c r="BA5" s="101" t="s">
        <v>319</v>
      </c>
      <c r="BB5" s="101" t="s">
        <v>320</v>
      </c>
      <c r="BC5" s="101" t="s">
        <v>321</v>
      </c>
      <c r="BD5" s="101" t="s">
        <v>322</v>
      </c>
      <c r="BE5" s="17" t="s">
        <v>87</v>
      </c>
      <c r="BF5" s="17" t="s">
        <v>88</v>
      </c>
      <c r="BG5" s="17" t="s">
        <v>89</v>
      </c>
      <c r="BH5" s="21" t="s">
        <v>90</v>
      </c>
      <c r="BI5" s="17" t="s">
        <v>91</v>
      </c>
      <c r="BJ5" s="17" t="s">
        <v>278</v>
      </c>
      <c r="BK5" s="16" t="s">
        <v>92</v>
      </c>
      <c r="BL5" s="16" t="s">
        <v>93</v>
      </c>
      <c r="BM5" s="16" t="s">
        <v>94</v>
      </c>
      <c r="BN5" s="16" t="s">
        <v>95</v>
      </c>
      <c r="BO5" s="16" t="s">
        <v>96</v>
      </c>
      <c r="BP5" s="16" t="s">
        <v>97</v>
      </c>
      <c r="BR5" s="387" t="s">
        <v>318</v>
      </c>
      <c r="BS5" s="5" t="s">
        <v>355</v>
      </c>
      <c r="BT5" s="17" t="s">
        <v>86</v>
      </c>
      <c r="BU5" s="17" t="s">
        <v>350</v>
      </c>
      <c r="BV5" s="17" t="s">
        <v>351</v>
      </c>
      <c r="BW5" s="17" t="s">
        <v>352</v>
      </c>
      <c r="BX5" s="101" t="s">
        <v>319</v>
      </c>
      <c r="BY5" s="101" t="s">
        <v>320</v>
      </c>
      <c r="BZ5" s="101" t="s">
        <v>321</v>
      </c>
      <c r="CA5" s="101" t="s">
        <v>322</v>
      </c>
      <c r="CB5" s="17" t="s">
        <v>87</v>
      </c>
      <c r="CC5" s="17" t="s">
        <v>88</v>
      </c>
      <c r="CD5" s="17" t="s">
        <v>89</v>
      </c>
      <c r="CE5" s="21" t="s">
        <v>90</v>
      </c>
      <c r="CF5" s="17" t="s">
        <v>91</v>
      </c>
      <c r="CG5" s="17" t="s">
        <v>278</v>
      </c>
      <c r="CH5" s="16" t="s">
        <v>92</v>
      </c>
      <c r="CI5" s="16" t="s">
        <v>93</v>
      </c>
      <c r="CJ5" s="16" t="s">
        <v>94</v>
      </c>
      <c r="CK5" s="16" t="s">
        <v>95</v>
      </c>
      <c r="CL5" s="16" t="s">
        <v>96</v>
      </c>
      <c r="CM5" s="16" t="s">
        <v>97</v>
      </c>
      <c r="CO5" s="387" t="s">
        <v>318</v>
      </c>
      <c r="CP5" s="5" t="s">
        <v>356</v>
      </c>
      <c r="CQ5" s="17" t="s">
        <v>86</v>
      </c>
      <c r="CR5" s="17" t="s">
        <v>350</v>
      </c>
      <c r="CS5" s="17" t="s">
        <v>351</v>
      </c>
      <c r="CT5" s="17" t="s">
        <v>352</v>
      </c>
      <c r="CU5" s="101" t="s">
        <v>319</v>
      </c>
      <c r="CV5" s="101" t="s">
        <v>320</v>
      </c>
      <c r="CW5" s="101" t="s">
        <v>321</v>
      </c>
      <c r="CX5" s="101" t="s">
        <v>322</v>
      </c>
      <c r="CY5" s="17" t="s">
        <v>87</v>
      </c>
      <c r="CZ5" s="17" t="s">
        <v>88</v>
      </c>
      <c r="DA5" s="17" t="s">
        <v>89</v>
      </c>
      <c r="DB5" s="21" t="s">
        <v>90</v>
      </c>
      <c r="DC5" s="17" t="s">
        <v>91</v>
      </c>
      <c r="DD5" s="17" t="s">
        <v>278</v>
      </c>
      <c r="DE5" s="16" t="s">
        <v>92</v>
      </c>
      <c r="DF5" s="16" t="s">
        <v>93</v>
      </c>
      <c r="DG5" s="16" t="s">
        <v>94</v>
      </c>
      <c r="DH5" s="16" t="s">
        <v>95</v>
      </c>
      <c r="DI5" s="16" t="s">
        <v>96</v>
      </c>
      <c r="DJ5" s="16" t="s">
        <v>97</v>
      </c>
      <c r="DL5" s="387" t="s">
        <v>318</v>
      </c>
      <c r="DM5" s="5" t="s">
        <v>329</v>
      </c>
      <c r="DN5" s="17" t="s">
        <v>360</v>
      </c>
      <c r="DO5" s="17" t="s">
        <v>593</v>
      </c>
      <c r="DP5" s="17" t="s">
        <v>594</v>
      </c>
      <c r="DQ5" s="17" t="s">
        <v>359</v>
      </c>
      <c r="DR5" s="17" t="s">
        <v>357</v>
      </c>
      <c r="DS5" s="17" t="s">
        <v>358</v>
      </c>
      <c r="DT5" s="21" t="s">
        <v>90</v>
      </c>
      <c r="DU5" s="17" t="s">
        <v>91</v>
      </c>
      <c r="DV5" s="16" t="s">
        <v>92</v>
      </c>
      <c r="DW5" s="16" t="s">
        <v>93</v>
      </c>
      <c r="DX5" s="16" t="s">
        <v>94</v>
      </c>
      <c r="DZ5" s="387" t="s">
        <v>318</v>
      </c>
      <c r="EA5" s="5" t="s">
        <v>330</v>
      </c>
      <c r="EB5" s="26" t="s">
        <v>86</v>
      </c>
      <c r="EC5" s="17" t="s">
        <v>593</v>
      </c>
      <c r="ED5" s="17" t="s">
        <v>594</v>
      </c>
      <c r="EE5" s="17" t="s">
        <v>87</v>
      </c>
      <c r="EF5" s="17" t="s">
        <v>88</v>
      </c>
      <c r="EG5" s="17" t="s">
        <v>89</v>
      </c>
      <c r="EH5" s="27" t="s">
        <v>90</v>
      </c>
      <c r="EI5" s="17" t="s">
        <v>91</v>
      </c>
      <c r="EJ5" s="16" t="s">
        <v>92</v>
      </c>
      <c r="EK5" s="16" t="s">
        <v>93</v>
      </c>
      <c r="EL5" s="16" t="s">
        <v>94</v>
      </c>
      <c r="EN5" s="387" t="s">
        <v>318</v>
      </c>
      <c r="EO5" s="5" t="s">
        <v>331</v>
      </c>
      <c r="EP5" s="26" t="s">
        <v>86</v>
      </c>
      <c r="EQ5" s="17" t="s">
        <v>593</v>
      </c>
      <c r="ER5" s="17" t="s">
        <v>594</v>
      </c>
      <c r="ES5" s="17" t="s">
        <v>87</v>
      </c>
      <c r="ET5" s="17" t="s">
        <v>88</v>
      </c>
      <c r="EU5" s="17" t="s">
        <v>89</v>
      </c>
      <c r="EV5" s="27" t="s">
        <v>90</v>
      </c>
      <c r="EW5" s="17" t="s">
        <v>91</v>
      </c>
      <c r="EX5" s="16" t="s">
        <v>92</v>
      </c>
      <c r="EY5" s="16" t="s">
        <v>93</v>
      </c>
      <c r="EZ5" s="16" t="s">
        <v>94</v>
      </c>
      <c r="FB5" s="387" t="s">
        <v>318</v>
      </c>
      <c r="FC5" s="5" t="s">
        <v>332</v>
      </c>
      <c r="FD5" s="26" t="s">
        <v>86</v>
      </c>
      <c r="FE5" s="17" t="s">
        <v>593</v>
      </c>
      <c r="FF5" s="17" t="s">
        <v>594</v>
      </c>
      <c r="FG5" s="17" t="s">
        <v>87</v>
      </c>
      <c r="FH5" s="17" t="s">
        <v>88</v>
      </c>
      <c r="FI5" s="17" t="s">
        <v>89</v>
      </c>
      <c r="FJ5" s="27" t="s">
        <v>90</v>
      </c>
      <c r="FK5" s="17" t="s">
        <v>91</v>
      </c>
      <c r="FL5" s="16" t="s">
        <v>92</v>
      </c>
      <c r="FM5" s="16" t="s">
        <v>93</v>
      </c>
      <c r="FN5" s="16" t="s">
        <v>94</v>
      </c>
      <c r="FP5" s="387" t="s">
        <v>318</v>
      </c>
      <c r="FQ5" s="5" t="s">
        <v>333</v>
      </c>
      <c r="FR5" s="26" t="s">
        <v>86</v>
      </c>
      <c r="FS5" s="17" t="s">
        <v>593</v>
      </c>
      <c r="FT5" s="17" t="s">
        <v>594</v>
      </c>
      <c r="FU5" s="17" t="s">
        <v>87</v>
      </c>
      <c r="FV5" s="17" t="s">
        <v>88</v>
      </c>
      <c r="FW5" s="17" t="s">
        <v>89</v>
      </c>
      <c r="FX5" s="27" t="s">
        <v>90</v>
      </c>
      <c r="FY5" s="17" t="s">
        <v>91</v>
      </c>
      <c r="FZ5" s="16" t="s">
        <v>92</v>
      </c>
      <c r="GA5" s="16" t="s">
        <v>93</v>
      </c>
      <c r="GB5" s="16" t="s">
        <v>94</v>
      </c>
    </row>
    <row r="6" spans="1:184" x14ac:dyDescent="0.25">
      <c r="A6" s="33">
        <v>1</v>
      </c>
      <c r="B6" s="6" t="s">
        <v>1</v>
      </c>
      <c r="C6" s="22">
        <f t="shared" ref="C6:J6" si="0">SUM(C7:C13)</f>
        <v>55246</v>
      </c>
      <c r="D6" s="22">
        <f t="shared" si="0"/>
        <v>55224</v>
      </c>
      <c r="E6" s="22">
        <f t="shared" si="0"/>
        <v>6</v>
      </c>
      <c r="F6" s="22">
        <f t="shared" si="0"/>
        <v>0</v>
      </c>
      <c r="G6" s="186">
        <f t="shared" si="0"/>
        <v>36954195</v>
      </c>
      <c r="H6" s="186">
        <f t="shared" si="0"/>
        <v>49140059.038426474</v>
      </c>
      <c r="I6" s="186">
        <f t="shared" si="0"/>
        <v>33216070</v>
      </c>
      <c r="J6" s="186">
        <f t="shared" si="0"/>
        <v>41126623.890000001</v>
      </c>
      <c r="K6" s="22">
        <f t="shared" ref="K6:M6" si="1">SUM(K7:K13)</f>
        <v>17775284.439999998</v>
      </c>
      <c r="L6" s="22">
        <f t="shared" si="1"/>
        <v>16939760.82824</v>
      </c>
      <c r="M6" s="22">
        <f t="shared" si="1"/>
        <v>372383032.03359997</v>
      </c>
      <c r="N6" s="28">
        <f>IFERROR(J6/C6,0)</f>
        <v>744.42717825724935</v>
      </c>
      <c r="O6" s="22">
        <f>IFERROR(L6/C6,0)</f>
        <v>306.62420497846</v>
      </c>
      <c r="P6" s="22">
        <f>IFERROR(L6/D6,0)</f>
        <v>306.746357167898</v>
      </c>
      <c r="Q6" s="36">
        <f>IFERROR(G6/K6,0)</f>
        <v>2.078965044117179</v>
      </c>
      <c r="R6" s="36">
        <f>IFERROR(G6/L6,0)</f>
        <v>2.1815063019304417</v>
      </c>
      <c r="S6" s="36">
        <f>IFERROR(G6/M6,0)</f>
        <v>9.9237053842629541E-2</v>
      </c>
      <c r="T6" s="36">
        <f>IFERROR(H6/K6,0)</f>
        <v>2.7645160449779267</v>
      </c>
      <c r="U6" s="36">
        <f>IFERROR(H6/L6,0)</f>
        <v>2.9008708881241039</v>
      </c>
      <c r="V6" s="36">
        <f>IFERROR(H6/M6,0)</f>
        <v>0.13196105840287745</v>
      </c>
      <c r="X6" s="33">
        <v>1</v>
      </c>
      <c r="Y6" s="6" t="s">
        <v>1</v>
      </c>
      <c r="Z6" s="22">
        <f t="shared" ref="Z6:AG6" si="2">SUM(Z7:Z13)</f>
        <v>63170</v>
      </c>
      <c r="AA6" s="22">
        <f t="shared" si="2"/>
        <v>63167</v>
      </c>
      <c r="AB6" s="22">
        <f t="shared" si="2"/>
        <v>3</v>
      </c>
      <c r="AC6" s="22">
        <f t="shared" si="2"/>
        <v>0</v>
      </c>
      <c r="AD6" s="186">
        <f t="shared" si="2"/>
        <v>36954195</v>
      </c>
      <c r="AE6" s="186">
        <f t="shared" si="2"/>
        <v>56907456.581177488</v>
      </c>
      <c r="AF6" s="186">
        <f t="shared" si="2"/>
        <v>33216070</v>
      </c>
      <c r="AG6" s="186">
        <f t="shared" si="2"/>
        <v>48321504.68</v>
      </c>
      <c r="AH6" s="22">
        <f>SUM(AH7:AH13)</f>
        <v>18520329.933184024</v>
      </c>
      <c r="AI6" s="22">
        <f t="shared" ref="AI6:AJ6" si="3">SUM(AI7:AI13)</f>
        <v>17657349.77846412</v>
      </c>
      <c r="AJ6" s="22">
        <f t="shared" si="3"/>
        <v>380918857.7251116</v>
      </c>
      <c r="AK6" s="28">
        <f>IFERROR(AG6/Z6,0)</f>
        <v>764.94387652366629</v>
      </c>
      <c r="AL6" s="22">
        <f>IFERROR(AI6/Z6,0)</f>
        <v>279.52112994244294</v>
      </c>
      <c r="AM6" s="22">
        <f t="shared" ref="AM6:AM42" si="4">IFERROR(AI6/AA6,0)</f>
        <v>279.53440528225372</v>
      </c>
      <c r="AN6" s="36">
        <f>IFERROR(AD6/AH6,0)</f>
        <v>1.9953313538862434</v>
      </c>
      <c r="AO6" s="36">
        <f>IFERROR(AD6/AI6,0)</f>
        <v>2.09285059556737</v>
      </c>
      <c r="AP6" s="36">
        <f>IFERROR(AD6/AJ6,0)</f>
        <v>9.7013298897026076E-2</v>
      </c>
      <c r="AQ6" s="36">
        <f>IFERROR(AE6/AH6,0)</f>
        <v>3.0727020947511776</v>
      </c>
      <c r="AR6" s="36">
        <f>IFERROR(AE6/AI6,0)</f>
        <v>3.2228764392822398</v>
      </c>
      <c r="AS6" s="36">
        <f>IFERROR(AE6/AJ6,0)</f>
        <v>0.14939522007661932</v>
      </c>
      <c r="AU6" s="33">
        <v>1</v>
      </c>
      <c r="AV6" s="6" t="s">
        <v>1</v>
      </c>
      <c r="AW6" s="22">
        <f t="shared" ref="AW6:BD6" si="5">SUM(AW7:AW13)</f>
        <v>82505</v>
      </c>
      <c r="AX6" s="22">
        <f t="shared" si="5"/>
        <v>82088</v>
      </c>
      <c r="AY6" s="22">
        <f t="shared" si="5"/>
        <v>49</v>
      </c>
      <c r="AZ6" s="22">
        <f t="shared" si="5"/>
        <v>0</v>
      </c>
      <c r="BA6" s="186">
        <f t="shared" si="5"/>
        <v>70378563.721242025</v>
      </c>
      <c r="BB6" s="186">
        <f t="shared" si="5"/>
        <v>64103929.390000015</v>
      </c>
      <c r="BC6" s="186">
        <f t="shared" si="5"/>
        <v>61854725.903803393</v>
      </c>
      <c r="BD6" s="186">
        <f t="shared" si="5"/>
        <v>55369907.940000027</v>
      </c>
      <c r="BE6" s="22">
        <f t="shared" ref="BE6:BG6" si="6">SUM(BE7:BE13)</f>
        <v>24318381.316092692</v>
      </c>
      <c r="BF6" s="22">
        <f t="shared" si="6"/>
        <v>23183758.904855907</v>
      </c>
      <c r="BG6" s="22">
        <f t="shared" si="6"/>
        <v>501549185.89083683</v>
      </c>
      <c r="BH6" s="28">
        <f>IFERROR(BD6/AW6,0)</f>
        <v>671.10972595600299</v>
      </c>
      <c r="BI6" s="22">
        <f>IFERROR(BF6/AW6,0)</f>
        <v>280.99822925708634</v>
      </c>
      <c r="BJ6" s="22">
        <f t="shared" ref="BJ6:BJ41" si="7">IFERROR(BF6/AX6,0)</f>
        <v>282.4256761628485</v>
      </c>
      <c r="BK6" s="36">
        <f t="shared" ref="BK6:BK37" si="8">IFERROR(BA6/BE6,0)</f>
        <v>2.8940480374271047</v>
      </c>
      <c r="BL6" s="36">
        <f t="shared" ref="BL6:BL37" si="9">IFERROR(BA6/BF6,0)</f>
        <v>3.0356839031181018</v>
      </c>
      <c r="BM6" s="36">
        <f t="shared" ref="BM6:BM37" si="10">IFERROR(BA6/BG6,0)</f>
        <v>0.14032235661241818</v>
      </c>
      <c r="BN6" s="36">
        <f t="shared" ref="BN6:BN37" si="11">IFERROR(BB6/BE6,0)</f>
        <v>2.6360278078039361</v>
      </c>
      <c r="BO6" s="36">
        <f t="shared" ref="BO6:BO37" si="12">IFERROR(BB6/BF6,0)</f>
        <v>2.7650360605058424</v>
      </c>
      <c r="BP6" s="36">
        <f t="shared" ref="BP6:BP37" si="13">IFERROR(BB6/BG6,0)</f>
        <v>0.12781185015013136</v>
      </c>
      <c r="BR6" s="33">
        <v>1</v>
      </c>
      <c r="BS6" s="6" t="s">
        <v>1</v>
      </c>
      <c r="BT6" s="22">
        <f t="shared" ref="BT6:CA6" si="14">SUM(BT7:BT13)</f>
        <v>118819</v>
      </c>
      <c r="BU6" s="22">
        <f t="shared" si="14"/>
        <v>118724</v>
      </c>
      <c r="BV6" s="22">
        <f t="shared" si="14"/>
        <v>88</v>
      </c>
      <c r="BW6" s="22">
        <f t="shared" si="14"/>
        <v>5</v>
      </c>
      <c r="BX6" s="186">
        <f t="shared" si="14"/>
        <v>78855831.059486523</v>
      </c>
      <c r="BY6" s="186">
        <f t="shared" si="14"/>
        <v>203014220.54000154</v>
      </c>
      <c r="BZ6" s="186">
        <f t="shared" si="14"/>
        <v>69648585.375262067</v>
      </c>
      <c r="CA6" s="186">
        <f t="shared" si="14"/>
        <v>196646267.37000078</v>
      </c>
      <c r="CB6" s="22">
        <f t="shared" ref="CB6:CD6" si="15">SUM(CB7:CB13)</f>
        <v>59413554.124226913</v>
      </c>
      <c r="CC6" s="22">
        <f t="shared" si="15"/>
        <v>56482829.430014007</v>
      </c>
      <c r="CD6" s="22">
        <f t="shared" si="15"/>
        <v>1373715844.2304122</v>
      </c>
      <c r="CE6" s="28">
        <f>IFERROR(CA6/BT6,0)</f>
        <v>1655.006921199478</v>
      </c>
      <c r="CF6" s="22">
        <f>IFERROR(CC6/BT6,0)</f>
        <v>475.36866519676153</v>
      </c>
      <c r="CG6" s="22">
        <f t="shared" ref="CG6:CG41" si="16">IFERROR(CC6/BU6,0)</f>
        <v>475.74904341172811</v>
      </c>
      <c r="CH6" s="36">
        <f t="shared" ref="CH6:CH37" si="17">IFERROR(BX6/CB6,0)</f>
        <v>1.3272363894374681</v>
      </c>
      <c r="CI6" s="36">
        <f t="shared" ref="CI6:CI37" si="18">IFERROR(BX6/CC6,0)</f>
        <v>1.3961027068800467</v>
      </c>
      <c r="CJ6" s="36">
        <f t="shared" ref="CJ6:CJ37" si="19">IFERROR(BX6/CD6,0)</f>
        <v>5.7403306069941561E-2</v>
      </c>
      <c r="CK6" s="36">
        <f t="shared" ref="CK6:CK37" si="20">IFERROR(BY6/CB6,0)</f>
        <v>3.4169681233935632</v>
      </c>
      <c r="CL6" s="36">
        <f t="shared" ref="CL6:CL37" si="21">IFERROR(BY6/CC6,0)</f>
        <v>3.5942643558880083</v>
      </c>
      <c r="CM6" s="36">
        <f t="shared" ref="CM6:CM37" si="22">IFERROR(BY6/CD6,0)</f>
        <v>0.1477847266541028</v>
      </c>
      <c r="CO6" s="33">
        <v>1</v>
      </c>
      <c r="CP6" s="6" t="s">
        <v>1</v>
      </c>
      <c r="CQ6" s="22">
        <f>SUM(CQ7:CQ13)</f>
        <v>55831</v>
      </c>
      <c r="CR6" s="22">
        <f>SUM(CR7:CR13)</f>
        <v>55735</v>
      </c>
      <c r="CS6" s="22">
        <f>SUM(CS7:CS13)</f>
        <v>3</v>
      </c>
      <c r="CT6" s="22">
        <f>SUM(CT7:CT13)</f>
        <v>3</v>
      </c>
      <c r="CU6" s="186">
        <f>SUM(CU7:CU13)</f>
        <v>84573225.565705881</v>
      </c>
      <c r="CV6" s="186">
        <f t="shared" ref="CV6:CX6" si="23">SUM(CV7:CV13)</f>
        <v>65366912.719999969</v>
      </c>
      <c r="CW6" s="186">
        <f t="shared" si="23"/>
        <v>75006897.296023324</v>
      </c>
      <c r="CX6" s="186">
        <f t="shared" si="23"/>
        <v>55230333.929999977</v>
      </c>
      <c r="CY6" s="22">
        <f t="shared" ref="CY6:DA6" si="24">SUM(CY7:CY13)</f>
        <v>22784590.705992974</v>
      </c>
      <c r="CZ6" s="22">
        <f t="shared" si="24"/>
        <v>21477483.483490724</v>
      </c>
      <c r="DA6" s="22">
        <f t="shared" si="24"/>
        <v>458678566.21234864</v>
      </c>
      <c r="DB6" s="28">
        <f>IFERROR(CX6/CQ6,0)</f>
        <v>989.24135211620739</v>
      </c>
      <c r="DC6" s="22">
        <f>IFERROR(CZ6/CQ6,0)</f>
        <v>384.68742246226515</v>
      </c>
      <c r="DD6" s="22">
        <f t="shared" ref="DD6:DD41" si="25">IFERROR(CZ6/CR6,0)</f>
        <v>385.35002213134879</v>
      </c>
      <c r="DE6" s="36">
        <f t="shared" ref="DE6:DE38" si="26">IFERROR(CU6/CY6,0)</f>
        <v>3.7118606455134082</v>
      </c>
      <c r="DF6" s="36">
        <f t="shared" ref="DF6:DF38" si="27">IFERROR(CU6/CZ6,0)</f>
        <v>3.9377623375064164</v>
      </c>
      <c r="DG6" s="36">
        <f t="shared" ref="DG6:DG38" si="28">IFERROR(CU6/DA6,0)</f>
        <v>0.18438451629447206</v>
      </c>
      <c r="DH6" s="36">
        <f t="shared" ref="DH6:DH37" si="29">IFERROR(CV6/CY6,0)</f>
        <v>2.8689087973305867</v>
      </c>
      <c r="DI6" s="36">
        <f t="shared" ref="DI6:DI37" si="30">IFERROR(CV6/CZ6,0)</f>
        <v>3.0435089273958047</v>
      </c>
      <c r="DJ6" s="36">
        <f t="shared" ref="DJ6:DJ37" si="31">IFERROR(CV6/DA6,0)</f>
        <v>0.14251137405391182</v>
      </c>
      <c r="DL6" s="33">
        <v>1</v>
      </c>
      <c r="DM6" s="6" t="s">
        <v>1</v>
      </c>
      <c r="DN6" s="415">
        <f>SUM(DN7:DN13)</f>
        <v>69835.179444963171</v>
      </c>
      <c r="DO6" s="417">
        <f>SUM(DO7:DO13)</f>
        <v>86602982.94048664</v>
      </c>
      <c r="DP6" s="417">
        <f>SUM(DP7:DP13)</f>
        <v>76807062.831127897</v>
      </c>
      <c r="DQ6" s="415">
        <f>SUM(DQ7:DQ13)</f>
        <v>28283578.680932403</v>
      </c>
      <c r="DR6" s="415">
        <f t="shared" ref="DR6:DS6" si="32">SUM(DR7:DR13)</f>
        <v>26715185</v>
      </c>
      <c r="DS6" s="415">
        <f t="shared" si="32"/>
        <v>577438081.93836808</v>
      </c>
      <c r="DT6" s="425">
        <f>IFERROR(DP6/$DN6,0)</f>
        <v>1099.8333997503255</v>
      </c>
      <c r="DU6" s="415">
        <f>IFERROR(DR6/$DN6,0)</f>
        <v>382.54623546939018</v>
      </c>
      <c r="DV6" s="420">
        <f>IFERROR(DO6/DQ6,0)</f>
        <v>3.06195280015505</v>
      </c>
      <c r="DW6" s="420">
        <f>IFERROR(DO6/DR6,0)</f>
        <v>3.2417137646805232</v>
      </c>
      <c r="DX6" s="420">
        <f>IFERROR(DO6/DS6,0)</f>
        <v>0.14997795547147524</v>
      </c>
      <c r="DZ6" s="33">
        <v>1</v>
      </c>
      <c r="EA6" s="6" t="s">
        <v>1</v>
      </c>
      <c r="EB6" s="22">
        <f>SUM(EB7:EB13)</f>
        <v>215060</v>
      </c>
      <c r="EC6" s="417">
        <f>SUM(EC7:EC13)</f>
        <v>72787256</v>
      </c>
      <c r="ED6" s="417">
        <f>SUM(ED7:ED13)</f>
        <v>57980250</v>
      </c>
      <c r="EE6" s="22">
        <f>SUM(EE7:EE13)</f>
        <v>22050060</v>
      </c>
      <c r="EF6" s="22">
        <f t="shared" ref="EF6:EG6" si="33">SUM(EF7:EF13)</f>
        <v>19911599.600000001</v>
      </c>
      <c r="EG6" s="22">
        <f t="shared" si="33"/>
        <v>359010641.60000002</v>
      </c>
      <c r="EH6" s="28">
        <f t="shared" ref="EH6:EH37" si="34">IFERROR(ED6/$EB6,0)</f>
        <v>269.60034409002139</v>
      </c>
      <c r="EI6" s="22">
        <f>IFERROR(EF6/$EB6,0)</f>
        <v>92.586253138658989</v>
      </c>
      <c r="EJ6" s="36">
        <f t="shared" ref="EJ6:EJ37" si="35">IFERROR(EC6/$EE6,0)</f>
        <v>3.3010003600897231</v>
      </c>
      <c r="EK6" s="36">
        <f t="shared" ref="EK6:EK37" si="36">IFERROR(EC6/$EF6,0)</f>
        <v>3.6555202727158091</v>
      </c>
      <c r="EL6" s="36">
        <f t="shared" ref="EL6:EL37" si="37">IFERROR(EC6/$EG6,0)</f>
        <v>0.20274400690634012</v>
      </c>
      <c r="EN6" s="33">
        <v>1</v>
      </c>
      <c r="EO6" s="6" t="s">
        <v>1</v>
      </c>
      <c r="EP6" s="22">
        <f>SUM(EP7:EP13)</f>
        <v>255820</v>
      </c>
      <c r="EQ6" s="417">
        <f>SUM(EQ7:EQ13)</f>
        <v>75691912</v>
      </c>
      <c r="ER6" s="417">
        <f>SUM(ER7:ER13)</f>
        <v>61144701</v>
      </c>
      <c r="ES6" s="22">
        <f>SUM(ES7:ES13)</f>
        <v>24605060</v>
      </c>
      <c r="ET6" s="22">
        <f t="shared" ref="ET6:EU6" si="38">SUM(ET7:ET13)</f>
        <v>22400728.600000001</v>
      </c>
      <c r="EU6" s="22">
        <f t="shared" si="38"/>
        <v>375643761.60000002</v>
      </c>
      <c r="EV6" s="28">
        <f t="shared" ref="EV6:EV37" si="39">IFERROR(ER6/$EP6,0)</f>
        <v>239.01454538347275</v>
      </c>
      <c r="EW6" s="22">
        <f t="shared" ref="EW6:EW37" si="40">IFERROR(ET6/$EP6,0)</f>
        <v>87.564414822922373</v>
      </c>
      <c r="EX6" s="36">
        <f t="shared" ref="EX6:EX37" si="41">IFERROR(EQ6/$ES6,0)</f>
        <v>3.0762742297722503</v>
      </c>
      <c r="EY6" s="36">
        <f t="shared" ref="EY6:EY37" si="42">IFERROR(EQ6/$ET6,0)</f>
        <v>3.3789933064945039</v>
      </c>
      <c r="EZ6" s="36">
        <f t="shared" ref="EZ6:EZ37" si="43">IFERROR(EQ6/$EU6,0)</f>
        <v>0.20149918549851939</v>
      </c>
      <c r="FB6" s="33">
        <v>1</v>
      </c>
      <c r="FC6" s="6" t="s">
        <v>1</v>
      </c>
      <c r="FD6" s="22">
        <f>SUM(FD7:FD13)</f>
        <v>295535</v>
      </c>
      <c r="FE6" s="417">
        <f>SUM(FE7:FE13)</f>
        <v>78555425</v>
      </c>
      <c r="FF6" s="417">
        <f>SUM(FF7:FF13)</f>
        <v>63556848</v>
      </c>
      <c r="FG6" s="22">
        <f>SUM(FG7:FG13)</f>
        <v>26071232</v>
      </c>
      <c r="FH6" s="22">
        <f t="shared" ref="FH6:FI6" si="44">SUM(FH7:FH13)</f>
        <v>23828214.400000002</v>
      </c>
      <c r="FI6" s="22">
        <f t="shared" si="44"/>
        <v>384540711.60000002</v>
      </c>
      <c r="FJ6" s="28">
        <f t="shared" ref="FJ6:FJ37" si="45">IFERROR(FF6/$FD6,0)</f>
        <v>215.05692388380396</v>
      </c>
      <c r="FK6" s="22">
        <f t="shared" ref="FK6:FK37" si="46">IFERROR(FH6/$FD6,0)</f>
        <v>80.627385588847346</v>
      </c>
      <c r="FL6" s="36">
        <f t="shared" ref="FL6:FL37" si="47">IFERROR(FE6/$FG6,0)</f>
        <v>3.0131075125256834</v>
      </c>
      <c r="FM6" s="36">
        <f t="shared" ref="FM6:FM37" si="48">IFERROR(FE6/$FH6,0)</f>
        <v>3.2967398933593612</v>
      </c>
      <c r="FN6" s="36">
        <f t="shared" ref="FN6:FN37" si="49">IFERROR(FE6/$FI6,0)</f>
        <v>0.20428376666061174</v>
      </c>
      <c r="FP6" s="33">
        <v>1</v>
      </c>
      <c r="FQ6" s="6" t="s">
        <v>1</v>
      </c>
      <c r="FR6" s="22">
        <f>SUM(FR7:FR13)</f>
        <v>333965</v>
      </c>
      <c r="FS6" s="417">
        <f>SUM(FS7:FS13)</f>
        <v>81536209</v>
      </c>
      <c r="FT6" s="417">
        <f>SUM(FT7:FT13)</f>
        <v>66031749</v>
      </c>
      <c r="FU6" s="22">
        <f>SUM(FU7:FU13)</f>
        <v>27329847.5</v>
      </c>
      <c r="FV6" s="22">
        <f t="shared" ref="FV6:FW6" si="50">SUM(FV7:FV13)</f>
        <v>25053075.350000001</v>
      </c>
      <c r="FW6" s="22">
        <f t="shared" si="50"/>
        <v>392077620.35000002</v>
      </c>
      <c r="FX6" s="28">
        <f t="shared" ref="FX6:FX37" si="51">IFERROR(FT6/$FR6,0)</f>
        <v>197.72056652643241</v>
      </c>
      <c r="FY6" s="22">
        <f t="shared" ref="FY6:FY37" si="52">IFERROR(FV6/$FR6,0)</f>
        <v>75.017068704804402</v>
      </c>
      <c r="FZ6" s="36">
        <f t="shared" ref="FZ6:FZ37" si="53">IFERROR(FS6/$FU6,0)</f>
        <v>2.9834125126384259</v>
      </c>
      <c r="GA6" s="36">
        <f t="shared" ref="GA6:GA37" si="54">IFERROR(FS6/$FV6,0)</f>
        <v>3.2545389282916917</v>
      </c>
      <c r="GB6" s="36">
        <f t="shared" ref="GB6:GB37" si="55">IFERROR(FS6/$FW6,0)</f>
        <v>0.20795935490328221</v>
      </c>
    </row>
    <row r="7" spans="1:184" x14ac:dyDescent="0.25">
      <c r="A7" s="33">
        <v>2</v>
      </c>
      <c r="B7" s="8" t="s">
        <v>26</v>
      </c>
      <c r="C7" s="403">
        <v>20406</v>
      </c>
      <c r="D7" s="404">
        <v>20395</v>
      </c>
      <c r="E7" s="405">
        <v>3</v>
      </c>
      <c r="F7" s="405">
        <v>0</v>
      </c>
      <c r="G7" s="187">
        <v>30953200</v>
      </c>
      <c r="H7" s="187">
        <v>41089151.039999999</v>
      </c>
      <c r="I7" s="187">
        <v>30953200</v>
      </c>
      <c r="J7" s="187">
        <v>38529153.890000001</v>
      </c>
      <c r="K7" s="408">
        <v>12451223.109999999</v>
      </c>
      <c r="L7" s="408">
        <v>11828661.949999999</v>
      </c>
      <c r="M7" s="408">
        <v>295716548.86000001</v>
      </c>
      <c r="N7" s="29">
        <f t="shared" ref="N7:N42" si="56">IFERROR(J7/C7,0)</f>
        <v>1888.1286822503187</v>
      </c>
      <c r="O7" s="24">
        <f t="shared" ref="O7:O42" si="57">IFERROR(L7/C7,0)</f>
        <v>579.66588013329408</v>
      </c>
      <c r="P7" s="24">
        <f t="shared" ref="P7:P42" si="58">IFERROR(L7/D7,0)</f>
        <v>579.97852169649423</v>
      </c>
      <c r="Q7" s="40">
        <f t="shared" ref="Q7:Q42" si="59">IFERROR(G7/K7,0)</f>
        <v>2.4859565784457298</v>
      </c>
      <c r="R7" s="40">
        <f t="shared" ref="R7:R42" si="60">IFERROR(G7/L7,0)</f>
        <v>2.6167963993594392</v>
      </c>
      <c r="S7" s="40">
        <f t="shared" ref="S7:S42" si="61">IFERROR(G7/M7,0)</f>
        <v>0.10467185593544194</v>
      </c>
      <c r="T7" s="40">
        <f t="shared" ref="T7:T42" si="62">IFERROR(H7/K7,0)</f>
        <v>3.3000092181305392</v>
      </c>
      <c r="U7" s="40">
        <f t="shared" ref="U7:U42" si="63">IFERROR(H7/L7,0)</f>
        <v>3.4736939151431243</v>
      </c>
      <c r="V7" s="40">
        <f t="shared" ref="V7:V42" si="64">IFERROR(H7/M7,0)</f>
        <v>0.13894775655403946</v>
      </c>
      <c r="X7" s="33">
        <v>2</v>
      </c>
      <c r="Y7" s="8" t="s">
        <v>26</v>
      </c>
      <c r="Z7" s="403">
        <v>23793</v>
      </c>
      <c r="AA7" s="404">
        <v>23790</v>
      </c>
      <c r="AB7" s="405">
        <v>3</v>
      </c>
      <c r="AC7" s="405">
        <v>0</v>
      </c>
      <c r="AD7" s="187">
        <v>30953200</v>
      </c>
      <c r="AE7" s="187">
        <v>47924091.859999999</v>
      </c>
      <c r="AF7" s="187">
        <v>30953200</v>
      </c>
      <c r="AG7" s="187">
        <v>45355309.68</v>
      </c>
      <c r="AH7" s="408">
        <v>12216695.902190067</v>
      </c>
      <c r="AI7" s="408">
        <v>11605861.108700946</v>
      </c>
      <c r="AJ7" s="408">
        <v>290146527.67863262</v>
      </c>
      <c r="AK7" s="29">
        <f t="shared" ref="AK7:AK42" si="65">IFERROR(AG7/Z7,0)</f>
        <v>1906.2459412432229</v>
      </c>
      <c r="AL7" s="24">
        <f t="shared" ref="AL7:AL42" si="66">IFERROR(AI7/Z7,0)</f>
        <v>487.78468913970266</v>
      </c>
      <c r="AM7" s="24">
        <f t="shared" si="4"/>
        <v>487.84620044980858</v>
      </c>
      <c r="AN7" s="40">
        <f t="shared" ref="AN7:AN42" si="67">IFERROR(AD7/AH7,0)</f>
        <v>2.5336801576972272</v>
      </c>
      <c r="AO7" s="40">
        <f t="shared" ref="AO7:AO42" si="68">IFERROR(AD7/AI7,0)</f>
        <v>2.6670317445720855</v>
      </c>
      <c r="AP7" s="40">
        <f t="shared" ref="AP7:AP42" si="69">IFERROR(AD7/AJ7,0)</f>
        <v>0.1066812697971829</v>
      </c>
      <c r="AQ7" s="40">
        <f t="shared" ref="AQ7:AQ42" si="70">IFERROR(AE7/AH7,0)</f>
        <v>3.9228357850348656</v>
      </c>
      <c r="AR7" s="40">
        <f t="shared" ref="AR7:AR42" si="71">IFERROR(AE7/AI7,0)</f>
        <v>4.1293008257759674</v>
      </c>
      <c r="AS7" s="40">
        <f t="shared" ref="AS7:AS42" si="72">IFERROR(AE7/AJ7,0)</f>
        <v>0.16517203305317824</v>
      </c>
      <c r="AU7" s="33">
        <v>2</v>
      </c>
      <c r="AV7" s="8" t="s">
        <v>26</v>
      </c>
      <c r="AW7" s="403">
        <v>32796</v>
      </c>
      <c r="AX7" s="404">
        <v>32395</v>
      </c>
      <c r="AY7" s="405">
        <v>33</v>
      </c>
      <c r="AZ7" s="405">
        <v>0</v>
      </c>
      <c r="BA7" s="187">
        <v>59999999.99999997</v>
      </c>
      <c r="BB7" s="187">
        <v>55316707.580000021</v>
      </c>
      <c r="BC7" s="187">
        <v>55511017.463803396</v>
      </c>
      <c r="BD7" s="187">
        <v>50896812.380000025</v>
      </c>
      <c r="BE7" s="408">
        <v>16188716.036090989</v>
      </c>
      <c r="BF7" s="408">
        <v>15379280.23605906</v>
      </c>
      <c r="BG7" s="408">
        <v>384482005.85887277</v>
      </c>
      <c r="BH7" s="29">
        <f t="shared" ref="BH7:BH41" si="73">IFERROR(BD7/AW7,0)</f>
        <v>1551.9213434565199</v>
      </c>
      <c r="BI7" s="24">
        <f t="shared" ref="BI7:BI41" si="74">IFERROR(BF7/AW7,0)</f>
        <v>468.93768252405965</v>
      </c>
      <c r="BJ7" s="24">
        <f t="shared" si="7"/>
        <v>474.74240580518784</v>
      </c>
      <c r="BK7" s="40">
        <f t="shared" si="8"/>
        <v>3.70628528329464</v>
      </c>
      <c r="BL7" s="40">
        <f t="shared" si="9"/>
        <v>3.9013529293341604</v>
      </c>
      <c r="BM7" s="40">
        <f t="shared" si="10"/>
        <v>0.15605411719065848</v>
      </c>
      <c r="BN7" s="40">
        <f t="shared" si="11"/>
        <v>3.416991653734454</v>
      </c>
      <c r="BO7" s="40">
        <f t="shared" si="12"/>
        <v>3.5968333193059054</v>
      </c>
      <c r="BP7" s="40">
        <f t="shared" si="13"/>
        <v>0.14387333278817857</v>
      </c>
      <c r="BR7" s="33">
        <v>2</v>
      </c>
      <c r="BS7" s="8" t="s">
        <v>26</v>
      </c>
      <c r="BT7" s="403">
        <v>94405</v>
      </c>
      <c r="BU7" s="404">
        <v>94310</v>
      </c>
      <c r="BV7" s="405">
        <v>88</v>
      </c>
      <c r="BW7" s="405">
        <v>5</v>
      </c>
      <c r="BX7" s="187">
        <v>67771524</v>
      </c>
      <c r="BY7" s="187">
        <v>197439979.87000078</v>
      </c>
      <c r="BZ7" s="187">
        <v>62873504.651342064</v>
      </c>
      <c r="CA7" s="187">
        <v>195104254.37000078</v>
      </c>
      <c r="CB7" s="408">
        <v>55418252.924226157</v>
      </c>
      <c r="CC7" s="408">
        <v>52647340.278015219</v>
      </c>
      <c r="CD7" s="408">
        <v>1316183506.9503796</v>
      </c>
      <c r="CE7" s="29">
        <f t="shared" ref="CE7:CE41" si="75">IFERROR(CA7/BT7,0)</f>
        <v>2066.6728920078467</v>
      </c>
      <c r="CF7" s="24">
        <f t="shared" ref="CF7:CF40" si="76">IFERROR(CC7/BT7,0)</f>
        <v>557.67533793777045</v>
      </c>
      <c r="CG7" s="24">
        <f t="shared" si="16"/>
        <v>558.23709339428717</v>
      </c>
      <c r="CH7" s="40">
        <f t="shared" si="17"/>
        <v>1.2229097891747791</v>
      </c>
      <c r="CI7" s="40">
        <f t="shared" si="18"/>
        <v>1.2872734622892321</v>
      </c>
      <c r="CJ7" s="40">
        <f t="shared" si="19"/>
        <v>5.149093849156932E-2</v>
      </c>
      <c r="CK7" s="40">
        <f t="shared" si="20"/>
        <v>3.5627247242882616</v>
      </c>
      <c r="CL7" s="40">
        <f t="shared" si="21"/>
        <v>3.7502365518823542</v>
      </c>
      <c r="CM7" s="40">
        <f t="shared" si="22"/>
        <v>0.15000946207529428</v>
      </c>
      <c r="CO7" s="33">
        <v>2</v>
      </c>
      <c r="CP7" s="8" t="s">
        <v>26</v>
      </c>
      <c r="CQ7" s="403">
        <v>18636</v>
      </c>
      <c r="CR7" s="404">
        <v>18554</v>
      </c>
      <c r="CS7" s="405">
        <v>3</v>
      </c>
      <c r="CT7" s="405">
        <v>3</v>
      </c>
      <c r="CU7" s="187">
        <v>73056630.527126044</v>
      </c>
      <c r="CV7" s="187">
        <v>47436458.489999972</v>
      </c>
      <c r="CW7" s="187">
        <v>67967588.423870444</v>
      </c>
      <c r="CX7" s="187">
        <v>43619713.579999976</v>
      </c>
      <c r="CY7" s="408">
        <v>12739726.565991985</v>
      </c>
      <c r="CZ7" s="408">
        <v>12102740.237692432</v>
      </c>
      <c r="DA7" s="408">
        <v>302568505.94231117</v>
      </c>
      <c r="DB7" s="29">
        <f t="shared" ref="DB7:DB41" si="77">IFERROR(CX7/CQ7,0)</f>
        <v>2340.6156675252187</v>
      </c>
      <c r="DC7" s="24">
        <f t="shared" ref="DC7:DC40" si="78">IFERROR(CZ7/CQ7,0)</f>
        <v>649.42800159328351</v>
      </c>
      <c r="DD7" s="24">
        <f t="shared" si="25"/>
        <v>652.29816954254784</v>
      </c>
      <c r="DE7" s="40">
        <f t="shared" si="26"/>
        <v>5.7345524763574431</v>
      </c>
      <c r="DF7" s="40">
        <f t="shared" si="27"/>
        <v>6.0363710277446536</v>
      </c>
      <c r="DG7" s="40">
        <f t="shared" si="28"/>
        <v>0.24145484110978588</v>
      </c>
      <c r="DH7" s="40">
        <f t="shared" si="29"/>
        <v>3.7235067993240176</v>
      </c>
      <c r="DI7" s="40">
        <f t="shared" si="30"/>
        <v>3.9194808413936877</v>
      </c>
      <c r="DJ7" s="40">
        <f t="shared" si="31"/>
        <v>0.15677923365574731</v>
      </c>
      <c r="DL7" s="33">
        <v>2</v>
      </c>
      <c r="DM7" s="8" t="s">
        <v>26</v>
      </c>
      <c r="DN7" s="405">
        <f>$DR7*(CQ7/$CZ7)</f>
        <v>24834.435781074579</v>
      </c>
      <c r="DO7" s="418">
        <v>74809989.65977706</v>
      </c>
      <c r="DP7" s="418">
        <v>69598810.546043336</v>
      </c>
      <c r="DQ7" s="405">
        <f>$DR7*(CY7/$CZ7)</f>
        <v>16977029.473684143</v>
      </c>
      <c r="DR7" s="405">
        <v>16128178</v>
      </c>
      <c r="DS7" s="405">
        <f>$DR7*(DA7/$CZ7)</f>
        <v>403204450.00000048</v>
      </c>
      <c r="DT7" s="426">
        <f t="shared" ref="DT7:DT40" si="79">IFERROR(DP7/$DN7,0)</f>
        <v>2802.5122519224724</v>
      </c>
      <c r="DU7" s="405">
        <f t="shared" ref="DU7:DU40" si="80">IFERROR(DR7/$DN7,0)</f>
        <v>649.42800159328362</v>
      </c>
      <c r="DV7" s="421">
        <f t="shared" ref="DV7:DV40" si="81">IFERROR(DO7/DQ7,0)</f>
        <v>4.4065417790396717</v>
      </c>
      <c r="DW7" s="421">
        <f t="shared" ref="DW7:DW40" si="82">IFERROR(DO7/DR7,0)</f>
        <v>4.6384650305680566</v>
      </c>
      <c r="DX7" s="421">
        <f t="shared" ref="DX7:DX40" si="83">IFERROR(DO7/DS7,0)</f>
        <v>0.18553860122272206</v>
      </c>
      <c r="DZ7" s="33">
        <v>2</v>
      </c>
      <c r="EA7" s="8" t="s">
        <v>26</v>
      </c>
      <c r="EB7" s="24">
        <v>10000</v>
      </c>
      <c r="EC7" s="418">
        <f>_xlfn.XLOOKUP($EA7,'Budget by Cost Category'!$AR:$AR,'Budget by Cost Category'!$AW:$AW,0)</f>
        <v>25929400</v>
      </c>
      <c r="ED7" s="418">
        <f>_xlfn.XLOOKUP($EA7,'Budget by Cost Category'!$AR:$AR,'Budget by Cost Category'!$AS:$AS,0)</f>
        <v>23499400</v>
      </c>
      <c r="EE7" s="24">
        <v>5084600</v>
      </c>
      <c r="EF7" s="24">
        <v>4576140</v>
      </c>
      <c r="EG7" s="24">
        <v>114403500</v>
      </c>
      <c r="EH7" s="29">
        <f t="shared" si="34"/>
        <v>2349.94</v>
      </c>
      <c r="EI7" s="24">
        <f t="shared" ref="EI7:EI37" si="84">IFERROR(EF7/$EB7,0)</f>
        <v>457.61399999999998</v>
      </c>
      <c r="EJ7" s="40">
        <f t="shared" si="35"/>
        <v>5.0995948550525112</v>
      </c>
      <c r="EK7" s="40">
        <f t="shared" si="36"/>
        <v>5.6662165056139013</v>
      </c>
      <c r="EL7" s="40">
        <f t="shared" si="37"/>
        <v>0.22664866022455607</v>
      </c>
      <c r="EN7" s="33">
        <v>2</v>
      </c>
      <c r="EO7" s="8" t="s">
        <v>26</v>
      </c>
      <c r="EP7" s="24">
        <v>9000</v>
      </c>
      <c r="EQ7" s="418">
        <f>_xlfn.XLOOKUP($EA7,'Budget by Cost Category'!$AY:$AY,'Budget by Cost Category'!$BD:$BD,0)</f>
        <v>23708569</v>
      </c>
      <c r="ER7" s="418">
        <f>_xlfn.XLOOKUP($EA7,'Budget by Cost Category'!$AY:$AY,'Budget by Cost Category'!$AZ:$AZ,0)</f>
        <v>21572449</v>
      </c>
      <c r="ES7" s="24">
        <v>4576140</v>
      </c>
      <c r="ET7" s="24">
        <v>4118526</v>
      </c>
      <c r="EU7" s="24">
        <v>102963150</v>
      </c>
      <c r="EV7" s="29">
        <f t="shared" si="39"/>
        <v>2396.9387777777779</v>
      </c>
      <c r="EW7" s="24">
        <f t="shared" si="40"/>
        <v>457.61399999999998</v>
      </c>
      <c r="EX7" s="40">
        <f t="shared" si="41"/>
        <v>5.1809098934910205</v>
      </c>
      <c r="EY7" s="40">
        <f t="shared" si="42"/>
        <v>5.7565665483233568</v>
      </c>
      <c r="EZ7" s="40">
        <f t="shared" si="43"/>
        <v>0.23026266193293426</v>
      </c>
      <c r="FB7" s="33">
        <v>2</v>
      </c>
      <c r="FC7" s="8" t="s">
        <v>26</v>
      </c>
      <c r="FD7" s="24">
        <v>8200</v>
      </c>
      <c r="FE7" s="418">
        <f>_xlfn.XLOOKUP($EA7,'Budget by Cost Category'!$BF:$BF,'Budget by Cost Category'!$BK:$BK,0)</f>
        <v>21967357</v>
      </c>
      <c r="FF7" s="418">
        <f>_xlfn.XLOOKUP($EA7,'Budget by Cost Category'!$BF:$BF,'Budget by Cost Category'!$BG:$BG,0)</f>
        <v>20047996</v>
      </c>
      <c r="FG7" s="24">
        <v>4169372</v>
      </c>
      <c r="FH7" s="24">
        <v>3752434.8000000003</v>
      </c>
      <c r="FI7" s="24">
        <v>93810870</v>
      </c>
      <c r="FJ7" s="29">
        <f t="shared" si="45"/>
        <v>2444.8775609756099</v>
      </c>
      <c r="FK7" s="24">
        <f t="shared" si="46"/>
        <v>457.61400000000003</v>
      </c>
      <c r="FL7" s="40">
        <f t="shared" si="47"/>
        <v>5.2687447893831489</v>
      </c>
      <c r="FM7" s="40">
        <f t="shared" si="48"/>
        <v>5.8541608770923874</v>
      </c>
      <c r="FN7" s="40">
        <f t="shared" si="49"/>
        <v>0.23416643508369553</v>
      </c>
      <c r="FP7" s="33">
        <v>2</v>
      </c>
      <c r="FQ7" s="8" t="s">
        <v>26</v>
      </c>
      <c r="FR7" s="24">
        <v>7625</v>
      </c>
      <c r="FS7" s="418">
        <f>_xlfn.XLOOKUP($EA7,'Budget by Cost Category'!$BM:$BM,'Budget by Cost Category'!$BR:$BR,0)</f>
        <v>20759542</v>
      </c>
      <c r="FT7" s="418">
        <f>_xlfn.XLOOKUP($EA7,'Budget by Cost Category'!$BM:$BM,'Budget by Cost Category'!$BN:$BN,0)</f>
        <v>19015035</v>
      </c>
      <c r="FU7" s="24">
        <v>3877007.5</v>
      </c>
      <c r="FV7" s="24">
        <v>3489306.75</v>
      </c>
      <c r="FW7" s="24">
        <v>87232668.75</v>
      </c>
      <c r="FX7" s="29">
        <f t="shared" si="51"/>
        <v>2493.7750819672133</v>
      </c>
      <c r="FY7" s="24">
        <f t="shared" si="52"/>
        <v>457.61399999999998</v>
      </c>
      <c r="FZ7" s="40">
        <f t="shared" si="53"/>
        <v>5.354527170762502</v>
      </c>
      <c r="GA7" s="40">
        <f t="shared" si="54"/>
        <v>5.9494746341805573</v>
      </c>
      <c r="GB7" s="40">
        <f t="shared" si="55"/>
        <v>0.23797898536722231</v>
      </c>
    </row>
    <row r="8" spans="1:184" x14ac:dyDescent="0.25">
      <c r="A8" s="33">
        <v>3</v>
      </c>
      <c r="B8" s="8" t="s">
        <v>28</v>
      </c>
      <c r="C8" s="406">
        <v>0</v>
      </c>
      <c r="D8" s="406">
        <v>0</v>
      </c>
      <c r="E8" s="406">
        <v>0</v>
      </c>
      <c r="F8" s="406">
        <v>0</v>
      </c>
      <c r="G8" s="413">
        <v>0</v>
      </c>
      <c r="H8" s="413">
        <v>0</v>
      </c>
      <c r="I8" s="413">
        <v>0</v>
      </c>
      <c r="J8" s="413">
        <v>0</v>
      </c>
      <c r="K8" s="406">
        <v>0</v>
      </c>
      <c r="L8" s="406">
        <v>0</v>
      </c>
      <c r="M8" s="406">
        <v>0</v>
      </c>
      <c r="N8" s="430">
        <f t="shared" si="56"/>
        <v>0</v>
      </c>
      <c r="O8" s="412">
        <f t="shared" si="57"/>
        <v>0</v>
      </c>
      <c r="P8" s="412">
        <f t="shared" si="58"/>
        <v>0</v>
      </c>
      <c r="Q8" s="48">
        <f t="shared" si="59"/>
        <v>0</v>
      </c>
      <c r="R8" s="48">
        <f t="shared" si="60"/>
        <v>0</v>
      </c>
      <c r="S8" s="48">
        <f t="shared" si="61"/>
        <v>0</v>
      </c>
      <c r="T8" s="48">
        <f t="shared" si="62"/>
        <v>0</v>
      </c>
      <c r="U8" s="48">
        <f t="shared" si="63"/>
        <v>0</v>
      </c>
      <c r="V8" s="48">
        <f t="shared" si="64"/>
        <v>0</v>
      </c>
      <c r="X8" s="33">
        <v>3</v>
      </c>
      <c r="Y8" s="8" t="s">
        <v>28</v>
      </c>
      <c r="Z8" s="406">
        <v>0</v>
      </c>
      <c r="AA8" s="406">
        <v>0</v>
      </c>
      <c r="AB8" s="406">
        <v>0</v>
      </c>
      <c r="AC8" s="406">
        <v>0</v>
      </c>
      <c r="AD8" s="413">
        <v>0</v>
      </c>
      <c r="AE8" s="413">
        <v>0</v>
      </c>
      <c r="AF8" s="413">
        <v>0</v>
      </c>
      <c r="AG8" s="413">
        <v>0</v>
      </c>
      <c r="AH8" s="406">
        <v>0</v>
      </c>
      <c r="AI8" s="406">
        <v>0</v>
      </c>
      <c r="AJ8" s="406">
        <v>0</v>
      </c>
      <c r="AK8" s="430">
        <f t="shared" si="65"/>
        <v>0</v>
      </c>
      <c r="AL8" s="412">
        <f t="shared" si="66"/>
        <v>0</v>
      </c>
      <c r="AM8" s="412">
        <f t="shared" si="4"/>
        <v>0</v>
      </c>
      <c r="AN8" s="48">
        <f t="shared" si="67"/>
        <v>0</v>
      </c>
      <c r="AO8" s="48">
        <f t="shared" si="68"/>
        <v>0</v>
      </c>
      <c r="AP8" s="48">
        <f t="shared" si="69"/>
        <v>0</v>
      </c>
      <c r="AQ8" s="48">
        <f t="shared" si="70"/>
        <v>0</v>
      </c>
      <c r="AR8" s="48">
        <f t="shared" si="71"/>
        <v>0</v>
      </c>
      <c r="AS8" s="48">
        <f t="shared" si="72"/>
        <v>0</v>
      </c>
      <c r="AU8" s="33">
        <v>3</v>
      </c>
      <c r="AV8" s="8" t="s">
        <v>28</v>
      </c>
      <c r="AW8" s="406">
        <v>0</v>
      </c>
      <c r="AX8" s="406">
        <v>0</v>
      </c>
      <c r="AY8" s="406">
        <v>0</v>
      </c>
      <c r="AZ8" s="406">
        <v>0</v>
      </c>
      <c r="BA8" s="413">
        <v>4617423.72</v>
      </c>
      <c r="BB8" s="413">
        <v>14600</v>
      </c>
      <c r="BC8" s="413">
        <v>3557833.44</v>
      </c>
      <c r="BD8" s="413">
        <v>0</v>
      </c>
      <c r="BE8" s="406">
        <v>0</v>
      </c>
      <c r="BF8" s="406">
        <v>0</v>
      </c>
      <c r="BG8" s="406">
        <v>0</v>
      </c>
      <c r="BH8" s="430">
        <f t="shared" si="73"/>
        <v>0</v>
      </c>
      <c r="BI8" s="412">
        <f t="shared" si="74"/>
        <v>0</v>
      </c>
      <c r="BJ8" s="412">
        <f t="shared" si="7"/>
        <v>0</v>
      </c>
      <c r="BK8" s="48">
        <f t="shared" si="8"/>
        <v>0</v>
      </c>
      <c r="BL8" s="48">
        <f t="shared" si="9"/>
        <v>0</v>
      </c>
      <c r="BM8" s="48">
        <f t="shared" si="10"/>
        <v>0</v>
      </c>
      <c r="BN8" s="48">
        <f t="shared" si="11"/>
        <v>0</v>
      </c>
      <c r="BO8" s="48">
        <f t="shared" si="12"/>
        <v>0</v>
      </c>
      <c r="BP8" s="48">
        <f t="shared" si="13"/>
        <v>0</v>
      </c>
      <c r="BR8" s="33">
        <v>3</v>
      </c>
      <c r="BS8" s="8" t="s">
        <v>28</v>
      </c>
      <c r="BT8" s="406">
        <v>0</v>
      </c>
      <c r="BU8" s="406">
        <v>0</v>
      </c>
      <c r="BV8" s="406">
        <v>0</v>
      </c>
      <c r="BW8" s="406">
        <v>0</v>
      </c>
      <c r="BX8" s="413">
        <v>4931408.34296</v>
      </c>
      <c r="BY8" s="413">
        <v>73670</v>
      </c>
      <c r="BZ8" s="413">
        <v>3799765.92392</v>
      </c>
      <c r="CA8" s="413">
        <v>0</v>
      </c>
      <c r="CB8" s="406">
        <v>0</v>
      </c>
      <c r="CC8" s="406">
        <v>0</v>
      </c>
      <c r="CD8" s="406">
        <v>0</v>
      </c>
      <c r="CE8" s="430">
        <f t="shared" si="75"/>
        <v>0</v>
      </c>
      <c r="CF8" s="412">
        <f t="shared" si="76"/>
        <v>0</v>
      </c>
      <c r="CG8" s="412">
        <f t="shared" si="16"/>
        <v>0</v>
      </c>
      <c r="CH8" s="48">
        <f t="shared" si="17"/>
        <v>0</v>
      </c>
      <c r="CI8" s="48">
        <f t="shared" si="18"/>
        <v>0</v>
      </c>
      <c r="CJ8" s="48">
        <f t="shared" si="19"/>
        <v>0</v>
      </c>
      <c r="CK8" s="48">
        <f t="shared" si="20"/>
        <v>0</v>
      </c>
      <c r="CL8" s="48">
        <f t="shared" si="21"/>
        <v>0</v>
      </c>
      <c r="CM8" s="48">
        <f t="shared" si="22"/>
        <v>0</v>
      </c>
      <c r="CO8" s="33">
        <v>3</v>
      </c>
      <c r="CP8" s="8" t="s">
        <v>28</v>
      </c>
      <c r="CQ8" s="405">
        <v>6454</v>
      </c>
      <c r="CR8" s="405">
        <v>6440</v>
      </c>
      <c r="CS8" s="405">
        <v>0</v>
      </c>
      <c r="CT8" s="405">
        <v>0</v>
      </c>
      <c r="CU8" s="418">
        <v>5123733.2683354393</v>
      </c>
      <c r="CV8" s="418">
        <v>10635311.359999999</v>
      </c>
      <c r="CW8" s="418">
        <v>3947956.7949528797</v>
      </c>
      <c r="CX8" s="418">
        <v>8830691.8499999978</v>
      </c>
      <c r="CY8" s="405">
        <v>5015238.9800000023</v>
      </c>
      <c r="CZ8" s="405">
        <v>4546303.0921999719</v>
      </c>
      <c r="DA8" s="405">
        <v>83683457.965999126</v>
      </c>
      <c r="DB8" s="29">
        <f t="shared" si="77"/>
        <v>1368.2509838859619</v>
      </c>
      <c r="DC8" s="24">
        <f t="shared" si="78"/>
        <v>704.41634524325559</v>
      </c>
      <c r="DD8" s="24">
        <f t="shared" si="25"/>
        <v>705.94768512421922</v>
      </c>
      <c r="DE8" s="40">
        <f t="shared" si="26"/>
        <v>1.0216329249250327</v>
      </c>
      <c r="DF8" s="40">
        <f t="shared" si="27"/>
        <v>1.1270109283136349</v>
      </c>
      <c r="DG8" s="40">
        <f t="shared" si="28"/>
        <v>6.1227551930481044E-2</v>
      </c>
      <c r="DH8" s="40">
        <f t="shared" si="29"/>
        <v>2.1205991184890642</v>
      </c>
      <c r="DI8" s="40">
        <f t="shared" si="30"/>
        <v>2.3393317920766994</v>
      </c>
      <c r="DJ8" s="40">
        <f t="shared" si="31"/>
        <v>0.12708976921485682</v>
      </c>
      <c r="DL8" s="33">
        <v>3</v>
      </c>
      <c r="DM8" s="8" t="s">
        <v>28</v>
      </c>
      <c r="DN8" s="405">
        <f>$DR8*(CQ8/$CZ8)</f>
        <v>6428.8386131019561</v>
      </c>
      <c r="DO8" s="418">
        <v>5246702.8667754903</v>
      </c>
      <c r="DP8" s="418">
        <v>4042707.7580317487</v>
      </c>
      <c r="DQ8" s="405">
        <f>DR8*(CY8/CZ8)</f>
        <v>4995686.7072448228</v>
      </c>
      <c r="DR8" s="405">
        <v>4528579</v>
      </c>
      <c r="DS8" s="405">
        <f>$DR8*(DA8/$CZ8)</f>
        <v>83357211.938287824</v>
      </c>
      <c r="DT8" s="426">
        <f t="shared" si="79"/>
        <v>628.83951539749671</v>
      </c>
      <c r="DU8" s="405">
        <f t="shared" si="80"/>
        <v>704.41634524325559</v>
      </c>
      <c r="DV8" s="421">
        <f t="shared" si="81"/>
        <v>1.0502465775459138</v>
      </c>
      <c r="DW8" s="421">
        <f t="shared" si="82"/>
        <v>1.1585759830568243</v>
      </c>
      <c r="DX8" s="421">
        <f t="shared" si="83"/>
        <v>6.2942398681229916E-2</v>
      </c>
      <c r="DZ8" s="33">
        <v>3</v>
      </c>
      <c r="EA8" s="8" t="s">
        <v>28</v>
      </c>
      <c r="EB8" s="24">
        <v>12250</v>
      </c>
      <c r="EC8" s="418">
        <f>_xlfn.XLOOKUP($EA8,'Budget by Cost Category'!$AR:$AR,'Budget by Cost Category'!$AW:$AW,0)</f>
        <v>15560525</v>
      </c>
      <c r="ED8" s="418">
        <f>_xlfn.XLOOKUP($EA8,'Budget by Cost Category'!$AR:$AR,'Budget by Cost Category'!$AS:$AS,0)</f>
        <v>13591250</v>
      </c>
      <c r="EE8" s="24">
        <v>3529500</v>
      </c>
      <c r="EF8" s="24">
        <v>3141255</v>
      </c>
      <c r="EG8" s="24">
        <v>94237650</v>
      </c>
      <c r="EH8" s="29">
        <f t="shared" si="34"/>
        <v>1109.4897959183672</v>
      </c>
      <c r="EI8" s="24">
        <f t="shared" si="84"/>
        <v>256.42897959183671</v>
      </c>
      <c r="EJ8" s="40">
        <f t="shared" si="35"/>
        <v>4.4087051990366906</v>
      </c>
      <c r="EK8" s="40">
        <f t="shared" si="36"/>
        <v>4.9536013472322367</v>
      </c>
      <c r="EL8" s="40">
        <f t="shared" si="37"/>
        <v>0.16512004490774124</v>
      </c>
      <c r="EN8" s="33">
        <v>3</v>
      </c>
      <c r="EO8" s="8" t="s">
        <v>28</v>
      </c>
      <c r="EP8" s="24">
        <v>15000</v>
      </c>
      <c r="EQ8" s="418">
        <f>_xlfn.XLOOKUP($EA8,'Budget by Cost Category'!$AY:$AY,'Budget by Cost Category'!$BD:$BD,0)</f>
        <v>18836467</v>
      </c>
      <c r="ER8" s="418">
        <f>_xlfn.XLOOKUP($EA8,'Budget by Cost Category'!$AY:$AY,'Budget by Cost Category'!$AZ:$AZ,0)</f>
        <v>16822350</v>
      </c>
      <c r="ES8" s="24">
        <v>4288500</v>
      </c>
      <c r="ET8" s="24">
        <v>3816765</v>
      </c>
      <c r="EU8" s="24">
        <v>114502950</v>
      </c>
      <c r="EV8" s="29">
        <f t="shared" si="39"/>
        <v>1121.49</v>
      </c>
      <c r="EW8" s="24">
        <f t="shared" si="40"/>
        <v>254.45099999999999</v>
      </c>
      <c r="EX8" s="40">
        <f t="shared" si="41"/>
        <v>4.3923206249271303</v>
      </c>
      <c r="EY8" s="40">
        <f t="shared" si="42"/>
        <v>4.9351917134012702</v>
      </c>
      <c r="EZ8" s="40">
        <f t="shared" si="43"/>
        <v>0.16450639044670901</v>
      </c>
      <c r="FB8" s="33">
        <v>3</v>
      </c>
      <c r="FC8" s="8" t="s">
        <v>28</v>
      </c>
      <c r="FD8" s="24">
        <v>16500</v>
      </c>
      <c r="FE8" s="418">
        <f>_xlfn.XLOOKUP($EA8,'Budget by Cost Category'!$BF:$BF,'Budget by Cost Category'!$BK:$BK,0)</f>
        <v>20917872</v>
      </c>
      <c r="FF8" s="418">
        <f>_xlfn.XLOOKUP($EA8,'Budget by Cost Category'!$BF:$BF,'Budget by Cost Category'!$BG:$BG,0)</f>
        <v>18805230</v>
      </c>
      <c r="FG8" s="24">
        <v>4702500</v>
      </c>
      <c r="FH8" s="24">
        <v>4185225</v>
      </c>
      <c r="FI8" s="24">
        <v>125556750</v>
      </c>
      <c r="FJ8" s="29">
        <f t="shared" si="45"/>
        <v>1139.7109090909091</v>
      </c>
      <c r="FK8" s="24">
        <f t="shared" si="46"/>
        <v>253.65</v>
      </c>
      <c r="FL8" s="40">
        <f t="shared" si="47"/>
        <v>4.4482449760765554</v>
      </c>
      <c r="FM8" s="40">
        <f t="shared" si="48"/>
        <v>4.9980280630073652</v>
      </c>
      <c r="FN8" s="40">
        <f t="shared" si="49"/>
        <v>0.16660093543357885</v>
      </c>
      <c r="FP8" s="33">
        <v>3</v>
      </c>
      <c r="FQ8" s="8" t="s">
        <v>28</v>
      </c>
      <c r="FR8" s="24">
        <v>17500</v>
      </c>
      <c r="FS8" s="418">
        <f>_xlfn.XLOOKUP($EA8,'Budget by Cost Category'!$BM:$BM,'Budget by Cost Category'!$BR:$BR,0)</f>
        <v>22520648</v>
      </c>
      <c r="FT8" s="418">
        <f>_xlfn.XLOOKUP($EA8,'Budget by Cost Category'!$BM:$BM,'Budget by Cost Category'!$BN:$BN,0)</f>
        <v>20300909</v>
      </c>
      <c r="FU8" s="24">
        <v>4978500</v>
      </c>
      <c r="FV8" s="24">
        <v>4430865</v>
      </c>
      <c r="FW8" s="24">
        <v>132925950</v>
      </c>
      <c r="FX8" s="29">
        <f t="shared" si="51"/>
        <v>1160.0519428571429</v>
      </c>
      <c r="FY8" s="24">
        <f t="shared" si="52"/>
        <v>253.1922857142857</v>
      </c>
      <c r="FZ8" s="40">
        <f t="shared" si="53"/>
        <v>4.5235809982926583</v>
      </c>
      <c r="GA8" s="40">
        <f t="shared" si="54"/>
        <v>5.0826752789805152</v>
      </c>
      <c r="GB8" s="40">
        <f t="shared" si="55"/>
        <v>0.16942250929935052</v>
      </c>
    </row>
    <row r="9" spans="1:184" x14ac:dyDescent="0.25">
      <c r="A9" s="33">
        <v>4</v>
      </c>
      <c r="B9" s="8" t="s">
        <v>337</v>
      </c>
      <c r="C9" s="406">
        <v>0</v>
      </c>
      <c r="D9" s="406">
        <v>0</v>
      </c>
      <c r="E9" s="406">
        <v>0</v>
      </c>
      <c r="F9" s="406">
        <v>0</v>
      </c>
      <c r="G9" s="413">
        <v>0</v>
      </c>
      <c r="H9" s="413">
        <v>0</v>
      </c>
      <c r="I9" s="413">
        <v>0</v>
      </c>
      <c r="J9" s="413">
        <v>0</v>
      </c>
      <c r="K9" s="406">
        <v>0</v>
      </c>
      <c r="L9" s="406">
        <v>0</v>
      </c>
      <c r="M9" s="406">
        <v>0</v>
      </c>
      <c r="N9" s="430">
        <f t="shared" si="56"/>
        <v>0</v>
      </c>
      <c r="O9" s="412">
        <f t="shared" si="57"/>
        <v>0</v>
      </c>
      <c r="P9" s="412">
        <f t="shared" si="58"/>
        <v>0</v>
      </c>
      <c r="Q9" s="48">
        <f t="shared" si="59"/>
        <v>0</v>
      </c>
      <c r="R9" s="48">
        <f t="shared" si="60"/>
        <v>0</v>
      </c>
      <c r="S9" s="48">
        <f t="shared" si="61"/>
        <v>0</v>
      </c>
      <c r="T9" s="48">
        <f t="shared" si="62"/>
        <v>0</v>
      </c>
      <c r="U9" s="48">
        <f t="shared" si="63"/>
        <v>0</v>
      </c>
      <c r="V9" s="48">
        <f t="shared" si="64"/>
        <v>0</v>
      </c>
      <c r="X9" s="33">
        <v>4</v>
      </c>
      <c r="Y9" s="8" t="s">
        <v>337</v>
      </c>
      <c r="Z9" s="406">
        <v>0</v>
      </c>
      <c r="AA9" s="406">
        <v>0</v>
      </c>
      <c r="AB9" s="406">
        <v>0</v>
      </c>
      <c r="AC9" s="406">
        <v>0</v>
      </c>
      <c r="AD9" s="413">
        <v>0</v>
      </c>
      <c r="AE9" s="413">
        <v>0</v>
      </c>
      <c r="AF9" s="413">
        <v>0</v>
      </c>
      <c r="AG9" s="413">
        <v>0</v>
      </c>
      <c r="AH9" s="406">
        <v>0</v>
      </c>
      <c r="AI9" s="406">
        <v>0</v>
      </c>
      <c r="AJ9" s="406">
        <v>0</v>
      </c>
      <c r="AK9" s="430">
        <f t="shared" si="65"/>
        <v>0</v>
      </c>
      <c r="AL9" s="412">
        <f t="shared" si="66"/>
        <v>0</v>
      </c>
      <c r="AM9" s="412">
        <f t="shared" si="4"/>
        <v>0</v>
      </c>
      <c r="AN9" s="48">
        <f t="shared" si="67"/>
        <v>0</v>
      </c>
      <c r="AO9" s="48">
        <f t="shared" si="68"/>
        <v>0</v>
      </c>
      <c r="AP9" s="48">
        <f t="shared" si="69"/>
        <v>0</v>
      </c>
      <c r="AQ9" s="48">
        <f t="shared" si="70"/>
        <v>0</v>
      </c>
      <c r="AR9" s="48">
        <f t="shared" si="71"/>
        <v>0</v>
      </c>
      <c r="AS9" s="48">
        <f t="shared" si="72"/>
        <v>0</v>
      </c>
      <c r="AU9" s="33">
        <v>4</v>
      </c>
      <c r="AV9" s="8" t="s">
        <v>337</v>
      </c>
      <c r="AW9" s="406">
        <v>0</v>
      </c>
      <c r="AX9" s="406">
        <v>0</v>
      </c>
      <c r="AY9" s="406">
        <v>0</v>
      </c>
      <c r="AZ9" s="406">
        <v>0</v>
      </c>
      <c r="BA9" s="413">
        <v>0</v>
      </c>
      <c r="BB9" s="413">
        <v>0</v>
      </c>
      <c r="BC9" s="413">
        <v>0</v>
      </c>
      <c r="BD9" s="413">
        <v>0</v>
      </c>
      <c r="BE9" s="406">
        <v>0</v>
      </c>
      <c r="BF9" s="406">
        <v>0</v>
      </c>
      <c r="BG9" s="406">
        <v>0</v>
      </c>
      <c r="BH9" s="430">
        <f t="shared" si="73"/>
        <v>0</v>
      </c>
      <c r="BI9" s="412">
        <f>IFERROR(BF9/AW9,0)</f>
        <v>0</v>
      </c>
      <c r="BJ9" s="412">
        <f>IFERROR(BF9/AX9,0)</f>
        <v>0</v>
      </c>
      <c r="BK9" s="48">
        <f t="shared" si="8"/>
        <v>0</v>
      </c>
      <c r="BL9" s="48">
        <f t="shared" si="9"/>
        <v>0</v>
      </c>
      <c r="BM9" s="48">
        <f t="shared" si="10"/>
        <v>0</v>
      </c>
      <c r="BN9" s="48">
        <f t="shared" si="11"/>
        <v>0</v>
      </c>
      <c r="BO9" s="48">
        <f t="shared" si="12"/>
        <v>0</v>
      </c>
      <c r="BP9" s="48">
        <f t="shared" si="13"/>
        <v>0</v>
      </c>
      <c r="BR9" s="33">
        <v>4</v>
      </c>
      <c r="BS9" s="8" t="s">
        <v>337</v>
      </c>
      <c r="BT9" s="406">
        <v>0</v>
      </c>
      <c r="BU9" s="406">
        <v>0</v>
      </c>
      <c r="BV9" s="406">
        <v>0</v>
      </c>
      <c r="BW9" s="406">
        <v>0</v>
      </c>
      <c r="BX9" s="413">
        <v>0</v>
      </c>
      <c r="BY9" s="413">
        <v>0</v>
      </c>
      <c r="BZ9" s="413">
        <v>0</v>
      </c>
      <c r="CA9" s="413">
        <v>0</v>
      </c>
      <c r="CB9" s="406">
        <v>0</v>
      </c>
      <c r="CC9" s="406">
        <v>0</v>
      </c>
      <c r="CD9" s="406">
        <v>0</v>
      </c>
      <c r="CE9" s="430">
        <f t="shared" si="75"/>
        <v>0</v>
      </c>
      <c r="CF9" s="412">
        <f t="shared" si="76"/>
        <v>0</v>
      </c>
      <c r="CG9" s="412">
        <f t="shared" si="16"/>
        <v>0</v>
      </c>
      <c r="CH9" s="48">
        <f t="shared" si="17"/>
        <v>0</v>
      </c>
      <c r="CI9" s="48">
        <f t="shared" si="18"/>
        <v>0</v>
      </c>
      <c r="CJ9" s="48">
        <f t="shared" si="19"/>
        <v>0</v>
      </c>
      <c r="CK9" s="48">
        <f t="shared" si="20"/>
        <v>0</v>
      </c>
      <c r="CL9" s="48">
        <f t="shared" si="21"/>
        <v>0</v>
      </c>
      <c r="CM9" s="48">
        <f t="shared" si="22"/>
        <v>0</v>
      </c>
      <c r="CO9" s="33">
        <v>4</v>
      </c>
      <c r="CP9" s="8" t="s">
        <v>337</v>
      </c>
      <c r="CQ9" s="406">
        <v>0</v>
      </c>
      <c r="CR9" s="406">
        <v>0</v>
      </c>
      <c r="CS9" s="406">
        <v>0</v>
      </c>
      <c r="CT9" s="406">
        <v>0</v>
      </c>
      <c r="CU9" s="413">
        <v>0</v>
      </c>
      <c r="CV9" s="413">
        <v>0</v>
      </c>
      <c r="CW9" s="413">
        <v>0</v>
      </c>
      <c r="CX9" s="413">
        <v>0</v>
      </c>
      <c r="CY9" s="406">
        <v>0</v>
      </c>
      <c r="CZ9" s="406">
        <v>0</v>
      </c>
      <c r="DA9" s="406">
        <v>0</v>
      </c>
      <c r="DB9" s="430">
        <f t="shared" si="77"/>
        <v>0</v>
      </c>
      <c r="DC9" s="412">
        <f t="shared" si="78"/>
        <v>0</v>
      </c>
      <c r="DD9" s="412">
        <f t="shared" si="25"/>
        <v>0</v>
      </c>
      <c r="DE9" s="48">
        <f t="shared" si="26"/>
        <v>0</v>
      </c>
      <c r="DF9" s="48">
        <f t="shared" si="27"/>
        <v>0</v>
      </c>
      <c r="DG9" s="48">
        <f t="shared" si="28"/>
        <v>0</v>
      </c>
      <c r="DH9" s="48">
        <f t="shared" si="29"/>
        <v>0</v>
      </c>
      <c r="DI9" s="48">
        <f t="shared" si="30"/>
        <v>0</v>
      </c>
      <c r="DJ9" s="48">
        <f t="shared" si="31"/>
        <v>0</v>
      </c>
      <c r="DL9" s="33">
        <v>4</v>
      </c>
      <c r="DM9" s="8" t="s">
        <v>337</v>
      </c>
      <c r="DN9" s="406">
        <v>0</v>
      </c>
      <c r="DO9" s="413">
        <v>0</v>
      </c>
      <c r="DP9" s="413">
        <v>0</v>
      </c>
      <c r="DQ9" s="406">
        <v>0</v>
      </c>
      <c r="DR9" s="406">
        <v>0</v>
      </c>
      <c r="DS9" s="406">
        <v>0</v>
      </c>
      <c r="DT9" s="427">
        <f t="shared" si="79"/>
        <v>0</v>
      </c>
      <c r="DU9" s="406">
        <f t="shared" si="80"/>
        <v>0</v>
      </c>
      <c r="DV9" s="422">
        <f t="shared" si="81"/>
        <v>0</v>
      </c>
      <c r="DW9" s="422">
        <f t="shared" si="82"/>
        <v>0</v>
      </c>
      <c r="DX9" s="422">
        <f t="shared" si="83"/>
        <v>0</v>
      </c>
      <c r="DZ9" s="33">
        <v>4</v>
      </c>
      <c r="EA9" s="8" t="s">
        <v>31</v>
      </c>
      <c r="EB9" s="24">
        <v>6150</v>
      </c>
      <c r="EC9" s="418">
        <f>_xlfn.XLOOKUP($EA9,'Budget by Cost Category'!$AR:$AR,'Budget by Cost Category'!$AW:$AW,0)</f>
        <v>9304600</v>
      </c>
      <c r="ED9" s="418">
        <f>_xlfn.XLOOKUP($EA9,'Budget by Cost Category'!$AR:$AR,'Budget by Cost Category'!$AS:$AS,0)</f>
        <v>7650000</v>
      </c>
      <c r="EE9" s="24">
        <v>5117760</v>
      </c>
      <c r="EF9" s="24">
        <v>4647327.5999999996</v>
      </c>
      <c r="EG9" s="24">
        <v>74285721.599999994</v>
      </c>
      <c r="EH9" s="29">
        <f t="shared" si="34"/>
        <v>1243.9024390243903</v>
      </c>
      <c r="EI9" s="24">
        <f t="shared" si="84"/>
        <v>755.66302439024389</v>
      </c>
      <c r="EJ9" s="40">
        <f t="shared" si="35"/>
        <v>1.8181001062965048</v>
      </c>
      <c r="EK9" s="40">
        <f t="shared" si="36"/>
        <v>2.0021398964858861</v>
      </c>
      <c r="EL9" s="40">
        <f t="shared" si="37"/>
        <v>0.12525421843650772</v>
      </c>
      <c r="EN9" s="33">
        <v>4</v>
      </c>
      <c r="EO9" s="8" t="s">
        <v>31</v>
      </c>
      <c r="EP9" s="24">
        <v>6160</v>
      </c>
      <c r="EQ9" s="418">
        <f>_xlfn.XLOOKUP($EA9,'Budget by Cost Category'!$AY:$AY,'Budget by Cost Category'!$BD:$BD,0)</f>
        <v>8998279</v>
      </c>
      <c r="ER9" s="418">
        <f>_xlfn.XLOOKUP($EA9,'Budget by Cost Category'!$AY:$AY,'Budget by Cost Category'!$AZ:$AZ,0)</f>
        <v>7813200</v>
      </c>
      <c r="ES9" s="24">
        <v>5123720</v>
      </c>
      <c r="ET9" s="24">
        <v>4652095.5999999996</v>
      </c>
      <c r="EU9" s="24">
        <v>74357241.599999994</v>
      </c>
      <c r="EV9" s="29">
        <f t="shared" si="39"/>
        <v>1268.3766233766235</v>
      </c>
      <c r="EW9" s="24">
        <f t="shared" si="40"/>
        <v>755.21032467532461</v>
      </c>
      <c r="EX9" s="40">
        <f t="shared" si="41"/>
        <v>1.756200377850468</v>
      </c>
      <c r="EY9" s="40">
        <f t="shared" si="42"/>
        <v>1.9342420650168928</v>
      </c>
      <c r="EZ9" s="40">
        <f t="shared" si="43"/>
        <v>0.12101415822288922</v>
      </c>
      <c r="FB9" s="33">
        <v>4</v>
      </c>
      <c r="FC9" s="8" t="s">
        <v>31</v>
      </c>
      <c r="FD9" s="24">
        <v>6175</v>
      </c>
      <c r="FE9" s="418">
        <f>_xlfn.XLOOKUP($EA9,'Budget by Cost Category'!$BF:$BF,'Budget by Cost Category'!$BK:$BK,0)</f>
        <v>9225360</v>
      </c>
      <c r="FF9" s="418">
        <f>_xlfn.XLOOKUP($EA9,'Budget by Cost Category'!$BF:$BF,'Budget by Cost Category'!$BG:$BG,0)</f>
        <v>7985070</v>
      </c>
      <c r="FG9" s="24">
        <v>5132660</v>
      </c>
      <c r="FH9" s="24">
        <v>4659247.5999999996</v>
      </c>
      <c r="FI9" s="24">
        <v>74464521.599999994</v>
      </c>
      <c r="FJ9" s="29">
        <f t="shared" si="45"/>
        <v>1293.1287449392712</v>
      </c>
      <c r="FK9" s="24">
        <f t="shared" si="46"/>
        <v>754.53402429149787</v>
      </c>
      <c r="FL9" s="40">
        <f t="shared" si="47"/>
        <v>1.7973838126819233</v>
      </c>
      <c r="FM9" s="40">
        <f t="shared" si="48"/>
        <v>1.9800106781189308</v>
      </c>
      <c r="FN9" s="40">
        <f t="shared" si="49"/>
        <v>0.1238893341658157</v>
      </c>
      <c r="FP9" s="33">
        <v>4</v>
      </c>
      <c r="FQ9" s="8" t="s">
        <v>31</v>
      </c>
      <c r="FR9" s="24">
        <v>6180</v>
      </c>
      <c r="FS9" s="418">
        <f>_xlfn.XLOOKUP($EA9,'Budget by Cost Category'!$BM:$BM,'Budget by Cost Category'!$BR:$BR,0)</f>
        <v>9453610</v>
      </c>
      <c r="FT9" s="418">
        <f>_xlfn.XLOOKUP($EA9,'Budget by Cost Category'!$BM:$BM,'Budget by Cost Category'!$BN:$BN,0)</f>
        <v>8150077</v>
      </c>
      <c r="FU9" s="24">
        <v>5135640</v>
      </c>
      <c r="FV9" s="24">
        <v>4661631.5999999996</v>
      </c>
      <c r="FW9" s="24">
        <v>74500281.599999994</v>
      </c>
      <c r="FX9" s="29">
        <f t="shared" si="51"/>
        <v>1318.7826860841424</v>
      </c>
      <c r="FY9" s="24">
        <f t="shared" si="52"/>
        <v>754.30932038834942</v>
      </c>
      <c r="FZ9" s="40">
        <f t="shared" si="53"/>
        <v>1.8407851796465484</v>
      </c>
      <c r="GA9" s="40">
        <f t="shared" si="54"/>
        <v>2.0279616261396547</v>
      </c>
      <c r="GB9" s="40">
        <f t="shared" si="55"/>
        <v>0.12689361431890211</v>
      </c>
    </row>
    <row r="10" spans="1:184" x14ac:dyDescent="0.25">
      <c r="A10" s="33">
        <v>5</v>
      </c>
      <c r="B10" s="8" t="s">
        <v>30</v>
      </c>
      <c r="C10" s="407">
        <v>34840</v>
      </c>
      <c r="D10" s="404">
        <v>34829</v>
      </c>
      <c r="E10" s="405">
        <v>3</v>
      </c>
      <c r="F10" s="405">
        <v>0</v>
      </c>
      <c r="G10" s="187">
        <v>2262870</v>
      </c>
      <c r="H10" s="187">
        <v>3490456.29</v>
      </c>
      <c r="I10" s="187">
        <v>2262870</v>
      </c>
      <c r="J10" s="187">
        <v>2597470</v>
      </c>
      <c r="K10" s="408">
        <v>5324061.33</v>
      </c>
      <c r="L10" s="408">
        <v>5111098.8782399986</v>
      </c>
      <c r="M10" s="408">
        <v>76666483.173599973</v>
      </c>
      <c r="N10" s="29">
        <f t="shared" si="56"/>
        <v>74.554247990815156</v>
      </c>
      <c r="O10" s="24">
        <f t="shared" si="57"/>
        <v>146.70203439265208</v>
      </c>
      <c r="P10" s="24">
        <f t="shared" si="58"/>
        <v>146.74836711476064</v>
      </c>
      <c r="Q10" s="40">
        <f t="shared" si="59"/>
        <v>0.42502703476558185</v>
      </c>
      <c r="R10" s="40">
        <f t="shared" si="60"/>
        <v>0.44273649442274471</v>
      </c>
      <c r="S10" s="40">
        <f t="shared" si="61"/>
        <v>2.951576629484965E-2</v>
      </c>
      <c r="T10" s="40">
        <f t="shared" si="62"/>
        <v>0.65560031593400148</v>
      </c>
      <c r="U10" s="40">
        <f t="shared" si="63"/>
        <v>0.68291699557218011</v>
      </c>
      <c r="V10" s="40">
        <f t="shared" si="64"/>
        <v>4.5527799704812015E-2</v>
      </c>
      <c r="X10" s="33">
        <v>5</v>
      </c>
      <c r="Y10" s="8" t="s">
        <v>30</v>
      </c>
      <c r="Z10" s="407">
        <v>39377</v>
      </c>
      <c r="AA10" s="404">
        <v>39377</v>
      </c>
      <c r="AB10" s="405">
        <v>0</v>
      </c>
      <c r="AC10" s="405">
        <v>0</v>
      </c>
      <c r="AD10" s="187">
        <v>2262870</v>
      </c>
      <c r="AE10" s="187">
        <v>4134238.8500000006</v>
      </c>
      <c r="AF10" s="187">
        <v>2262870</v>
      </c>
      <c r="AG10" s="187">
        <v>2966195</v>
      </c>
      <c r="AH10" s="408">
        <v>6303634.0309939561</v>
      </c>
      <c r="AI10" s="408">
        <v>6051488.669763173</v>
      </c>
      <c r="AJ10" s="408">
        <v>90772330.046478972</v>
      </c>
      <c r="AK10" s="29">
        <f t="shared" si="65"/>
        <v>75.328110318206058</v>
      </c>
      <c r="AL10" s="24">
        <f t="shared" si="66"/>
        <v>153.68079512820105</v>
      </c>
      <c r="AM10" s="24">
        <f t="shared" si="4"/>
        <v>153.68079512820105</v>
      </c>
      <c r="AN10" s="40">
        <f t="shared" si="67"/>
        <v>0.35897864452057837</v>
      </c>
      <c r="AO10" s="40">
        <f t="shared" si="68"/>
        <v>0.37393608804171458</v>
      </c>
      <c r="AP10" s="40">
        <f t="shared" si="69"/>
        <v>2.4929072536105688E-2</v>
      </c>
      <c r="AQ10" s="40">
        <f t="shared" si="70"/>
        <v>0.6558500746827326</v>
      </c>
      <c r="AR10" s="40">
        <f t="shared" si="71"/>
        <v>0.68317716112683313</v>
      </c>
      <c r="AS10" s="40">
        <f t="shared" si="72"/>
        <v>4.5545144075106465E-2</v>
      </c>
      <c r="AU10" s="33">
        <v>5</v>
      </c>
      <c r="AV10" s="8" t="s">
        <v>30</v>
      </c>
      <c r="AW10" s="407">
        <v>49709</v>
      </c>
      <c r="AX10" s="404">
        <v>49693</v>
      </c>
      <c r="AY10" s="405">
        <v>16</v>
      </c>
      <c r="AZ10" s="405">
        <v>0</v>
      </c>
      <c r="BA10" s="187">
        <v>3977235</v>
      </c>
      <c r="BB10" s="187">
        <v>7563752.4800000004</v>
      </c>
      <c r="BC10" s="187">
        <v>2785875</v>
      </c>
      <c r="BD10" s="187">
        <v>4473095.5600000005</v>
      </c>
      <c r="BE10" s="408">
        <v>8129665.2800017018</v>
      </c>
      <c r="BF10" s="408">
        <v>7804478.6687968466</v>
      </c>
      <c r="BG10" s="408">
        <v>117067180.03196408</v>
      </c>
      <c r="BH10" s="29">
        <f t="shared" si="73"/>
        <v>89.985627552354714</v>
      </c>
      <c r="BI10" s="24">
        <f>IFERROR(BF10/AW10,0)</f>
        <v>157.0033327726739</v>
      </c>
      <c r="BJ10" s="24">
        <f>IFERROR(BF10/AX10,0)</f>
        <v>157.05388422507892</v>
      </c>
      <c r="BK10" s="40">
        <f t="shared" si="8"/>
        <v>0.48922493891398777</v>
      </c>
      <c r="BL10" s="40">
        <f t="shared" si="9"/>
        <v>0.50960931136904986</v>
      </c>
      <c r="BM10" s="40">
        <f t="shared" si="10"/>
        <v>3.3973954091266689E-2</v>
      </c>
      <c r="BN10" s="40">
        <f t="shared" si="11"/>
        <v>0.93038916357432333</v>
      </c>
      <c r="BO10" s="40">
        <f t="shared" si="12"/>
        <v>0.96915537872384794</v>
      </c>
      <c r="BP10" s="40">
        <f t="shared" si="13"/>
        <v>6.461035858158358E-2</v>
      </c>
      <c r="BR10" s="33">
        <v>5</v>
      </c>
      <c r="BS10" s="8" t="s">
        <v>30</v>
      </c>
      <c r="BT10" s="407">
        <v>24414</v>
      </c>
      <c r="BU10" s="404">
        <v>24414</v>
      </c>
      <c r="BV10" s="405">
        <v>0</v>
      </c>
      <c r="BW10" s="405">
        <v>0</v>
      </c>
      <c r="BX10" s="187">
        <v>4247687.28</v>
      </c>
      <c r="BY10" s="187">
        <v>3525791.4699999997</v>
      </c>
      <c r="BZ10" s="187">
        <v>2975314.8</v>
      </c>
      <c r="CA10" s="187">
        <v>1542013</v>
      </c>
      <c r="CB10" s="408">
        <v>3995301.2000007555</v>
      </c>
      <c r="CC10" s="408">
        <v>3835489.1519987872</v>
      </c>
      <c r="CD10" s="408">
        <v>57532337.280032575</v>
      </c>
      <c r="CE10" s="29">
        <f t="shared" si="75"/>
        <v>63.161014172196282</v>
      </c>
      <c r="CF10" s="24">
        <f t="shared" si="76"/>
        <v>157.10203784708722</v>
      </c>
      <c r="CG10" s="24">
        <f t="shared" si="16"/>
        <v>157.10203784708722</v>
      </c>
      <c r="CH10" s="40">
        <f t="shared" si="17"/>
        <v>1.0631707266523978</v>
      </c>
      <c r="CI10" s="40">
        <f t="shared" si="18"/>
        <v>1.1074695069301408</v>
      </c>
      <c r="CJ10" s="40">
        <f t="shared" si="19"/>
        <v>7.3831300461944235E-2</v>
      </c>
      <c r="CK10" s="40">
        <f t="shared" si="20"/>
        <v>0.8824845220679064</v>
      </c>
      <c r="CL10" s="40">
        <f t="shared" si="21"/>
        <v>0.919254710487867</v>
      </c>
      <c r="CM10" s="40">
        <f t="shared" si="22"/>
        <v>6.1283647365803724E-2</v>
      </c>
      <c r="CO10" s="33">
        <v>5</v>
      </c>
      <c r="CP10" s="8" t="s">
        <v>30</v>
      </c>
      <c r="CQ10" s="407">
        <v>30741</v>
      </c>
      <c r="CR10" s="404">
        <v>30741</v>
      </c>
      <c r="CS10" s="405"/>
      <c r="CT10" s="405">
        <v>0</v>
      </c>
      <c r="CU10" s="187">
        <v>4413347.0839200001</v>
      </c>
      <c r="CV10" s="187">
        <v>5146930.2300000004</v>
      </c>
      <c r="CW10" s="187">
        <v>3091352.0771999997</v>
      </c>
      <c r="CX10" s="187">
        <v>2779928.5</v>
      </c>
      <c r="CY10" s="408">
        <v>5029625.1600009874</v>
      </c>
      <c r="CZ10" s="408">
        <v>4828440.1535983197</v>
      </c>
      <c r="DA10" s="408">
        <v>72426602.304038331</v>
      </c>
      <c r="DB10" s="29">
        <f t="shared" si="77"/>
        <v>90.430646368042673</v>
      </c>
      <c r="DC10" s="24">
        <f t="shared" si="78"/>
        <v>157.06841526294915</v>
      </c>
      <c r="DD10" s="24">
        <f t="shared" si="25"/>
        <v>157.06841526294915</v>
      </c>
      <c r="DE10" s="40">
        <f t="shared" si="26"/>
        <v>0.87747037672269279</v>
      </c>
      <c r="DF10" s="40">
        <f t="shared" si="27"/>
        <v>0.91403164241996915</v>
      </c>
      <c r="DG10" s="40">
        <f t="shared" si="28"/>
        <v>6.0935442827944483E-2</v>
      </c>
      <c r="DH10" s="40">
        <f t="shared" si="29"/>
        <v>1.0233228255123072</v>
      </c>
      <c r="DI10" s="40">
        <f t="shared" si="30"/>
        <v>1.0659612765759001</v>
      </c>
      <c r="DJ10" s="40">
        <f t="shared" si="31"/>
        <v>7.1064085104997676E-2</v>
      </c>
      <c r="DL10" s="33">
        <v>5</v>
      </c>
      <c r="DM10" s="8" t="s">
        <v>30</v>
      </c>
      <c r="DN10" s="405">
        <f>$DR10*(CQ10/$CZ10)</f>
        <v>38571.905050786627</v>
      </c>
      <c r="DO10" s="418">
        <v>4519267.4139340799</v>
      </c>
      <c r="DP10" s="418">
        <v>3165544.5270527997</v>
      </c>
      <c r="DQ10" s="405">
        <f>DR10*(CY10/CZ10)</f>
        <v>6310862.5000034347</v>
      </c>
      <c r="DR10" s="405">
        <v>6058428</v>
      </c>
      <c r="DS10" s="405">
        <f>$DR10*(DA10/$CZ10)</f>
        <v>90876420.000079721</v>
      </c>
      <c r="DT10" s="426">
        <f t="shared" si="79"/>
        <v>82.068659115613016</v>
      </c>
      <c r="DU10" s="405">
        <f t="shared" si="80"/>
        <v>157.06841526294917</v>
      </c>
      <c r="DV10" s="421">
        <f t="shared" si="81"/>
        <v>0.71610931373193765</v>
      </c>
      <c r="DW10" s="421">
        <f t="shared" si="82"/>
        <v>0.74594720180450769</v>
      </c>
      <c r="DX10" s="421">
        <f t="shared" si="83"/>
        <v>4.9729813453590219E-2</v>
      </c>
      <c r="DZ10" s="33">
        <v>5</v>
      </c>
      <c r="EA10" s="8" t="s">
        <v>30</v>
      </c>
      <c r="EB10" s="24">
        <v>28160</v>
      </c>
      <c r="EC10" s="418">
        <f>_xlfn.XLOOKUP($EA10,'Budget by Cost Category'!$AR:$AR,'Budget by Cost Category'!$AW:$AW,0)</f>
        <v>6083993</v>
      </c>
      <c r="ED10" s="418">
        <f>_xlfn.XLOOKUP($EA10,'Budget by Cost Category'!$AR:$AR,'Budget by Cost Category'!$AS:$AS,0)</f>
        <v>3089600</v>
      </c>
      <c r="EE10" s="24">
        <v>3663200</v>
      </c>
      <c r="EF10" s="24">
        <v>3150352</v>
      </c>
      <c r="EG10" s="24">
        <v>31503520</v>
      </c>
      <c r="EH10" s="29">
        <f t="shared" si="34"/>
        <v>109.71590909090909</v>
      </c>
      <c r="EI10" s="24">
        <f t="shared" si="84"/>
        <v>111.87329545454546</v>
      </c>
      <c r="EJ10" s="40">
        <f t="shared" si="35"/>
        <v>1.6608410679187595</v>
      </c>
      <c r="EK10" s="40">
        <f t="shared" si="36"/>
        <v>1.9312105440915808</v>
      </c>
      <c r="EL10" s="40">
        <f t="shared" si="37"/>
        <v>0.19312105440915808</v>
      </c>
      <c r="EN10" s="33">
        <v>5</v>
      </c>
      <c r="EO10" s="8" t="s">
        <v>30</v>
      </c>
      <c r="EP10" s="24">
        <v>28160</v>
      </c>
      <c r="EQ10" s="418">
        <f>_xlfn.XLOOKUP($EA10,'Budget by Cost Category'!$AY:$AY,'Budget by Cost Category'!$BD:$BD,0)</f>
        <v>6123301</v>
      </c>
      <c r="ER10" s="418">
        <f>_xlfn.XLOOKUP($EA10,'Budget by Cost Category'!$AY:$AY,'Budget by Cost Category'!$AZ:$AZ,0)</f>
        <v>3165902</v>
      </c>
      <c r="ES10" s="24">
        <v>3663200</v>
      </c>
      <c r="ET10" s="24">
        <v>3150352.0000000005</v>
      </c>
      <c r="EU10" s="24">
        <v>31503520</v>
      </c>
      <c r="EV10" s="29">
        <f t="shared" si="39"/>
        <v>112.42549715909091</v>
      </c>
      <c r="EW10" s="24">
        <f t="shared" si="40"/>
        <v>111.87329545454547</v>
      </c>
      <c r="EX10" s="40">
        <f t="shared" si="41"/>
        <v>1.6715715767634856</v>
      </c>
      <c r="EY10" s="40">
        <f t="shared" si="42"/>
        <v>1.943687879957541</v>
      </c>
      <c r="EZ10" s="40">
        <f t="shared" si="43"/>
        <v>0.19436878799575413</v>
      </c>
      <c r="FB10" s="33">
        <v>5</v>
      </c>
      <c r="FC10" s="8" t="s">
        <v>30</v>
      </c>
      <c r="FD10" s="24">
        <v>28160</v>
      </c>
      <c r="FE10" s="418">
        <f>_xlfn.XLOOKUP($EA10,'Budget by Cost Category'!$BF:$BF,'Budget by Cost Category'!$BK:$BK,0)</f>
        <v>6268247</v>
      </c>
      <c r="FF10" s="418">
        <f>_xlfn.XLOOKUP($EA10,'Budget by Cost Category'!$BF:$BF,'Budget by Cost Category'!$BG:$BG,0)</f>
        <v>3266180</v>
      </c>
      <c r="FG10" s="24">
        <v>3663200</v>
      </c>
      <c r="FH10" s="24">
        <v>3150352.0000000009</v>
      </c>
      <c r="FI10" s="24">
        <v>31503520.000000007</v>
      </c>
      <c r="FJ10" s="29">
        <f t="shared" si="45"/>
        <v>115.98650568181819</v>
      </c>
      <c r="FK10" s="24">
        <f t="shared" si="46"/>
        <v>111.87329545454548</v>
      </c>
      <c r="FL10" s="40">
        <f t="shared" si="47"/>
        <v>1.7111397139113345</v>
      </c>
      <c r="FM10" s="40">
        <f t="shared" si="48"/>
        <v>1.9896973417573649</v>
      </c>
      <c r="FN10" s="40">
        <f t="shared" si="49"/>
        <v>0.19896973417573652</v>
      </c>
      <c r="FP10" s="33">
        <v>5</v>
      </c>
      <c r="FQ10" s="8" t="s">
        <v>30</v>
      </c>
      <c r="FR10" s="24">
        <v>28160</v>
      </c>
      <c r="FS10" s="418">
        <f>_xlfn.XLOOKUP($EA10,'Budget by Cost Category'!$BM:$BM,'Budget by Cost Category'!$BR:$BR,0)</f>
        <v>6397663</v>
      </c>
      <c r="FT10" s="418">
        <f>_xlfn.XLOOKUP($EA10,'Budget by Cost Category'!$BM:$BM,'Budget by Cost Category'!$BN:$BN,0)</f>
        <v>3369229</v>
      </c>
      <c r="FU10" s="24">
        <v>3663200</v>
      </c>
      <c r="FV10" s="24">
        <v>3150352.0000000005</v>
      </c>
      <c r="FW10" s="24">
        <v>31503520.000000004</v>
      </c>
      <c r="FX10" s="29">
        <f t="shared" si="51"/>
        <v>119.64591619318182</v>
      </c>
      <c r="FY10" s="24">
        <f t="shared" si="52"/>
        <v>111.87329545454547</v>
      </c>
      <c r="FZ10" s="40">
        <f t="shared" si="53"/>
        <v>1.7464683882943874</v>
      </c>
      <c r="GA10" s="40">
        <f t="shared" si="54"/>
        <v>2.0307771956911478</v>
      </c>
      <c r="GB10" s="40">
        <f t="shared" si="55"/>
        <v>0.2030777195691148</v>
      </c>
    </row>
    <row r="11" spans="1:184" x14ac:dyDescent="0.25">
      <c r="A11" s="33">
        <v>6</v>
      </c>
      <c r="B11" s="8" t="s">
        <v>388</v>
      </c>
      <c r="C11" s="406">
        <v>0</v>
      </c>
      <c r="D11" s="406">
        <v>0</v>
      </c>
      <c r="E11" s="406">
        <v>0</v>
      </c>
      <c r="F11" s="406">
        <v>0</v>
      </c>
      <c r="G11" s="189">
        <v>0</v>
      </c>
      <c r="H11" s="189">
        <v>0</v>
      </c>
      <c r="I11" s="189">
        <v>0</v>
      </c>
      <c r="J11" s="189">
        <v>0</v>
      </c>
      <c r="K11" s="412">
        <v>0</v>
      </c>
      <c r="L11" s="412">
        <v>0</v>
      </c>
      <c r="M11" s="412">
        <v>0</v>
      </c>
      <c r="N11" s="430">
        <f t="shared" si="56"/>
        <v>0</v>
      </c>
      <c r="O11" s="412">
        <f t="shared" si="57"/>
        <v>0</v>
      </c>
      <c r="P11" s="412">
        <f t="shared" si="58"/>
        <v>0</v>
      </c>
      <c r="Q11" s="48">
        <f t="shared" si="59"/>
        <v>0</v>
      </c>
      <c r="R11" s="48">
        <f t="shared" si="60"/>
        <v>0</v>
      </c>
      <c r="S11" s="48">
        <f t="shared" si="61"/>
        <v>0</v>
      </c>
      <c r="T11" s="48">
        <f t="shared" si="62"/>
        <v>0</v>
      </c>
      <c r="U11" s="48">
        <f t="shared" si="63"/>
        <v>0</v>
      </c>
      <c r="V11" s="48">
        <f t="shared" si="64"/>
        <v>0</v>
      </c>
      <c r="X11" s="33">
        <v>6</v>
      </c>
      <c r="Y11" s="8" t="s">
        <v>388</v>
      </c>
      <c r="Z11" s="406">
        <v>0</v>
      </c>
      <c r="AA11" s="406">
        <v>0</v>
      </c>
      <c r="AB11" s="406">
        <v>0</v>
      </c>
      <c r="AC11" s="406">
        <v>0</v>
      </c>
      <c r="AD11" s="189">
        <v>0</v>
      </c>
      <c r="AE11" s="189">
        <v>0</v>
      </c>
      <c r="AF11" s="189">
        <v>0</v>
      </c>
      <c r="AG11" s="189">
        <v>0</v>
      </c>
      <c r="AH11" s="412">
        <v>0</v>
      </c>
      <c r="AI11" s="412">
        <v>0</v>
      </c>
      <c r="AJ11" s="412">
        <v>0</v>
      </c>
      <c r="AK11" s="430">
        <f t="shared" si="65"/>
        <v>0</v>
      </c>
      <c r="AL11" s="412">
        <f t="shared" si="66"/>
        <v>0</v>
      </c>
      <c r="AM11" s="412">
        <f t="shared" si="4"/>
        <v>0</v>
      </c>
      <c r="AN11" s="48">
        <f t="shared" si="67"/>
        <v>0</v>
      </c>
      <c r="AO11" s="48">
        <f t="shared" si="68"/>
        <v>0</v>
      </c>
      <c r="AP11" s="48">
        <f t="shared" si="69"/>
        <v>0</v>
      </c>
      <c r="AQ11" s="48">
        <f t="shared" si="70"/>
        <v>0</v>
      </c>
      <c r="AR11" s="48">
        <f t="shared" si="71"/>
        <v>0</v>
      </c>
      <c r="AS11" s="48">
        <f t="shared" si="72"/>
        <v>0</v>
      </c>
      <c r="AU11" s="33">
        <v>6</v>
      </c>
      <c r="AV11" s="8" t="s">
        <v>388</v>
      </c>
      <c r="AW11" s="406">
        <v>0</v>
      </c>
      <c r="AX11" s="406">
        <v>0</v>
      </c>
      <c r="AY11" s="406">
        <v>0</v>
      </c>
      <c r="AZ11" s="406">
        <v>0</v>
      </c>
      <c r="BA11" s="189">
        <v>0</v>
      </c>
      <c r="BB11" s="189">
        <v>0</v>
      </c>
      <c r="BC11" s="189">
        <v>0</v>
      </c>
      <c r="BD11" s="189">
        <v>0</v>
      </c>
      <c r="BE11" s="412">
        <v>0</v>
      </c>
      <c r="BF11" s="412">
        <v>0</v>
      </c>
      <c r="BG11" s="412">
        <v>0</v>
      </c>
      <c r="BH11" s="430">
        <f t="shared" si="73"/>
        <v>0</v>
      </c>
      <c r="BI11" s="412">
        <f>IFERROR(BF11/AW11,0)</f>
        <v>0</v>
      </c>
      <c r="BJ11" s="412">
        <f>IFERROR(BF11/AX11,0)</f>
        <v>0</v>
      </c>
      <c r="BK11" s="48">
        <f t="shared" si="8"/>
        <v>0</v>
      </c>
      <c r="BL11" s="48">
        <f t="shared" si="9"/>
        <v>0</v>
      </c>
      <c r="BM11" s="48">
        <f t="shared" si="10"/>
        <v>0</v>
      </c>
      <c r="BN11" s="48">
        <f t="shared" si="11"/>
        <v>0</v>
      </c>
      <c r="BO11" s="48">
        <f t="shared" si="12"/>
        <v>0</v>
      </c>
      <c r="BP11" s="48">
        <f t="shared" si="13"/>
        <v>0</v>
      </c>
      <c r="BR11" s="33">
        <v>6</v>
      </c>
      <c r="BS11" s="8" t="s">
        <v>388</v>
      </c>
      <c r="BT11" s="406">
        <v>0</v>
      </c>
      <c r="BU11" s="406">
        <v>0</v>
      </c>
      <c r="BV11" s="406">
        <v>0</v>
      </c>
      <c r="BW11" s="406">
        <v>0</v>
      </c>
      <c r="BX11" s="189">
        <v>0</v>
      </c>
      <c r="BY11" s="189">
        <v>0</v>
      </c>
      <c r="BZ11" s="189">
        <v>0</v>
      </c>
      <c r="CA11" s="189">
        <v>0</v>
      </c>
      <c r="CB11" s="412">
        <v>0</v>
      </c>
      <c r="CC11" s="412">
        <v>0</v>
      </c>
      <c r="CD11" s="412">
        <v>0</v>
      </c>
      <c r="CE11" s="430">
        <f t="shared" si="75"/>
        <v>0</v>
      </c>
      <c r="CF11" s="412">
        <f t="shared" si="76"/>
        <v>0</v>
      </c>
      <c r="CG11" s="412">
        <f t="shared" si="16"/>
        <v>0</v>
      </c>
      <c r="CH11" s="48">
        <f t="shared" si="17"/>
        <v>0</v>
      </c>
      <c r="CI11" s="48">
        <f t="shared" si="18"/>
        <v>0</v>
      </c>
      <c r="CJ11" s="48">
        <f t="shared" si="19"/>
        <v>0</v>
      </c>
      <c r="CK11" s="48">
        <f t="shared" si="20"/>
        <v>0</v>
      </c>
      <c r="CL11" s="48">
        <f t="shared" si="21"/>
        <v>0</v>
      </c>
      <c r="CM11" s="48">
        <f t="shared" si="22"/>
        <v>0</v>
      </c>
      <c r="CO11" s="33">
        <v>6</v>
      </c>
      <c r="CP11" s="8" t="s">
        <v>388</v>
      </c>
      <c r="CQ11" s="406">
        <v>0</v>
      </c>
      <c r="CR11" s="406">
        <v>0</v>
      </c>
      <c r="CS11" s="406">
        <v>0</v>
      </c>
      <c r="CT11" s="406">
        <v>0</v>
      </c>
      <c r="CU11" s="189">
        <v>0</v>
      </c>
      <c r="CV11" s="189">
        <v>0</v>
      </c>
      <c r="CW11" s="189">
        <v>0</v>
      </c>
      <c r="CX11" s="189">
        <v>0</v>
      </c>
      <c r="CY11" s="412">
        <v>0</v>
      </c>
      <c r="CZ11" s="412">
        <v>0</v>
      </c>
      <c r="DA11" s="412">
        <v>0</v>
      </c>
      <c r="DB11" s="430">
        <f t="shared" si="77"/>
        <v>0</v>
      </c>
      <c r="DC11" s="412">
        <f t="shared" si="78"/>
        <v>0</v>
      </c>
      <c r="DD11" s="412">
        <f t="shared" si="25"/>
        <v>0</v>
      </c>
      <c r="DE11" s="48">
        <f t="shared" si="26"/>
        <v>0</v>
      </c>
      <c r="DF11" s="48">
        <f t="shared" si="27"/>
        <v>0</v>
      </c>
      <c r="DG11" s="48">
        <f t="shared" si="28"/>
        <v>0</v>
      </c>
      <c r="DH11" s="48">
        <f t="shared" si="29"/>
        <v>0</v>
      </c>
      <c r="DI11" s="48">
        <f t="shared" si="30"/>
        <v>0</v>
      </c>
      <c r="DJ11" s="48">
        <f t="shared" si="31"/>
        <v>0</v>
      </c>
      <c r="DL11" s="33">
        <v>6</v>
      </c>
      <c r="DM11" s="8" t="s">
        <v>388</v>
      </c>
      <c r="DN11" s="406">
        <v>0</v>
      </c>
      <c r="DO11" s="413">
        <v>0</v>
      </c>
      <c r="DP11" s="413">
        <v>0</v>
      </c>
      <c r="DQ11" s="406">
        <v>0</v>
      </c>
      <c r="DR11" s="406">
        <v>0</v>
      </c>
      <c r="DS11" s="406">
        <v>0</v>
      </c>
      <c r="DT11" s="427">
        <f t="shared" si="79"/>
        <v>0</v>
      </c>
      <c r="DU11" s="406">
        <f t="shared" si="80"/>
        <v>0</v>
      </c>
      <c r="DV11" s="422">
        <f t="shared" si="81"/>
        <v>0</v>
      </c>
      <c r="DW11" s="422">
        <f t="shared" si="82"/>
        <v>0</v>
      </c>
      <c r="DX11" s="422">
        <f t="shared" si="83"/>
        <v>0</v>
      </c>
      <c r="DZ11" s="33">
        <v>6</v>
      </c>
      <c r="EA11" s="8" t="s">
        <v>32</v>
      </c>
      <c r="EB11" s="24">
        <v>8500</v>
      </c>
      <c r="EC11" s="418">
        <f>_xlfn.XLOOKUP($EA11,'Budget by Cost Category'!$AR:$AR,'Budget by Cost Category'!$AW:$AW,0)</f>
        <v>10875000</v>
      </c>
      <c r="ED11" s="418">
        <f>_xlfn.XLOOKUP($EA11,'Budget by Cost Category'!$AR:$AR,'Budget by Cost Category'!$AS:$AS,0)</f>
        <v>10150000</v>
      </c>
      <c r="EE11" s="24">
        <v>2127500</v>
      </c>
      <c r="EF11" s="24">
        <v>1869025</v>
      </c>
      <c r="EG11" s="24">
        <v>42052750</v>
      </c>
      <c r="EH11" s="29">
        <f t="shared" si="34"/>
        <v>1194.1176470588234</v>
      </c>
      <c r="EI11" s="24">
        <f t="shared" si="84"/>
        <v>219.88529411764705</v>
      </c>
      <c r="EJ11" s="40">
        <f t="shared" si="35"/>
        <v>5.1116333725029381</v>
      </c>
      <c r="EK11" s="40">
        <f t="shared" si="36"/>
        <v>5.8185417530530623</v>
      </c>
      <c r="EL11" s="40">
        <f t="shared" si="37"/>
        <v>0.25860377739862433</v>
      </c>
      <c r="EN11" s="33">
        <v>6</v>
      </c>
      <c r="EO11" s="8" t="s">
        <v>32</v>
      </c>
      <c r="EP11" s="24">
        <v>9500</v>
      </c>
      <c r="EQ11" s="418">
        <f>_xlfn.XLOOKUP($EA11,'Budget by Cost Category'!$AY:$AY,'Budget by Cost Category'!$BD:$BD,0)</f>
        <v>12762570</v>
      </c>
      <c r="ER11" s="418">
        <f>_xlfn.XLOOKUP($EA11,'Budget by Cost Category'!$AY:$AY,'Budget by Cost Category'!$AZ:$AZ,0)</f>
        <v>11770800</v>
      </c>
      <c r="ES11" s="24">
        <v>2396500</v>
      </c>
      <c r="ET11" s="24">
        <v>2105990</v>
      </c>
      <c r="EU11" s="24">
        <v>47759900</v>
      </c>
      <c r="EV11" s="29">
        <f t="shared" si="39"/>
        <v>1239.0315789473684</v>
      </c>
      <c r="EW11" s="24">
        <f t="shared" si="40"/>
        <v>221.68315789473684</v>
      </c>
      <c r="EX11" s="40">
        <f t="shared" si="41"/>
        <v>5.3255038597955355</v>
      </c>
      <c r="EY11" s="40">
        <f t="shared" si="42"/>
        <v>6.0601284906386068</v>
      </c>
      <c r="EZ11" s="40">
        <f t="shared" si="43"/>
        <v>0.26722354946304328</v>
      </c>
      <c r="FB11" s="33">
        <v>6</v>
      </c>
      <c r="FC11" s="8" t="s">
        <v>32</v>
      </c>
      <c r="FD11" s="24">
        <v>10500</v>
      </c>
      <c r="FE11" s="418">
        <f>_xlfn.XLOOKUP($EA11,'Budget by Cost Category'!$BF:$BF,'Budget by Cost Category'!$BK:$BK,0)</f>
        <v>14512935</v>
      </c>
      <c r="FF11" s="418">
        <f>_xlfn.XLOOKUP($EA11,'Budget by Cost Category'!$BF:$BF,'Budget by Cost Category'!$BG:$BG,0)</f>
        <v>13452372</v>
      </c>
      <c r="FG11" s="24">
        <v>2665500</v>
      </c>
      <c r="FH11" s="24">
        <v>2342955</v>
      </c>
      <c r="FI11" s="24">
        <v>53467050</v>
      </c>
      <c r="FJ11" s="29">
        <f t="shared" si="45"/>
        <v>1281.1782857142857</v>
      </c>
      <c r="FK11" s="24">
        <f t="shared" si="46"/>
        <v>223.13857142857142</v>
      </c>
      <c r="FL11" s="40">
        <f t="shared" si="47"/>
        <v>5.4447326955543049</v>
      </c>
      <c r="FM11" s="40">
        <f t="shared" si="48"/>
        <v>6.1942867020493351</v>
      </c>
      <c r="FN11" s="40">
        <f t="shared" si="49"/>
        <v>0.27143698782708231</v>
      </c>
      <c r="FP11" s="33">
        <v>6</v>
      </c>
      <c r="FQ11" s="8" t="s">
        <v>32</v>
      </c>
      <c r="FR11" s="24">
        <v>11500</v>
      </c>
      <c r="FS11" s="418">
        <f>_xlfn.XLOOKUP($EA11,'Budget by Cost Category'!$BM:$BM,'Budget by Cost Category'!$BR:$BR,0)</f>
        <v>16327928</v>
      </c>
      <c r="FT11" s="418">
        <f>_xlfn.XLOOKUP($EA11,'Budget by Cost Category'!$BM:$BM,'Budget by Cost Category'!$BN:$BN,0)</f>
        <v>15196499</v>
      </c>
      <c r="FU11" s="24">
        <v>2934500</v>
      </c>
      <c r="FV11" s="24">
        <v>2579920</v>
      </c>
      <c r="FW11" s="24">
        <v>59174200</v>
      </c>
      <c r="FX11" s="29">
        <f t="shared" si="51"/>
        <v>1321.434695652174</v>
      </c>
      <c r="FY11" s="24">
        <f t="shared" si="52"/>
        <v>224.34086956521739</v>
      </c>
      <c r="FZ11" s="40">
        <f t="shared" si="53"/>
        <v>5.56412608621571</v>
      </c>
      <c r="GA11" s="40">
        <f t="shared" si="54"/>
        <v>6.328850506992465</v>
      </c>
      <c r="GB11" s="40">
        <f t="shared" si="55"/>
        <v>0.2759298478052935</v>
      </c>
    </row>
    <row r="12" spans="1:184" x14ac:dyDescent="0.25">
      <c r="A12" s="33">
        <v>7</v>
      </c>
      <c r="B12" s="8" t="s">
        <v>338</v>
      </c>
      <c r="C12" s="406">
        <v>0</v>
      </c>
      <c r="D12" s="406">
        <v>0</v>
      </c>
      <c r="E12" s="406">
        <v>0</v>
      </c>
      <c r="F12" s="406">
        <v>0</v>
      </c>
      <c r="G12" s="189">
        <v>0</v>
      </c>
      <c r="H12" s="189">
        <v>0</v>
      </c>
      <c r="I12" s="189">
        <v>0</v>
      </c>
      <c r="J12" s="189">
        <v>0</v>
      </c>
      <c r="K12" s="412">
        <v>0</v>
      </c>
      <c r="L12" s="412">
        <v>0</v>
      </c>
      <c r="M12" s="412">
        <v>0</v>
      </c>
      <c r="N12" s="430">
        <f t="shared" si="56"/>
        <v>0</v>
      </c>
      <c r="O12" s="412">
        <f t="shared" si="57"/>
        <v>0</v>
      </c>
      <c r="P12" s="412">
        <f t="shared" si="58"/>
        <v>0</v>
      </c>
      <c r="Q12" s="48">
        <f t="shared" si="59"/>
        <v>0</v>
      </c>
      <c r="R12" s="48">
        <f t="shared" si="60"/>
        <v>0</v>
      </c>
      <c r="S12" s="48">
        <f t="shared" si="61"/>
        <v>0</v>
      </c>
      <c r="T12" s="48">
        <f t="shared" si="62"/>
        <v>0</v>
      </c>
      <c r="U12" s="48">
        <f t="shared" si="63"/>
        <v>0</v>
      </c>
      <c r="V12" s="48">
        <f t="shared" si="64"/>
        <v>0</v>
      </c>
      <c r="X12" s="33">
        <v>7</v>
      </c>
      <c r="Y12" s="8" t="s">
        <v>338</v>
      </c>
      <c r="Z12" s="406">
        <v>0</v>
      </c>
      <c r="AA12" s="406">
        <v>0</v>
      </c>
      <c r="AB12" s="406">
        <v>0</v>
      </c>
      <c r="AC12" s="406">
        <v>0</v>
      </c>
      <c r="AD12" s="189">
        <v>0</v>
      </c>
      <c r="AE12" s="189">
        <v>0</v>
      </c>
      <c r="AF12" s="189">
        <v>0</v>
      </c>
      <c r="AG12" s="189">
        <v>0</v>
      </c>
      <c r="AH12" s="412">
        <v>0</v>
      </c>
      <c r="AI12" s="412">
        <v>0</v>
      </c>
      <c r="AJ12" s="412">
        <v>0</v>
      </c>
      <c r="AK12" s="430">
        <f t="shared" si="65"/>
        <v>0</v>
      </c>
      <c r="AL12" s="412">
        <f t="shared" si="66"/>
        <v>0</v>
      </c>
      <c r="AM12" s="412">
        <f t="shared" si="4"/>
        <v>0</v>
      </c>
      <c r="AN12" s="48">
        <f t="shared" si="67"/>
        <v>0</v>
      </c>
      <c r="AO12" s="48">
        <f t="shared" si="68"/>
        <v>0</v>
      </c>
      <c r="AP12" s="48">
        <f t="shared" si="69"/>
        <v>0</v>
      </c>
      <c r="AQ12" s="48">
        <f t="shared" si="70"/>
        <v>0</v>
      </c>
      <c r="AR12" s="48">
        <f t="shared" si="71"/>
        <v>0</v>
      </c>
      <c r="AS12" s="48">
        <f t="shared" si="72"/>
        <v>0</v>
      </c>
      <c r="AU12" s="33">
        <v>7</v>
      </c>
      <c r="AV12" s="8" t="s">
        <v>338</v>
      </c>
      <c r="AW12" s="406">
        <v>0</v>
      </c>
      <c r="AX12" s="406">
        <v>0</v>
      </c>
      <c r="AY12" s="406">
        <v>0</v>
      </c>
      <c r="AZ12" s="406">
        <v>0</v>
      </c>
      <c r="BA12" s="189">
        <v>0</v>
      </c>
      <c r="BB12" s="189">
        <v>0</v>
      </c>
      <c r="BC12" s="189">
        <v>0</v>
      </c>
      <c r="BD12" s="189">
        <v>0</v>
      </c>
      <c r="BE12" s="412">
        <v>0</v>
      </c>
      <c r="BF12" s="412">
        <v>0</v>
      </c>
      <c r="BG12" s="412">
        <v>0</v>
      </c>
      <c r="BH12" s="430">
        <f t="shared" si="73"/>
        <v>0</v>
      </c>
      <c r="BI12" s="412">
        <f t="shared" si="74"/>
        <v>0</v>
      </c>
      <c r="BJ12" s="412">
        <f t="shared" si="7"/>
        <v>0</v>
      </c>
      <c r="BK12" s="48">
        <f t="shared" si="8"/>
        <v>0</v>
      </c>
      <c r="BL12" s="48">
        <f t="shared" si="9"/>
        <v>0</v>
      </c>
      <c r="BM12" s="48">
        <f t="shared" si="10"/>
        <v>0</v>
      </c>
      <c r="BN12" s="48">
        <f t="shared" si="11"/>
        <v>0</v>
      </c>
      <c r="BO12" s="48">
        <f t="shared" si="12"/>
        <v>0</v>
      </c>
      <c r="BP12" s="48">
        <f t="shared" si="13"/>
        <v>0</v>
      </c>
      <c r="BR12" s="33">
        <v>7</v>
      </c>
      <c r="BS12" s="8" t="s">
        <v>338</v>
      </c>
      <c r="BT12" s="406">
        <v>0</v>
      </c>
      <c r="BU12" s="406">
        <v>0</v>
      </c>
      <c r="BV12" s="406">
        <v>0</v>
      </c>
      <c r="BW12" s="406">
        <v>0</v>
      </c>
      <c r="BX12" s="189">
        <v>0</v>
      </c>
      <c r="BY12" s="189">
        <v>0</v>
      </c>
      <c r="BZ12" s="189">
        <v>0</v>
      </c>
      <c r="CA12" s="189">
        <v>0</v>
      </c>
      <c r="CB12" s="412">
        <v>0</v>
      </c>
      <c r="CC12" s="412">
        <v>0</v>
      </c>
      <c r="CD12" s="412">
        <v>0</v>
      </c>
      <c r="CE12" s="430">
        <f t="shared" si="75"/>
        <v>0</v>
      </c>
      <c r="CF12" s="412">
        <f t="shared" si="76"/>
        <v>0</v>
      </c>
      <c r="CG12" s="412">
        <f t="shared" si="16"/>
        <v>0</v>
      </c>
      <c r="CH12" s="48">
        <f t="shared" si="17"/>
        <v>0</v>
      </c>
      <c r="CI12" s="48">
        <f t="shared" si="18"/>
        <v>0</v>
      </c>
      <c r="CJ12" s="48">
        <f t="shared" si="19"/>
        <v>0</v>
      </c>
      <c r="CK12" s="48">
        <f t="shared" si="20"/>
        <v>0</v>
      </c>
      <c r="CL12" s="48">
        <f t="shared" si="21"/>
        <v>0</v>
      </c>
      <c r="CM12" s="48">
        <f t="shared" si="22"/>
        <v>0</v>
      </c>
      <c r="CO12" s="33">
        <v>7</v>
      </c>
      <c r="CP12" s="8" t="s">
        <v>338</v>
      </c>
      <c r="CQ12" s="406">
        <v>0</v>
      </c>
      <c r="CR12" s="406">
        <v>0</v>
      </c>
      <c r="CS12" s="406">
        <v>0</v>
      </c>
      <c r="CT12" s="406">
        <v>0</v>
      </c>
      <c r="CU12" s="189">
        <v>0</v>
      </c>
      <c r="CV12" s="189">
        <v>0</v>
      </c>
      <c r="CW12" s="189">
        <v>0</v>
      </c>
      <c r="CX12" s="189">
        <v>0</v>
      </c>
      <c r="CY12" s="412">
        <v>0</v>
      </c>
      <c r="CZ12" s="412">
        <v>0</v>
      </c>
      <c r="DA12" s="412">
        <v>0</v>
      </c>
      <c r="DB12" s="430">
        <f t="shared" si="77"/>
        <v>0</v>
      </c>
      <c r="DC12" s="412">
        <f t="shared" si="78"/>
        <v>0</v>
      </c>
      <c r="DD12" s="412">
        <f t="shared" si="25"/>
        <v>0</v>
      </c>
      <c r="DE12" s="48">
        <f t="shared" si="26"/>
        <v>0</v>
      </c>
      <c r="DF12" s="48">
        <f t="shared" si="27"/>
        <v>0</v>
      </c>
      <c r="DG12" s="48">
        <f t="shared" si="28"/>
        <v>0</v>
      </c>
      <c r="DH12" s="48">
        <f t="shared" si="29"/>
        <v>0</v>
      </c>
      <c r="DI12" s="48">
        <f t="shared" si="30"/>
        <v>0</v>
      </c>
      <c r="DJ12" s="48">
        <f t="shared" si="31"/>
        <v>0</v>
      </c>
      <c r="DL12" s="33">
        <v>7</v>
      </c>
      <c r="DM12" s="8" t="s">
        <v>338</v>
      </c>
      <c r="DN12" s="406">
        <v>0</v>
      </c>
      <c r="DO12" s="413">
        <v>0</v>
      </c>
      <c r="DP12" s="413">
        <v>0</v>
      </c>
      <c r="DQ12" s="406">
        <v>0</v>
      </c>
      <c r="DR12" s="406">
        <v>0</v>
      </c>
      <c r="DS12" s="406">
        <v>0</v>
      </c>
      <c r="DT12" s="427">
        <f t="shared" si="79"/>
        <v>0</v>
      </c>
      <c r="DU12" s="406">
        <f t="shared" si="80"/>
        <v>0</v>
      </c>
      <c r="DV12" s="422">
        <f t="shared" si="81"/>
        <v>0</v>
      </c>
      <c r="DW12" s="422">
        <f t="shared" si="82"/>
        <v>0</v>
      </c>
      <c r="DX12" s="422">
        <f t="shared" si="83"/>
        <v>0</v>
      </c>
      <c r="DZ12" s="33">
        <v>7</v>
      </c>
      <c r="EA12" s="8" t="s">
        <v>33</v>
      </c>
      <c r="EB12" s="24">
        <v>150000</v>
      </c>
      <c r="EC12" s="418">
        <f>_xlfn.XLOOKUP($EA12,'Budget by Cost Category'!$AR:$AR,'Budget by Cost Category'!$AW:$AW,0)</f>
        <v>2460000</v>
      </c>
      <c r="ED12" s="418">
        <f>_xlfn.XLOOKUP($EA12,'Budget by Cost Category'!$AR:$AR,'Budget by Cost Category'!$AS:$AS,0)</f>
        <v>0</v>
      </c>
      <c r="EE12" s="24">
        <v>2527500</v>
      </c>
      <c r="EF12" s="24">
        <v>2527500</v>
      </c>
      <c r="EG12" s="24">
        <v>2527500</v>
      </c>
      <c r="EH12" s="29">
        <f t="shared" si="34"/>
        <v>0</v>
      </c>
      <c r="EI12" s="24">
        <f t="shared" si="84"/>
        <v>16.850000000000001</v>
      </c>
      <c r="EJ12" s="40">
        <f t="shared" si="35"/>
        <v>0.97329376854599403</v>
      </c>
      <c r="EK12" s="40">
        <f t="shared" si="36"/>
        <v>0.97329376854599403</v>
      </c>
      <c r="EL12" s="40">
        <f t="shared" si="37"/>
        <v>0.97329376854599403</v>
      </c>
      <c r="EN12" s="33">
        <v>7</v>
      </c>
      <c r="EO12" s="8" t="s">
        <v>33</v>
      </c>
      <c r="EP12" s="24">
        <v>188000</v>
      </c>
      <c r="EQ12" s="418">
        <f>_xlfn.XLOOKUP($EA12,'Budget by Cost Category'!$AY:$AY,'Budget by Cost Category'!$BD:$BD,0)</f>
        <v>2644720</v>
      </c>
      <c r="ER12" s="418">
        <f>_xlfn.XLOOKUP($EA12,'Budget by Cost Category'!$AY:$AY,'Budget by Cost Category'!$AZ:$AZ,0)</f>
        <v>0</v>
      </c>
      <c r="ES12" s="24">
        <v>4557000</v>
      </c>
      <c r="ET12" s="24">
        <v>4557000</v>
      </c>
      <c r="EU12" s="24">
        <v>4557000</v>
      </c>
      <c r="EV12" s="29">
        <f t="shared" si="39"/>
        <v>0</v>
      </c>
      <c r="EW12" s="24">
        <f t="shared" si="40"/>
        <v>24.23936170212766</v>
      </c>
      <c r="EX12" s="40">
        <f t="shared" si="41"/>
        <v>0.58036427474215491</v>
      </c>
      <c r="EY12" s="40">
        <f t="shared" si="42"/>
        <v>0.58036427474215491</v>
      </c>
      <c r="EZ12" s="40">
        <f t="shared" si="43"/>
        <v>0.58036427474215491</v>
      </c>
      <c r="FB12" s="33">
        <v>7</v>
      </c>
      <c r="FC12" s="8" t="s">
        <v>33</v>
      </c>
      <c r="FD12" s="24">
        <v>226000</v>
      </c>
      <c r="FE12" s="418">
        <f>_xlfn.XLOOKUP($EA12,'Budget by Cost Category'!$BF:$BF,'Budget by Cost Category'!$BK:$BK,0)</f>
        <v>3000618</v>
      </c>
      <c r="FF12" s="418">
        <f>_xlfn.XLOOKUP($EA12,'Budget by Cost Category'!$BF:$BF,'Budget by Cost Category'!$BG:$BG,0)</f>
        <v>0</v>
      </c>
      <c r="FG12" s="24">
        <v>5738000</v>
      </c>
      <c r="FH12" s="24">
        <v>5738000</v>
      </c>
      <c r="FI12" s="24">
        <v>5738000</v>
      </c>
      <c r="FJ12" s="29">
        <f t="shared" si="45"/>
        <v>0</v>
      </c>
      <c r="FK12" s="24">
        <f t="shared" si="46"/>
        <v>25.389380530973451</v>
      </c>
      <c r="FL12" s="40">
        <f t="shared" si="47"/>
        <v>0.52293795747647265</v>
      </c>
      <c r="FM12" s="40">
        <f t="shared" si="48"/>
        <v>0.52293795747647265</v>
      </c>
      <c r="FN12" s="40">
        <f t="shared" si="49"/>
        <v>0.52293795747647265</v>
      </c>
      <c r="FP12" s="33">
        <v>7</v>
      </c>
      <c r="FQ12" s="8" t="s">
        <v>33</v>
      </c>
      <c r="FR12" s="24">
        <v>263000</v>
      </c>
      <c r="FS12" s="418">
        <f>_xlfn.XLOOKUP($EA12,'Budget by Cost Category'!$BM:$BM,'Budget by Cost Category'!$BR:$BR,0)</f>
        <v>3367977</v>
      </c>
      <c r="FT12" s="418">
        <f>_xlfn.XLOOKUP($EA12,'Budget by Cost Category'!$BM:$BM,'Budget by Cost Category'!$BN:$BN,0)</f>
        <v>0</v>
      </c>
      <c r="FU12" s="24">
        <v>6741000</v>
      </c>
      <c r="FV12" s="24">
        <v>6741000</v>
      </c>
      <c r="FW12" s="24">
        <v>6741000</v>
      </c>
      <c r="FX12" s="29">
        <f t="shared" si="51"/>
        <v>0</v>
      </c>
      <c r="FY12" s="24">
        <f t="shared" si="52"/>
        <v>25.631178707224336</v>
      </c>
      <c r="FZ12" s="40">
        <f t="shared" si="53"/>
        <v>0.49962572318647086</v>
      </c>
      <c r="GA12" s="40">
        <f t="shared" si="54"/>
        <v>0.49962572318647086</v>
      </c>
      <c r="GB12" s="40">
        <f t="shared" si="55"/>
        <v>0.49962572318647086</v>
      </c>
    </row>
    <row r="13" spans="1:184" x14ac:dyDescent="0.25">
      <c r="A13" s="33">
        <v>8</v>
      </c>
      <c r="B13" s="8" t="s">
        <v>35</v>
      </c>
      <c r="C13" s="405">
        <v>0</v>
      </c>
      <c r="D13" s="405">
        <v>0</v>
      </c>
      <c r="E13" s="405">
        <v>0</v>
      </c>
      <c r="F13" s="405">
        <v>0</v>
      </c>
      <c r="G13" s="187">
        <v>3738125</v>
      </c>
      <c r="H13" s="187">
        <v>4560451.7084264774</v>
      </c>
      <c r="I13" s="187">
        <v>0</v>
      </c>
      <c r="J13" s="187">
        <v>0</v>
      </c>
      <c r="K13" s="24">
        <v>0</v>
      </c>
      <c r="L13" s="24">
        <v>0</v>
      </c>
      <c r="M13" s="24">
        <v>0</v>
      </c>
      <c r="N13" s="29">
        <f t="shared" si="56"/>
        <v>0</v>
      </c>
      <c r="O13" s="24">
        <f t="shared" si="57"/>
        <v>0</v>
      </c>
      <c r="P13" s="24">
        <f t="shared" si="58"/>
        <v>0</v>
      </c>
      <c r="Q13" s="40">
        <f t="shared" si="59"/>
        <v>0</v>
      </c>
      <c r="R13" s="40">
        <f t="shared" si="60"/>
        <v>0</v>
      </c>
      <c r="S13" s="40">
        <f t="shared" si="61"/>
        <v>0</v>
      </c>
      <c r="T13" s="40">
        <f t="shared" si="62"/>
        <v>0</v>
      </c>
      <c r="U13" s="40">
        <f t="shared" si="63"/>
        <v>0</v>
      </c>
      <c r="V13" s="40">
        <f t="shared" si="64"/>
        <v>0</v>
      </c>
      <c r="X13" s="33">
        <v>8</v>
      </c>
      <c r="Y13" s="8" t="s">
        <v>35</v>
      </c>
      <c r="Z13" s="405">
        <v>0</v>
      </c>
      <c r="AA13" s="405">
        <v>0</v>
      </c>
      <c r="AB13" s="405">
        <v>0</v>
      </c>
      <c r="AC13" s="405">
        <v>0</v>
      </c>
      <c r="AD13" s="187">
        <v>3738125</v>
      </c>
      <c r="AE13" s="187">
        <v>4849125.8711774871</v>
      </c>
      <c r="AF13" s="187">
        <v>0</v>
      </c>
      <c r="AG13" s="187">
        <v>0</v>
      </c>
      <c r="AH13" s="24">
        <v>0</v>
      </c>
      <c r="AI13" s="24">
        <v>0</v>
      </c>
      <c r="AJ13" s="24">
        <v>0</v>
      </c>
      <c r="AK13" s="29">
        <f t="shared" si="65"/>
        <v>0</v>
      </c>
      <c r="AL13" s="24">
        <f t="shared" si="66"/>
        <v>0</v>
      </c>
      <c r="AM13" s="24">
        <f t="shared" si="4"/>
        <v>0</v>
      </c>
      <c r="AN13" s="40">
        <f t="shared" si="67"/>
        <v>0</v>
      </c>
      <c r="AO13" s="40">
        <f t="shared" si="68"/>
        <v>0</v>
      </c>
      <c r="AP13" s="40">
        <f t="shared" si="69"/>
        <v>0</v>
      </c>
      <c r="AQ13" s="40">
        <f t="shared" si="70"/>
        <v>0</v>
      </c>
      <c r="AR13" s="40">
        <f t="shared" si="71"/>
        <v>0</v>
      </c>
      <c r="AS13" s="40">
        <f t="shared" si="72"/>
        <v>0</v>
      </c>
      <c r="AU13" s="33">
        <v>8</v>
      </c>
      <c r="AV13" s="8" t="s">
        <v>35</v>
      </c>
      <c r="AW13" s="405">
        <v>0</v>
      </c>
      <c r="AX13" s="405">
        <v>0</v>
      </c>
      <c r="AY13" s="405">
        <v>0</v>
      </c>
      <c r="AZ13" s="405">
        <v>0</v>
      </c>
      <c r="BA13" s="187">
        <v>1783905.0012420591</v>
      </c>
      <c r="BB13" s="187">
        <v>1208869.3299999975</v>
      </c>
      <c r="BC13" s="187">
        <v>0</v>
      </c>
      <c r="BD13" s="187">
        <v>0</v>
      </c>
      <c r="BE13" s="24">
        <v>0</v>
      </c>
      <c r="BF13" s="24">
        <v>0</v>
      </c>
      <c r="BG13" s="24">
        <v>0</v>
      </c>
      <c r="BH13" s="29">
        <f t="shared" si="73"/>
        <v>0</v>
      </c>
      <c r="BI13" s="24">
        <f t="shared" si="74"/>
        <v>0</v>
      </c>
      <c r="BJ13" s="24">
        <f t="shared" si="7"/>
        <v>0</v>
      </c>
      <c r="BK13" s="40">
        <f t="shared" si="8"/>
        <v>0</v>
      </c>
      <c r="BL13" s="40">
        <f t="shared" si="9"/>
        <v>0</v>
      </c>
      <c r="BM13" s="40">
        <f t="shared" si="10"/>
        <v>0</v>
      </c>
      <c r="BN13" s="40">
        <f t="shared" si="11"/>
        <v>0</v>
      </c>
      <c r="BO13" s="40">
        <f t="shared" si="12"/>
        <v>0</v>
      </c>
      <c r="BP13" s="40">
        <f t="shared" si="13"/>
        <v>0</v>
      </c>
      <c r="BR13" s="33">
        <v>8</v>
      </c>
      <c r="BS13" s="8" t="s">
        <v>35</v>
      </c>
      <c r="BT13" s="405">
        <v>0</v>
      </c>
      <c r="BU13" s="405">
        <v>0</v>
      </c>
      <c r="BV13" s="405">
        <v>0</v>
      </c>
      <c r="BW13" s="405">
        <v>0</v>
      </c>
      <c r="BX13" s="187">
        <v>1905211.4365265206</v>
      </c>
      <c r="BY13" s="187">
        <v>1974779.2000007678</v>
      </c>
      <c r="BZ13" s="187">
        <v>0</v>
      </c>
      <c r="CA13" s="187">
        <v>0</v>
      </c>
      <c r="CB13" s="24">
        <v>0</v>
      </c>
      <c r="CC13" s="24">
        <v>0</v>
      </c>
      <c r="CD13" s="24">
        <v>0</v>
      </c>
      <c r="CE13" s="29">
        <f t="shared" si="75"/>
        <v>0</v>
      </c>
      <c r="CF13" s="24">
        <f t="shared" si="76"/>
        <v>0</v>
      </c>
      <c r="CG13" s="24">
        <f t="shared" si="16"/>
        <v>0</v>
      </c>
      <c r="CH13" s="40">
        <f t="shared" si="17"/>
        <v>0</v>
      </c>
      <c r="CI13" s="40">
        <f t="shared" si="18"/>
        <v>0</v>
      </c>
      <c r="CJ13" s="40">
        <f t="shared" si="19"/>
        <v>0</v>
      </c>
      <c r="CK13" s="40">
        <f t="shared" si="20"/>
        <v>0</v>
      </c>
      <c r="CL13" s="40">
        <f t="shared" si="21"/>
        <v>0</v>
      </c>
      <c r="CM13" s="40">
        <f t="shared" si="22"/>
        <v>0</v>
      </c>
      <c r="CO13" s="33">
        <v>8</v>
      </c>
      <c r="CP13" s="8" t="s">
        <v>35</v>
      </c>
      <c r="CQ13" s="405">
        <v>0</v>
      </c>
      <c r="CR13" s="405">
        <v>0</v>
      </c>
      <c r="CS13" s="405">
        <v>0</v>
      </c>
      <c r="CT13" s="405">
        <v>0</v>
      </c>
      <c r="CU13" s="187">
        <v>1979514.6863244039</v>
      </c>
      <c r="CV13" s="187">
        <v>2148212.6399999987</v>
      </c>
      <c r="CW13" s="187">
        <v>0</v>
      </c>
      <c r="CX13" s="187">
        <v>0</v>
      </c>
      <c r="CY13" s="24">
        <v>0</v>
      </c>
      <c r="CZ13" s="24">
        <v>0</v>
      </c>
      <c r="DA13" s="24">
        <v>0</v>
      </c>
      <c r="DB13" s="29">
        <f t="shared" si="77"/>
        <v>0</v>
      </c>
      <c r="DC13" s="24">
        <f t="shared" si="78"/>
        <v>0</v>
      </c>
      <c r="DD13" s="24">
        <f t="shared" si="25"/>
        <v>0</v>
      </c>
      <c r="DE13" s="40">
        <f t="shared" si="26"/>
        <v>0</v>
      </c>
      <c r="DF13" s="40">
        <f t="shared" si="27"/>
        <v>0</v>
      </c>
      <c r="DG13" s="40">
        <f t="shared" si="28"/>
        <v>0</v>
      </c>
      <c r="DH13" s="40">
        <f t="shared" si="29"/>
        <v>0</v>
      </c>
      <c r="DI13" s="40">
        <f t="shared" si="30"/>
        <v>0</v>
      </c>
      <c r="DJ13" s="40">
        <f t="shared" si="31"/>
        <v>0</v>
      </c>
      <c r="DL13" s="33">
        <v>8</v>
      </c>
      <c r="DM13" s="8" t="s">
        <v>35</v>
      </c>
      <c r="DN13" s="405">
        <v>0</v>
      </c>
      <c r="DO13" s="418">
        <v>2027023</v>
      </c>
      <c r="DP13" s="418">
        <v>0</v>
      </c>
      <c r="DQ13" s="405">
        <v>0</v>
      </c>
      <c r="DR13" s="405">
        <v>0</v>
      </c>
      <c r="DS13" s="405">
        <v>0</v>
      </c>
      <c r="DT13" s="426">
        <f t="shared" si="79"/>
        <v>0</v>
      </c>
      <c r="DU13" s="405">
        <f t="shared" si="80"/>
        <v>0</v>
      </c>
      <c r="DV13" s="421">
        <f t="shared" si="81"/>
        <v>0</v>
      </c>
      <c r="DW13" s="421">
        <f t="shared" si="82"/>
        <v>0</v>
      </c>
      <c r="DX13" s="421">
        <f t="shared" si="83"/>
        <v>0</v>
      </c>
      <c r="DZ13" s="33">
        <v>8</v>
      </c>
      <c r="EA13" s="8" t="s">
        <v>35</v>
      </c>
      <c r="EB13" s="24">
        <v>0</v>
      </c>
      <c r="EC13" s="418">
        <f>'Budget by Cost Category'!AV5</f>
        <v>2573738</v>
      </c>
      <c r="ED13" s="418">
        <v>0</v>
      </c>
      <c r="EE13" s="24">
        <v>0</v>
      </c>
      <c r="EF13" s="24">
        <v>0</v>
      </c>
      <c r="EG13" s="24">
        <v>0</v>
      </c>
      <c r="EH13" s="29">
        <f t="shared" si="34"/>
        <v>0</v>
      </c>
      <c r="EI13" s="24">
        <f t="shared" si="84"/>
        <v>0</v>
      </c>
      <c r="EJ13" s="40">
        <f t="shared" si="35"/>
        <v>0</v>
      </c>
      <c r="EK13" s="40">
        <f t="shared" si="36"/>
        <v>0</v>
      </c>
      <c r="EL13" s="40">
        <f t="shared" si="37"/>
        <v>0</v>
      </c>
      <c r="EN13" s="33">
        <v>8</v>
      </c>
      <c r="EO13" s="8" t="s">
        <v>35</v>
      </c>
      <c r="EP13" s="24">
        <v>0</v>
      </c>
      <c r="EQ13" s="418">
        <f>'Budget by Cost Category'!BC5</f>
        <v>2618006</v>
      </c>
      <c r="ER13" s="418">
        <v>0</v>
      </c>
      <c r="ES13" s="24">
        <v>0</v>
      </c>
      <c r="ET13" s="24">
        <v>0</v>
      </c>
      <c r="EU13" s="24">
        <v>0</v>
      </c>
      <c r="EV13" s="29">
        <f t="shared" si="39"/>
        <v>0</v>
      </c>
      <c r="EW13" s="24">
        <f t="shared" si="40"/>
        <v>0</v>
      </c>
      <c r="EX13" s="40">
        <f t="shared" si="41"/>
        <v>0</v>
      </c>
      <c r="EY13" s="40">
        <f t="shared" si="42"/>
        <v>0</v>
      </c>
      <c r="EZ13" s="40">
        <f t="shared" si="43"/>
        <v>0</v>
      </c>
      <c r="FB13" s="33">
        <v>8</v>
      </c>
      <c r="FC13" s="8" t="s">
        <v>35</v>
      </c>
      <c r="FD13" s="24">
        <v>0</v>
      </c>
      <c r="FE13" s="418">
        <f>'Budget by Cost Category'!BJ5</f>
        <v>2663036</v>
      </c>
      <c r="FF13" s="418">
        <v>0</v>
      </c>
      <c r="FG13" s="24">
        <v>0</v>
      </c>
      <c r="FH13" s="24">
        <v>0</v>
      </c>
      <c r="FI13" s="24">
        <v>0</v>
      </c>
      <c r="FJ13" s="29">
        <f t="shared" si="45"/>
        <v>0</v>
      </c>
      <c r="FK13" s="24">
        <f t="shared" si="46"/>
        <v>0</v>
      </c>
      <c r="FL13" s="40">
        <f t="shared" si="47"/>
        <v>0</v>
      </c>
      <c r="FM13" s="40">
        <f t="shared" si="48"/>
        <v>0</v>
      </c>
      <c r="FN13" s="40">
        <f t="shared" si="49"/>
        <v>0</v>
      </c>
      <c r="FP13" s="33">
        <v>8</v>
      </c>
      <c r="FQ13" s="8" t="s">
        <v>35</v>
      </c>
      <c r="FR13" s="24">
        <v>0</v>
      </c>
      <c r="FS13" s="418">
        <f>'Budget by Cost Category'!BQ5</f>
        <v>2708841</v>
      </c>
      <c r="FT13" s="418">
        <f>_xlfn.XLOOKUP($EA13,'Budget by Cost Category'!$BM:$BM,'Budget by Cost Category'!$BN:$BN,0)</f>
        <v>0</v>
      </c>
      <c r="FU13" s="24">
        <v>0</v>
      </c>
      <c r="FV13" s="24">
        <v>0</v>
      </c>
      <c r="FW13" s="24">
        <v>0</v>
      </c>
      <c r="FX13" s="29">
        <f t="shared" si="51"/>
        <v>0</v>
      </c>
      <c r="FY13" s="24">
        <f t="shared" si="52"/>
        <v>0</v>
      </c>
      <c r="FZ13" s="40">
        <f t="shared" si="53"/>
        <v>0</v>
      </c>
      <c r="GA13" s="40">
        <f t="shared" si="54"/>
        <v>0</v>
      </c>
      <c r="GB13" s="40">
        <f t="shared" si="55"/>
        <v>0</v>
      </c>
    </row>
    <row r="14" spans="1:184" x14ac:dyDescent="0.25">
      <c r="A14" s="33">
        <v>9</v>
      </c>
      <c r="B14" s="6" t="s">
        <v>2</v>
      </c>
      <c r="C14" s="22">
        <f t="shared" ref="C14:J14" si="85">SUM(C15:C17)</f>
        <v>9118</v>
      </c>
      <c r="D14" s="22">
        <f>SUM(D15:D17)</f>
        <v>6335</v>
      </c>
      <c r="E14" s="22">
        <f t="shared" si="85"/>
        <v>2</v>
      </c>
      <c r="F14" s="22">
        <f t="shared" si="85"/>
        <v>1</v>
      </c>
      <c r="G14" s="186">
        <f t="shared" si="85"/>
        <v>25421780</v>
      </c>
      <c r="H14" s="186">
        <f t="shared" si="85"/>
        <v>23177510.47664341</v>
      </c>
      <c r="I14" s="186">
        <f t="shared" si="85"/>
        <v>22651212</v>
      </c>
      <c r="J14" s="186">
        <f t="shared" si="85"/>
        <v>14198244.649999999</v>
      </c>
      <c r="K14" s="22">
        <f t="shared" ref="K14:M14" si="86">SUM(K15:K17)</f>
        <v>8065589.3200000068</v>
      </c>
      <c r="L14" s="22">
        <f t="shared" si="86"/>
        <v>8015580.7500000168</v>
      </c>
      <c r="M14" s="22">
        <f t="shared" si="86"/>
        <v>166578043.18999881</v>
      </c>
      <c r="N14" s="28">
        <f t="shared" si="56"/>
        <v>1557.1665551656063</v>
      </c>
      <c r="O14" s="22">
        <f t="shared" si="57"/>
        <v>879.0941818381242</v>
      </c>
      <c r="P14" s="22">
        <f t="shared" si="58"/>
        <v>1265.2850434096317</v>
      </c>
      <c r="Q14" s="36">
        <f t="shared" si="59"/>
        <v>3.1518812812552151</v>
      </c>
      <c r="R14" s="36">
        <f t="shared" si="60"/>
        <v>3.17154561757736</v>
      </c>
      <c r="S14" s="36">
        <f t="shared" si="61"/>
        <v>0.1526118299457026</v>
      </c>
      <c r="T14" s="36">
        <f t="shared" si="62"/>
        <v>2.8736288889853112</v>
      </c>
      <c r="U14" s="36">
        <f t="shared" si="63"/>
        <v>2.8915572307899664</v>
      </c>
      <c r="V14" s="36">
        <f t="shared" si="64"/>
        <v>0.13913904877731789</v>
      </c>
      <c r="X14" s="33">
        <v>9</v>
      </c>
      <c r="Y14" s="6" t="s">
        <v>2</v>
      </c>
      <c r="Z14" s="22">
        <f t="shared" ref="Z14:AG14" si="87">SUM(Z15:Z17)</f>
        <v>11230</v>
      </c>
      <c r="AA14" s="22">
        <f t="shared" si="87"/>
        <v>7624</v>
      </c>
      <c r="AB14" s="22">
        <f t="shared" si="87"/>
        <v>10</v>
      </c>
      <c r="AC14" s="22">
        <f t="shared" si="87"/>
        <v>0</v>
      </c>
      <c r="AD14" s="186">
        <f t="shared" si="87"/>
        <v>25421780</v>
      </c>
      <c r="AE14" s="186">
        <f t="shared" si="87"/>
        <v>21053222.830555394</v>
      </c>
      <c r="AF14" s="186">
        <f t="shared" si="87"/>
        <v>22651212</v>
      </c>
      <c r="AG14" s="186">
        <f t="shared" si="87"/>
        <v>12121525.02</v>
      </c>
      <c r="AH14" s="22">
        <f t="shared" ref="AH14:AJ14" si="88">SUM(AH15:AH17)</f>
        <v>6866919.9590506656</v>
      </c>
      <c r="AI14" s="22">
        <f t="shared" si="88"/>
        <v>6845364.4792028945</v>
      </c>
      <c r="AJ14" s="22">
        <f t="shared" si="88"/>
        <v>140241610.49651816</v>
      </c>
      <c r="AK14" s="28">
        <f t="shared" si="65"/>
        <v>1079.387802315227</v>
      </c>
      <c r="AL14" s="22">
        <f t="shared" si="66"/>
        <v>609.56050571708772</v>
      </c>
      <c r="AM14" s="22">
        <f t="shared" si="4"/>
        <v>897.87047208852232</v>
      </c>
      <c r="AN14" s="36">
        <f t="shared" si="67"/>
        <v>3.702064411933891</v>
      </c>
      <c r="AO14" s="36">
        <f t="shared" si="68"/>
        <v>3.7137219029366029</v>
      </c>
      <c r="AP14" s="36">
        <f t="shared" si="69"/>
        <v>0.18127130678259828</v>
      </c>
      <c r="AQ14" s="36">
        <f t="shared" si="70"/>
        <v>3.0658902326081501</v>
      </c>
      <c r="AR14" s="36">
        <f t="shared" si="71"/>
        <v>3.0755444643623897</v>
      </c>
      <c r="AS14" s="36">
        <f t="shared" si="72"/>
        <v>0.15012108571783758</v>
      </c>
      <c r="AU14" s="33">
        <v>9</v>
      </c>
      <c r="AV14" s="6" t="s">
        <v>2</v>
      </c>
      <c r="AW14" s="22">
        <f t="shared" ref="AW14:BD14" si="89">SUM(AW15:AW17)</f>
        <v>13392</v>
      </c>
      <c r="AX14" s="22">
        <f t="shared" si="89"/>
        <v>9387</v>
      </c>
      <c r="AY14" s="22">
        <f t="shared" si="89"/>
        <v>95</v>
      </c>
      <c r="AZ14" s="22">
        <f t="shared" si="89"/>
        <v>1</v>
      </c>
      <c r="BA14" s="186">
        <f t="shared" si="89"/>
        <v>22987684.995222218</v>
      </c>
      <c r="BB14" s="186">
        <f t="shared" si="89"/>
        <v>23844020.93</v>
      </c>
      <c r="BC14" s="186">
        <f t="shared" si="89"/>
        <v>15615383</v>
      </c>
      <c r="BD14" s="186">
        <f t="shared" si="89"/>
        <v>15488125.979999999</v>
      </c>
      <c r="BE14" s="22">
        <f t="shared" ref="BE14:BG14" si="90">SUM(BE15:BE17)</f>
        <v>6250012.9365088781</v>
      </c>
      <c r="BF14" s="22">
        <f t="shared" si="90"/>
        <v>6250012.9365088781</v>
      </c>
      <c r="BG14" s="22">
        <f t="shared" si="90"/>
        <v>126943659.620252</v>
      </c>
      <c r="BH14" s="28">
        <f t="shared" si="73"/>
        <v>1156.5207571684587</v>
      </c>
      <c r="BI14" s="22">
        <f t="shared" si="74"/>
        <v>466.69750123274179</v>
      </c>
      <c r="BJ14" s="22">
        <f t="shared" si="7"/>
        <v>665.81580233395948</v>
      </c>
      <c r="BK14" s="36">
        <f t="shared" si="8"/>
        <v>3.6780219863133023</v>
      </c>
      <c r="BL14" s="36">
        <f t="shared" si="9"/>
        <v>3.6780219863133023</v>
      </c>
      <c r="BM14" s="36">
        <f t="shared" si="10"/>
        <v>0.1810857278259439</v>
      </c>
      <c r="BN14" s="36">
        <f t="shared" si="11"/>
        <v>3.8150354522816001</v>
      </c>
      <c r="BO14" s="36">
        <f t="shared" si="12"/>
        <v>3.8150354522816001</v>
      </c>
      <c r="BP14" s="36">
        <f t="shared" si="13"/>
        <v>0.18783152306565484</v>
      </c>
      <c r="BR14" s="33">
        <v>9</v>
      </c>
      <c r="BS14" s="6" t="s">
        <v>2</v>
      </c>
      <c r="BT14" s="22">
        <f t="shared" ref="BT14:CA14" si="91">SUM(BT15:BT17)</f>
        <v>14045</v>
      </c>
      <c r="BU14" s="22">
        <f t="shared" si="91"/>
        <v>10281</v>
      </c>
      <c r="BV14" s="22">
        <f t="shared" si="91"/>
        <v>14</v>
      </c>
      <c r="BW14" s="22">
        <f t="shared" si="91"/>
        <v>0</v>
      </c>
      <c r="BX14" s="186">
        <f t="shared" si="91"/>
        <v>24550847.881497331</v>
      </c>
      <c r="BY14" s="186">
        <f t="shared" si="91"/>
        <v>32646728.809999995</v>
      </c>
      <c r="BZ14" s="186">
        <f t="shared" si="91"/>
        <v>16677229.023600001</v>
      </c>
      <c r="CA14" s="186">
        <f t="shared" si="91"/>
        <v>24404832.130000003</v>
      </c>
      <c r="CB14" s="22">
        <f t="shared" ref="CB14:CD14" si="92">SUM(CB15:CB17)</f>
        <v>7888569.5612587351</v>
      </c>
      <c r="CC14" s="22">
        <f t="shared" si="92"/>
        <v>7888569.5612587351</v>
      </c>
      <c r="CD14" s="22">
        <f t="shared" si="92"/>
        <v>163046292.34757537</v>
      </c>
      <c r="CE14" s="28">
        <f t="shared" si="75"/>
        <v>1737.6170971876115</v>
      </c>
      <c r="CF14" s="22">
        <f t="shared" si="76"/>
        <v>561.66390610599751</v>
      </c>
      <c r="CG14" s="22">
        <f t="shared" si="16"/>
        <v>767.29594020608261</v>
      </c>
      <c r="CH14" s="36">
        <f t="shared" si="17"/>
        <v>3.1122052852355009</v>
      </c>
      <c r="CI14" s="36">
        <f t="shared" si="18"/>
        <v>3.1122052852355009</v>
      </c>
      <c r="CJ14" s="36">
        <f t="shared" si="19"/>
        <v>0.15057593477293457</v>
      </c>
      <c r="CK14" s="36">
        <f t="shared" si="20"/>
        <v>4.1384852547070317</v>
      </c>
      <c r="CL14" s="36">
        <f t="shared" si="21"/>
        <v>4.1384852547070317</v>
      </c>
      <c r="CM14" s="36">
        <f t="shared" si="22"/>
        <v>0.20022981412177743</v>
      </c>
      <c r="CO14" s="33">
        <v>9</v>
      </c>
      <c r="CP14" s="6" t="s">
        <v>2</v>
      </c>
      <c r="CQ14" s="22">
        <f>SUM(CQ15:CQ17)</f>
        <v>13159</v>
      </c>
      <c r="CR14" s="22">
        <f>SUM(CR15:CR17)</f>
        <v>10131</v>
      </c>
      <c r="CS14" s="22">
        <f>SUM(CS15:CS17)</f>
        <v>73</v>
      </c>
      <c r="CT14" s="22">
        <f>SUM(CT15:CT17)</f>
        <v>2</v>
      </c>
      <c r="CU14" s="186">
        <f>SUM(CU15:CU17)</f>
        <v>25508330.948875722</v>
      </c>
      <c r="CV14" s="186">
        <f t="shared" ref="CV14:CX14" si="93">SUM(CV15:CV17)</f>
        <v>29402168.859999999</v>
      </c>
      <c r="CW14" s="186">
        <f t="shared" si="93"/>
        <v>17327640.955520399</v>
      </c>
      <c r="CX14" s="186">
        <f t="shared" si="93"/>
        <v>21532360.870000001</v>
      </c>
      <c r="CY14" s="22">
        <f t="shared" ref="CY14:DA14" si="94">SUM(CY15:CY17)</f>
        <v>5745595.8311970038</v>
      </c>
      <c r="CZ14" s="22">
        <f t="shared" si="94"/>
        <v>5745595.8311970038</v>
      </c>
      <c r="DA14" s="22">
        <f t="shared" si="94"/>
        <v>115669217.62574998</v>
      </c>
      <c r="DB14" s="28">
        <f t="shared" si="77"/>
        <v>1636.3219750740939</v>
      </c>
      <c r="DC14" s="22">
        <f t="shared" si="78"/>
        <v>436.62860636803737</v>
      </c>
      <c r="DD14" s="22">
        <f t="shared" si="25"/>
        <v>567.13017779064296</v>
      </c>
      <c r="DE14" s="36">
        <f t="shared" si="26"/>
        <v>4.4396319717395549</v>
      </c>
      <c r="DF14" s="36">
        <f t="shared" si="27"/>
        <v>4.4396319717395549</v>
      </c>
      <c r="DG14" s="36">
        <f t="shared" si="28"/>
        <v>0.22052825697679071</v>
      </c>
      <c r="DH14" s="36">
        <f t="shared" si="29"/>
        <v>5.1173402591867525</v>
      </c>
      <c r="DI14" s="36">
        <f t="shared" si="30"/>
        <v>5.1173402591867525</v>
      </c>
      <c r="DJ14" s="36">
        <f t="shared" si="31"/>
        <v>0.25419181925420553</v>
      </c>
      <c r="DL14" s="33">
        <v>9</v>
      </c>
      <c r="DM14" s="6" t="s">
        <v>2</v>
      </c>
      <c r="DN14" s="415">
        <f>SUM(DN15:DN17)</f>
        <v>9698.8426563846533</v>
      </c>
      <c r="DO14" s="417">
        <f>SUM(DO15:DO17)</f>
        <v>26120530.411794331</v>
      </c>
      <c r="DP14" s="417">
        <f>SUM(DP15:DP17)</f>
        <v>17743504.338452891</v>
      </c>
      <c r="DQ14" s="415">
        <f>SUM(DQ15:DQ17)</f>
        <v>5236408</v>
      </c>
      <c r="DR14" s="415">
        <f t="shared" ref="DR14:DS14" si="95">SUM(DR15:DR17)</f>
        <v>5236408</v>
      </c>
      <c r="DS14" s="415">
        <f t="shared" si="95"/>
        <v>100101554.68025109</v>
      </c>
      <c r="DT14" s="425">
        <f t="shared" si="79"/>
        <v>1829.445529438764</v>
      </c>
      <c r="DU14" s="415">
        <f t="shared" si="80"/>
        <v>539.90029383072044</v>
      </c>
      <c r="DV14" s="420">
        <f t="shared" si="81"/>
        <v>4.9882534767715443</v>
      </c>
      <c r="DW14" s="420">
        <f t="shared" si="82"/>
        <v>4.9882534767715443</v>
      </c>
      <c r="DX14" s="420">
        <f t="shared" si="83"/>
        <v>0.26094030702349935</v>
      </c>
      <c r="DZ14" s="33">
        <v>9</v>
      </c>
      <c r="EA14" s="6" t="s">
        <v>2</v>
      </c>
      <c r="EB14" s="22">
        <f>SUM(EB15:EB17)</f>
        <v>8629</v>
      </c>
      <c r="EC14" s="417">
        <f>SUM(EC15:EC17)</f>
        <v>27336368</v>
      </c>
      <c r="ED14" s="417">
        <f>SUM(ED15:ED17)</f>
        <v>20424307</v>
      </c>
      <c r="EE14" s="22">
        <f>SUM(EE15:EE17)</f>
        <v>4677266.9425628539</v>
      </c>
      <c r="EF14" s="22">
        <f t="shared" ref="EF14:EG14" si="96">SUM(EF15:EF17)</f>
        <v>4677266.9425628539</v>
      </c>
      <c r="EG14" s="22">
        <f t="shared" si="96"/>
        <v>91078773.174954236</v>
      </c>
      <c r="EH14" s="28">
        <f t="shared" si="34"/>
        <v>2366.9378838799398</v>
      </c>
      <c r="EI14" s="22">
        <f t="shared" si="84"/>
        <v>542.04043835471714</v>
      </c>
      <c r="EJ14" s="36">
        <f t="shared" si="35"/>
        <v>5.8445173935318211</v>
      </c>
      <c r="EK14" s="36">
        <f t="shared" si="36"/>
        <v>5.8445173935318211</v>
      </c>
      <c r="EL14" s="36">
        <f t="shared" si="37"/>
        <v>0.30013983551896628</v>
      </c>
      <c r="EN14" s="33">
        <v>9</v>
      </c>
      <c r="EO14" s="6" t="s">
        <v>2</v>
      </c>
      <c r="EP14" s="22">
        <f>SUM(EP15:EP17)</f>
        <v>9509</v>
      </c>
      <c r="EQ14" s="417">
        <f>SUM(EQ15:EQ17)</f>
        <v>29790341</v>
      </c>
      <c r="ER14" s="417">
        <f>SUM(ER15:ER17)</f>
        <v>22519821</v>
      </c>
      <c r="ES14" s="22">
        <f>SUM(ES15:ES17)</f>
        <v>4894384.0745430216</v>
      </c>
      <c r="ET14" s="22">
        <f t="shared" ref="ET14:EU14" si="97">SUM(ET15:ET17)</f>
        <v>4894384.0745430216</v>
      </c>
      <c r="EU14" s="22">
        <f t="shared" si="97"/>
        <v>94917544.227716267</v>
      </c>
      <c r="EV14" s="28">
        <f t="shared" si="39"/>
        <v>2368.2638552949838</v>
      </c>
      <c r="EW14" s="22">
        <f t="shared" si="40"/>
        <v>514.7107029701358</v>
      </c>
      <c r="EX14" s="36">
        <f t="shared" si="41"/>
        <v>6.0866373677021786</v>
      </c>
      <c r="EY14" s="36">
        <f t="shared" si="42"/>
        <v>6.0866373677021786</v>
      </c>
      <c r="EZ14" s="36">
        <f t="shared" si="43"/>
        <v>0.31385494897055199</v>
      </c>
      <c r="FB14" s="33">
        <v>9</v>
      </c>
      <c r="FC14" s="6" t="s">
        <v>2</v>
      </c>
      <c r="FD14" s="22">
        <f>SUM(FD15:FD17)</f>
        <v>10253</v>
      </c>
      <c r="FE14" s="417">
        <f>SUM(FE15:FE17)</f>
        <v>32879507</v>
      </c>
      <c r="FF14" s="417">
        <f>SUM(FF15:FF17)</f>
        <v>25306980</v>
      </c>
      <c r="FG14" s="22">
        <f>SUM(FG15:FG17)</f>
        <v>5095636.8590231892</v>
      </c>
      <c r="FH14" s="22">
        <f t="shared" ref="FH14:FI14" si="98">SUM(FH15:FH17)</f>
        <v>5095636.8590231892</v>
      </c>
      <c r="FI14" s="22">
        <f t="shared" si="98"/>
        <v>98804898.263978273</v>
      </c>
      <c r="FJ14" s="28">
        <f t="shared" si="45"/>
        <v>2468.2512435384765</v>
      </c>
      <c r="FK14" s="22">
        <f t="shared" si="46"/>
        <v>496.98984287751773</v>
      </c>
      <c r="FL14" s="36">
        <f t="shared" si="47"/>
        <v>6.4524823706340122</v>
      </c>
      <c r="FM14" s="36">
        <f t="shared" si="48"/>
        <v>6.4524823706340122</v>
      </c>
      <c r="FN14" s="36">
        <f t="shared" si="49"/>
        <v>0.33277203435962671</v>
      </c>
      <c r="FP14" s="33">
        <v>9</v>
      </c>
      <c r="FQ14" s="6" t="s">
        <v>2</v>
      </c>
      <c r="FR14" s="22">
        <f>SUM(FR15:FR17)</f>
        <v>11263</v>
      </c>
      <c r="FS14" s="417">
        <f>SUM(FS15:FS17)</f>
        <v>35656823</v>
      </c>
      <c r="FT14" s="417">
        <f>SUM(FT15:FT17)</f>
        <v>27703220</v>
      </c>
      <c r="FU14" s="22">
        <f>SUM(FU15:FU17)</f>
        <v>5313785.5638033571</v>
      </c>
      <c r="FV14" s="22">
        <f t="shared" ref="FV14:FW14" si="99">SUM(FV15:FV17)</f>
        <v>5313785.5638033571</v>
      </c>
      <c r="FW14" s="22">
        <f t="shared" si="99"/>
        <v>102653985.47324029</v>
      </c>
      <c r="FX14" s="28">
        <f t="shared" si="51"/>
        <v>2459.6661635443488</v>
      </c>
      <c r="FY14" s="22">
        <f t="shared" si="52"/>
        <v>471.79131348693573</v>
      </c>
      <c r="FZ14" s="36">
        <f t="shared" si="53"/>
        <v>6.7102487618033511</v>
      </c>
      <c r="GA14" s="36">
        <f t="shared" si="54"/>
        <v>6.7102487618033511</v>
      </c>
      <c r="GB14" s="36">
        <f t="shared" si="55"/>
        <v>0.34734962150393056</v>
      </c>
    </row>
    <row r="15" spans="1:184" x14ac:dyDescent="0.25">
      <c r="A15" s="33">
        <v>10</v>
      </c>
      <c r="B15" s="8" t="s">
        <v>36</v>
      </c>
      <c r="C15" s="403">
        <v>8916</v>
      </c>
      <c r="D15" s="408">
        <v>6195</v>
      </c>
      <c r="E15" s="405">
        <v>1</v>
      </c>
      <c r="F15" s="405">
        <v>1</v>
      </c>
      <c r="G15" s="187">
        <v>15110859</v>
      </c>
      <c r="H15" s="187">
        <v>15216955.32</v>
      </c>
      <c r="I15" s="187">
        <v>15110859</v>
      </c>
      <c r="J15" s="187">
        <v>9466266.0199999996</v>
      </c>
      <c r="K15" s="408">
        <v>3223724.1600000029</v>
      </c>
      <c r="L15" s="408">
        <v>3219328.7700000145</v>
      </c>
      <c r="M15" s="408">
        <v>72347779.229998782</v>
      </c>
      <c r="N15" s="29">
        <f t="shared" si="56"/>
        <v>1061.7166913414087</v>
      </c>
      <c r="O15" s="24">
        <f t="shared" si="57"/>
        <v>361.07321332436231</v>
      </c>
      <c r="P15" s="24">
        <f t="shared" si="58"/>
        <v>519.6656610169515</v>
      </c>
      <c r="Q15" s="40">
        <f t="shared" si="59"/>
        <v>4.687392050317353</v>
      </c>
      <c r="R15" s="40">
        <f t="shared" si="60"/>
        <v>4.6937918055507986</v>
      </c>
      <c r="S15" s="40">
        <f t="shared" si="61"/>
        <v>0.20886417193209891</v>
      </c>
      <c r="T15" s="40">
        <f t="shared" si="62"/>
        <v>4.7203031539770404</v>
      </c>
      <c r="U15" s="40">
        <f t="shared" si="63"/>
        <v>4.7267478431536309</v>
      </c>
      <c r="V15" s="40">
        <f t="shared" si="64"/>
        <v>0.2103306484588035</v>
      </c>
      <c r="X15" s="33">
        <v>10</v>
      </c>
      <c r="Y15" s="8" t="s">
        <v>36</v>
      </c>
      <c r="Z15" s="403">
        <v>11059</v>
      </c>
      <c r="AA15" s="408">
        <v>7500</v>
      </c>
      <c r="AB15" s="405">
        <v>10</v>
      </c>
      <c r="AC15" s="405">
        <v>0</v>
      </c>
      <c r="AD15" s="187">
        <v>15110859</v>
      </c>
      <c r="AE15" s="187">
        <v>15027473.879999999</v>
      </c>
      <c r="AF15" s="187">
        <v>15110859</v>
      </c>
      <c r="AG15" s="187">
        <v>9369490.3399999999</v>
      </c>
      <c r="AH15" s="408">
        <v>2908810.8770049056</v>
      </c>
      <c r="AI15" s="408">
        <v>2905555.6782828956</v>
      </c>
      <c r="AJ15" s="408">
        <v>63302651.800388135</v>
      </c>
      <c r="AK15" s="29">
        <f t="shared" si="65"/>
        <v>847.22762817614614</v>
      </c>
      <c r="AL15" s="24">
        <f t="shared" si="66"/>
        <v>262.73222518156211</v>
      </c>
      <c r="AM15" s="24">
        <f t="shared" si="4"/>
        <v>387.40742377105272</v>
      </c>
      <c r="AN15" s="40">
        <f t="shared" si="67"/>
        <v>5.1948578436144635</v>
      </c>
      <c r="AO15" s="40">
        <f t="shared" si="68"/>
        <v>5.2006778300425163</v>
      </c>
      <c r="AP15" s="40">
        <f t="shared" si="69"/>
        <v>0.23870815155815239</v>
      </c>
      <c r="AQ15" s="40">
        <f t="shared" si="70"/>
        <v>5.1661914491578189</v>
      </c>
      <c r="AR15" s="40">
        <f t="shared" si="71"/>
        <v>5.1719793195912276</v>
      </c>
      <c r="AS15" s="40">
        <f t="shared" si="72"/>
        <v>0.23739090626702403</v>
      </c>
      <c r="AU15" s="33">
        <v>10</v>
      </c>
      <c r="AV15" s="8" t="s">
        <v>36</v>
      </c>
      <c r="AW15" s="403">
        <v>13139</v>
      </c>
      <c r="AX15" s="408">
        <v>9207</v>
      </c>
      <c r="AY15" s="405">
        <v>93</v>
      </c>
      <c r="AZ15" s="405">
        <v>1</v>
      </c>
      <c r="BA15" s="187">
        <v>14375115</v>
      </c>
      <c r="BB15" s="187">
        <v>17551494.5</v>
      </c>
      <c r="BC15" s="187">
        <v>9511755</v>
      </c>
      <c r="BD15" s="187">
        <v>11331197.829999998</v>
      </c>
      <c r="BE15" s="408">
        <v>3247883.4340499993</v>
      </c>
      <c r="BF15" s="408">
        <v>3247883.4340499993</v>
      </c>
      <c r="BG15" s="408">
        <v>69515817.094900027</v>
      </c>
      <c r="BH15" s="29">
        <f t="shared" si="73"/>
        <v>862.40945505746242</v>
      </c>
      <c r="BI15" s="24">
        <f t="shared" si="74"/>
        <v>247.19411173224745</v>
      </c>
      <c r="BJ15" s="24">
        <f t="shared" si="7"/>
        <v>352.76240187357439</v>
      </c>
      <c r="BK15" s="40">
        <f t="shared" si="8"/>
        <v>4.4259947414660523</v>
      </c>
      <c r="BL15" s="40">
        <f t="shared" si="9"/>
        <v>4.4259947414660523</v>
      </c>
      <c r="BM15" s="40">
        <f t="shared" si="10"/>
        <v>0.20678912513357509</v>
      </c>
      <c r="BN15" s="40">
        <f t="shared" si="11"/>
        <v>5.4039791933400414</v>
      </c>
      <c r="BO15" s="40">
        <f t="shared" si="12"/>
        <v>5.4039791933400414</v>
      </c>
      <c r="BP15" s="40">
        <f t="shared" si="13"/>
        <v>0.2524820283136347</v>
      </c>
      <c r="BR15" s="33">
        <v>10</v>
      </c>
      <c r="BS15" s="8" t="s">
        <v>36</v>
      </c>
      <c r="BT15" s="403">
        <v>13741</v>
      </c>
      <c r="BU15" s="408">
        <v>10046</v>
      </c>
      <c r="BV15" s="405">
        <v>13</v>
      </c>
      <c r="BW15" s="405">
        <v>0</v>
      </c>
      <c r="BX15" s="187">
        <v>15352622.520000001</v>
      </c>
      <c r="BY15" s="187">
        <v>21866467</v>
      </c>
      <c r="BZ15" s="187">
        <v>10158554.34</v>
      </c>
      <c r="CA15" s="187">
        <v>15832795.300000003</v>
      </c>
      <c r="CB15" s="408">
        <v>3865193.8216500166</v>
      </c>
      <c r="CC15" s="408">
        <v>3865193.8216500166</v>
      </c>
      <c r="CD15" s="408">
        <v>86286043.136550143</v>
      </c>
      <c r="CE15" s="29">
        <f t="shared" si="75"/>
        <v>1152.230208863984</v>
      </c>
      <c r="CF15" s="24">
        <f t="shared" si="76"/>
        <v>281.28912172694976</v>
      </c>
      <c r="CG15" s="24">
        <f t="shared" si="16"/>
        <v>384.74953430718858</v>
      </c>
      <c r="CH15" s="40">
        <f t="shared" si="17"/>
        <v>3.9720187986449034</v>
      </c>
      <c r="CI15" s="40">
        <f t="shared" si="18"/>
        <v>3.9720187986449034</v>
      </c>
      <c r="CJ15" s="40">
        <f t="shared" si="19"/>
        <v>0.17792706632408714</v>
      </c>
      <c r="CK15" s="40">
        <f t="shared" si="20"/>
        <v>5.6572756785235159</v>
      </c>
      <c r="CL15" s="40">
        <f t="shared" si="21"/>
        <v>5.6572756785235159</v>
      </c>
      <c r="CM15" s="40">
        <f t="shared" si="22"/>
        <v>0.25341835371214888</v>
      </c>
      <c r="CO15" s="33">
        <v>10</v>
      </c>
      <c r="CP15" s="8" t="s">
        <v>36</v>
      </c>
      <c r="CQ15" s="403">
        <v>13018</v>
      </c>
      <c r="CR15" s="408">
        <v>10027</v>
      </c>
      <c r="CS15" s="405">
        <v>70</v>
      </c>
      <c r="CT15" s="405">
        <v>2</v>
      </c>
      <c r="CU15" s="187">
        <v>15951374.798279999</v>
      </c>
      <c r="CV15" s="187">
        <v>21502779.389999997</v>
      </c>
      <c r="CW15" s="187">
        <v>10554737.95926</v>
      </c>
      <c r="CX15" s="187">
        <v>16097039.050000001</v>
      </c>
      <c r="CY15" s="408">
        <v>3777687.114270004</v>
      </c>
      <c r="CZ15" s="408">
        <v>3777687.114270004</v>
      </c>
      <c r="DA15" s="408">
        <v>86170946.988199964</v>
      </c>
      <c r="DB15" s="29">
        <f t="shared" si="77"/>
        <v>1236.5216661545553</v>
      </c>
      <c r="DC15" s="24">
        <f t="shared" si="78"/>
        <v>290.189515614534</v>
      </c>
      <c r="DD15" s="24">
        <f t="shared" si="25"/>
        <v>376.75148242445437</v>
      </c>
      <c r="DE15" s="40">
        <f t="shared" si="26"/>
        <v>4.2225240777682629</v>
      </c>
      <c r="DF15" s="40">
        <f t="shared" si="27"/>
        <v>4.2225240777682629</v>
      </c>
      <c r="DG15" s="40">
        <f t="shared" si="28"/>
        <v>0.18511314260552736</v>
      </c>
      <c r="DH15" s="40">
        <f t="shared" si="29"/>
        <v>5.6920487958821253</v>
      </c>
      <c r="DI15" s="40">
        <f t="shared" si="30"/>
        <v>5.6920487958821253</v>
      </c>
      <c r="DJ15" s="40">
        <f t="shared" si="31"/>
        <v>0.24953630128893134</v>
      </c>
      <c r="DL15" s="33">
        <v>10</v>
      </c>
      <c r="DM15" s="8" t="s">
        <v>36</v>
      </c>
      <c r="DN15" s="405">
        <f>$DR15*(CQ15/$CZ15)</f>
        <v>9521.6293192007124</v>
      </c>
      <c r="DO15" s="418">
        <v>16334207.793438721</v>
      </c>
      <c r="DP15" s="418">
        <v>10808051.670282241</v>
      </c>
      <c r="DQ15" s="405">
        <f>DR15*(CY15/CZ15)</f>
        <v>2763077</v>
      </c>
      <c r="DR15" s="405">
        <v>2763077</v>
      </c>
      <c r="DS15" s="405">
        <f>$DR15*(DA15/$CZ15)</f>
        <v>63027178.929646268</v>
      </c>
      <c r="DT15" s="426">
        <f t="shared" si="79"/>
        <v>1135.1052753636829</v>
      </c>
      <c r="DU15" s="405">
        <f t="shared" si="80"/>
        <v>290.189515614534</v>
      </c>
      <c r="DV15" s="421">
        <f t="shared" si="81"/>
        <v>5.91160065153404</v>
      </c>
      <c r="DW15" s="421">
        <f t="shared" si="82"/>
        <v>5.91160065153404</v>
      </c>
      <c r="DX15" s="421">
        <f t="shared" si="83"/>
        <v>0.25916133437721667</v>
      </c>
      <c r="DZ15" s="33">
        <v>10</v>
      </c>
      <c r="EA15" s="8" t="s">
        <v>36</v>
      </c>
      <c r="EB15" s="24">
        <v>8400</v>
      </c>
      <c r="EC15" s="418">
        <f>_xlfn.XLOOKUP($EA15,'Budget by Cost Category'!$AR:$AR,'Budget by Cost Category'!$AW:$AW,0)</f>
        <v>16775338</v>
      </c>
      <c r="ED15" s="418">
        <f>_xlfn.XLOOKUP($EA15,'Budget by Cost Category'!$AR:$AR,'Budget by Cost Category'!$AS:$AS,0)</f>
        <v>12971618</v>
      </c>
      <c r="EE15" s="24">
        <v>2224164.6831628536</v>
      </c>
      <c r="EF15" s="24">
        <v>2224164.6831628536</v>
      </c>
      <c r="EG15" s="24">
        <v>49714160.197954245</v>
      </c>
      <c r="EH15" s="29">
        <f t="shared" si="34"/>
        <v>1544.2402380952381</v>
      </c>
      <c r="EI15" s="24">
        <f t="shared" si="84"/>
        <v>264.7815099003397</v>
      </c>
      <c r="EJ15" s="40">
        <f t="shared" si="35"/>
        <v>7.5423093114421631</v>
      </c>
      <c r="EK15" s="40">
        <f t="shared" si="36"/>
        <v>7.5423093114421631</v>
      </c>
      <c r="EL15" s="40">
        <f t="shared" si="37"/>
        <v>0.33743581171246079</v>
      </c>
      <c r="EN15" s="33">
        <v>10</v>
      </c>
      <c r="EO15" s="8" t="s">
        <v>36</v>
      </c>
      <c r="EP15" s="24">
        <v>9268</v>
      </c>
      <c r="EQ15" s="418">
        <f>_xlfn.XLOOKUP($EA15,'Budget by Cost Category'!$AY:$AY,'Budget by Cost Category'!$BD:$BD,0)</f>
        <v>18591203</v>
      </c>
      <c r="ER15" s="418">
        <f>_xlfn.XLOOKUP($EA15,'Budget by Cost Category'!$AY:$AY,'Budget by Cost Category'!$AZ:$AZ,0)</f>
        <v>14558778</v>
      </c>
      <c r="ES15" s="24">
        <v>2415998.9586430215</v>
      </c>
      <c r="ET15" s="24">
        <v>2415998.9586430215</v>
      </c>
      <c r="EU15" s="24">
        <v>53242215.50371626</v>
      </c>
      <c r="EV15" s="29">
        <f t="shared" si="39"/>
        <v>1570.8651273198102</v>
      </c>
      <c r="EW15" s="24">
        <f t="shared" si="40"/>
        <v>260.68180391055478</v>
      </c>
      <c r="EX15" s="40">
        <f t="shared" si="41"/>
        <v>7.6950376710600903</v>
      </c>
      <c r="EY15" s="40">
        <f t="shared" si="42"/>
        <v>7.6950376710600903</v>
      </c>
      <c r="EZ15" s="40">
        <f t="shared" si="43"/>
        <v>0.34918161883594701</v>
      </c>
      <c r="FB15" s="33">
        <v>10</v>
      </c>
      <c r="FC15" s="8" t="s">
        <v>36</v>
      </c>
      <c r="FD15" s="24">
        <v>10010</v>
      </c>
      <c r="FE15" s="418">
        <f>_xlfn.XLOOKUP($EA15,'Budget by Cost Category'!$BF:$BF,'Budget by Cost Category'!$BK:$BK,0)</f>
        <v>20703369</v>
      </c>
      <c r="FF15" s="418">
        <f>_xlfn.XLOOKUP($EA15,'Budget by Cost Category'!$BF:$BF,'Budget by Cost Category'!$BG:$BG,0)</f>
        <v>16491888</v>
      </c>
      <c r="FG15" s="24">
        <v>2587295.2341231895</v>
      </c>
      <c r="FH15" s="24">
        <v>2587295.2341231895</v>
      </c>
      <c r="FI15" s="24">
        <v>56564890.809478275</v>
      </c>
      <c r="FJ15" s="29">
        <f t="shared" si="45"/>
        <v>1647.5412587412588</v>
      </c>
      <c r="FK15" s="24">
        <f t="shared" si="46"/>
        <v>258.471052359959</v>
      </c>
      <c r="FL15" s="40">
        <f t="shared" si="47"/>
        <v>8.001935274702495</v>
      </c>
      <c r="FM15" s="40">
        <f t="shared" si="48"/>
        <v>8.001935274702495</v>
      </c>
      <c r="FN15" s="40">
        <f t="shared" si="49"/>
        <v>0.3660109425426637</v>
      </c>
      <c r="FP15" s="33">
        <v>10</v>
      </c>
      <c r="FQ15" s="8" t="s">
        <v>36</v>
      </c>
      <c r="FR15" s="24">
        <v>11019</v>
      </c>
      <c r="FS15" s="418">
        <f>_xlfn.XLOOKUP($EA15,'Budget by Cost Category'!$BM:$BM,'Budget by Cost Category'!$BR:$BR,0)</f>
        <v>22903803</v>
      </c>
      <c r="FT15" s="418">
        <f>_xlfn.XLOOKUP($EA15,'Budget by Cost Category'!$BM:$BM,'Budget by Cost Category'!$BN:$BN,0)</f>
        <v>18400631</v>
      </c>
      <c r="FU15" s="24">
        <v>2802112.5096033574</v>
      </c>
      <c r="FV15" s="24">
        <v>2802112.5096033574</v>
      </c>
      <c r="FW15" s="24">
        <v>60322776.115240291</v>
      </c>
      <c r="FX15" s="29">
        <f t="shared" si="51"/>
        <v>1669.9002631817768</v>
      </c>
      <c r="FY15" s="24">
        <f t="shared" si="52"/>
        <v>254.29825842665917</v>
      </c>
      <c r="FZ15" s="40">
        <f t="shared" si="53"/>
        <v>8.1737628027084686</v>
      </c>
      <c r="GA15" s="40">
        <f t="shared" si="54"/>
        <v>8.1737628027084686</v>
      </c>
      <c r="GB15" s="40">
        <f t="shared" si="55"/>
        <v>0.37968748248994216</v>
      </c>
    </row>
    <row r="16" spans="1:184" x14ac:dyDescent="0.25">
      <c r="A16" s="33">
        <v>11</v>
      </c>
      <c r="B16" s="8" t="s">
        <v>38</v>
      </c>
      <c r="C16" s="403">
        <v>202</v>
      </c>
      <c r="D16" s="409">
        <v>140</v>
      </c>
      <c r="E16" s="405">
        <v>1</v>
      </c>
      <c r="F16" s="405">
        <v>0</v>
      </c>
      <c r="G16" s="187">
        <v>7540353</v>
      </c>
      <c r="H16" s="187">
        <v>6040105.4900000002</v>
      </c>
      <c r="I16" s="187">
        <v>7540353</v>
      </c>
      <c r="J16" s="187">
        <v>4731978.63</v>
      </c>
      <c r="K16" s="408">
        <v>4841865.1600000039</v>
      </c>
      <c r="L16" s="408">
        <v>4796251.9800000023</v>
      </c>
      <c r="M16" s="408">
        <v>94230263.960000008</v>
      </c>
      <c r="N16" s="29">
        <f t="shared" si="56"/>
        <v>23425.636782178219</v>
      </c>
      <c r="O16" s="24">
        <f t="shared" si="57"/>
        <v>23743.821683168328</v>
      </c>
      <c r="P16" s="24">
        <f t="shared" si="58"/>
        <v>34258.942714285731</v>
      </c>
      <c r="Q16" s="40">
        <f t="shared" si="59"/>
        <v>1.5573240374996304</v>
      </c>
      <c r="R16" s="40">
        <f t="shared" si="60"/>
        <v>1.5721344565387068</v>
      </c>
      <c r="S16" s="40">
        <f t="shared" si="61"/>
        <v>8.0020501727564086E-2</v>
      </c>
      <c r="T16" s="40">
        <f t="shared" si="62"/>
        <v>1.2474749482697274</v>
      </c>
      <c r="U16" s="40">
        <f t="shared" si="63"/>
        <v>1.2593386492592071</v>
      </c>
      <c r="V16" s="40">
        <f t="shared" si="64"/>
        <v>6.409942237415335E-2</v>
      </c>
      <c r="X16" s="33">
        <v>11</v>
      </c>
      <c r="Y16" s="8" t="s">
        <v>38</v>
      </c>
      <c r="Z16" s="403">
        <v>171</v>
      </c>
      <c r="AA16" s="409">
        <v>124</v>
      </c>
      <c r="AB16" s="405">
        <v>0</v>
      </c>
      <c r="AC16" s="405">
        <v>0</v>
      </c>
      <c r="AD16" s="187">
        <v>7540353</v>
      </c>
      <c r="AE16" s="187">
        <v>4095659.7699999986</v>
      </c>
      <c r="AF16" s="187">
        <v>7540353</v>
      </c>
      <c r="AG16" s="187">
        <v>2752034.6799999992</v>
      </c>
      <c r="AH16" s="408">
        <v>3958109.08204576</v>
      </c>
      <c r="AI16" s="408">
        <v>3939808.8009199989</v>
      </c>
      <c r="AJ16" s="408">
        <v>76938958.696130022</v>
      </c>
      <c r="AK16" s="29">
        <f t="shared" si="65"/>
        <v>16093.770058479528</v>
      </c>
      <c r="AL16" s="24">
        <f t="shared" si="66"/>
        <v>23039.81754923976</v>
      </c>
      <c r="AM16" s="24">
        <f t="shared" si="4"/>
        <v>31772.651620322573</v>
      </c>
      <c r="AN16" s="40">
        <f t="shared" si="67"/>
        <v>1.905039210314726</v>
      </c>
      <c r="AO16" s="40">
        <f t="shared" si="68"/>
        <v>1.9138880542221299</v>
      </c>
      <c r="AP16" s="40">
        <f t="shared" si="69"/>
        <v>9.8004354722041165E-2</v>
      </c>
      <c r="AQ16" s="40">
        <f t="shared" si="70"/>
        <v>1.0347516162649932</v>
      </c>
      <c r="AR16" s="40">
        <f t="shared" si="71"/>
        <v>1.0395580031811713</v>
      </c>
      <c r="AS16" s="40">
        <f t="shared" si="72"/>
        <v>5.3232586447859054E-2</v>
      </c>
      <c r="AU16" s="33">
        <v>11</v>
      </c>
      <c r="AV16" s="8" t="s">
        <v>38</v>
      </c>
      <c r="AW16" s="403">
        <v>253</v>
      </c>
      <c r="AX16" s="409">
        <v>180</v>
      </c>
      <c r="AY16" s="405">
        <v>2</v>
      </c>
      <c r="AZ16" s="405">
        <v>0</v>
      </c>
      <c r="BA16" s="187">
        <v>7138928</v>
      </c>
      <c r="BB16" s="187">
        <v>5124136.1400000006</v>
      </c>
      <c r="BC16" s="187">
        <v>6103628</v>
      </c>
      <c r="BD16" s="187">
        <v>4156928.1500000008</v>
      </c>
      <c r="BE16" s="408">
        <v>3002129.5024588788</v>
      </c>
      <c r="BF16" s="408">
        <v>3002129.5024588788</v>
      </c>
      <c r="BG16" s="408">
        <v>57427842.525351971</v>
      </c>
      <c r="BH16" s="29">
        <f t="shared" si="73"/>
        <v>16430.546047430835</v>
      </c>
      <c r="BI16" s="24">
        <f t="shared" si="74"/>
        <v>11866.124515647742</v>
      </c>
      <c r="BJ16" s="24">
        <f t="shared" si="7"/>
        <v>16678.49723588266</v>
      </c>
      <c r="BK16" s="40">
        <f t="shared" si="8"/>
        <v>2.377954713197048</v>
      </c>
      <c r="BL16" s="40">
        <f t="shared" si="9"/>
        <v>2.377954713197048</v>
      </c>
      <c r="BM16" s="40">
        <f t="shared" si="10"/>
        <v>0.1243112693437589</v>
      </c>
      <c r="BN16" s="40">
        <f t="shared" si="11"/>
        <v>1.7068338110674783</v>
      </c>
      <c r="BO16" s="40">
        <f t="shared" si="12"/>
        <v>1.7068338110674783</v>
      </c>
      <c r="BP16" s="40">
        <f t="shared" si="13"/>
        <v>8.9227383698733079E-2</v>
      </c>
      <c r="BR16" s="33">
        <v>11</v>
      </c>
      <c r="BS16" s="8" t="s">
        <v>38</v>
      </c>
      <c r="BT16" s="403">
        <v>304</v>
      </c>
      <c r="BU16" s="409">
        <v>235</v>
      </c>
      <c r="BV16" s="405">
        <v>1</v>
      </c>
      <c r="BW16" s="405">
        <v>0</v>
      </c>
      <c r="BX16" s="187">
        <v>7624375.5435999995</v>
      </c>
      <c r="BY16" s="187">
        <v>9394724.8099999968</v>
      </c>
      <c r="BZ16" s="187">
        <v>6518674.6836000001</v>
      </c>
      <c r="CA16" s="187">
        <v>8572036.8299999982</v>
      </c>
      <c r="CB16" s="408">
        <v>4023375.7396087181</v>
      </c>
      <c r="CC16" s="408">
        <v>4023375.7396087181</v>
      </c>
      <c r="CD16" s="408">
        <v>76760249.211025223</v>
      </c>
      <c r="CE16" s="29">
        <f t="shared" si="75"/>
        <v>28197.489572368417</v>
      </c>
      <c r="CF16" s="24">
        <f t="shared" si="76"/>
        <v>13234.788617133941</v>
      </c>
      <c r="CG16" s="24">
        <f t="shared" si="16"/>
        <v>17120.747828122203</v>
      </c>
      <c r="CH16" s="40">
        <f t="shared" si="17"/>
        <v>1.8950195152147253</v>
      </c>
      <c r="CI16" s="40">
        <f t="shared" si="18"/>
        <v>1.8950195152147253</v>
      </c>
      <c r="CJ16" s="40">
        <f t="shared" si="19"/>
        <v>9.9327133796028574E-2</v>
      </c>
      <c r="CK16" s="40">
        <f t="shared" si="20"/>
        <v>2.3350354075837951</v>
      </c>
      <c r="CL16" s="40">
        <f t="shared" si="21"/>
        <v>2.3350354075837951</v>
      </c>
      <c r="CM16" s="40">
        <f t="shared" si="22"/>
        <v>0.12239049386320405</v>
      </c>
      <c r="CO16" s="33">
        <v>11</v>
      </c>
      <c r="CP16" s="8" t="s">
        <v>38</v>
      </c>
      <c r="CQ16" s="403">
        <v>141</v>
      </c>
      <c r="CR16" s="409">
        <v>104</v>
      </c>
      <c r="CS16" s="405">
        <v>3</v>
      </c>
      <c r="CT16" s="405">
        <v>0</v>
      </c>
      <c r="CU16" s="187">
        <v>7921726.1898003994</v>
      </c>
      <c r="CV16" s="187">
        <v>6428987.0300000003</v>
      </c>
      <c r="CW16" s="187">
        <v>6772902.9962603999</v>
      </c>
      <c r="CX16" s="187">
        <v>5435321.8200000003</v>
      </c>
      <c r="CY16" s="408">
        <v>1967908.7169270001</v>
      </c>
      <c r="CZ16" s="408">
        <v>1967908.7169270001</v>
      </c>
      <c r="DA16" s="408">
        <v>29498270.637550011</v>
      </c>
      <c r="DB16" s="29">
        <f t="shared" si="77"/>
        <v>38548.381702127663</v>
      </c>
      <c r="DC16" s="24">
        <f t="shared" si="78"/>
        <v>13956.799410829788</v>
      </c>
      <c r="DD16" s="24">
        <f t="shared" si="25"/>
        <v>18922.199201221156</v>
      </c>
      <c r="DE16" s="40">
        <f t="shared" si="26"/>
        <v>4.0254540882214389</v>
      </c>
      <c r="DF16" s="40">
        <f t="shared" si="27"/>
        <v>4.0254540882214389</v>
      </c>
      <c r="DG16" s="40">
        <f t="shared" si="28"/>
        <v>0.26854883417187136</v>
      </c>
      <c r="DH16" s="40">
        <f t="shared" si="29"/>
        <v>3.2669132336784523</v>
      </c>
      <c r="DI16" s="40">
        <f t="shared" si="30"/>
        <v>3.2669132336784523</v>
      </c>
      <c r="DJ16" s="40">
        <f t="shared" si="31"/>
        <v>0.21794454017301546</v>
      </c>
      <c r="DL16" s="33">
        <v>11</v>
      </c>
      <c r="DM16" s="8" t="s">
        <v>38</v>
      </c>
      <c r="DN16" s="405">
        <f>$DR16*(CQ16/$CZ16)</f>
        <v>177.21333718394041</v>
      </c>
      <c r="DO16" s="418">
        <v>8111847.6183556085</v>
      </c>
      <c r="DP16" s="418">
        <v>6935452.6681706496</v>
      </c>
      <c r="DQ16" s="405">
        <f>DR16*(CY16/CZ16)</f>
        <v>2473331</v>
      </c>
      <c r="DR16" s="405">
        <v>2473331</v>
      </c>
      <c r="DS16" s="405">
        <f>$DR16*(DA16/$CZ16)</f>
        <v>37074375.750604816</v>
      </c>
      <c r="DT16" s="426">
        <f t="shared" si="79"/>
        <v>39136.17777521973</v>
      </c>
      <c r="DU16" s="405">
        <f t="shared" si="80"/>
        <v>13956.799410829788</v>
      </c>
      <c r="DV16" s="421">
        <f t="shared" si="81"/>
        <v>3.2797258508285418</v>
      </c>
      <c r="DW16" s="421">
        <f t="shared" si="82"/>
        <v>3.2797258508285418</v>
      </c>
      <c r="DX16" s="421">
        <f t="shared" si="83"/>
        <v>0.21879930421278301</v>
      </c>
      <c r="DZ16" s="33">
        <v>11</v>
      </c>
      <c r="EA16" s="8" t="s">
        <v>38</v>
      </c>
      <c r="EB16" s="24">
        <v>229</v>
      </c>
      <c r="EC16" s="418">
        <f>_xlfn.XLOOKUP($EA16,'Budget by Cost Category'!$AR:$AR,'Budget by Cost Category'!$AW:$AW,0)</f>
        <v>8722689</v>
      </c>
      <c r="ED16" s="418">
        <f>_xlfn.XLOOKUP($EA16,'Budget by Cost Category'!$AR:$AR,'Budget by Cost Category'!$AS:$AS,0)</f>
        <v>7452689</v>
      </c>
      <c r="EE16" s="24">
        <v>2453102.2594000003</v>
      </c>
      <c r="EF16" s="24">
        <v>2453102.2594000003</v>
      </c>
      <c r="EG16" s="24">
        <v>41364612.976999998</v>
      </c>
      <c r="EH16" s="29">
        <f t="shared" si="34"/>
        <v>32544.493449781661</v>
      </c>
      <c r="EI16" s="24">
        <f t="shared" si="84"/>
        <v>10712.236940611356</v>
      </c>
      <c r="EJ16" s="40">
        <f t="shared" si="35"/>
        <v>3.5557787966545944</v>
      </c>
      <c r="EK16" s="40">
        <f t="shared" si="36"/>
        <v>3.5557787966545944</v>
      </c>
      <c r="EL16" s="40">
        <f t="shared" si="37"/>
        <v>0.21087321679644591</v>
      </c>
      <c r="EN16" s="33">
        <v>11</v>
      </c>
      <c r="EO16" s="8" t="s">
        <v>38</v>
      </c>
      <c r="EP16" s="24">
        <v>241</v>
      </c>
      <c r="EQ16" s="418">
        <f>_xlfn.XLOOKUP($EA16,'Budget by Cost Category'!$AY:$AY,'Budget by Cost Category'!$BD:$BD,0)</f>
        <v>9329177</v>
      </c>
      <c r="ER16" s="418">
        <f>_xlfn.XLOOKUP($EA16,'Budget by Cost Category'!$AY:$AY,'Budget by Cost Category'!$AZ:$AZ,0)</f>
        <v>7961043</v>
      </c>
      <c r="ES16" s="24">
        <v>2478385.1158999996</v>
      </c>
      <c r="ET16" s="24">
        <v>2478385.1158999996</v>
      </c>
      <c r="EU16" s="24">
        <v>41675328.723999999</v>
      </c>
      <c r="EV16" s="29">
        <f t="shared" si="39"/>
        <v>33033.373443983401</v>
      </c>
      <c r="EW16" s="24">
        <f t="shared" si="40"/>
        <v>10283.755667634854</v>
      </c>
      <c r="EX16" s="40">
        <f t="shared" si="41"/>
        <v>3.7642160373498719</v>
      </c>
      <c r="EY16" s="40">
        <f t="shared" si="42"/>
        <v>3.7642160373498719</v>
      </c>
      <c r="EZ16" s="40">
        <f t="shared" si="43"/>
        <v>0.22385371119166508</v>
      </c>
      <c r="FB16" s="33">
        <v>11</v>
      </c>
      <c r="FC16" s="8" t="s">
        <v>38</v>
      </c>
      <c r="FD16" s="24">
        <v>243</v>
      </c>
      <c r="FE16" s="418">
        <f>_xlfn.XLOOKUP($EA16,'Budget by Cost Category'!$BF:$BF,'Budget by Cost Category'!$BK:$BK,0)</f>
        <v>10274013</v>
      </c>
      <c r="FF16" s="418">
        <f>_xlfn.XLOOKUP($EA16,'Budget by Cost Category'!$BF:$BF,'Budget by Cost Category'!$BG:$BG,0)</f>
        <v>8815092</v>
      </c>
      <c r="FG16" s="24">
        <v>2508341.6248999997</v>
      </c>
      <c r="FH16" s="24">
        <v>2508341.6248999997</v>
      </c>
      <c r="FI16" s="24">
        <v>42240007.454499997</v>
      </c>
      <c r="FJ16" s="29">
        <f t="shared" si="45"/>
        <v>36276.0987654321</v>
      </c>
      <c r="FK16" s="24">
        <f t="shared" si="46"/>
        <v>10322.393518106996</v>
      </c>
      <c r="FL16" s="40">
        <f t="shared" si="47"/>
        <v>4.0959384870111526</v>
      </c>
      <c r="FM16" s="40">
        <f t="shared" si="48"/>
        <v>4.0959384870111526</v>
      </c>
      <c r="FN16" s="40">
        <f t="shared" si="49"/>
        <v>0.24322943150677565</v>
      </c>
      <c r="FP16" s="33">
        <v>11</v>
      </c>
      <c r="FQ16" s="8" t="s">
        <v>38</v>
      </c>
      <c r="FR16" s="24">
        <v>244</v>
      </c>
      <c r="FS16" s="418">
        <f>_xlfn.XLOOKUP($EA16,'Budget by Cost Category'!$BM:$BM,'Budget by Cost Category'!$BR:$BR,0)</f>
        <v>10818179</v>
      </c>
      <c r="FT16" s="418">
        <f>_xlfn.XLOOKUP($EA16,'Budget by Cost Category'!$BM:$BM,'Budget by Cost Category'!$BN:$BN,0)</f>
        <v>9302589</v>
      </c>
      <c r="FU16" s="24">
        <v>2511673.0541999997</v>
      </c>
      <c r="FV16" s="24">
        <v>2511673.0541999997</v>
      </c>
      <c r="FW16" s="24">
        <v>42331209.357999995</v>
      </c>
      <c r="FX16" s="29">
        <f t="shared" si="51"/>
        <v>38125.364754098358</v>
      </c>
      <c r="FY16" s="24">
        <f t="shared" si="52"/>
        <v>10293.742025409834</v>
      </c>
      <c r="FZ16" s="40">
        <f t="shared" si="53"/>
        <v>4.3071605127546064</v>
      </c>
      <c r="GA16" s="40">
        <f t="shared" si="54"/>
        <v>4.3071605127546064</v>
      </c>
      <c r="GB16" s="40">
        <f t="shared" si="55"/>
        <v>0.25556035757233847</v>
      </c>
    </row>
    <row r="17" spans="1:184" x14ac:dyDescent="0.25">
      <c r="A17" s="33">
        <v>12</v>
      </c>
      <c r="B17" s="8" t="s">
        <v>40</v>
      </c>
      <c r="C17" s="405">
        <v>0</v>
      </c>
      <c r="D17" s="405">
        <v>0</v>
      </c>
      <c r="E17" s="405">
        <v>0</v>
      </c>
      <c r="F17" s="405">
        <v>0</v>
      </c>
      <c r="G17" s="187">
        <v>2770568</v>
      </c>
      <c r="H17" s="187">
        <v>1920449.6666434067</v>
      </c>
      <c r="I17" s="187">
        <v>0</v>
      </c>
      <c r="J17" s="187">
        <v>0</v>
      </c>
      <c r="K17" s="24">
        <v>0</v>
      </c>
      <c r="L17" s="24">
        <v>0</v>
      </c>
      <c r="M17" s="24">
        <v>0</v>
      </c>
      <c r="N17" s="29">
        <f t="shared" si="56"/>
        <v>0</v>
      </c>
      <c r="O17" s="24">
        <f t="shared" si="57"/>
        <v>0</v>
      </c>
      <c r="P17" s="24">
        <f t="shared" si="58"/>
        <v>0</v>
      </c>
      <c r="Q17" s="40">
        <f t="shared" si="59"/>
        <v>0</v>
      </c>
      <c r="R17" s="40">
        <f t="shared" si="60"/>
        <v>0</v>
      </c>
      <c r="S17" s="40">
        <f t="shared" si="61"/>
        <v>0</v>
      </c>
      <c r="T17" s="40">
        <f t="shared" si="62"/>
        <v>0</v>
      </c>
      <c r="U17" s="40">
        <f t="shared" si="63"/>
        <v>0</v>
      </c>
      <c r="V17" s="40">
        <f t="shared" si="64"/>
        <v>0</v>
      </c>
      <c r="X17" s="33">
        <v>12</v>
      </c>
      <c r="Y17" s="8" t="s">
        <v>40</v>
      </c>
      <c r="Z17" s="405">
        <v>0</v>
      </c>
      <c r="AA17" s="405">
        <v>0</v>
      </c>
      <c r="AB17" s="405">
        <v>0</v>
      </c>
      <c r="AC17" s="405">
        <v>0</v>
      </c>
      <c r="AD17" s="187">
        <v>2770568</v>
      </c>
      <c r="AE17" s="187">
        <v>1930089.1805553953</v>
      </c>
      <c r="AF17" s="187">
        <v>0</v>
      </c>
      <c r="AG17" s="187">
        <v>0</v>
      </c>
      <c r="AH17" s="24">
        <v>0</v>
      </c>
      <c r="AI17" s="24">
        <v>0</v>
      </c>
      <c r="AJ17" s="24">
        <v>0</v>
      </c>
      <c r="AK17" s="29">
        <f t="shared" si="65"/>
        <v>0</v>
      </c>
      <c r="AL17" s="24">
        <f t="shared" si="66"/>
        <v>0</v>
      </c>
      <c r="AM17" s="24">
        <f t="shared" si="4"/>
        <v>0</v>
      </c>
      <c r="AN17" s="40">
        <f t="shared" si="67"/>
        <v>0</v>
      </c>
      <c r="AO17" s="40">
        <f t="shared" si="68"/>
        <v>0</v>
      </c>
      <c r="AP17" s="40">
        <f t="shared" si="69"/>
        <v>0</v>
      </c>
      <c r="AQ17" s="40">
        <f t="shared" si="70"/>
        <v>0</v>
      </c>
      <c r="AR17" s="40">
        <f t="shared" si="71"/>
        <v>0</v>
      </c>
      <c r="AS17" s="40">
        <f t="shared" si="72"/>
        <v>0</v>
      </c>
      <c r="AU17" s="33">
        <v>12</v>
      </c>
      <c r="AV17" s="8" t="s">
        <v>40</v>
      </c>
      <c r="AW17" s="405">
        <v>0</v>
      </c>
      <c r="AX17" s="405">
        <v>0</v>
      </c>
      <c r="AY17" s="405">
        <v>0</v>
      </c>
      <c r="AZ17" s="405">
        <v>0</v>
      </c>
      <c r="BA17" s="187">
        <v>1473641.9952222188</v>
      </c>
      <c r="BB17" s="187">
        <v>1168390.29</v>
      </c>
      <c r="BC17" s="187">
        <v>0</v>
      </c>
      <c r="BD17" s="187">
        <v>0</v>
      </c>
      <c r="BE17" s="24">
        <v>0</v>
      </c>
      <c r="BF17" s="24">
        <v>0</v>
      </c>
      <c r="BG17" s="24">
        <v>0</v>
      </c>
      <c r="BH17" s="29">
        <f t="shared" si="73"/>
        <v>0</v>
      </c>
      <c r="BI17" s="24">
        <f t="shared" si="74"/>
        <v>0</v>
      </c>
      <c r="BJ17" s="24">
        <f t="shared" si="7"/>
        <v>0</v>
      </c>
      <c r="BK17" s="40">
        <f t="shared" si="8"/>
        <v>0</v>
      </c>
      <c r="BL17" s="40">
        <f t="shared" si="9"/>
        <v>0</v>
      </c>
      <c r="BM17" s="40">
        <f t="shared" si="10"/>
        <v>0</v>
      </c>
      <c r="BN17" s="40">
        <f t="shared" si="11"/>
        <v>0</v>
      </c>
      <c r="BO17" s="40">
        <f t="shared" si="12"/>
        <v>0</v>
      </c>
      <c r="BP17" s="40">
        <f t="shared" si="13"/>
        <v>0</v>
      </c>
      <c r="BR17" s="33">
        <v>12</v>
      </c>
      <c r="BS17" s="8" t="s">
        <v>40</v>
      </c>
      <c r="BT17" s="405">
        <v>0</v>
      </c>
      <c r="BU17" s="405">
        <v>0</v>
      </c>
      <c r="BV17" s="405">
        <v>0</v>
      </c>
      <c r="BW17" s="405">
        <v>0</v>
      </c>
      <c r="BX17" s="187">
        <v>1573849.8178973298</v>
      </c>
      <c r="BY17" s="187">
        <v>1385537</v>
      </c>
      <c r="BZ17" s="187">
        <v>0</v>
      </c>
      <c r="CA17" s="187">
        <v>0</v>
      </c>
      <c r="CB17" s="24">
        <v>0</v>
      </c>
      <c r="CC17" s="24">
        <v>0</v>
      </c>
      <c r="CD17" s="24">
        <v>0</v>
      </c>
      <c r="CE17" s="29">
        <f t="shared" si="75"/>
        <v>0</v>
      </c>
      <c r="CF17" s="24">
        <f t="shared" si="76"/>
        <v>0</v>
      </c>
      <c r="CG17" s="24">
        <f t="shared" si="16"/>
        <v>0</v>
      </c>
      <c r="CH17" s="40">
        <f t="shared" si="17"/>
        <v>0</v>
      </c>
      <c r="CI17" s="40">
        <f t="shared" si="18"/>
        <v>0</v>
      </c>
      <c r="CJ17" s="40">
        <f t="shared" si="19"/>
        <v>0</v>
      </c>
      <c r="CK17" s="40">
        <f t="shared" si="20"/>
        <v>0</v>
      </c>
      <c r="CL17" s="40">
        <f t="shared" si="21"/>
        <v>0</v>
      </c>
      <c r="CM17" s="40">
        <f t="shared" si="22"/>
        <v>0</v>
      </c>
      <c r="CO17" s="33">
        <v>12</v>
      </c>
      <c r="CP17" s="8" t="s">
        <v>40</v>
      </c>
      <c r="CQ17" s="405">
        <v>0</v>
      </c>
      <c r="CR17" s="405">
        <v>0</v>
      </c>
      <c r="CS17" s="405">
        <v>0</v>
      </c>
      <c r="CT17" s="405">
        <v>0</v>
      </c>
      <c r="CU17" s="187">
        <v>1635229.9607953255</v>
      </c>
      <c r="CV17" s="187">
        <v>1470402.44</v>
      </c>
      <c r="CW17" s="187">
        <v>0</v>
      </c>
      <c r="CX17" s="187">
        <v>0</v>
      </c>
      <c r="CY17" s="24">
        <v>0</v>
      </c>
      <c r="CZ17" s="24">
        <v>0</v>
      </c>
      <c r="DA17" s="24">
        <v>0</v>
      </c>
      <c r="DB17" s="29">
        <f t="shared" si="77"/>
        <v>0</v>
      </c>
      <c r="DC17" s="24">
        <f t="shared" si="78"/>
        <v>0</v>
      </c>
      <c r="DD17" s="24">
        <f t="shared" si="25"/>
        <v>0</v>
      </c>
      <c r="DE17" s="40">
        <f t="shared" si="26"/>
        <v>0</v>
      </c>
      <c r="DF17" s="40">
        <f t="shared" si="27"/>
        <v>0</v>
      </c>
      <c r="DG17" s="40">
        <f t="shared" si="28"/>
        <v>0</v>
      </c>
      <c r="DH17" s="40">
        <f t="shared" si="29"/>
        <v>0</v>
      </c>
      <c r="DI17" s="40">
        <f t="shared" si="30"/>
        <v>0</v>
      </c>
      <c r="DJ17" s="40">
        <f t="shared" si="31"/>
        <v>0</v>
      </c>
      <c r="DL17" s="33">
        <v>12</v>
      </c>
      <c r="DM17" s="8" t="s">
        <v>40</v>
      </c>
      <c r="DN17" s="405">
        <v>0</v>
      </c>
      <c r="DO17" s="418">
        <v>1674475</v>
      </c>
      <c r="DP17" s="418">
        <v>0</v>
      </c>
      <c r="DQ17" s="405">
        <v>0</v>
      </c>
      <c r="DR17" s="405">
        <v>0</v>
      </c>
      <c r="DS17" s="405">
        <v>0</v>
      </c>
      <c r="DT17" s="426">
        <f t="shared" si="79"/>
        <v>0</v>
      </c>
      <c r="DU17" s="405">
        <f t="shared" si="80"/>
        <v>0</v>
      </c>
      <c r="DV17" s="421">
        <f t="shared" si="81"/>
        <v>0</v>
      </c>
      <c r="DW17" s="421">
        <f t="shared" si="82"/>
        <v>0</v>
      </c>
      <c r="DX17" s="421">
        <f t="shared" si="83"/>
        <v>0</v>
      </c>
      <c r="DZ17" s="33">
        <v>12</v>
      </c>
      <c r="EA17" s="8" t="s">
        <v>40</v>
      </c>
      <c r="EB17" s="24">
        <v>0</v>
      </c>
      <c r="EC17" s="418">
        <f>'Budget by Cost Category'!AV12</f>
        <v>1838341</v>
      </c>
      <c r="ED17" s="418">
        <v>0</v>
      </c>
      <c r="EE17" s="24">
        <v>0</v>
      </c>
      <c r="EF17" s="24">
        <v>0</v>
      </c>
      <c r="EG17" s="24">
        <v>0</v>
      </c>
      <c r="EH17" s="29">
        <f t="shared" si="34"/>
        <v>0</v>
      </c>
      <c r="EI17" s="24">
        <f t="shared" si="84"/>
        <v>0</v>
      </c>
      <c r="EJ17" s="40">
        <f t="shared" si="35"/>
        <v>0</v>
      </c>
      <c r="EK17" s="40">
        <f t="shared" si="36"/>
        <v>0</v>
      </c>
      <c r="EL17" s="40">
        <f t="shared" si="37"/>
        <v>0</v>
      </c>
      <c r="EN17" s="33">
        <v>12</v>
      </c>
      <c r="EO17" s="8" t="s">
        <v>40</v>
      </c>
      <c r="EP17" s="24">
        <v>0</v>
      </c>
      <c r="EQ17" s="418">
        <f>'Budget by Cost Category'!BC12</f>
        <v>1869961</v>
      </c>
      <c r="ER17" s="418">
        <v>0</v>
      </c>
      <c r="ES17" s="24">
        <v>0</v>
      </c>
      <c r="ET17" s="24">
        <v>0</v>
      </c>
      <c r="EU17" s="24">
        <v>0</v>
      </c>
      <c r="EV17" s="29">
        <f t="shared" si="39"/>
        <v>0</v>
      </c>
      <c r="EW17" s="24">
        <f t="shared" si="40"/>
        <v>0</v>
      </c>
      <c r="EX17" s="40">
        <f t="shared" si="41"/>
        <v>0</v>
      </c>
      <c r="EY17" s="40">
        <f t="shared" si="42"/>
        <v>0</v>
      </c>
      <c r="EZ17" s="40">
        <f t="shared" si="43"/>
        <v>0</v>
      </c>
      <c r="FB17" s="33">
        <v>12</v>
      </c>
      <c r="FC17" s="8" t="s">
        <v>40</v>
      </c>
      <c r="FD17" s="24">
        <v>0</v>
      </c>
      <c r="FE17" s="418">
        <f>'Budget by Cost Category'!BJ12</f>
        <v>1902125</v>
      </c>
      <c r="FF17" s="418">
        <v>0</v>
      </c>
      <c r="FG17" s="24">
        <v>0</v>
      </c>
      <c r="FH17" s="24">
        <v>0</v>
      </c>
      <c r="FI17" s="24">
        <v>0</v>
      </c>
      <c r="FJ17" s="29">
        <f t="shared" si="45"/>
        <v>0</v>
      </c>
      <c r="FK17" s="24">
        <f t="shared" si="46"/>
        <v>0</v>
      </c>
      <c r="FL17" s="40">
        <f t="shared" si="47"/>
        <v>0</v>
      </c>
      <c r="FM17" s="40">
        <f t="shared" si="48"/>
        <v>0</v>
      </c>
      <c r="FN17" s="40">
        <f t="shared" si="49"/>
        <v>0</v>
      </c>
      <c r="FP17" s="33">
        <v>12</v>
      </c>
      <c r="FQ17" s="8" t="s">
        <v>40</v>
      </c>
      <c r="FR17" s="24">
        <v>0</v>
      </c>
      <c r="FS17" s="418">
        <f>'Budget by Cost Category'!BQ12</f>
        <v>1934841</v>
      </c>
      <c r="FT17" s="418">
        <f>_xlfn.XLOOKUP($EA17,'Budget by Cost Category'!$BM:$BM,'Budget by Cost Category'!$BN:$BN,0)</f>
        <v>0</v>
      </c>
      <c r="FU17" s="24">
        <v>0</v>
      </c>
      <c r="FV17" s="24">
        <v>0</v>
      </c>
      <c r="FW17" s="24">
        <v>0</v>
      </c>
      <c r="FX17" s="29">
        <f t="shared" si="51"/>
        <v>0</v>
      </c>
      <c r="FY17" s="24">
        <f t="shared" si="52"/>
        <v>0</v>
      </c>
      <c r="FZ17" s="40">
        <f t="shared" si="53"/>
        <v>0</v>
      </c>
      <c r="GA17" s="40">
        <f t="shared" si="54"/>
        <v>0</v>
      </c>
      <c r="GB17" s="40">
        <f t="shared" si="55"/>
        <v>0</v>
      </c>
    </row>
    <row r="18" spans="1:184" x14ac:dyDescent="0.25">
      <c r="A18" s="33">
        <v>13</v>
      </c>
      <c r="B18" s="6" t="s">
        <v>3</v>
      </c>
      <c r="C18" s="410">
        <f t="shared" ref="C18:J18" si="100">SUM(C19:C27)</f>
        <v>2682</v>
      </c>
      <c r="D18" s="410">
        <f t="shared" si="100"/>
        <v>2021</v>
      </c>
      <c r="E18" s="410">
        <f t="shared" si="100"/>
        <v>78</v>
      </c>
      <c r="F18" s="410">
        <f t="shared" si="100"/>
        <v>8</v>
      </c>
      <c r="G18" s="186">
        <f t="shared" si="100"/>
        <v>30166090</v>
      </c>
      <c r="H18" s="186">
        <f t="shared" si="100"/>
        <v>20008846.941245444</v>
      </c>
      <c r="I18" s="186">
        <f t="shared" si="100"/>
        <v>25228652</v>
      </c>
      <c r="J18" s="186">
        <f t="shared" si="100"/>
        <v>14500895.459999997</v>
      </c>
      <c r="K18" s="22">
        <f t="shared" ref="K18:M18" si="101">SUM(K19:K27)</f>
        <v>31960466.039650001</v>
      </c>
      <c r="L18" s="22">
        <f t="shared" si="101"/>
        <v>19234910.430879001</v>
      </c>
      <c r="M18" s="22">
        <f t="shared" si="101"/>
        <v>307582311.78922999</v>
      </c>
      <c r="N18" s="28">
        <f t="shared" si="56"/>
        <v>5406.7470022371353</v>
      </c>
      <c r="O18" s="22">
        <f t="shared" si="57"/>
        <v>7171.8532553612977</v>
      </c>
      <c r="P18" s="22">
        <f t="shared" si="58"/>
        <v>9517.5212423943594</v>
      </c>
      <c r="Q18" s="36">
        <f t="shared" si="59"/>
        <v>0.94385638690550044</v>
      </c>
      <c r="R18" s="36">
        <f t="shared" si="60"/>
        <v>1.5682989587293579</v>
      </c>
      <c r="S18" s="36">
        <f t="shared" si="61"/>
        <v>9.8074852954064665E-2</v>
      </c>
      <c r="T18" s="36">
        <f t="shared" si="62"/>
        <v>0.62604991167596136</v>
      </c>
      <c r="U18" s="36">
        <f t="shared" si="63"/>
        <v>1.0402360340146941</v>
      </c>
      <c r="V18" s="36">
        <f t="shared" si="64"/>
        <v>6.5052007785663751E-2</v>
      </c>
      <c r="X18" s="33">
        <v>13</v>
      </c>
      <c r="Y18" s="6" t="s">
        <v>3</v>
      </c>
      <c r="Z18" s="410">
        <f t="shared" ref="Z18:AG18" si="102">SUM(Z19:Z27)</f>
        <v>2473</v>
      </c>
      <c r="AA18" s="410">
        <f t="shared" si="102"/>
        <v>1597</v>
      </c>
      <c r="AB18" s="410">
        <f t="shared" si="102"/>
        <v>60</v>
      </c>
      <c r="AC18" s="410">
        <f t="shared" si="102"/>
        <v>7</v>
      </c>
      <c r="AD18" s="186">
        <f t="shared" si="102"/>
        <v>30166090</v>
      </c>
      <c r="AE18" s="186">
        <f t="shared" si="102"/>
        <v>17593245.257302985</v>
      </c>
      <c r="AF18" s="186">
        <f t="shared" si="102"/>
        <v>25228652</v>
      </c>
      <c r="AG18" s="186">
        <f t="shared" si="102"/>
        <v>12728925.720000003</v>
      </c>
      <c r="AH18" s="22">
        <f t="shared" ref="AH18:AJ18" si="103">SUM(AH19:AH27)</f>
        <v>25154368.480847307</v>
      </c>
      <c r="AI18" s="22">
        <f t="shared" si="103"/>
        <v>15880805.027641706</v>
      </c>
      <c r="AJ18" s="22">
        <f t="shared" si="103"/>
        <v>253939381.62196481</v>
      </c>
      <c r="AK18" s="28">
        <f t="shared" si="65"/>
        <v>5147.1596118075222</v>
      </c>
      <c r="AL18" s="22">
        <f t="shared" si="66"/>
        <v>6421.6761130779241</v>
      </c>
      <c r="AM18" s="22">
        <f t="shared" si="4"/>
        <v>9944.1484205646248</v>
      </c>
      <c r="AN18" s="36">
        <f t="shared" si="67"/>
        <v>1.1992386142776215</v>
      </c>
      <c r="AO18" s="36">
        <f t="shared" si="68"/>
        <v>1.8995315380733979</v>
      </c>
      <c r="AP18" s="36">
        <f t="shared" si="69"/>
        <v>0.11879248428236208</v>
      </c>
      <c r="AQ18" s="36">
        <f t="shared" si="70"/>
        <v>0.69941112895354907</v>
      </c>
      <c r="AR18" s="36">
        <f t="shared" si="71"/>
        <v>1.1078308200800053</v>
      </c>
      <c r="AS18" s="36">
        <f t="shared" si="72"/>
        <v>6.9281279433426934E-2</v>
      </c>
      <c r="AU18" s="33">
        <v>13</v>
      </c>
      <c r="AV18" s="6" t="s">
        <v>3</v>
      </c>
      <c r="AW18" s="410">
        <f t="shared" ref="AW18:BD18" si="104">SUM(AW19:AW27)</f>
        <v>3133</v>
      </c>
      <c r="AX18" s="410">
        <f t="shared" si="104"/>
        <v>1981</v>
      </c>
      <c r="AY18" s="410">
        <f t="shared" si="104"/>
        <v>99</v>
      </c>
      <c r="AZ18" s="410">
        <f t="shared" si="104"/>
        <v>30</v>
      </c>
      <c r="BA18" s="186">
        <f t="shared" si="104"/>
        <v>25262774.996288799</v>
      </c>
      <c r="BB18" s="186">
        <f t="shared" si="104"/>
        <v>20859882.719999988</v>
      </c>
      <c r="BC18" s="186">
        <f t="shared" si="104"/>
        <v>17931274.008000001</v>
      </c>
      <c r="BD18" s="186">
        <f t="shared" si="104"/>
        <v>13957728.899999999</v>
      </c>
      <c r="BE18" s="22">
        <f t="shared" ref="BE18:BG18" si="105">SUM(BE19:BE27)</f>
        <v>36043013.955326766</v>
      </c>
      <c r="BF18" s="22">
        <f t="shared" si="105"/>
        <v>25051992.692554004</v>
      </c>
      <c r="BG18" s="22">
        <f t="shared" si="105"/>
        <v>402007211.08504814</v>
      </c>
      <c r="BH18" s="28">
        <f t="shared" si="73"/>
        <v>4455.0682732205551</v>
      </c>
      <c r="BI18" s="22">
        <f t="shared" si="74"/>
        <v>7996.1674728866919</v>
      </c>
      <c r="BJ18" s="22">
        <f t="shared" si="7"/>
        <v>12646.13462521656</v>
      </c>
      <c r="BK18" s="36">
        <f t="shared" si="8"/>
        <v>0.70090628457432969</v>
      </c>
      <c r="BL18" s="36">
        <f t="shared" si="9"/>
        <v>1.0084137939173774</v>
      </c>
      <c r="BM18" s="36">
        <f t="shared" si="10"/>
        <v>6.2841596617390624E-2</v>
      </c>
      <c r="BN18" s="36">
        <f t="shared" si="11"/>
        <v>0.57874967797794619</v>
      </c>
      <c r="BO18" s="36">
        <f t="shared" si="12"/>
        <v>0.83266361187307858</v>
      </c>
      <c r="BP18" s="36">
        <f t="shared" si="13"/>
        <v>5.1889324730513095E-2</v>
      </c>
      <c r="BR18" s="33">
        <v>13</v>
      </c>
      <c r="BS18" s="6" t="s">
        <v>3</v>
      </c>
      <c r="BT18" s="410">
        <f t="shared" ref="BT18:BZ18" si="106">SUM(BT19:BT27)</f>
        <v>3594</v>
      </c>
      <c r="BU18" s="410">
        <f t="shared" si="106"/>
        <v>2289</v>
      </c>
      <c r="BV18" s="410">
        <f t="shared" si="106"/>
        <v>168</v>
      </c>
      <c r="BW18" s="410">
        <f t="shared" si="106"/>
        <v>47</v>
      </c>
      <c r="BX18" s="186">
        <f t="shared" si="106"/>
        <v>26838855.204338517</v>
      </c>
      <c r="BY18" s="186">
        <f t="shared" si="106"/>
        <v>25352080.300000004</v>
      </c>
      <c r="BZ18" s="186">
        <f t="shared" si="106"/>
        <v>19150600.640544001</v>
      </c>
      <c r="CA18" s="186">
        <f>SUM(CA19:CA25)</f>
        <v>17922692.249999993</v>
      </c>
      <c r="CB18" s="22">
        <f t="shared" ref="CB18:CD18" si="107">SUM(CB19:CB27)</f>
        <v>37072558.623710386</v>
      </c>
      <c r="CC18" s="22">
        <f t="shared" si="107"/>
        <v>28276347.965384714</v>
      </c>
      <c r="CD18" s="22">
        <f t="shared" si="107"/>
        <v>392114044.04448402</v>
      </c>
      <c r="CE18" s="28">
        <f t="shared" si="75"/>
        <v>4986.8370200333866</v>
      </c>
      <c r="CF18" s="22">
        <f t="shared" si="76"/>
        <v>7867.6538579256303</v>
      </c>
      <c r="CG18" s="22">
        <f t="shared" si="16"/>
        <v>12353.144589508394</v>
      </c>
      <c r="CH18" s="36">
        <f t="shared" si="17"/>
        <v>0.72395475793174069</v>
      </c>
      <c r="CI18" s="36">
        <f t="shared" si="18"/>
        <v>0.94916271497274174</v>
      </c>
      <c r="CJ18" s="36">
        <f t="shared" si="19"/>
        <v>6.8446554291979753E-2</v>
      </c>
      <c r="CK18" s="36">
        <f t="shared" si="20"/>
        <v>0.68385029901296457</v>
      </c>
      <c r="CL18" s="36">
        <f t="shared" si="21"/>
        <v>0.89658255482764126</v>
      </c>
      <c r="CM18" s="36">
        <f t="shared" si="22"/>
        <v>6.4654864280055971E-2</v>
      </c>
      <c r="CO18" s="33">
        <v>13</v>
      </c>
      <c r="CP18" s="6" t="s">
        <v>3</v>
      </c>
      <c r="CQ18" s="410">
        <f>SUM(CQ19:CQ27)</f>
        <v>3267</v>
      </c>
      <c r="CR18" s="410">
        <f>SUM(CR19:CR27)</f>
        <v>2372</v>
      </c>
      <c r="CS18" s="410">
        <f>SUM(CS19:CS27)</f>
        <v>174</v>
      </c>
      <c r="CT18" s="410">
        <f>SUM(CT19:CT27)</f>
        <v>35</v>
      </c>
      <c r="CU18" s="186">
        <f>SUM(CU19:CU27)</f>
        <v>27885570.55730772</v>
      </c>
      <c r="CV18" s="186">
        <f t="shared" ref="CV18:CX18" si="108">SUM(CV19:CV27)</f>
        <v>27760751.289999999</v>
      </c>
      <c r="CW18" s="186">
        <f t="shared" si="108"/>
        <v>19897474.065525219</v>
      </c>
      <c r="CX18" s="186">
        <f t="shared" si="108"/>
        <v>19594558.009999998</v>
      </c>
      <c r="CY18" s="22">
        <f t="shared" ref="CY18:DA18" si="109">SUM(CY19:CY27)</f>
        <v>29374928.966200974</v>
      </c>
      <c r="CZ18" s="22">
        <f t="shared" si="109"/>
        <v>23668604.384457242</v>
      </c>
      <c r="DA18" s="22">
        <f t="shared" si="109"/>
        <v>289601719.9965229</v>
      </c>
      <c r="DB18" s="28">
        <f t="shared" si="77"/>
        <v>5997.7220722375259</v>
      </c>
      <c r="DC18" s="22">
        <f t="shared" si="78"/>
        <v>7244.751877703472</v>
      </c>
      <c r="DD18" s="22">
        <f t="shared" si="25"/>
        <v>9978.3323711877074</v>
      </c>
      <c r="DE18" s="36">
        <f t="shared" si="26"/>
        <v>0.94929831453866931</v>
      </c>
      <c r="DF18" s="36">
        <f t="shared" si="27"/>
        <v>1.1781670817743561</v>
      </c>
      <c r="DG18" s="36">
        <f t="shared" si="28"/>
        <v>9.6289381698570459E-2</v>
      </c>
      <c r="DH18" s="36">
        <f t="shared" si="29"/>
        <v>0.94504913771678356</v>
      </c>
      <c r="DI18" s="36">
        <f t="shared" si="30"/>
        <v>1.1728934600060323</v>
      </c>
      <c r="DJ18" s="36">
        <f t="shared" si="31"/>
        <v>9.5858378501112868E-2</v>
      </c>
      <c r="DL18" s="33">
        <v>13</v>
      </c>
      <c r="DM18" s="6" t="s">
        <v>3</v>
      </c>
      <c r="DN18" s="415">
        <f>SUM(DN19:DN27)</f>
        <v>3209.8604064077099</v>
      </c>
      <c r="DO18" s="417">
        <f>SUM(DO19:DO27)</f>
        <v>28554824.200402845</v>
      </c>
      <c r="DP18" s="417">
        <f>SUM(DP19:DP27)</f>
        <v>20375013.443097822</v>
      </c>
      <c r="DQ18" s="415">
        <f>SUM(DQ19:DQ27)</f>
        <v>33177247.815564848</v>
      </c>
      <c r="DR18" s="415">
        <f t="shared" ref="DR18:DS18" si="110">SUM(DR19:DR27)</f>
        <v>26491292</v>
      </c>
      <c r="DS18" s="415">
        <f t="shared" si="110"/>
        <v>323005251.63503724</v>
      </c>
      <c r="DT18" s="425">
        <f t="shared" si="79"/>
        <v>6347.632252924157</v>
      </c>
      <c r="DU18" s="415">
        <f t="shared" si="80"/>
        <v>8253.0978441045427</v>
      </c>
      <c r="DV18" s="420">
        <f t="shared" si="81"/>
        <v>0.86067489259933638</v>
      </c>
      <c r="DW18" s="420">
        <f t="shared" si="82"/>
        <v>1.0778947361420819</v>
      </c>
      <c r="DX18" s="420">
        <f t="shared" si="83"/>
        <v>8.840359113624216E-2</v>
      </c>
      <c r="DZ18" s="33">
        <v>13</v>
      </c>
      <c r="EA18" s="6" t="s">
        <v>3</v>
      </c>
      <c r="EB18" s="22">
        <f>SUM(EB19:EB27)</f>
        <v>7825</v>
      </c>
      <c r="EC18" s="417">
        <f>SUM(EC19:EC27)</f>
        <v>43048033</v>
      </c>
      <c r="ED18" s="417">
        <f>SUM(ED19:ED27)</f>
        <v>32580678</v>
      </c>
      <c r="EE18" s="22">
        <f>SUM(EE19:EE27)</f>
        <v>38102134.48926416</v>
      </c>
      <c r="EF18" s="22">
        <f t="shared" ref="EF18:EG18" si="111">SUM(EF19:EF27)</f>
        <v>29114672.08387788</v>
      </c>
      <c r="EG18" s="22">
        <f t="shared" si="111"/>
        <v>413533581.23366952</v>
      </c>
      <c r="EH18" s="28">
        <f t="shared" si="34"/>
        <v>4163.6649201277951</v>
      </c>
      <c r="EI18" s="22">
        <f t="shared" si="84"/>
        <v>3720.7248669492496</v>
      </c>
      <c r="EJ18" s="36">
        <f t="shared" si="35"/>
        <v>1.1298063370210774</v>
      </c>
      <c r="EK18" s="36">
        <f t="shared" si="36"/>
        <v>1.4785683615457121</v>
      </c>
      <c r="EL18" s="36">
        <f t="shared" si="37"/>
        <v>0.10409803448507719</v>
      </c>
      <c r="EN18" s="33">
        <v>13</v>
      </c>
      <c r="EO18" s="6" t="s">
        <v>3</v>
      </c>
      <c r="EP18" s="22">
        <f>SUM(EP19:EP27)</f>
        <v>9010</v>
      </c>
      <c r="EQ18" s="417">
        <f>SUM(EQ19:EQ27)</f>
        <v>48468329</v>
      </c>
      <c r="ER18" s="417">
        <f>SUM(ER19:ER27)</f>
        <v>37445454</v>
      </c>
      <c r="ES18" s="22">
        <f>SUM(ES19:ES27)</f>
        <v>43102839.80926773</v>
      </c>
      <c r="ET18" s="22">
        <f t="shared" ref="ET18:EU18" si="112">SUM(ET19:ET27)</f>
        <v>32858094.778249655</v>
      </c>
      <c r="EU18" s="22">
        <f t="shared" si="112"/>
        <v>467900643.05079925</v>
      </c>
      <c r="EV18" s="28">
        <f t="shared" si="39"/>
        <v>4155.9882352941177</v>
      </c>
      <c r="EW18" s="22">
        <f t="shared" si="40"/>
        <v>3646.8473671753222</v>
      </c>
      <c r="EX18" s="36">
        <f t="shared" si="41"/>
        <v>1.1244811064531903</v>
      </c>
      <c r="EY18" s="36">
        <f t="shared" si="42"/>
        <v>1.4750803212145918</v>
      </c>
      <c r="EZ18" s="36">
        <f t="shared" si="43"/>
        <v>0.1035867971541511</v>
      </c>
      <c r="FB18" s="33">
        <v>13</v>
      </c>
      <c r="FC18" s="6" t="s">
        <v>3</v>
      </c>
      <c r="FD18" s="22">
        <f>SUM(FD19:FD27)</f>
        <v>9899</v>
      </c>
      <c r="FE18" s="417">
        <f>SUM(FE19:FE27)</f>
        <v>52453915</v>
      </c>
      <c r="FF18" s="417">
        <f>SUM(FF19:FF27)</f>
        <v>41035499</v>
      </c>
      <c r="FG18" s="22">
        <f>SUM(FG19:FG27)</f>
        <v>46651612.633277878</v>
      </c>
      <c r="FH18" s="22">
        <f t="shared" ref="FH18:FI18" si="113">SUM(FH19:FH27)</f>
        <v>35469570.480942838</v>
      </c>
      <c r="FI18" s="22">
        <f t="shared" si="113"/>
        <v>506150738.21294439</v>
      </c>
      <c r="FJ18" s="28">
        <f t="shared" si="45"/>
        <v>4145.4186281442571</v>
      </c>
      <c r="FK18" s="22">
        <f t="shared" si="46"/>
        <v>3583.1468310882756</v>
      </c>
      <c r="FL18" s="36">
        <f t="shared" si="47"/>
        <v>1.1243751724583082</v>
      </c>
      <c r="FM18" s="36">
        <f t="shared" si="48"/>
        <v>1.4788426893464228</v>
      </c>
      <c r="FN18" s="36">
        <f t="shared" si="49"/>
        <v>0.10363299120178689</v>
      </c>
      <c r="FP18" s="33">
        <v>13</v>
      </c>
      <c r="FQ18" s="6" t="s">
        <v>3</v>
      </c>
      <c r="FR18" s="22">
        <f>SUM(FR19:FR27)</f>
        <v>10556</v>
      </c>
      <c r="FS18" s="417">
        <f>SUM(FS19:FS27)</f>
        <v>55837414</v>
      </c>
      <c r="FT18" s="417">
        <f>SUM(FT19:FT27)</f>
        <v>44068148</v>
      </c>
      <c r="FU18" s="22">
        <f>SUM(FU19:FU27)</f>
        <v>49130044.157289781</v>
      </c>
      <c r="FV18" s="22">
        <f t="shared" ref="FV18:FW18" si="114">SUM(FV19:FV27)</f>
        <v>37305908.0415892</v>
      </c>
      <c r="FW18" s="22">
        <f t="shared" si="114"/>
        <v>533168779.82555848</v>
      </c>
      <c r="FX18" s="28">
        <f t="shared" si="51"/>
        <v>4174.7014020462293</v>
      </c>
      <c r="FY18" s="22">
        <f t="shared" si="52"/>
        <v>3534.0951157246304</v>
      </c>
      <c r="FZ18" s="36">
        <f t="shared" si="53"/>
        <v>1.1365227725266556</v>
      </c>
      <c r="GA18" s="36">
        <f t="shared" si="54"/>
        <v>1.4967445354165241</v>
      </c>
      <c r="GB18" s="36">
        <f t="shared" si="55"/>
        <v>0.10472746363406503</v>
      </c>
    </row>
    <row r="19" spans="1:184" x14ac:dyDescent="0.25">
      <c r="A19" s="33">
        <v>14</v>
      </c>
      <c r="B19" s="8" t="s">
        <v>39</v>
      </c>
      <c r="C19" s="403">
        <v>785</v>
      </c>
      <c r="D19" s="408">
        <v>630</v>
      </c>
      <c r="E19" s="405">
        <v>12</v>
      </c>
      <c r="F19" s="405">
        <v>2</v>
      </c>
      <c r="G19" s="187">
        <v>8305957</v>
      </c>
      <c r="H19" s="187">
        <v>7447137.9099999964</v>
      </c>
      <c r="I19" s="187">
        <v>8305957</v>
      </c>
      <c r="J19" s="187">
        <v>6528113.6499999966</v>
      </c>
      <c r="K19" s="404">
        <v>20690330</v>
      </c>
      <c r="L19" s="404">
        <v>9990179</v>
      </c>
      <c r="M19" s="404">
        <v>188741925</v>
      </c>
      <c r="N19" s="29">
        <f t="shared" si="56"/>
        <v>8316.0683439490404</v>
      </c>
      <c r="O19" s="24">
        <f t="shared" si="57"/>
        <v>12726.342675159236</v>
      </c>
      <c r="P19" s="24">
        <f t="shared" si="58"/>
        <v>15857.426984126983</v>
      </c>
      <c r="Q19" s="40">
        <f t="shared" si="59"/>
        <v>0.40144149464991619</v>
      </c>
      <c r="R19" s="40">
        <f t="shared" si="60"/>
        <v>0.83141222995103492</v>
      </c>
      <c r="S19" s="40">
        <f t="shared" si="61"/>
        <v>4.4006952880235803E-2</v>
      </c>
      <c r="T19" s="40">
        <f t="shared" si="62"/>
        <v>0.35993325916019686</v>
      </c>
      <c r="U19" s="40">
        <f t="shared" si="63"/>
        <v>0.74544589341191947</v>
      </c>
      <c r="V19" s="40">
        <f t="shared" si="64"/>
        <v>3.9456723300877621E-2</v>
      </c>
      <c r="X19" s="33">
        <v>14</v>
      </c>
      <c r="Y19" s="8" t="s">
        <v>39</v>
      </c>
      <c r="Z19" s="403">
        <v>610</v>
      </c>
      <c r="AA19" s="408">
        <v>477</v>
      </c>
      <c r="AB19" s="405">
        <v>4</v>
      </c>
      <c r="AC19" s="405">
        <v>0</v>
      </c>
      <c r="AD19" s="187">
        <v>8305957</v>
      </c>
      <c r="AE19" s="187">
        <v>5956297.070000004</v>
      </c>
      <c r="AF19" s="187">
        <v>8305957</v>
      </c>
      <c r="AG19" s="187">
        <v>5108879.7400000039</v>
      </c>
      <c r="AH19" s="404">
        <v>14363603.512963304</v>
      </c>
      <c r="AI19" s="404">
        <v>7296998.40484</v>
      </c>
      <c r="AJ19" s="404">
        <v>141945786.74479404</v>
      </c>
      <c r="AK19" s="29">
        <f t="shared" si="65"/>
        <v>8375.2126885245962</v>
      </c>
      <c r="AL19" s="24">
        <f t="shared" si="66"/>
        <v>11962.292466950819</v>
      </c>
      <c r="AM19" s="24">
        <f t="shared" si="4"/>
        <v>15297.690576184486</v>
      </c>
      <c r="AN19" s="40">
        <f t="shared" si="67"/>
        <v>0.57826415164577505</v>
      </c>
      <c r="AO19" s="40">
        <f t="shared" si="68"/>
        <v>1.1382703598360076</v>
      </c>
      <c r="AP19" s="40">
        <f t="shared" si="69"/>
        <v>5.8514994988427348E-2</v>
      </c>
      <c r="AQ19" s="40">
        <f t="shared" si="70"/>
        <v>0.41467985833947468</v>
      </c>
      <c r="AR19" s="40">
        <f t="shared" si="71"/>
        <v>0.81626673592929289</v>
      </c>
      <c r="AS19" s="40">
        <f t="shared" si="72"/>
        <v>4.1961774326623014E-2</v>
      </c>
      <c r="AU19" s="33">
        <v>14</v>
      </c>
      <c r="AV19" s="8" t="s">
        <v>39</v>
      </c>
      <c r="AW19" s="403">
        <v>881</v>
      </c>
      <c r="AX19" s="408">
        <v>651</v>
      </c>
      <c r="AY19" s="405">
        <v>10</v>
      </c>
      <c r="AZ19" s="405">
        <v>1</v>
      </c>
      <c r="BA19" s="187">
        <v>11895830</v>
      </c>
      <c r="BB19" s="187">
        <v>8393867.6099999994</v>
      </c>
      <c r="BC19" s="187">
        <v>10944600</v>
      </c>
      <c r="BD19" s="187">
        <v>7152236.8799999999</v>
      </c>
      <c r="BE19" s="404">
        <v>25476981.538220759</v>
      </c>
      <c r="BF19" s="404">
        <v>18300670.317446347</v>
      </c>
      <c r="BG19" s="404">
        <v>317854861.51456094</v>
      </c>
      <c r="BH19" s="29">
        <f t="shared" si="73"/>
        <v>8118.3165493757097</v>
      </c>
      <c r="BI19" s="24">
        <f t="shared" si="74"/>
        <v>20772.611030018554</v>
      </c>
      <c r="BJ19" s="24">
        <f t="shared" si="7"/>
        <v>28111.628751837707</v>
      </c>
      <c r="BK19" s="40">
        <f t="shared" si="8"/>
        <v>0.46692462300346632</v>
      </c>
      <c r="BL19" s="40">
        <f t="shared" si="9"/>
        <v>0.65002154531244127</v>
      </c>
      <c r="BM19" s="40">
        <f t="shared" si="10"/>
        <v>3.7425351757456295E-2</v>
      </c>
      <c r="BN19" s="40">
        <f t="shared" si="11"/>
        <v>0.32946868518970568</v>
      </c>
      <c r="BO19" s="40">
        <f t="shared" si="12"/>
        <v>0.45866448957325784</v>
      </c>
      <c r="BP19" s="40">
        <f t="shared" si="13"/>
        <v>2.6407862915809065E-2</v>
      </c>
      <c r="BR19" s="33">
        <v>14</v>
      </c>
      <c r="BS19" s="8" t="s">
        <v>39</v>
      </c>
      <c r="BT19" s="403">
        <v>844</v>
      </c>
      <c r="BU19" s="408">
        <v>594</v>
      </c>
      <c r="BV19" s="405">
        <v>25</v>
      </c>
      <c r="BW19" s="405">
        <v>4</v>
      </c>
      <c r="BX19" s="187">
        <v>12618196.439999999</v>
      </c>
      <c r="BY19" s="187">
        <v>10340226.029999992</v>
      </c>
      <c r="BZ19" s="187">
        <v>11688832.800000001</v>
      </c>
      <c r="CA19" s="187">
        <v>9564202.1399999913</v>
      </c>
      <c r="CB19" s="404">
        <v>25248941.696540385</v>
      </c>
      <c r="CC19" s="404">
        <v>19639721.214831989</v>
      </c>
      <c r="CD19" s="404">
        <v>282470205.04434007</v>
      </c>
      <c r="CE19" s="29">
        <f t="shared" si="75"/>
        <v>11331.993056872028</v>
      </c>
      <c r="CF19" s="24">
        <f t="shared" si="76"/>
        <v>23269.811865914678</v>
      </c>
      <c r="CG19" s="24">
        <f t="shared" si="16"/>
        <v>33063.503728673386</v>
      </c>
      <c r="CH19" s="40">
        <f t="shared" si="17"/>
        <v>0.49975149816789932</v>
      </c>
      <c r="CI19" s="40">
        <f t="shared" si="18"/>
        <v>0.64248348039027614</v>
      </c>
      <c r="CJ19" s="40">
        <f t="shared" si="19"/>
        <v>4.4670893477134301E-2</v>
      </c>
      <c r="CK19" s="40">
        <f t="shared" si="20"/>
        <v>0.40953106685722246</v>
      </c>
      <c r="CL19" s="40">
        <f t="shared" si="21"/>
        <v>0.52649556054752011</v>
      </c>
      <c r="CM19" s="40">
        <f t="shared" si="22"/>
        <v>3.660643085658135E-2</v>
      </c>
      <c r="CO19" s="33">
        <v>14</v>
      </c>
      <c r="CP19" s="8" t="s">
        <v>39</v>
      </c>
      <c r="CQ19" s="403">
        <v>652</v>
      </c>
      <c r="CR19" s="408">
        <v>385</v>
      </c>
      <c r="CS19" s="405">
        <v>16</v>
      </c>
      <c r="CT19" s="405">
        <v>5</v>
      </c>
      <c r="CU19" s="187">
        <v>13110306.101160001</v>
      </c>
      <c r="CV19" s="187">
        <v>9660113.5</v>
      </c>
      <c r="CW19" s="187">
        <v>12144697.279200001</v>
      </c>
      <c r="CX19" s="187">
        <v>8299498.0600000005</v>
      </c>
      <c r="CY19" s="404">
        <v>17396796.086864978</v>
      </c>
      <c r="CZ19" s="404">
        <v>13971230.52938142</v>
      </c>
      <c r="DA19" s="404">
        <v>165813640.8689971</v>
      </c>
      <c r="DB19" s="29">
        <f t="shared" si="77"/>
        <v>12729.291503067485</v>
      </c>
      <c r="DC19" s="24">
        <f t="shared" si="78"/>
        <v>21428.267683100337</v>
      </c>
      <c r="DD19" s="24">
        <f t="shared" si="25"/>
        <v>36288.910465925765</v>
      </c>
      <c r="DE19" s="40">
        <f t="shared" si="26"/>
        <v>0.75360463131821231</v>
      </c>
      <c r="DF19" s="40">
        <f t="shared" si="27"/>
        <v>0.93837876868391079</v>
      </c>
      <c r="DG19" s="40">
        <f t="shared" si="28"/>
        <v>7.9066511249927529E-2</v>
      </c>
      <c r="DH19" s="40">
        <f t="shared" si="29"/>
        <v>0.55528118233757018</v>
      </c>
      <c r="DI19" s="40">
        <f t="shared" si="30"/>
        <v>0.69142896752614846</v>
      </c>
      <c r="DJ19" s="40">
        <f t="shared" si="31"/>
        <v>5.8258858857288341E-2</v>
      </c>
      <c r="DL19" s="33">
        <v>14</v>
      </c>
      <c r="DM19" s="8" t="s">
        <v>39</v>
      </c>
      <c r="DN19" s="405">
        <f>$DR19*(CQ19/$CZ19)</f>
        <v>834.06280266394936</v>
      </c>
      <c r="DO19" s="418">
        <v>13424953.447587842</v>
      </c>
      <c r="DP19" s="418">
        <v>12436170.013900802</v>
      </c>
      <c r="DQ19" s="405">
        <f>DR19*(CY19/CZ19)</f>
        <v>22254632.671140842</v>
      </c>
      <c r="DR19" s="405">
        <f>16318202+1554319</f>
        <v>17872521</v>
      </c>
      <c r="DS19" s="405">
        <f>$DR19*(DA19/$CZ19)</f>
        <v>212115015.37286699</v>
      </c>
      <c r="DT19" s="426">
        <f t="shared" si="79"/>
        <v>14910.352043251874</v>
      </c>
      <c r="DU19" s="405">
        <f t="shared" si="80"/>
        <v>21428.267683100337</v>
      </c>
      <c r="DV19" s="421">
        <f t="shared" si="81"/>
        <v>0.60324309306605317</v>
      </c>
      <c r="DW19" s="421">
        <f t="shared" si="82"/>
        <v>0.75115052026447993</v>
      </c>
      <c r="DX19" s="421">
        <f t="shared" si="83"/>
        <v>6.3290915185748392E-2</v>
      </c>
      <c r="DZ19" s="33">
        <v>14</v>
      </c>
      <c r="EA19" s="8" t="s">
        <v>39</v>
      </c>
      <c r="EB19" s="24">
        <v>1107</v>
      </c>
      <c r="EC19" s="418">
        <f>_xlfn.XLOOKUP($EA19,'Budget by Cost Category'!$AR:$AR,'Budget by Cost Category'!$AW:$AW,0)</f>
        <v>14799782</v>
      </c>
      <c r="ED19" s="418">
        <f>_xlfn.XLOOKUP($EA19,'Budget by Cost Category'!$AR:$AR,'Budget by Cost Category'!$AS:$AS,0)</f>
        <v>13883782</v>
      </c>
      <c r="EE19" s="24">
        <v>23329735.973343756</v>
      </c>
      <c r="EF19" s="24">
        <v>17612901.980007812</v>
      </c>
      <c r="EG19" s="24">
        <v>269281638.3666836</v>
      </c>
      <c r="EH19" s="29">
        <f t="shared" si="34"/>
        <v>12541.808491418247</v>
      </c>
      <c r="EI19" s="24">
        <f t="shared" si="84"/>
        <v>15910.480560079324</v>
      </c>
      <c r="EJ19" s="40">
        <f t="shared" si="35"/>
        <v>0.63437417452602263</v>
      </c>
      <c r="EK19" s="40">
        <f t="shared" si="36"/>
        <v>0.84028072243853114</v>
      </c>
      <c r="EL19" s="40">
        <f t="shared" si="37"/>
        <v>5.4960234532764475E-2</v>
      </c>
      <c r="EN19" s="33">
        <v>14</v>
      </c>
      <c r="EO19" s="8" t="s">
        <v>39</v>
      </c>
      <c r="EP19" s="24">
        <v>1316</v>
      </c>
      <c r="EQ19" s="418">
        <f>_xlfn.XLOOKUP($EA19,'Budget by Cost Category'!$AY:$AY,'Budget by Cost Category'!$BD:$BD,0)</f>
        <v>17352222</v>
      </c>
      <c r="ER19" s="418">
        <f>_xlfn.XLOOKUP($EA19,'Budget by Cost Category'!$AY:$AY,'Budget by Cost Category'!$AZ:$AZ,0)</f>
        <v>16367318</v>
      </c>
      <c r="ES19" s="24">
        <v>26538579.762826458</v>
      </c>
      <c r="ET19" s="24">
        <v>19948799.822119839</v>
      </c>
      <c r="EU19" s="24">
        <v>306619454.50186235</v>
      </c>
      <c r="EV19" s="29">
        <f t="shared" si="39"/>
        <v>12437.171732522796</v>
      </c>
      <c r="EW19" s="24">
        <f t="shared" si="40"/>
        <v>15158.662478814467</v>
      </c>
      <c r="EX19" s="40">
        <f t="shared" si="41"/>
        <v>0.65384893069168237</v>
      </c>
      <c r="EY19" s="40">
        <f t="shared" si="42"/>
        <v>0.86983789274176415</v>
      </c>
      <c r="EZ19" s="40">
        <f t="shared" si="43"/>
        <v>5.6592045107479005E-2</v>
      </c>
      <c r="FB19" s="33">
        <v>14</v>
      </c>
      <c r="FC19" s="8" t="s">
        <v>39</v>
      </c>
      <c r="FD19" s="24">
        <v>1473</v>
      </c>
      <c r="FE19" s="418">
        <f>_xlfn.XLOOKUP($EA19,'Budget by Cost Category'!$BF:$BF,'Budget by Cost Category'!$BK:$BK,0)</f>
        <v>19123676</v>
      </c>
      <c r="FF19" s="418">
        <f>_xlfn.XLOOKUP($EA19,'Budget by Cost Category'!$BF:$BF,'Budget by Cost Category'!$BG:$BG,0)</f>
        <v>18081220</v>
      </c>
      <c r="FG19" s="24">
        <v>28742493.010691494</v>
      </c>
      <c r="FH19" s="24">
        <v>21570369.758018624</v>
      </c>
      <c r="FI19" s="24">
        <v>332039600.57369167</v>
      </c>
      <c r="FJ19" s="29">
        <f t="shared" si="45"/>
        <v>12275.098438560761</v>
      </c>
      <c r="FK19" s="24">
        <f t="shared" si="46"/>
        <v>14643.835545158605</v>
      </c>
      <c r="FL19" s="40">
        <f t="shared" si="47"/>
        <v>0.66534506915897895</v>
      </c>
      <c r="FM19" s="40">
        <f t="shared" si="48"/>
        <v>0.88657154302563201</v>
      </c>
      <c r="FN19" s="40">
        <f t="shared" si="49"/>
        <v>5.7594563922370945E-2</v>
      </c>
      <c r="FP19" s="33">
        <v>14</v>
      </c>
      <c r="FQ19" s="8" t="s">
        <v>39</v>
      </c>
      <c r="FR19" s="24">
        <v>1601</v>
      </c>
      <c r="FS19" s="418">
        <f>_xlfn.XLOOKUP($EA19,'Budget by Cost Category'!$BM:$BM,'Budget by Cost Category'!$BR:$BR,0)</f>
        <v>20784287</v>
      </c>
      <c r="FT19" s="418">
        <f>_xlfn.XLOOKUP($EA19,'Budget by Cost Category'!$BM:$BM,'Budget by Cost Category'!$BN:$BN,0)</f>
        <v>19689958</v>
      </c>
      <c r="FU19" s="24">
        <v>30398808.129085928</v>
      </c>
      <c r="FV19" s="24">
        <v>22799106.096814446</v>
      </c>
      <c r="FW19" s="24">
        <v>351049230.70933998</v>
      </c>
      <c r="FX19" s="29">
        <f t="shared" si="51"/>
        <v>12298.537164272329</v>
      </c>
      <c r="FY19" s="24">
        <f t="shared" si="52"/>
        <v>14240.540972401279</v>
      </c>
      <c r="FZ19" s="40">
        <f t="shared" si="53"/>
        <v>0.68372045745153265</v>
      </c>
      <c r="GA19" s="40">
        <f t="shared" si="54"/>
        <v>0.91162727660204357</v>
      </c>
      <c r="GB19" s="40">
        <f t="shared" si="55"/>
        <v>5.9206188710348925E-2</v>
      </c>
    </row>
    <row r="20" spans="1:184" x14ac:dyDescent="0.25">
      <c r="A20" s="33">
        <v>15</v>
      </c>
      <c r="B20" s="8" t="s">
        <v>45</v>
      </c>
      <c r="C20" s="403">
        <v>544</v>
      </c>
      <c r="D20" s="408">
        <v>398</v>
      </c>
      <c r="E20" s="405">
        <v>8</v>
      </c>
      <c r="F20" s="405">
        <v>0</v>
      </c>
      <c r="G20" s="187">
        <v>9472114</v>
      </c>
      <c r="H20" s="187">
        <v>4703878.1100000003</v>
      </c>
      <c r="I20" s="187">
        <v>9472114</v>
      </c>
      <c r="J20" s="187">
        <v>3322969.54</v>
      </c>
      <c r="K20" s="404">
        <v>5657516.6896499991</v>
      </c>
      <c r="L20" s="404">
        <v>4107590.7275789995</v>
      </c>
      <c r="M20" s="404">
        <v>52199395.195730008</v>
      </c>
      <c r="N20" s="29">
        <f t="shared" si="56"/>
        <v>6108.3998897058827</v>
      </c>
      <c r="O20" s="24">
        <f t="shared" si="57"/>
        <v>7550.7182492261018</v>
      </c>
      <c r="P20" s="24">
        <f t="shared" si="58"/>
        <v>10320.579717535174</v>
      </c>
      <c r="Q20" s="40">
        <f t="shared" si="59"/>
        <v>1.6742529487060143</v>
      </c>
      <c r="R20" s="40">
        <f t="shared" si="60"/>
        <v>2.3060023814940376</v>
      </c>
      <c r="S20" s="40">
        <f t="shared" si="61"/>
        <v>0.18146022505591852</v>
      </c>
      <c r="T20" s="40">
        <f t="shared" si="62"/>
        <v>0.83143866258589938</v>
      </c>
      <c r="U20" s="40">
        <f t="shared" si="63"/>
        <v>1.1451671848457139</v>
      </c>
      <c r="V20" s="40">
        <f t="shared" si="64"/>
        <v>9.0113651554046839E-2</v>
      </c>
      <c r="X20" s="33">
        <v>15</v>
      </c>
      <c r="Y20" s="8" t="s">
        <v>45</v>
      </c>
      <c r="Z20" s="403">
        <v>524</v>
      </c>
      <c r="AA20" s="408">
        <v>336</v>
      </c>
      <c r="AB20" s="405">
        <v>5</v>
      </c>
      <c r="AC20" s="405"/>
      <c r="AD20" s="187">
        <v>9472114</v>
      </c>
      <c r="AE20" s="187">
        <v>4204273.9700000007</v>
      </c>
      <c r="AF20" s="187">
        <v>9472114</v>
      </c>
      <c r="AG20" s="187">
        <v>3126922.45</v>
      </c>
      <c r="AH20" s="404">
        <v>6067266.5478839986</v>
      </c>
      <c r="AI20" s="404">
        <v>4256505.1320017204</v>
      </c>
      <c r="AJ20" s="404">
        <v>55463295.371170796</v>
      </c>
      <c r="AK20" s="29">
        <f t="shared" si="65"/>
        <v>5967.4092557251915</v>
      </c>
      <c r="AL20" s="24">
        <f t="shared" si="66"/>
        <v>8123.1013969498481</v>
      </c>
      <c r="AM20" s="24">
        <f t="shared" si="4"/>
        <v>12668.170035719406</v>
      </c>
      <c r="AN20" s="40">
        <f t="shared" si="67"/>
        <v>1.5611831003705392</v>
      </c>
      <c r="AO20" s="40">
        <f t="shared" si="68"/>
        <v>2.2253265780853217</v>
      </c>
      <c r="AP20" s="40">
        <f t="shared" si="69"/>
        <v>0.17078166626434352</v>
      </c>
      <c r="AQ20" s="40">
        <f t="shared" si="70"/>
        <v>0.69294367353388664</v>
      </c>
      <c r="AR20" s="40">
        <f t="shared" si="71"/>
        <v>0.98772909690416444</v>
      </c>
      <c r="AS20" s="40">
        <f t="shared" si="72"/>
        <v>7.580281593194578E-2</v>
      </c>
      <c r="AU20" s="33">
        <v>15</v>
      </c>
      <c r="AV20" s="8" t="s">
        <v>45</v>
      </c>
      <c r="AW20" s="403">
        <v>549</v>
      </c>
      <c r="AX20" s="408">
        <v>395</v>
      </c>
      <c r="AY20" s="405">
        <v>6</v>
      </c>
      <c r="AZ20" s="405">
        <v>0</v>
      </c>
      <c r="BA20" s="187">
        <v>2436237</v>
      </c>
      <c r="BB20" s="187">
        <v>3066057.01</v>
      </c>
      <c r="BC20" s="187">
        <v>2140029.36</v>
      </c>
      <c r="BD20" s="187">
        <v>2708695.82</v>
      </c>
      <c r="BE20" s="404">
        <v>5990883.937106004</v>
      </c>
      <c r="BF20" s="404">
        <v>2612969.9947076836</v>
      </c>
      <c r="BG20" s="404">
        <v>33520416.212487191</v>
      </c>
      <c r="BH20" s="29">
        <f t="shared" si="73"/>
        <v>4933.8721675774132</v>
      </c>
      <c r="BI20" s="24">
        <f t="shared" si="74"/>
        <v>4759.508187081391</v>
      </c>
      <c r="BJ20" s="24">
        <f t="shared" si="7"/>
        <v>6615.1139106523633</v>
      </c>
      <c r="BK20" s="40">
        <f t="shared" si="8"/>
        <v>0.40665735233336281</v>
      </c>
      <c r="BL20" s="40">
        <f t="shared" si="9"/>
        <v>0.93236317482954678</v>
      </c>
      <c r="BM20" s="40">
        <f t="shared" si="10"/>
        <v>7.2679198985973234E-2</v>
      </c>
      <c r="BN20" s="40">
        <f t="shared" si="11"/>
        <v>0.5117870822049525</v>
      </c>
      <c r="BO20" s="40">
        <f t="shared" si="12"/>
        <v>1.1733992415565428</v>
      </c>
      <c r="BP20" s="40">
        <f t="shared" si="13"/>
        <v>9.1468345457411629E-2</v>
      </c>
      <c r="BR20" s="33">
        <v>15</v>
      </c>
      <c r="BS20" s="8" t="s">
        <v>45</v>
      </c>
      <c r="BT20" s="403">
        <v>386</v>
      </c>
      <c r="BU20" s="408">
        <v>292</v>
      </c>
      <c r="BV20" s="405">
        <v>7</v>
      </c>
      <c r="BW20" s="405">
        <v>1</v>
      </c>
      <c r="BX20" s="187">
        <v>2601901.3732000007</v>
      </c>
      <c r="BY20" s="187">
        <v>2496648.85</v>
      </c>
      <c r="BZ20" s="187">
        <v>2285551.3564800005</v>
      </c>
      <c r="CA20" s="187">
        <v>2234438.9700000002</v>
      </c>
      <c r="CB20" s="404">
        <v>4874954.4777700016</v>
      </c>
      <c r="CC20" s="404">
        <v>2265086.1574625992</v>
      </c>
      <c r="CD20" s="404">
        <v>31080060.08099401</v>
      </c>
      <c r="CE20" s="29">
        <f t="shared" si="75"/>
        <v>5788.7019948186535</v>
      </c>
      <c r="CF20" s="24">
        <f t="shared" si="76"/>
        <v>5868.0988535300494</v>
      </c>
      <c r="CG20" s="24">
        <f t="shared" si="16"/>
        <v>7757.1443748719148</v>
      </c>
      <c r="CH20" s="40">
        <f t="shared" si="17"/>
        <v>0.53372834250345946</v>
      </c>
      <c r="CI20" s="40">
        <f t="shared" si="18"/>
        <v>1.1486986332187512</v>
      </c>
      <c r="CJ20" s="40">
        <f t="shared" si="19"/>
        <v>8.3716098566717634E-2</v>
      </c>
      <c r="CK20" s="40">
        <f t="shared" si="20"/>
        <v>0.51213787972479008</v>
      </c>
      <c r="CL20" s="40">
        <f t="shared" si="21"/>
        <v>1.1022312956063458</v>
      </c>
      <c r="CM20" s="40">
        <f t="shared" si="22"/>
        <v>8.0329601792718017E-2</v>
      </c>
      <c r="CO20" s="33">
        <v>15</v>
      </c>
      <c r="CP20" s="8" t="s">
        <v>45</v>
      </c>
      <c r="CQ20" s="403">
        <v>453</v>
      </c>
      <c r="CR20" s="408">
        <v>311</v>
      </c>
      <c r="CS20" s="405">
        <v>5</v>
      </c>
      <c r="CT20" s="405">
        <v>1</v>
      </c>
      <c r="CU20" s="187">
        <v>2703375.5267548002</v>
      </c>
      <c r="CV20" s="187">
        <v>3255505.8499999996</v>
      </c>
      <c r="CW20" s="187">
        <v>2374687.8593827202</v>
      </c>
      <c r="CX20" s="187">
        <v>2980514.11</v>
      </c>
      <c r="CY20" s="404">
        <v>3852361.3213359984</v>
      </c>
      <c r="CZ20" s="404">
        <v>2239162.5189757994</v>
      </c>
      <c r="DA20" s="404">
        <v>30930407.956026006</v>
      </c>
      <c r="DB20" s="29">
        <f t="shared" si="77"/>
        <v>6579.5013465783659</v>
      </c>
      <c r="DC20" s="24">
        <f t="shared" si="78"/>
        <v>4942.963618048122</v>
      </c>
      <c r="DD20" s="24">
        <f t="shared" si="25"/>
        <v>7199.8794822372975</v>
      </c>
      <c r="DE20" s="40">
        <f t="shared" si="26"/>
        <v>0.7017450600446975</v>
      </c>
      <c r="DF20" s="40">
        <f t="shared" si="27"/>
        <v>1.2073154600637623</v>
      </c>
      <c r="DG20" s="40">
        <f t="shared" si="28"/>
        <v>8.7401871019554919E-2</v>
      </c>
      <c r="DH20" s="40">
        <f t="shared" si="29"/>
        <v>0.84506762955220172</v>
      </c>
      <c r="DI20" s="40">
        <f t="shared" si="30"/>
        <v>1.4538944013269206</v>
      </c>
      <c r="DJ20" s="40">
        <f t="shared" si="31"/>
        <v>0.10525259979203562</v>
      </c>
      <c r="DL20" s="33">
        <v>15</v>
      </c>
      <c r="DM20" s="8" t="s">
        <v>45</v>
      </c>
      <c r="DN20" s="405">
        <f>$DR20*(CQ20/$CZ20)</f>
        <v>485.00680669518545</v>
      </c>
      <c r="DO20" s="418">
        <v>2768256.5393969151</v>
      </c>
      <c r="DP20" s="418">
        <v>2431680.3680079053</v>
      </c>
      <c r="DQ20" s="405">
        <f>DR20*(CY20/CZ20)</f>
        <v>4124550.6902808333</v>
      </c>
      <c r="DR20" s="405">
        <f>1487188+910183</f>
        <v>2397371</v>
      </c>
      <c r="DS20" s="405">
        <f>$DR20*(DA20/$CZ20)</f>
        <v>33115802.191018831</v>
      </c>
      <c r="DT20" s="426">
        <f t="shared" si="79"/>
        <v>5013.7035902181788</v>
      </c>
      <c r="DU20" s="405">
        <f t="shared" si="80"/>
        <v>4942.963618048122</v>
      </c>
      <c r="DV20" s="421">
        <f t="shared" si="81"/>
        <v>0.67116560015132931</v>
      </c>
      <c r="DW20" s="421">
        <f t="shared" si="82"/>
        <v>1.1547051079690691</v>
      </c>
      <c r="DX20" s="421">
        <f t="shared" si="83"/>
        <v>8.359322004126718E-2</v>
      </c>
      <c r="DZ20" s="33">
        <v>15</v>
      </c>
      <c r="EA20" s="8" t="s">
        <v>45</v>
      </c>
      <c r="EB20" s="24">
        <v>2278</v>
      </c>
      <c r="EC20" s="418">
        <f>_xlfn.XLOOKUP($EA20,'Budget by Cost Category'!$AR:$AR,'Budget by Cost Category'!$AW:$AW,0)</f>
        <v>4853186</v>
      </c>
      <c r="ED20" s="418">
        <f>_xlfn.XLOOKUP($EA20,'Budget by Cost Category'!$AR:$AR,'Budget by Cost Category'!$AS:$AS,0)</f>
        <v>3934086</v>
      </c>
      <c r="EE20" s="24">
        <v>5549731.6166091571</v>
      </c>
      <c r="EF20" s="24">
        <v>3145180.8974258802</v>
      </c>
      <c r="EG20" s="24">
        <v>43435618.150065243</v>
      </c>
      <c r="EH20" s="29">
        <f t="shared" si="34"/>
        <v>1726.9912203687445</v>
      </c>
      <c r="EI20" s="24">
        <f t="shared" si="84"/>
        <v>1380.6764255600879</v>
      </c>
      <c r="EJ20" s="40">
        <f t="shared" si="35"/>
        <v>0.8744902159728688</v>
      </c>
      <c r="EK20" s="40">
        <f t="shared" si="36"/>
        <v>1.5430546471816637</v>
      </c>
      <c r="EL20" s="40">
        <f t="shared" si="37"/>
        <v>0.11173286364275467</v>
      </c>
      <c r="EN20" s="33">
        <v>15</v>
      </c>
      <c r="EO20" s="8" t="s">
        <v>45</v>
      </c>
      <c r="EP20" s="24">
        <v>2528</v>
      </c>
      <c r="EQ20" s="418">
        <f>_xlfn.XLOOKUP($EA20,'Budget by Cost Category'!$AY:$AY,'Budget by Cost Category'!$BD:$BD,0)</f>
        <v>5418064</v>
      </c>
      <c r="ER20" s="418">
        <f>_xlfn.XLOOKUP($EA20,'Budget by Cost Category'!$AY:$AY,'Budget by Cost Category'!$AZ:$AZ,0)</f>
        <v>4432296</v>
      </c>
      <c r="ES20" s="24">
        <v>6121170.1727049975</v>
      </c>
      <c r="ET20" s="24">
        <v>3474427.4432333936</v>
      </c>
      <c r="EU20" s="24">
        <v>48012042.131662019</v>
      </c>
      <c r="EV20" s="29">
        <f t="shared" si="39"/>
        <v>1753.2816455696202</v>
      </c>
      <c r="EW20" s="24">
        <f t="shared" si="40"/>
        <v>1374.3779443170069</v>
      </c>
      <c r="EX20" s="40">
        <f t="shared" si="41"/>
        <v>0.88513533313610049</v>
      </c>
      <c r="EY20" s="40">
        <f t="shared" si="42"/>
        <v>1.5594120437172829</v>
      </c>
      <c r="EZ20" s="40">
        <f t="shared" si="43"/>
        <v>0.11284802227620733</v>
      </c>
      <c r="FB20" s="33">
        <v>15</v>
      </c>
      <c r="FC20" s="8" t="s">
        <v>45</v>
      </c>
      <c r="FD20" s="24">
        <v>2780</v>
      </c>
      <c r="FE20" s="418">
        <f>_xlfn.XLOOKUP($EA20,'Budget by Cost Category'!$BF:$BF,'Budget by Cost Category'!$BK:$BK,0)</f>
        <v>6024069</v>
      </c>
      <c r="FF20" s="418">
        <f>_xlfn.XLOOKUP($EA20,'Budget by Cost Category'!$BF:$BF,'Budget by Cost Category'!$BG:$BG,0)</f>
        <v>4969196</v>
      </c>
      <c r="FG20" s="24">
        <v>6729276.9629867077</v>
      </c>
      <c r="FH20" s="24">
        <v>3818289.6984629072</v>
      </c>
      <c r="FI20" s="24">
        <v>52765192.680396818</v>
      </c>
      <c r="FJ20" s="29">
        <f t="shared" si="45"/>
        <v>1787.4805755395682</v>
      </c>
      <c r="FK20" s="24">
        <f t="shared" si="46"/>
        <v>1373.4855030442113</v>
      </c>
      <c r="FL20" s="40">
        <f t="shared" si="47"/>
        <v>0.89520301113097456</v>
      </c>
      <c r="FM20" s="40">
        <f t="shared" si="48"/>
        <v>1.5776877805853895</v>
      </c>
      <c r="FN20" s="40">
        <f t="shared" si="49"/>
        <v>0.11416747848317904</v>
      </c>
      <c r="FP20" s="33">
        <v>15</v>
      </c>
      <c r="FQ20" s="8" t="s">
        <v>45</v>
      </c>
      <c r="FR20" s="24">
        <v>2919</v>
      </c>
      <c r="FS20" s="418">
        <f>_xlfn.XLOOKUP($EA20,'Budget by Cost Category'!$BM:$BM,'Budget by Cost Category'!$BR:$BR,0)</f>
        <v>6422701</v>
      </c>
      <c r="FT20" s="418">
        <f>_xlfn.XLOOKUP($EA20,'Budget by Cost Category'!$BM:$BM,'Budget by Cost Category'!$BN:$BN,0)</f>
        <v>5320426</v>
      </c>
      <c r="FU20" s="24">
        <v>7068748.9760906948</v>
      </c>
      <c r="FV20" s="24">
        <v>4011725.1362350872</v>
      </c>
      <c r="FW20" s="24">
        <v>55474690.790175922</v>
      </c>
      <c r="FX20" s="29">
        <f t="shared" si="51"/>
        <v>1822.6879068174032</v>
      </c>
      <c r="FY20" s="24">
        <f t="shared" si="52"/>
        <v>1374.3491388266827</v>
      </c>
      <c r="FZ20" s="40">
        <f t="shared" si="53"/>
        <v>0.90860504761508942</v>
      </c>
      <c r="GA20" s="40">
        <f t="shared" si="54"/>
        <v>1.6009823160585619</v>
      </c>
      <c r="GB20" s="40">
        <f t="shared" si="55"/>
        <v>0.11577713924161978</v>
      </c>
    </row>
    <row r="21" spans="1:184" x14ac:dyDescent="0.25">
      <c r="A21" s="33">
        <v>16</v>
      </c>
      <c r="B21" s="8" t="s">
        <v>47</v>
      </c>
      <c r="C21" s="403">
        <v>560</v>
      </c>
      <c r="D21" s="408">
        <v>286</v>
      </c>
      <c r="E21" s="405">
        <v>24</v>
      </c>
      <c r="F21" s="405">
        <v>3</v>
      </c>
      <c r="G21" s="187">
        <v>7450581</v>
      </c>
      <c r="H21" s="187">
        <v>4807201.8599999994</v>
      </c>
      <c r="I21" s="187">
        <v>7450581</v>
      </c>
      <c r="J21" s="187">
        <v>4649812.2699999996</v>
      </c>
      <c r="K21" s="404">
        <v>4067757</v>
      </c>
      <c r="L21" s="404">
        <v>3864369.1500000013</v>
      </c>
      <c r="M21" s="404">
        <v>50382917.5</v>
      </c>
      <c r="N21" s="29">
        <f t="shared" si="56"/>
        <v>8303.2361964285701</v>
      </c>
      <c r="O21" s="24">
        <f t="shared" si="57"/>
        <v>6900.6591964285735</v>
      </c>
      <c r="P21" s="24">
        <f t="shared" si="58"/>
        <v>13511.780244755249</v>
      </c>
      <c r="Q21" s="40">
        <f t="shared" si="59"/>
        <v>1.8316189978899919</v>
      </c>
      <c r="R21" s="40">
        <f t="shared" si="60"/>
        <v>1.9280199977789383</v>
      </c>
      <c r="S21" s="40">
        <f t="shared" si="61"/>
        <v>0.14787911001779522</v>
      </c>
      <c r="T21" s="40">
        <f t="shared" si="62"/>
        <v>1.1817819648518826</v>
      </c>
      <c r="U21" s="40">
        <f t="shared" si="63"/>
        <v>1.2439810156335602</v>
      </c>
      <c r="V21" s="40">
        <f t="shared" si="64"/>
        <v>9.5413328535410818E-2</v>
      </c>
      <c r="X21" s="33">
        <v>16</v>
      </c>
      <c r="Y21" s="8" t="s">
        <v>47</v>
      </c>
      <c r="Z21" s="403">
        <v>748</v>
      </c>
      <c r="AA21" s="408">
        <v>270</v>
      </c>
      <c r="AB21" s="405">
        <v>22</v>
      </c>
      <c r="AC21" s="405">
        <v>2</v>
      </c>
      <c r="AD21" s="187">
        <v>7450581</v>
      </c>
      <c r="AE21" s="187">
        <v>4712621.0399999991</v>
      </c>
      <c r="AF21" s="187">
        <v>7450581</v>
      </c>
      <c r="AG21" s="187">
        <v>4493123.5299999993</v>
      </c>
      <c r="AH21" s="404">
        <v>3544004</v>
      </c>
      <c r="AI21" s="404">
        <v>3366803.7999999872</v>
      </c>
      <c r="AJ21" s="404">
        <v>44391452.75</v>
      </c>
      <c r="AK21" s="29">
        <f t="shared" si="65"/>
        <v>6006.8496390374321</v>
      </c>
      <c r="AL21" s="24">
        <f t="shared" si="66"/>
        <v>4501.0745989304642</v>
      </c>
      <c r="AM21" s="24">
        <f t="shared" si="4"/>
        <v>12469.643703703656</v>
      </c>
      <c r="AN21" s="40">
        <f t="shared" si="67"/>
        <v>2.1023060357719685</v>
      </c>
      <c r="AO21" s="40">
        <f t="shared" si="68"/>
        <v>2.2129537218652384</v>
      </c>
      <c r="AP21" s="40">
        <f t="shared" si="69"/>
        <v>0.16783818817463683</v>
      </c>
      <c r="AQ21" s="40">
        <f t="shared" si="70"/>
        <v>1.3297448422744442</v>
      </c>
      <c r="AR21" s="40">
        <f t="shared" si="71"/>
        <v>1.3997314129204728</v>
      </c>
      <c r="AS21" s="40">
        <f t="shared" si="72"/>
        <v>0.10616055001714264</v>
      </c>
      <c r="AU21" s="33">
        <v>16</v>
      </c>
      <c r="AV21" s="8" t="s">
        <v>47</v>
      </c>
      <c r="AW21" s="403">
        <v>874</v>
      </c>
      <c r="AX21" s="408">
        <v>252</v>
      </c>
      <c r="AY21" s="405">
        <v>9</v>
      </c>
      <c r="AZ21" s="405">
        <v>1</v>
      </c>
      <c r="BA21" s="187">
        <v>4765983</v>
      </c>
      <c r="BB21" s="187">
        <v>3745019.8000000003</v>
      </c>
      <c r="BC21" s="187">
        <v>4326362.6399999997</v>
      </c>
      <c r="BD21" s="187">
        <v>3691266.2</v>
      </c>
      <c r="BE21" s="404">
        <v>3091033</v>
      </c>
      <c r="BF21" s="404">
        <v>2936481.3499999708</v>
      </c>
      <c r="BG21" s="404">
        <v>35184432.75</v>
      </c>
      <c r="BH21" s="29">
        <f t="shared" si="73"/>
        <v>4223.4167048054924</v>
      </c>
      <c r="BI21" s="24">
        <f t="shared" si="74"/>
        <v>3359.8184782608359</v>
      </c>
      <c r="BJ21" s="24">
        <f t="shared" si="7"/>
        <v>11652.703769841153</v>
      </c>
      <c r="BK21" s="40">
        <f t="shared" si="8"/>
        <v>1.5418738654682755</v>
      </c>
      <c r="BL21" s="40">
        <f t="shared" si="9"/>
        <v>1.6230251215455693</v>
      </c>
      <c r="BM21" s="40">
        <f t="shared" si="10"/>
        <v>0.1354571504353726</v>
      </c>
      <c r="BN21" s="40">
        <f t="shared" si="11"/>
        <v>1.2115754830181367</v>
      </c>
      <c r="BO21" s="40">
        <f t="shared" si="12"/>
        <v>1.2753426137033146</v>
      </c>
      <c r="BP21" s="40">
        <f t="shared" si="13"/>
        <v>0.10643968105468463</v>
      </c>
      <c r="BR21" s="33">
        <v>16</v>
      </c>
      <c r="BS21" s="8" t="s">
        <v>47</v>
      </c>
      <c r="BT21" s="403">
        <v>1151</v>
      </c>
      <c r="BU21" s="408">
        <v>440</v>
      </c>
      <c r="BV21" s="405">
        <v>40</v>
      </c>
      <c r="BW21" s="405">
        <v>3</v>
      </c>
      <c r="BX21" s="187">
        <v>5090069.1868000003</v>
      </c>
      <c r="BY21" s="187">
        <v>6149253.3699999992</v>
      </c>
      <c r="BZ21" s="187">
        <v>4620555.2995200008</v>
      </c>
      <c r="CA21" s="187">
        <v>5753591.1399999997</v>
      </c>
      <c r="CB21" s="404">
        <v>5044781</v>
      </c>
      <c r="CC21" s="404">
        <v>4792541.9500000933</v>
      </c>
      <c r="CD21" s="404">
        <v>55889849</v>
      </c>
      <c r="CE21" s="29">
        <f t="shared" si="75"/>
        <v>4998.775968722849</v>
      </c>
      <c r="CF21" s="24">
        <f t="shared" si="76"/>
        <v>4163.8070807993863</v>
      </c>
      <c r="CG21" s="24">
        <f t="shared" si="16"/>
        <v>10892.140795454758</v>
      </c>
      <c r="CH21" s="40">
        <f t="shared" si="17"/>
        <v>1.0089772354439173</v>
      </c>
      <c r="CI21" s="40">
        <f t="shared" si="18"/>
        <v>1.0620813004672607</v>
      </c>
      <c r="CJ21" s="40">
        <f t="shared" si="19"/>
        <v>9.1073232042548552E-2</v>
      </c>
      <c r="CK21" s="40">
        <f t="shared" si="20"/>
        <v>1.2189336603511627</v>
      </c>
      <c r="CL21" s="40">
        <f t="shared" si="21"/>
        <v>1.2830880635275148</v>
      </c>
      <c r="CM21" s="40">
        <f t="shared" si="22"/>
        <v>0.11002451214352001</v>
      </c>
      <c r="CO21" s="33">
        <v>16</v>
      </c>
      <c r="CP21" s="8" t="s">
        <v>47</v>
      </c>
      <c r="CQ21" s="403">
        <v>730</v>
      </c>
      <c r="CR21" s="408">
        <v>530</v>
      </c>
      <c r="CS21" s="405">
        <v>45</v>
      </c>
      <c r="CT21" s="405">
        <v>5</v>
      </c>
      <c r="CU21" s="187">
        <v>5288581.8850852</v>
      </c>
      <c r="CV21" s="187">
        <v>8310335.6899999995</v>
      </c>
      <c r="CW21" s="187">
        <v>4800756.9562012805</v>
      </c>
      <c r="CX21" s="187">
        <v>7708972.8399999999</v>
      </c>
      <c r="CY21" s="404">
        <v>6035458</v>
      </c>
      <c r="CZ21" s="404">
        <v>5733685.1000000276</v>
      </c>
      <c r="DA21" s="404">
        <v>68018304.25</v>
      </c>
      <c r="DB21" s="29">
        <f t="shared" si="77"/>
        <v>10560.236767123288</v>
      </c>
      <c r="DC21" s="24">
        <f t="shared" si="78"/>
        <v>7854.3631506849697</v>
      </c>
      <c r="DD21" s="24">
        <f t="shared" si="25"/>
        <v>10818.273773584957</v>
      </c>
      <c r="DE21" s="40">
        <f t="shared" si="26"/>
        <v>0.87625195719781335</v>
      </c>
      <c r="DF21" s="40">
        <f t="shared" si="27"/>
        <v>0.92237048126085164</v>
      </c>
      <c r="DG21" s="40">
        <f t="shared" si="28"/>
        <v>7.7752333631357765E-2</v>
      </c>
      <c r="DH21" s="40">
        <f t="shared" si="29"/>
        <v>1.3769188170972277</v>
      </c>
      <c r="DI21" s="40">
        <f t="shared" si="30"/>
        <v>1.4493882285233906</v>
      </c>
      <c r="DJ21" s="40">
        <f t="shared" si="31"/>
        <v>0.12217793109712816</v>
      </c>
      <c r="DL21" s="33">
        <v>16</v>
      </c>
      <c r="DM21" s="8" t="s">
        <v>47</v>
      </c>
      <c r="DN21" s="405">
        <f>$DR21*(CQ21/$CZ21)</f>
        <v>593.12956513778261</v>
      </c>
      <c r="DO21" s="418">
        <v>5415507.8503272459</v>
      </c>
      <c r="DP21" s="418">
        <v>4915975.1231501112</v>
      </c>
      <c r="DQ21" s="405">
        <f>DR21*(CY21/CZ21)</f>
        <v>4903847.3684210284</v>
      </c>
      <c r="DR21" s="405">
        <f>293079+4365576</f>
        <v>4658655</v>
      </c>
      <c r="DS21" s="405">
        <f>$DR21*(DA21/$CZ21)</f>
        <v>55265297.563303962</v>
      </c>
      <c r="DT21" s="426">
        <f t="shared" si="79"/>
        <v>8288.1977431156065</v>
      </c>
      <c r="DU21" s="405">
        <f t="shared" si="80"/>
        <v>7854.3631506849697</v>
      </c>
      <c r="DV21" s="421">
        <f t="shared" si="81"/>
        <v>1.1043385822326206</v>
      </c>
      <c r="DW21" s="421">
        <f t="shared" si="82"/>
        <v>1.162461665508016</v>
      </c>
      <c r="DX21" s="421">
        <f t="shared" si="83"/>
        <v>9.7991109956913208E-2</v>
      </c>
      <c r="DZ21" s="33">
        <v>16</v>
      </c>
      <c r="EA21" s="8" t="s">
        <v>47</v>
      </c>
      <c r="EB21" s="24">
        <v>2584</v>
      </c>
      <c r="EC21" s="418">
        <f>_xlfn.XLOOKUP($EA21,'Budget by Cost Category'!$AR:$AR,'Budget by Cost Category'!$AW:$AW,0)</f>
        <v>10952133</v>
      </c>
      <c r="ED21" s="418">
        <f>_xlfn.XLOOKUP($EA21,'Budget by Cost Category'!$AR:$AR,'Budget by Cost Category'!$AS:$AS,0)</f>
        <v>10023833</v>
      </c>
      <c r="EE21" s="24">
        <v>6544554.4488903023</v>
      </c>
      <c r="EF21" s="24">
        <v>6227205.2764457874</v>
      </c>
      <c r="EG21" s="24">
        <v>75400468.342467129</v>
      </c>
      <c r="EH21" s="29">
        <f t="shared" si="34"/>
        <v>3879.1923374613002</v>
      </c>
      <c r="EI21" s="24">
        <f t="shared" si="84"/>
        <v>2409.909162711218</v>
      </c>
      <c r="EJ21" s="40">
        <f t="shared" si="35"/>
        <v>1.6734726688471586</v>
      </c>
      <c r="EK21" s="40">
        <f t="shared" si="36"/>
        <v>1.7587557361287103</v>
      </c>
      <c r="EL21" s="40">
        <f t="shared" si="37"/>
        <v>0.14525285108649025</v>
      </c>
      <c r="EN21" s="33">
        <v>16</v>
      </c>
      <c r="EO21" s="8" t="s">
        <v>47</v>
      </c>
      <c r="EP21" s="24">
        <v>2987</v>
      </c>
      <c r="EQ21" s="418">
        <f>_xlfn.XLOOKUP($EA21,'Budget by Cost Category'!$AY:$AY,'Budget by Cost Category'!$BD:$BD,0)</f>
        <v>12354268</v>
      </c>
      <c r="ER21" s="418">
        <f>_xlfn.XLOOKUP($EA21,'Budget by Cost Category'!$AY:$AY,'Budget by Cost Category'!$AZ:$AZ,0)</f>
        <v>11328015</v>
      </c>
      <c r="ES21" s="24">
        <v>7253907.2785976818</v>
      </c>
      <c r="ET21" s="24">
        <v>6903154.7146677971</v>
      </c>
      <c r="EU21" s="24">
        <v>83465972.869826123</v>
      </c>
      <c r="EV21" s="29">
        <f t="shared" si="39"/>
        <v>3792.4389019082691</v>
      </c>
      <c r="EW21" s="24">
        <f t="shared" si="40"/>
        <v>2311.0661917200528</v>
      </c>
      <c r="EX21" s="40">
        <f t="shared" si="41"/>
        <v>1.7031190950635249</v>
      </c>
      <c r="EY21" s="40">
        <f t="shared" si="42"/>
        <v>1.7896553837551545</v>
      </c>
      <c r="EZ21" s="40">
        <f t="shared" si="43"/>
        <v>0.14801562331595616</v>
      </c>
      <c r="FB21" s="33">
        <v>16</v>
      </c>
      <c r="FC21" s="8" t="s">
        <v>47</v>
      </c>
      <c r="FD21" s="24">
        <v>3164</v>
      </c>
      <c r="FE21" s="418">
        <f>_xlfn.XLOOKUP($EA21,'Budget by Cost Category'!$BF:$BF,'Budget by Cost Category'!$BK:$BK,0)</f>
        <v>13247218</v>
      </c>
      <c r="FF21" s="418">
        <f>_xlfn.XLOOKUP($EA21,'Budget by Cost Category'!$BF:$BF,'Budget by Cost Category'!$BG:$BG,0)</f>
        <v>12166684</v>
      </c>
      <c r="FG21" s="24">
        <v>7631699.5319267735</v>
      </c>
      <c r="FH21" s="24">
        <v>7263120.1553304363</v>
      </c>
      <c r="FI21" s="24">
        <v>87825645.634091377</v>
      </c>
      <c r="FJ21" s="29">
        <f t="shared" si="45"/>
        <v>3845.3489254108722</v>
      </c>
      <c r="FK21" s="24">
        <f t="shared" si="46"/>
        <v>2295.549985881933</v>
      </c>
      <c r="FL21" s="40">
        <f t="shared" si="47"/>
        <v>1.7358149314685452</v>
      </c>
      <c r="FM21" s="40">
        <f t="shared" si="48"/>
        <v>1.8239018103366784</v>
      </c>
      <c r="FN21" s="40">
        <f t="shared" si="49"/>
        <v>0.15083541833773678</v>
      </c>
      <c r="FP21" s="33">
        <v>16</v>
      </c>
      <c r="FQ21" s="8" t="s">
        <v>47</v>
      </c>
      <c r="FR21" s="24">
        <v>3283</v>
      </c>
      <c r="FS21" s="418">
        <f>_xlfn.XLOOKUP($EA21,'Budget by Cost Category'!$BM:$BM,'Budget by Cost Category'!$BR:$BR,0)</f>
        <v>13880238</v>
      </c>
      <c r="FT21" s="418">
        <f>_xlfn.XLOOKUP($EA21,'Budget by Cost Category'!$BM:$BM,'Budget by Cost Category'!$BN:$BN,0)</f>
        <v>12756070</v>
      </c>
      <c r="FU21" s="24">
        <v>7824964.0877155792</v>
      </c>
      <c r="FV21" s="24">
        <v>7447854.4333298001</v>
      </c>
      <c r="FW21" s="24">
        <v>90101927.757835031</v>
      </c>
      <c r="FX21" s="29">
        <f t="shared" si="51"/>
        <v>3885.4919281145294</v>
      </c>
      <c r="FY21" s="24">
        <f t="shared" si="52"/>
        <v>2268.6123768899788</v>
      </c>
      <c r="FZ21" s="40">
        <f t="shared" si="53"/>
        <v>1.7738404731838453</v>
      </c>
      <c r="GA21" s="40">
        <f t="shared" si="54"/>
        <v>1.86365591919798</v>
      </c>
      <c r="GB21" s="40">
        <f t="shared" si="55"/>
        <v>0.15405039986830926</v>
      </c>
    </row>
    <row r="22" spans="1:184" x14ac:dyDescent="0.25">
      <c r="A22" s="33">
        <v>17</v>
      </c>
      <c r="B22" s="8" t="s">
        <v>345</v>
      </c>
      <c r="C22" s="403">
        <v>793</v>
      </c>
      <c r="D22" s="408">
        <v>707</v>
      </c>
      <c r="E22" s="405">
        <v>34</v>
      </c>
      <c r="F22" s="405">
        <v>3</v>
      </c>
      <c r="G22" s="187">
        <v>0</v>
      </c>
      <c r="H22" s="187">
        <v>0</v>
      </c>
      <c r="I22" s="187">
        <v>0</v>
      </c>
      <c r="J22" s="187">
        <v>0</v>
      </c>
      <c r="K22" s="404">
        <v>1544862.3500000003</v>
      </c>
      <c r="L22" s="404">
        <v>1272771.5532999991</v>
      </c>
      <c r="M22" s="404">
        <v>16258074.093499994</v>
      </c>
      <c r="N22" s="29">
        <f t="shared" si="56"/>
        <v>0</v>
      </c>
      <c r="O22" s="24">
        <f t="shared" si="57"/>
        <v>1605.008263934425</v>
      </c>
      <c r="P22" s="24">
        <f t="shared" si="58"/>
        <v>1800.242649646392</v>
      </c>
      <c r="Q22" s="40">
        <f t="shared" si="59"/>
        <v>0</v>
      </c>
      <c r="R22" s="40">
        <f t="shared" si="60"/>
        <v>0</v>
      </c>
      <c r="S22" s="40">
        <f t="shared" si="61"/>
        <v>0</v>
      </c>
      <c r="T22" s="40">
        <f t="shared" si="62"/>
        <v>0</v>
      </c>
      <c r="U22" s="40">
        <f t="shared" si="63"/>
        <v>0</v>
      </c>
      <c r="V22" s="40">
        <f t="shared" si="64"/>
        <v>0</v>
      </c>
      <c r="X22" s="33">
        <v>17</v>
      </c>
      <c r="Y22" s="8" t="s">
        <v>345</v>
      </c>
      <c r="Z22" s="403">
        <v>591</v>
      </c>
      <c r="AA22" s="408">
        <v>514</v>
      </c>
      <c r="AB22" s="405">
        <v>29</v>
      </c>
      <c r="AC22" s="405">
        <v>5</v>
      </c>
      <c r="AD22" s="187">
        <v>0</v>
      </c>
      <c r="AE22" s="187">
        <v>0</v>
      </c>
      <c r="AF22" s="187">
        <v>0</v>
      </c>
      <c r="AG22" s="187">
        <v>0</v>
      </c>
      <c r="AH22" s="404">
        <v>1179494.42</v>
      </c>
      <c r="AI22" s="404">
        <v>960497.69079999847</v>
      </c>
      <c r="AJ22" s="404">
        <v>12138846.755999992</v>
      </c>
      <c r="AK22" s="29">
        <f t="shared" si="65"/>
        <v>0</v>
      </c>
      <c r="AL22" s="24">
        <f t="shared" si="66"/>
        <v>1625.2075986463594</v>
      </c>
      <c r="AM22" s="24">
        <f t="shared" si="4"/>
        <v>1868.6725501945496</v>
      </c>
      <c r="AN22" s="40">
        <f t="shared" si="67"/>
        <v>0</v>
      </c>
      <c r="AO22" s="40">
        <f t="shared" si="68"/>
        <v>0</v>
      </c>
      <c r="AP22" s="40">
        <f t="shared" si="69"/>
        <v>0</v>
      </c>
      <c r="AQ22" s="40">
        <f t="shared" si="70"/>
        <v>0</v>
      </c>
      <c r="AR22" s="40">
        <f t="shared" si="71"/>
        <v>0</v>
      </c>
      <c r="AS22" s="40">
        <f t="shared" si="72"/>
        <v>0</v>
      </c>
      <c r="AU22" s="33">
        <v>17</v>
      </c>
      <c r="AV22" s="8" t="s">
        <v>345</v>
      </c>
      <c r="AW22" s="403">
        <v>829</v>
      </c>
      <c r="AX22" s="408">
        <v>683</v>
      </c>
      <c r="AY22" s="405">
        <v>74</v>
      </c>
      <c r="AZ22" s="405">
        <v>28</v>
      </c>
      <c r="BA22" s="187">
        <v>2421116.9980000001</v>
      </c>
      <c r="BB22" s="187">
        <v>1889589.4599999995</v>
      </c>
      <c r="BC22" s="187">
        <v>520282.00799999997</v>
      </c>
      <c r="BD22" s="187">
        <v>405530</v>
      </c>
      <c r="BE22" s="404">
        <v>1484115.4800000011</v>
      </c>
      <c r="BF22" s="404">
        <v>1201871.0304000007</v>
      </c>
      <c r="BG22" s="404">
        <v>15447500.607999975</v>
      </c>
      <c r="BH22" s="29">
        <f t="shared" si="73"/>
        <v>489.17973462002413</v>
      </c>
      <c r="BI22" s="24">
        <f t="shared" si="74"/>
        <v>1449.784113872136</v>
      </c>
      <c r="BJ22" s="24">
        <f t="shared" si="7"/>
        <v>1759.6940415812603</v>
      </c>
      <c r="BK22" s="40">
        <f t="shared" si="8"/>
        <v>1.6313535103077008</v>
      </c>
      <c r="BL22" s="40">
        <f t="shared" si="9"/>
        <v>2.0144565737591793</v>
      </c>
      <c r="BM22" s="40">
        <f t="shared" si="10"/>
        <v>0.15673195680252303</v>
      </c>
      <c r="BN22" s="40">
        <f t="shared" si="11"/>
        <v>1.2732091845036198</v>
      </c>
      <c r="BO22" s="40">
        <f t="shared" si="12"/>
        <v>1.5722065115182249</v>
      </c>
      <c r="BP22" s="40">
        <f t="shared" si="13"/>
        <v>0.12232331352176261</v>
      </c>
      <c r="BR22" s="33">
        <v>17</v>
      </c>
      <c r="BS22" s="8" t="s">
        <v>345</v>
      </c>
      <c r="BT22" s="403">
        <v>1213</v>
      </c>
      <c r="BU22" s="408">
        <v>963</v>
      </c>
      <c r="BV22" s="405">
        <v>96</v>
      </c>
      <c r="BW22" s="405">
        <v>39</v>
      </c>
      <c r="BX22" s="187">
        <v>2585753.6196640003</v>
      </c>
      <c r="BY22" s="187">
        <v>2156111.9200000004</v>
      </c>
      <c r="BZ22" s="187">
        <v>555661.18454399996</v>
      </c>
      <c r="CA22" s="187">
        <v>370460</v>
      </c>
      <c r="CB22" s="404">
        <v>1903881.4494000007</v>
      </c>
      <c r="CC22" s="404">
        <v>1578998.643090033</v>
      </c>
      <c r="CD22" s="404">
        <v>22673929.919149965</v>
      </c>
      <c r="CE22" s="29">
        <f t="shared" si="75"/>
        <v>305.4080791426216</v>
      </c>
      <c r="CF22" s="24">
        <f t="shared" si="76"/>
        <v>1301.7301262077765</v>
      </c>
      <c r="CG22" s="24">
        <f t="shared" si="16"/>
        <v>1639.6662960436479</v>
      </c>
      <c r="CH22" s="40">
        <f t="shared" si="17"/>
        <v>1.3581484395884462</v>
      </c>
      <c r="CI22" s="40">
        <f t="shared" si="18"/>
        <v>1.6375907800679239</v>
      </c>
      <c r="CJ22" s="40">
        <f t="shared" si="19"/>
        <v>0.11404082260482434</v>
      </c>
      <c r="CK22" s="40">
        <f t="shared" si="20"/>
        <v>1.1324822355296802</v>
      </c>
      <c r="CL22" s="40">
        <f t="shared" si="21"/>
        <v>1.3654932063656378</v>
      </c>
      <c r="CM22" s="40">
        <f t="shared" si="22"/>
        <v>9.5092113616307414E-2</v>
      </c>
      <c r="CO22" s="33">
        <v>17</v>
      </c>
      <c r="CP22" s="8" t="s">
        <v>345</v>
      </c>
      <c r="CQ22" s="403">
        <v>1432</v>
      </c>
      <c r="CR22" s="408">
        <v>1146</v>
      </c>
      <c r="CS22" s="405">
        <v>108</v>
      </c>
      <c r="CT22" s="405">
        <v>24</v>
      </c>
      <c r="CU22" s="187">
        <v>2686598.0108308964</v>
      </c>
      <c r="CV22" s="187">
        <v>2345157.98</v>
      </c>
      <c r="CW22" s="187">
        <v>577331.97074121586</v>
      </c>
      <c r="CX22" s="187">
        <v>605573</v>
      </c>
      <c r="CY22" s="404">
        <v>2090313.5579999979</v>
      </c>
      <c r="CZ22" s="404">
        <v>1724526.2360999936</v>
      </c>
      <c r="DA22" s="404">
        <v>24839366.921499815</v>
      </c>
      <c r="DB22" s="29">
        <f t="shared" si="77"/>
        <v>422.88617318435752</v>
      </c>
      <c r="DC22" s="24">
        <f t="shared" si="78"/>
        <v>1204.2780978351911</v>
      </c>
      <c r="DD22" s="24">
        <f t="shared" si="25"/>
        <v>1504.8221955497327</v>
      </c>
      <c r="DE22" s="40">
        <f t="shared" si="26"/>
        <v>1.2852607689161337</v>
      </c>
      <c r="DF22" s="40">
        <f t="shared" si="27"/>
        <v>1.5578759862225249</v>
      </c>
      <c r="DG22" s="40">
        <f t="shared" si="28"/>
        <v>0.10815887616304345</v>
      </c>
      <c r="DH22" s="40">
        <f t="shared" si="29"/>
        <v>1.1219168392343186</v>
      </c>
      <c r="DI22" s="40">
        <f t="shared" si="30"/>
        <v>1.3598853591833788</v>
      </c>
      <c r="DJ22" s="40">
        <f t="shared" si="31"/>
        <v>9.4412952931185179E-2</v>
      </c>
      <c r="DL22" s="33">
        <v>17</v>
      </c>
      <c r="DM22" s="8" t="s">
        <v>345</v>
      </c>
      <c r="DN22" s="405">
        <f>$DR22*(CQ22/$CZ22)</f>
        <v>1297.6612319107926</v>
      </c>
      <c r="DO22" s="418">
        <v>2751076.3630908378</v>
      </c>
      <c r="DP22" s="418">
        <v>591187.93803900504</v>
      </c>
      <c r="DQ22" s="405">
        <f>DR22*(CY22/CZ22)</f>
        <v>1894217.0857221433</v>
      </c>
      <c r="DR22" s="405">
        <f>474793+1087952</f>
        <v>1562745</v>
      </c>
      <c r="DS22" s="405">
        <f>$DR22*(DA22/$CZ22)</f>
        <v>22509136.507847514</v>
      </c>
      <c r="DT22" s="426">
        <f t="shared" si="79"/>
        <v>455.57956383461266</v>
      </c>
      <c r="DU22" s="405">
        <f t="shared" si="80"/>
        <v>1204.2780978351909</v>
      </c>
      <c r="DV22" s="421">
        <f t="shared" si="81"/>
        <v>1.452355373535251</v>
      </c>
      <c r="DW22" s="421">
        <f t="shared" si="82"/>
        <v>1.7604128396448799</v>
      </c>
      <c r="DX22" s="421">
        <f t="shared" si="83"/>
        <v>0.12222043089621458</v>
      </c>
      <c r="DZ22" s="33">
        <v>17</v>
      </c>
      <c r="EA22" s="8" t="s">
        <v>48</v>
      </c>
      <c r="EB22" s="24">
        <v>1716</v>
      </c>
      <c r="EC22" s="418">
        <f>_xlfn.XLOOKUP($EA22,'Budget by Cost Category'!$AR:$AR,'Budget by Cost Category'!$AW:$AW,0)</f>
        <v>3357178</v>
      </c>
      <c r="ED22" s="418">
        <f>_xlfn.XLOOKUP($EA22,'Budget by Cost Category'!$AR:$AR,'Budget by Cost Category'!$AS:$AS,0)</f>
        <v>2114178</v>
      </c>
      <c r="EE22" s="24">
        <v>2371944.8436538475</v>
      </c>
      <c r="EF22" s="24">
        <v>1897555.8749230783</v>
      </c>
      <c r="EG22" s="24">
        <v>23819561.699076939</v>
      </c>
      <c r="EH22" s="29">
        <f t="shared" si="34"/>
        <v>1232.0384615384614</v>
      </c>
      <c r="EI22" s="24">
        <f t="shared" si="84"/>
        <v>1105.8017919132158</v>
      </c>
      <c r="EJ22" s="40">
        <f t="shared" si="35"/>
        <v>1.4153693366783591</v>
      </c>
      <c r="EK22" s="40">
        <f t="shared" si="36"/>
        <v>1.7692116708479484</v>
      </c>
      <c r="EL22" s="40">
        <f t="shared" si="37"/>
        <v>0.14094205604673649</v>
      </c>
      <c r="EN22" s="33">
        <v>17</v>
      </c>
      <c r="EO22" s="8" t="s">
        <v>48</v>
      </c>
      <c r="EP22" s="24">
        <v>1974</v>
      </c>
      <c r="EQ22" s="418">
        <f>_xlfn.XLOOKUP($EA22,'Budget by Cost Category'!$AY:$AY,'Budget by Cost Category'!$BD:$BD,0)</f>
        <v>3910928</v>
      </c>
      <c r="ER22" s="418">
        <f>_xlfn.XLOOKUP($EA22,'Budget by Cost Category'!$AY:$AY,'Budget by Cost Category'!$AZ:$AZ,0)</f>
        <v>2480745</v>
      </c>
      <c r="ES22" s="24">
        <v>2732552.0374935945</v>
      </c>
      <c r="ET22" s="24">
        <v>2186041.6299948758</v>
      </c>
      <c r="EU22" s="24">
        <v>27438541.706279971</v>
      </c>
      <c r="EV22" s="29">
        <f t="shared" si="39"/>
        <v>1256.7097264437689</v>
      </c>
      <c r="EW22" s="24">
        <f t="shared" si="40"/>
        <v>1107.4172391058135</v>
      </c>
      <c r="EX22" s="40">
        <f t="shared" si="41"/>
        <v>1.4312364216080067</v>
      </c>
      <c r="EY22" s="40">
        <f t="shared" si="42"/>
        <v>1.7890455270100083</v>
      </c>
      <c r="EZ22" s="40">
        <f t="shared" si="43"/>
        <v>0.14253410556089757</v>
      </c>
      <c r="FB22" s="33">
        <v>17</v>
      </c>
      <c r="FC22" s="8" t="s">
        <v>48</v>
      </c>
      <c r="FD22" s="24">
        <v>2172</v>
      </c>
      <c r="FE22" s="418">
        <f>_xlfn.XLOOKUP($EA22,'Budget by Cost Category'!$BF:$BF,'Budget by Cost Category'!$BK:$BK,0)</f>
        <v>4321951</v>
      </c>
      <c r="FF22" s="418">
        <f>_xlfn.XLOOKUP($EA22,'Budget by Cost Category'!$BF:$BF,'Budget by Cost Category'!$BG:$BG,0)</f>
        <v>2783877</v>
      </c>
      <c r="FG22" s="24">
        <v>3005740.4675240275</v>
      </c>
      <c r="FH22" s="24">
        <v>2404592.3740192219</v>
      </c>
      <c r="FI22" s="24">
        <v>30181754.849206273</v>
      </c>
      <c r="FJ22" s="29">
        <f t="shared" si="45"/>
        <v>1281.7113259668508</v>
      </c>
      <c r="FK22" s="24">
        <f t="shared" si="46"/>
        <v>1107.0867283698076</v>
      </c>
      <c r="FL22" s="40">
        <f t="shared" si="47"/>
        <v>1.4378989292978439</v>
      </c>
      <c r="FM22" s="40">
        <f t="shared" si="48"/>
        <v>1.7973736616223051</v>
      </c>
      <c r="FN22" s="40">
        <f t="shared" si="49"/>
        <v>0.14319747216797965</v>
      </c>
      <c r="FP22" s="33">
        <v>17</v>
      </c>
      <c r="FQ22" s="8" t="s">
        <v>48</v>
      </c>
      <c r="FR22" s="24">
        <v>2280</v>
      </c>
      <c r="FS22" s="418">
        <f>_xlfn.XLOOKUP($EA22,'Budget by Cost Category'!$BM:$BM,'Budget by Cost Category'!$BR:$BR,0)</f>
        <v>4608494</v>
      </c>
      <c r="FT22" s="418">
        <f>_xlfn.XLOOKUP($EA22,'Budget by Cost Category'!$BM:$BM,'Budget by Cost Category'!$BN:$BN,0)</f>
        <v>2980583</v>
      </c>
      <c r="FU22" s="24">
        <v>3156997.038233825</v>
      </c>
      <c r="FV22" s="24">
        <v>2525597.63058706</v>
      </c>
      <c r="FW22" s="24">
        <v>31699602.045093495</v>
      </c>
      <c r="FX22" s="29">
        <f t="shared" si="51"/>
        <v>1307.273245614035</v>
      </c>
      <c r="FY22" s="24">
        <f t="shared" si="52"/>
        <v>1107.7182590294124</v>
      </c>
      <c r="FZ22" s="40">
        <f t="shared" si="53"/>
        <v>1.4597714043400598</v>
      </c>
      <c r="GA22" s="40">
        <f t="shared" si="54"/>
        <v>1.8247142554250746</v>
      </c>
      <c r="GB22" s="40">
        <f t="shared" si="55"/>
        <v>0.1453801846926753</v>
      </c>
    </row>
    <row r="23" spans="1:184" x14ac:dyDescent="0.25">
      <c r="A23" s="33">
        <v>18</v>
      </c>
      <c r="B23" s="8" t="s">
        <v>344</v>
      </c>
      <c r="C23" s="406">
        <v>0</v>
      </c>
      <c r="D23" s="406">
        <v>0</v>
      </c>
      <c r="E23" s="406">
        <v>0</v>
      </c>
      <c r="F23" s="406">
        <v>0</v>
      </c>
      <c r="G23" s="189">
        <v>0</v>
      </c>
      <c r="H23" s="189">
        <v>0</v>
      </c>
      <c r="I23" s="189">
        <v>0</v>
      </c>
      <c r="J23" s="189">
        <v>0</v>
      </c>
      <c r="K23" s="412">
        <v>0</v>
      </c>
      <c r="L23" s="412">
        <v>0</v>
      </c>
      <c r="M23" s="412">
        <v>0</v>
      </c>
      <c r="N23" s="430">
        <f t="shared" si="56"/>
        <v>0</v>
      </c>
      <c r="O23" s="412">
        <f t="shared" si="57"/>
        <v>0</v>
      </c>
      <c r="P23" s="412">
        <f t="shared" si="58"/>
        <v>0</v>
      </c>
      <c r="Q23" s="48">
        <f t="shared" si="59"/>
        <v>0</v>
      </c>
      <c r="R23" s="48">
        <f t="shared" si="60"/>
        <v>0</v>
      </c>
      <c r="S23" s="48">
        <f t="shared" si="61"/>
        <v>0</v>
      </c>
      <c r="T23" s="48">
        <f t="shared" si="62"/>
        <v>0</v>
      </c>
      <c r="U23" s="48">
        <f t="shared" si="63"/>
        <v>0</v>
      </c>
      <c r="V23" s="48">
        <f t="shared" si="64"/>
        <v>0</v>
      </c>
      <c r="X23" s="33">
        <v>18</v>
      </c>
      <c r="Y23" s="8" t="s">
        <v>344</v>
      </c>
      <c r="Z23" s="406">
        <v>0</v>
      </c>
      <c r="AA23" s="406">
        <v>0</v>
      </c>
      <c r="AB23" s="406">
        <v>0</v>
      </c>
      <c r="AC23" s="406">
        <v>0</v>
      </c>
      <c r="AD23" s="189">
        <v>0</v>
      </c>
      <c r="AE23" s="189">
        <v>0</v>
      </c>
      <c r="AF23" s="189">
        <v>0</v>
      </c>
      <c r="AG23" s="189">
        <v>0</v>
      </c>
      <c r="AH23" s="412">
        <v>0</v>
      </c>
      <c r="AI23" s="412">
        <v>0</v>
      </c>
      <c r="AJ23" s="412">
        <v>0</v>
      </c>
      <c r="AK23" s="430">
        <f t="shared" si="65"/>
        <v>0</v>
      </c>
      <c r="AL23" s="412">
        <f t="shared" si="66"/>
        <v>0</v>
      </c>
      <c r="AM23" s="412">
        <f t="shared" si="4"/>
        <v>0</v>
      </c>
      <c r="AN23" s="48">
        <f t="shared" si="67"/>
        <v>0</v>
      </c>
      <c r="AO23" s="48">
        <f t="shared" si="68"/>
        <v>0</v>
      </c>
      <c r="AP23" s="48">
        <f t="shared" si="69"/>
        <v>0</v>
      </c>
      <c r="AQ23" s="48">
        <f t="shared" si="70"/>
        <v>0</v>
      </c>
      <c r="AR23" s="48">
        <f t="shared" si="71"/>
        <v>0</v>
      </c>
      <c r="AS23" s="48">
        <f t="shared" si="72"/>
        <v>0</v>
      </c>
      <c r="AU23" s="33">
        <v>18</v>
      </c>
      <c r="AV23" s="8" t="s">
        <v>344</v>
      </c>
      <c r="AW23" s="406">
        <v>0</v>
      </c>
      <c r="AX23" s="406">
        <v>0</v>
      </c>
      <c r="AY23" s="406">
        <v>0</v>
      </c>
      <c r="AZ23" s="406">
        <v>0</v>
      </c>
      <c r="BA23" s="189">
        <v>0</v>
      </c>
      <c r="BB23" s="189">
        <v>0</v>
      </c>
      <c r="BC23" s="189">
        <v>0</v>
      </c>
      <c r="BD23" s="189">
        <v>0</v>
      </c>
      <c r="BE23" s="412">
        <v>0</v>
      </c>
      <c r="BF23" s="412">
        <v>0</v>
      </c>
      <c r="BG23" s="412">
        <v>0</v>
      </c>
      <c r="BH23" s="430">
        <f t="shared" si="73"/>
        <v>0</v>
      </c>
      <c r="BI23" s="412">
        <f>IFERROR(BF23/AW23,0)</f>
        <v>0</v>
      </c>
      <c r="BJ23" s="412">
        <f t="shared" si="7"/>
        <v>0</v>
      </c>
      <c r="BK23" s="48">
        <f t="shared" si="8"/>
        <v>0</v>
      </c>
      <c r="BL23" s="48">
        <f t="shared" si="9"/>
        <v>0</v>
      </c>
      <c r="BM23" s="48">
        <f t="shared" si="10"/>
        <v>0</v>
      </c>
      <c r="BN23" s="48">
        <f t="shared" si="11"/>
        <v>0</v>
      </c>
      <c r="BO23" s="48">
        <f t="shared" si="12"/>
        <v>0</v>
      </c>
      <c r="BP23" s="48">
        <f t="shared" si="13"/>
        <v>0</v>
      </c>
      <c r="BR23" s="33">
        <v>18</v>
      </c>
      <c r="BS23" s="8" t="s">
        <v>344</v>
      </c>
      <c r="BT23" s="406">
        <v>0</v>
      </c>
      <c r="BU23" s="406">
        <v>0</v>
      </c>
      <c r="BV23" s="406">
        <v>0</v>
      </c>
      <c r="BW23" s="406">
        <v>0</v>
      </c>
      <c r="BX23" s="189">
        <v>0</v>
      </c>
      <c r="BY23" s="189">
        <v>0</v>
      </c>
      <c r="BZ23" s="189">
        <v>0</v>
      </c>
      <c r="CA23" s="189">
        <v>0</v>
      </c>
      <c r="CB23" s="412">
        <v>0</v>
      </c>
      <c r="CC23" s="412">
        <v>0</v>
      </c>
      <c r="CD23" s="412">
        <v>0</v>
      </c>
      <c r="CE23" s="430">
        <f t="shared" si="75"/>
        <v>0</v>
      </c>
      <c r="CF23" s="412">
        <f>IFERROR(CC23/BT23,0)</f>
        <v>0</v>
      </c>
      <c r="CG23" s="412">
        <f t="shared" si="16"/>
        <v>0</v>
      </c>
      <c r="CH23" s="48">
        <f t="shared" si="17"/>
        <v>0</v>
      </c>
      <c r="CI23" s="48">
        <f t="shared" si="18"/>
        <v>0</v>
      </c>
      <c r="CJ23" s="48">
        <f t="shared" si="19"/>
        <v>0</v>
      </c>
      <c r="CK23" s="48">
        <f t="shared" si="20"/>
        <v>0</v>
      </c>
      <c r="CL23" s="48">
        <f t="shared" si="21"/>
        <v>0</v>
      </c>
      <c r="CM23" s="48">
        <f t="shared" si="22"/>
        <v>0</v>
      </c>
      <c r="CO23" s="33">
        <v>18</v>
      </c>
      <c r="CP23" s="8" t="s">
        <v>344</v>
      </c>
      <c r="CQ23" s="406">
        <v>0</v>
      </c>
      <c r="CR23" s="406">
        <v>0</v>
      </c>
      <c r="CS23" s="406">
        <v>0</v>
      </c>
      <c r="CT23" s="406">
        <v>0</v>
      </c>
      <c r="CU23" s="189">
        <v>0</v>
      </c>
      <c r="CV23" s="189">
        <v>0</v>
      </c>
      <c r="CW23" s="189">
        <v>0</v>
      </c>
      <c r="CX23" s="189">
        <v>0</v>
      </c>
      <c r="CY23" s="412">
        <v>0</v>
      </c>
      <c r="CZ23" s="412">
        <v>0</v>
      </c>
      <c r="DA23" s="412">
        <v>0</v>
      </c>
      <c r="DB23" s="430">
        <f t="shared" si="77"/>
        <v>0</v>
      </c>
      <c r="DC23" s="412">
        <f>IFERROR(CZ23/CQ23,0)</f>
        <v>0</v>
      </c>
      <c r="DD23" s="412">
        <f t="shared" si="25"/>
        <v>0</v>
      </c>
      <c r="DE23" s="48">
        <f t="shared" si="26"/>
        <v>0</v>
      </c>
      <c r="DF23" s="48">
        <f t="shared" si="27"/>
        <v>0</v>
      </c>
      <c r="DG23" s="48">
        <f t="shared" si="28"/>
        <v>0</v>
      </c>
      <c r="DH23" s="48">
        <f t="shared" si="29"/>
        <v>0</v>
      </c>
      <c r="DI23" s="48">
        <f t="shared" si="30"/>
        <v>0</v>
      </c>
      <c r="DJ23" s="48">
        <f t="shared" si="31"/>
        <v>0</v>
      </c>
      <c r="DL23" s="33">
        <v>18</v>
      </c>
      <c r="DM23" s="8" t="s">
        <v>344</v>
      </c>
      <c r="DN23" s="406">
        <v>0</v>
      </c>
      <c r="DO23" s="413">
        <v>0</v>
      </c>
      <c r="DP23" s="413">
        <v>0</v>
      </c>
      <c r="DQ23" s="406">
        <v>0</v>
      </c>
      <c r="DR23" s="406">
        <v>0</v>
      </c>
      <c r="DS23" s="406">
        <v>0</v>
      </c>
      <c r="DT23" s="427">
        <f>IFERROR(DP23/$DN23,0)</f>
        <v>0</v>
      </c>
      <c r="DU23" s="406">
        <f>IFERROR(DR23/$DN23,0)</f>
        <v>0</v>
      </c>
      <c r="DV23" s="422">
        <f>IFERROR(DO23/DQ23,0)</f>
        <v>0</v>
      </c>
      <c r="DW23" s="422">
        <f>IFERROR(DO23/DR23,0)</f>
        <v>0</v>
      </c>
      <c r="DX23" s="422">
        <f>IFERROR(DO23/DS23,0)</f>
        <v>0</v>
      </c>
      <c r="DZ23" s="33">
        <v>18</v>
      </c>
      <c r="EA23" s="8" t="s">
        <v>49</v>
      </c>
      <c r="EB23" s="24">
        <v>72</v>
      </c>
      <c r="EC23" s="418">
        <f>_xlfn.XLOOKUP($EA23,'Budget by Cost Category'!$AR:$AR,'Budget by Cost Category'!$AW:$AW,0)</f>
        <v>572930</v>
      </c>
      <c r="ED23" s="418">
        <f>_xlfn.XLOOKUP($EA23,'Budget by Cost Category'!$AR:$AR,'Budget by Cost Category'!$AS:$AS,0)</f>
        <v>246930</v>
      </c>
      <c r="EE23" s="24">
        <v>262120.6067670926</v>
      </c>
      <c r="EF23" s="24">
        <v>196590.45507531945</v>
      </c>
      <c r="EG23" s="24">
        <v>982952.27537659719</v>
      </c>
      <c r="EH23" s="29">
        <f t="shared" si="34"/>
        <v>3429.5833333333335</v>
      </c>
      <c r="EI23" s="24">
        <f t="shared" si="84"/>
        <v>2730.4229871572147</v>
      </c>
      <c r="EJ23" s="40">
        <f t="shared" si="35"/>
        <v>2.1857495565355425</v>
      </c>
      <c r="EK23" s="40">
        <f t="shared" si="36"/>
        <v>2.9143327420473901</v>
      </c>
      <c r="EL23" s="40">
        <f t="shared" si="37"/>
        <v>0.58286654840947805</v>
      </c>
      <c r="EN23" s="33">
        <v>18</v>
      </c>
      <c r="EO23" s="8" t="s">
        <v>49</v>
      </c>
      <c r="EP23" s="24">
        <v>105</v>
      </c>
      <c r="EQ23" s="418">
        <f>_xlfn.XLOOKUP($EA23,'Budget by Cost Category'!$AY:$AY,'Budget by Cost Category'!$BD:$BD,0)</f>
        <v>723154</v>
      </c>
      <c r="ER23" s="418">
        <f>_xlfn.XLOOKUP($EA23,'Budget by Cost Category'!$AY:$AY,'Budget by Cost Category'!$AZ:$AZ,0)</f>
        <v>374254</v>
      </c>
      <c r="ES23" s="24">
        <v>392665.55764499994</v>
      </c>
      <c r="ET23" s="24">
        <v>294499.16823374992</v>
      </c>
      <c r="EU23" s="24">
        <v>1472495.8411687496</v>
      </c>
      <c r="EV23" s="29">
        <f t="shared" si="39"/>
        <v>3564.3238095238094</v>
      </c>
      <c r="EW23" s="24">
        <f t="shared" si="40"/>
        <v>2804.7539831785707</v>
      </c>
      <c r="EX23" s="40">
        <f t="shared" si="41"/>
        <v>1.8416537583206807</v>
      </c>
      <c r="EY23" s="40">
        <f t="shared" si="42"/>
        <v>2.4555383444275742</v>
      </c>
      <c r="EZ23" s="40">
        <f t="shared" si="43"/>
        <v>0.49110766888551488</v>
      </c>
      <c r="FB23" s="33">
        <v>18</v>
      </c>
      <c r="FC23" s="8" t="s">
        <v>49</v>
      </c>
      <c r="FD23" s="24">
        <v>110</v>
      </c>
      <c r="FE23" s="418">
        <f>_xlfn.XLOOKUP($EA23,'Budget by Cost Category'!$BF:$BF,'Budget by Cost Category'!$BK:$BK,0)</f>
        <v>746073</v>
      </c>
      <c r="FF23" s="418">
        <f>_xlfn.XLOOKUP($EA23,'Budget by Cost Category'!$BF:$BF,'Budget by Cost Category'!$BG:$BG,0)</f>
        <v>403278</v>
      </c>
      <c r="FG23" s="24">
        <v>414472.66014887032</v>
      </c>
      <c r="FH23" s="24">
        <v>310854.49511165277</v>
      </c>
      <c r="FI23" s="24">
        <v>1554272.4755582639</v>
      </c>
      <c r="FJ23" s="29">
        <f t="shared" si="45"/>
        <v>3666.1636363636362</v>
      </c>
      <c r="FK23" s="24">
        <f t="shared" si="46"/>
        <v>2825.9499555604798</v>
      </c>
      <c r="FL23" s="40">
        <f t="shared" si="47"/>
        <v>1.8000535903430288</v>
      </c>
      <c r="FM23" s="40">
        <f t="shared" si="48"/>
        <v>2.4000714537907046</v>
      </c>
      <c r="FN23" s="40">
        <f t="shared" si="49"/>
        <v>0.48001429075814095</v>
      </c>
      <c r="FP23" s="33">
        <v>18</v>
      </c>
      <c r="FQ23" s="8" t="s">
        <v>49</v>
      </c>
      <c r="FR23" s="24">
        <v>121</v>
      </c>
      <c r="FS23" s="418">
        <f>_xlfn.XLOOKUP($EA23,'Budget by Cost Category'!$BM:$BM,'Budget by Cost Category'!$BR:$BR,0)</f>
        <v>796291</v>
      </c>
      <c r="FT23" s="418">
        <f>_xlfn.XLOOKUP($EA23,'Budget by Cost Category'!$BM:$BM,'Budget by Cost Category'!$BN:$BN,0)</f>
        <v>452477</v>
      </c>
      <c r="FU23" s="24">
        <v>455919.92616375734</v>
      </c>
      <c r="FV23" s="24">
        <v>341939.94462281797</v>
      </c>
      <c r="FW23" s="24">
        <v>1709699.7231140898</v>
      </c>
      <c r="FX23" s="29">
        <f t="shared" si="51"/>
        <v>3739.4793388429753</v>
      </c>
      <c r="FY23" s="24">
        <f t="shared" si="52"/>
        <v>2825.9499555604793</v>
      </c>
      <c r="FZ23" s="40">
        <f t="shared" si="53"/>
        <v>1.7465588896283251</v>
      </c>
      <c r="GA23" s="40">
        <f t="shared" si="54"/>
        <v>2.3287451861711004</v>
      </c>
      <c r="GB23" s="40">
        <f t="shared" si="55"/>
        <v>0.46574903723422012</v>
      </c>
    </row>
    <row r="24" spans="1:184" x14ac:dyDescent="0.25">
      <c r="A24" s="33">
        <v>19</v>
      </c>
      <c r="B24" s="8" t="s">
        <v>343</v>
      </c>
      <c r="C24" s="406">
        <v>0</v>
      </c>
      <c r="D24" s="406">
        <v>0</v>
      </c>
      <c r="E24" s="406">
        <v>0</v>
      </c>
      <c r="F24" s="406">
        <v>0</v>
      </c>
      <c r="G24" s="189">
        <v>0</v>
      </c>
      <c r="H24" s="189">
        <v>0</v>
      </c>
      <c r="I24" s="189">
        <v>0</v>
      </c>
      <c r="J24" s="189">
        <v>0</v>
      </c>
      <c r="K24" s="412">
        <v>0</v>
      </c>
      <c r="L24" s="412">
        <v>0</v>
      </c>
      <c r="M24" s="412">
        <v>0</v>
      </c>
      <c r="N24" s="430">
        <f t="shared" si="56"/>
        <v>0</v>
      </c>
      <c r="O24" s="412">
        <f t="shared" si="57"/>
        <v>0</v>
      </c>
      <c r="P24" s="412">
        <f t="shared" si="58"/>
        <v>0</v>
      </c>
      <c r="Q24" s="48">
        <f t="shared" si="59"/>
        <v>0</v>
      </c>
      <c r="R24" s="48">
        <f t="shared" si="60"/>
        <v>0</v>
      </c>
      <c r="S24" s="48">
        <f t="shared" si="61"/>
        <v>0</v>
      </c>
      <c r="T24" s="48">
        <f t="shared" si="62"/>
        <v>0</v>
      </c>
      <c r="U24" s="48">
        <f t="shared" si="63"/>
        <v>0</v>
      </c>
      <c r="V24" s="48">
        <f t="shared" si="64"/>
        <v>0</v>
      </c>
      <c r="X24" s="33">
        <v>19</v>
      </c>
      <c r="Y24" s="8" t="s">
        <v>343</v>
      </c>
      <c r="Z24" s="406">
        <v>0</v>
      </c>
      <c r="AA24" s="406">
        <v>0</v>
      </c>
      <c r="AB24" s="406">
        <v>0</v>
      </c>
      <c r="AC24" s="406">
        <v>0</v>
      </c>
      <c r="AD24" s="189">
        <v>0</v>
      </c>
      <c r="AE24" s="189">
        <v>0</v>
      </c>
      <c r="AF24" s="189">
        <v>0</v>
      </c>
      <c r="AG24" s="189">
        <v>0</v>
      </c>
      <c r="AH24" s="412">
        <v>0</v>
      </c>
      <c r="AI24" s="412">
        <v>0</v>
      </c>
      <c r="AJ24" s="412">
        <v>0</v>
      </c>
      <c r="AK24" s="430">
        <f t="shared" si="65"/>
        <v>0</v>
      </c>
      <c r="AL24" s="412">
        <f t="shared" si="66"/>
        <v>0</v>
      </c>
      <c r="AM24" s="412">
        <f t="shared" si="4"/>
        <v>0</v>
      </c>
      <c r="AN24" s="48">
        <f t="shared" si="67"/>
        <v>0</v>
      </c>
      <c r="AO24" s="48">
        <f t="shared" si="68"/>
        <v>0</v>
      </c>
      <c r="AP24" s="48">
        <f t="shared" si="69"/>
        <v>0</v>
      </c>
      <c r="AQ24" s="48">
        <f t="shared" si="70"/>
        <v>0</v>
      </c>
      <c r="AR24" s="48">
        <f t="shared" si="71"/>
        <v>0</v>
      </c>
      <c r="AS24" s="48">
        <f t="shared" si="72"/>
        <v>0</v>
      </c>
      <c r="AU24" s="33">
        <v>19</v>
      </c>
      <c r="AV24" s="8" t="s">
        <v>343</v>
      </c>
      <c r="AW24" s="406">
        <v>0</v>
      </c>
      <c r="AX24" s="406">
        <v>0</v>
      </c>
      <c r="AY24" s="406">
        <v>0</v>
      </c>
      <c r="AZ24" s="406">
        <v>0</v>
      </c>
      <c r="BA24" s="189">
        <v>0</v>
      </c>
      <c r="BB24" s="189">
        <v>0</v>
      </c>
      <c r="BC24" s="189">
        <v>0</v>
      </c>
      <c r="BD24" s="189">
        <v>0</v>
      </c>
      <c r="BE24" s="412">
        <v>0</v>
      </c>
      <c r="BF24" s="412">
        <v>0</v>
      </c>
      <c r="BG24" s="412">
        <v>0</v>
      </c>
      <c r="BH24" s="430">
        <f t="shared" si="73"/>
        <v>0</v>
      </c>
      <c r="BI24" s="412">
        <f t="shared" si="74"/>
        <v>0</v>
      </c>
      <c r="BJ24" s="412">
        <f t="shared" si="7"/>
        <v>0</v>
      </c>
      <c r="BK24" s="48">
        <f t="shared" si="8"/>
        <v>0</v>
      </c>
      <c r="BL24" s="48">
        <f t="shared" si="9"/>
        <v>0</v>
      </c>
      <c r="BM24" s="48">
        <f t="shared" si="10"/>
        <v>0</v>
      </c>
      <c r="BN24" s="48">
        <f t="shared" si="11"/>
        <v>0</v>
      </c>
      <c r="BO24" s="48">
        <f t="shared" si="12"/>
        <v>0</v>
      </c>
      <c r="BP24" s="48">
        <f t="shared" si="13"/>
        <v>0</v>
      </c>
      <c r="BR24" s="33">
        <v>19</v>
      </c>
      <c r="BS24" s="8" t="s">
        <v>343</v>
      </c>
      <c r="BT24" s="406">
        <v>0</v>
      </c>
      <c r="BU24" s="406">
        <v>0</v>
      </c>
      <c r="BV24" s="406">
        <v>0</v>
      </c>
      <c r="BW24" s="406">
        <v>0</v>
      </c>
      <c r="BX24" s="189">
        <v>0</v>
      </c>
      <c r="BY24" s="189">
        <v>0</v>
      </c>
      <c r="BZ24" s="189">
        <v>0</v>
      </c>
      <c r="CA24" s="189">
        <v>0</v>
      </c>
      <c r="CB24" s="412">
        <v>0</v>
      </c>
      <c r="CC24" s="412">
        <v>0</v>
      </c>
      <c r="CD24" s="412">
        <v>0</v>
      </c>
      <c r="CE24" s="430">
        <f t="shared" si="75"/>
        <v>0</v>
      </c>
      <c r="CF24" s="412">
        <f t="shared" si="76"/>
        <v>0</v>
      </c>
      <c r="CG24" s="412">
        <f t="shared" si="16"/>
        <v>0</v>
      </c>
      <c r="CH24" s="48">
        <f t="shared" si="17"/>
        <v>0</v>
      </c>
      <c r="CI24" s="48">
        <f t="shared" si="18"/>
        <v>0</v>
      </c>
      <c r="CJ24" s="48">
        <f t="shared" si="19"/>
        <v>0</v>
      </c>
      <c r="CK24" s="48">
        <f t="shared" si="20"/>
        <v>0</v>
      </c>
      <c r="CL24" s="48">
        <f t="shared" si="21"/>
        <v>0</v>
      </c>
      <c r="CM24" s="48">
        <f t="shared" si="22"/>
        <v>0</v>
      </c>
      <c r="CO24" s="33">
        <v>19</v>
      </c>
      <c r="CP24" s="8" t="s">
        <v>343</v>
      </c>
      <c r="CQ24" s="406">
        <v>0</v>
      </c>
      <c r="CR24" s="406">
        <v>0</v>
      </c>
      <c r="CS24" s="406">
        <v>0</v>
      </c>
      <c r="CT24" s="406">
        <v>0</v>
      </c>
      <c r="CU24" s="189">
        <v>0</v>
      </c>
      <c r="CV24" s="189">
        <v>0</v>
      </c>
      <c r="CW24" s="189">
        <v>0</v>
      </c>
      <c r="CX24" s="189">
        <v>0</v>
      </c>
      <c r="CY24" s="412">
        <v>0</v>
      </c>
      <c r="CZ24" s="412">
        <v>0</v>
      </c>
      <c r="DA24" s="412">
        <v>0</v>
      </c>
      <c r="DB24" s="430">
        <f t="shared" si="77"/>
        <v>0</v>
      </c>
      <c r="DC24" s="412">
        <f t="shared" si="78"/>
        <v>0</v>
      </c>
      <c r="DD24" s="412">
        <f t="shared" si="25"/>
        <v>0</v>
      </c>
      <c r="DE24" s="48">
        <f t="shared" si="26"/>
        <v>0</v>
      </c>
      <c r="DF24" s="48">
        <f t="shared" si="27"/>
        <v>0</v>
      </c>
      <c r="DG24" s="48">
        <f t="shared" si="28"/>
        <v>0</v>
      </c>
      <c r="DH24" s="48">
        <f t="shared" si="29"/>
        <v>0</v>
      </c>
      <c r="DI24" s="48">
        <f t="shared" si="30"/>
        <v>0</v>
      </c>
      <c r="DJ24" s="48">
        <f t="shared" si="31"/>
        <v>0</v>
      </c>
      <c r="DL24" s="33">
        <v>19</v>
      </c>
      <c r="DM24" s="8" t="s">
        <v>343</v>
      </c>
      <c r="DN24" s="406">
        <v>0</v>
      </c>
      <c r="DO24" s="413">
        <v>0</v>
      </c>
      <c r="DP24" s="413">
        <v>0</v>
      </c>
      <c r="DQ24" s="406">
        <v>0</v>
      </c>
      <c r="DR24" s="406">
        <v>0</v>
      </c>
      <c r="DS24" s="406">
        <v>0</v>
      </c>
      <c r="DT24" s="427">
        <f t="shared" si="79"/>
        <v>0</v>
      </c>
      <c r="DU24" s="406">
        <f t="shared" si="80"/>
        <v>0</v>
      </c>
      <c r="DV24" s="422">
        <f t="shared" si="81"/>
        <v>0</v>
      </c>
      <c r="DW24" s="422">
        <f t="shared" si="82"/>
        <v>0</v>
      </c>
      <c r="DX24" s="422">
        <f t="shared" si="83"/>
        <v>0</v>
      </c>
      <c r="DZ24" s="33">
        <v>19</v>
      </c>
      <c r="EA24" s="8" t="s">
        <v>50</v>
      </c>
      <c r="EB24" s="24">
        <v>68</v>
      </c>
      <c r="EC24" s="418">
        <f>_xlfn.XLOOKUP($EA24,'Budget by Cost Category'!$AR:$AR,'Budget by Cost Category'!$AW:$AW,0)</f>
        <v>205675</v>
      </c>
      <c r="ED24" s="418">
        <f>_xlfn.XLOOKUP($EA24,'Budget by Cost Category'!$AR:$AR,'Budget by Cost Category'!$AS:$AS,0)</f>
        <v>77869</v>
      </c>
      <c r="EE24" s="24">
        <v>44047</v>
      </c>
      <c r="EF24" s="24">
        <v>35237.600000000006</v>
      </c>
      <c r="EG24" s="24">
        <v>613342.4</v>
      </c>
      <c r="EH24" s="29">
        <f t="shared" si="34"/>
        <v>1145.1323529411766</v>
      </c>
      <c r="EI24" s="24">
        <f t="shared" si="84"/>
        <v>518.20000000000005</v>
      </c>
      <c r="EJ24" s="40">
        <f t="shared" si="35"/>
        <v>4.6694440029967987</v>
      </c>
      <c r="EK24" s="40">
        <f t="shared" si="36"/>
        <v>5.8368050037459973</v>
      </c>
      <c r="EL24" s="40">
        <f t="shared" si="37"/>
        <v>0.33533471679114307</v>
      </c>
      <c r="EN24" s="33">
        <v>19</v>
      </c>
      <c r="EO24" s="8" t="s">
        <v>50</v>
      </c>
      <c r="EP24" s="24">
        <v>100</v>
      </c>
      <c r="EQ24" s="418">
        <f>_xlfn.XLOOKUP($EA24,'Budget by Cost Category'!$AY:$AY,'Budget by Cost Category'!$BD:$BD,0)</f>
        <v>253222</v>
      </c>
      <c r="ER24" s="418">
        <f>_xlfn.XLOOKUP($EA24,'Budget by Cost Category'!$AY:$AY,'Budget by Cost Category'!$AZ:$AZ,0)</f>
        <v>116826</v>
      </c>
      <c r="ES24" s="24">
        <v>63965</v>
      </c>
      <c r="ET24" s="24">
        <v>51172</v>
      </c>
      <c r="EU24" s="24">
        <v>892136</v>
      </c>
      <c r="EV24" s="29">
        <f t="shared" si="39"/>
        <v>1168.26</v>
      </c>
      <c r="EW24" s="24">
        <f t="shared" si="40"/>
        <v>511.72</v>
      </c>
      <c r="EX24" s="40">
        <f t="shared" si="41"/>
        <v>3.9587586961619636</v>
      </c>
      <c r="EY24" s="40">
        <f t="shared" si="42"/>
        <v>4.9484483702024544</v>
      </c>
      <c r="EZ24" s="40">
        <f t="shared" si="43"/>
        <v>0.28383789018714634</v>
      </c>
      <c r="FB24" s="33">
        <v>19</v>
      </c>
      <c r="FC24" s="8" t="s">
        <v>50</v>
      </c>
      <c r="FD24" s="24">
        <v>200</v>
      </c>
      <c r="FE24" s="418">
        <f>_xlfn.XLOOKUP($EA24,'Budget by Cost Category'!$BF:$BF,'Budget by Cost Category'!$BK:$BK,0)</f>
        <v>382436</v>
      </c>
      <c r="FF24" s="418">
        <f>_xlfn.XLOOKUP($EA24,'Budget by Cost Category'!$BF:$BF,'Budget by Cost Category'!$BG:$BG,0)</f>
        <v>238324</v>
      </c>
      <c r="FG24" s="24">
        <v>127930</v>
      </c>
      <c r="FH24" s="24">
        <v>102344</v>
      </c>
      <c r="FI24" s="24">
        <v>1784272</v>
      </c>
      <c r="FJ24" s="29">
        <f t="shared" si="45"/>
        <v>1191.6199999999999</v>
      </c>
      <c r="FK24" s="24">
        <f t="shared" si="46"/>
        <v>511.72</v>
      </c>
      <c r="FL24" s="40">
        <f t="shared" si="47"/>
        <v>2.9894160869225357</v>
      </c>
      <c r="FM24" s="40">
        <f t="shared" si="48"/>
        <v>3.7367701086531695</v>
      </c>
      <c r="FN24" s="40">
        <f t="shared" si="49"/>
        <v>0.21433727593102397</v>
      </c>
      <c r="FP24" s="33">
        <v>19</v>
      </c>
      <c r="FQ24" s="8" t="s">
        <v>50</v>
      </c>
      <c r="FR24" s="24">
        <v>352</v>
      </c>
      <c r="FS24" s="418">
        <f>_xlfn.XLOOKUP($EA24,'Budget by Cost Category'!$BM:$BM,'Budget by Cost Category'!$BR:$BR,0)</f>
        <v>582145</v>
      </c>
      <c r="FT24" s="418">
        <f>_xlfn.XLOOKUP($EA24,'Budget by Cost Category'!$BM:$BM,'Budget by Cost Category'!$BN:$BN,0)</f>
        <v>427856</v>
      </c>
      <c r="FU24" s="24">
        <v>224606</v>
      </c>
      <c r="FV24" s="24">
        <v>179684.8</v>
      </c>
      <c r="FW24" s="24">
        <v>3133628.8</v>
      </c>
      <c r="FX24" s="29">
        <f t="shared" si="51"/>
        <v>1215.5</v>
      </c>
      <c r="FY24" s="24">
        <f t="shared" si="52"/>
        <v>510.46818181818179</v>
      </c>
      <c r="FZ24" s="40">
        <f t="shared" si="53"/>
        <v>2.5918497279680865</v>
      </c>
      <c r="GA24" s="40">
        <f t="shared" si="54"/>
        <v>3.239812159960108</v>
      </c>
      <c r="GB24" s="40">
        <f t="shared" si="55"/>
        <v>0.1857734394067351</v>
      </c>
    </row>
    <row r="25" spans="1:184" x14ac:dyDescent="0.25">
      <c r="A25" s="33">
        <v>20</v>
      </c>
      <c r="B25" s="8" t="s">
        <v>342</v>
      </c>
      <c r="C25" s="406">
        <v>0</v>
      </c>
      <c r="D25" s="406">
        <v>0</v>
      </c>
      <c r="E25" s="406">
        <v>0</v>
      </c>
      <c r="F25" s="406">
        <v>0</v>
      </c>
      <c r="G25" s="189">
        <v>0</v>
      </c>
      <c r="H25" s="189">
        <v>0</v>
      </c>
      <c r="I25" s="189">
        <v>0</v>
      </c>
      <c r="J25" s="189">
        <v>0</v>
      </c>
      <c r="K25" s="412">
        <v>0</v>
      </c>
      <c r="L25" s="412">
        <v>0</v>
      </c>
      <c r="M25" s="412">
        <v>0</v>
      </c>
      <c r="N25" s="430">
        <f t="shared" si="56"/>
        <v>0</v>
      </c>
      <c r="O25" s="412">
        <f t="shared" si="57"/>
        <v>0</v>
      </c>
      <c r="P25" s="412">
        <f t="shared" si="58"/>
        <v>0</v>
      </c>
      <c r="Q25" s="48">
        <f t="shared" si="59"/>
        <v>0</v>
      </c>
      <c r="R25" s="48">
        <f t="shared" si="60"/>
        <v>0</v>
      </c>
      <c r="S25" s="48">
        <f t="shared" si="61"/>
        <v>0</v>
      </c>
      <c r="T25" s="48">
        <f t="shared" si="62"/>
        <v>0</v>
      </c>
      <c r="U25" s="48">
        <f t="shared" si="63"/>
        <v>0</v>
      </c>
      <c r="V25" s="48">
        <f t="shared" si="64"/>
        <v>0</v>
      </c>
      <c r="X25" s="33">
        <v>20</v>
      </c>
      <c r="Y25" s="8" t="s">
        <v>342</v>
      </c>
      <c r="Z25" s="406">
        <v>0</v>
      </c>
      <c r="AA25" s="406">
        <v>0</v>
      </c>
      <c r="AB25" s="406">
        <v>0</v>
      </c>
      <c r="AC25" s="406">
        <v>0</v>
      </c>
      <c r="AD25" s="189">
        <v>0</v>
      </c>
      <c r="AE25" s="189">
        <v>0</v>
      </c>
      <c r="AF25" s="189">
        <v>0</v>
      </c>
      <c r="AG25" s="189">
        <v>0</v>
      </c>
      <c r="AH25" s="412">
        <v>0</v>
      </c>
      <c r="AI25" s="412">
        <v>0</v>
      </c>
      <c r="AJ25" s="412">
        <v>0</v>
      </c>
      <c r="AK25" s="430">
        <f t="shared" si="65"/>
        <v>0</v>
      </c>
      <c r="AL25" s="412">
        <f t="shared" si="66"/>
        <v>0</v>
      </c>
      <c r="AM25" s="412">
        <f t="shared" si="4"/>
        <v>0</v>
      </c>
      <c r="AN25" s="48">
        <f t="shared" si="67"/>
        <v>0</v>
      </c>
      <c r="AO25" s="48">
        <f t="shared" si="68"/>
        <v>0</v>
      </c>
      <c r="AP25" s="48">
        <f t="shared" si="69"/>
        <v>0</v>
      </c>
      <c r="AQ25" s="48">
        <f t="shared" si="70"/>
        <v>0</v>
      </c>
      <c r="AR25" s="48">
        <f t="shared" si="71"/>
        <v>0</v>
      </c>
      <c r="AS25" s="48">
        <f t="shared" si="72"/>
        <v>0</v>
      </c>
      <c r="AU25" s="33">
        <v>20</v>
      </c>
      <c r="AV25" s="8" t="s">
        <v>342</v>
      </c>
      <c r="AW25" s="406">
        <v>0</v>
      </c>
      <c r="AX25" s="406">
        <v>0</v>
      </c>
      <c r="AY25" s="406">
        <v>0</v>
      </c>
      <c r="AZ25" s="406">
        <v>0</v>
      </c>
      <c r="BA25" s="189">
        <v>0</v>
      </c>
      <c r="BB25" s="189">
        <v>0</v>
      </c>
      <c r="BC25" s="189">
        <v>0</v>
      </c>
      <c r="BD25" s="189">
        <v>0</v>
      </c>
      <c r="BE25" s="412">
        <v>0</v>
      </c>
      <c r="BF25" s="412">
        <v>0</v>
      </c>
      <c r="BG25" s="412">
        <v>0</v>
      </c>
      <c r="BH25" s="430">
        <f t="shared" si="73"/>
        <v>0</v>
      </c>
      <c r="BI25" s="412">
        <f t="shared" si="74"/>
        <v>0</v>
      </c>
      <c r="BJ25" s="412">
        <f t="shared" si="7"/>
        <v>0</v>
      </c>
      <c r="BK25" s="48">
        <f t="shared" si="8"/>
        <v>0</v>
      </c>
      <c r="BL25" s="48">
        <f t="shared" si="9"/>
        <v>0</v>
      </c>
      <c r="BM25" s="48">
        <f t="shared" si="10"/>
        <v>0</v>
      </c>
      <c r="BN25" s="48">
        <f t="shared" si="11"/>
        <v>0</v>
      </c>
      <c r="BO25" s="48">
        <f t="shared" si="12"/>
        <v>0</v>
      </c>
      <c r="BP25" s="48">
        <f t="shared" si="13"/>
        <v>0</v>
      </c>
      <c r="BR25" s="33">
        <v>20</v>
      </c>
      <c r="BS25" s="8" t="s">
        <v>342</v>
      </c>
      <c r="BT25" s="406">
        <v>0</v>
      </c>
      <c r="BU25" s="406">
        <v>0</v>
      </c>
      <c r="BV25" s="406">
        <v>0</v>
      </c>
      <c r="BW25" s="406">
        <v>0</v>
      </c>
      <c r="BX25" s="189">
        <v>0</v>
      </c>
      <c r="BY25" s="189">
        <v>0</v>
      </c>
      <c r="BZ25" s="189">
        <v>0</v>
      </c>
      <c r="CA25" s="189">
        <v>0</v>
      </c>
      <c r="CB25" s="412">
        <v>0</v>
      </c>
      <c r="CC25" s="412">
        <v>0</v>
      </c>
      <c r="CD25" s="412">
        <v>0</v>
      </c>
      <c r="CE25" s="430">
        <f t="shared" si="75"/>
        <v>0</v>
      </c>
      <c r="CF25" s="412">
        <f t="shared" si="76"/>
        <v>0</v>
      </c>
      <c r="CG25" s="412">
        <f t="shared" si="16"/>
        <v>0</v>
      </c>
      <c r="CH25" s="48">
        <f t="shared" si="17"/>
        <v>0</v>
      </c>
      <c r="CI25" s="48">
        <f t="shared" si="18"/>
        <v>0</v>
      </c>
      <c r="CJ25" s="48">
        <f t="shared" si="19"/>
        <v>0</v>
      </c>
      <c r="CK25" s="48">
        <f t="shared" si="20"/>
        <v>0</v>
      </c>
      <c r="CL25" s="48">
        <f t="shared" si="21"/>
        <v>0</v>
      </c>
      <c r="CM25" s="48">
        <f t="shared" si="22"/>
        <v>0</v>
      </c>
      <c r="CO25" s="33">
        <v>20</v>
      </c>
      <c r="CP25" s="8" t="s">
        <v>342</v>
      </c>
      <c r="CQ25" s="406">
        <v>0</v>
      </c>
      <c r="CR25" s="406">
        <v>0</v>
      </c>
      <c r="CS25" s="406">
        <v>0</v>
      </c>
      <c r="CT25" s="406">
        <v>0</v>
      </c>
      <c r="CU25" s="189">
        <v>0</v>
      </c>
      <c r="CV25" s="189">
        <v>0</v>
      </c>
      <c r="CW25" s="189">
        <v>0</v>
      </c>
      <c r="CX25" s="189">
        <v>0</v>
      </c>
      <c r="CY25" s="412">
        <v>0</v>
      </c>
      <c r="CZ25" s="412">
        <v>0</v>
      </c>
      <c r="DA25" s="412">
        <v>0</v>
      </c>
      <c r="DB25" s="430">
        <f t="shared" si="77"/>
        <v>0</v>
      </c>
      <c r="DC25" s="412">
        <f t="shared" si="78"/>
        <v>0</v>
      </c>
      <c r="DD25" s="412">
        <f t="shared" si="25"/>
        <v>0</v>
      </c>
      <c r="DE25" s="48">
        <f t="shared" si="26"/>
        <v>0</v>
      </c>
      <c r="DF25" s="48">
        <f t="shared" si="27"/>
        <v>0</v>
      </c>
      <c r="DG25" s="48">
        <f t="shared" si="28"/>
        <v>0</v>
      </c>
      <c r="DH25" s="48">
        <f t="shared" si="29"/>
        <v>0</v>
      </c>
      <c r="DI25" s="48">
        <f t="shared" si="30"/>
        <v>0</v>
      </c>
      <c r="DJ25" s="48">
        <f t="shared" si="31"/>
        <v>0</v>
      </c>
      <c r="DL25" s="33">
        <v>20</v>
      </c>
      <c r="DM25" s="8" t="s">
        <v>342</v>
      </c>
      <c r="DN25" s="406">
        <v>0</v>
      </c>
      <c r="DO25" s="413">
        <v>0</v>
      </c>
      <c r="DP25" s="413">
        <v>0</v>
      </c>
      <c r="DQ25" s="406">
        <v>0</v>
      </c>
      <c r="DR25" s="406">
        <v>0</v>
      </c>
      <c r="DS25" s="406">
        <v>0</v>
      </c>
      <c r="DT25" s="427">
        <f t="shared" si="79"/>
        <v>0</v>
      </c>
      <c r="DU25" s="406">
        <f t="shared" si="80"/>
        <v>0</v>
      </c>
      <c r="DV25" s="422">
        <f t="shared" si="81"/>
        <v>0</v>
      </c>
      <c r="DW25" s="422">
        <f t="shared" si="82"/>
        <v>0</v>
      </c>
      <c r="DX25" s="422">
        <f t="shared" si="83"/>
        <v>0</v>
      </c>
      <c r="DZ25" s="33">
        <v>20</v>
      </c>
      <c r="EA25" s="8" t="s">
        <v>51</v>
      </c>
      <c r="EB25" s="24">
        <v>0</v>
      </c>
      <c r="EC25" s="418">
        <f>_xlfn.XLOOKUP($EA25,'Budget by Cost Category'!$AR:$AR,'Budget by Cost Category'!$AW:$AW,0)</f>
        <v>780000</v>
      </c>
      <c r="ED25" s="418">
        <f>_xlfn.XLOOKUP($EA25,'Budget by Cost Category'!$AR:$AR,'Budget by Cost Category'!$AS:$AS,0)</f>
        <v>500000</v>
      </c>
      <c r="EE25" s="24">
        <v>0</v>
      </c>
      <c r="EF25" s="24">
        <v>0</v>
      </c>
      <c r="EG25" s="24">
        <v>0</v>
      </c>
      <c r="EH25" s="29">
        <f t="shared" si="34"/>
        <v>0</v>
      </c>
      <c r="EI25" s="24">
        <f t="shared" si="84"/>
        <v>0</v>
      </c>
      <c r="EJ25" s="40">
        <f t="shared" si="35"/>
        <v>0</v>
      </c>
      <c r="EK25" s="40">
        <f t="shared" si="36"/>
        <v>0</v>
      </c>
      <c r="EL25" s="40">
        <f t="shared" si="37"/>
        <v>0</v>
      </c>
      <c r="EN25" s="33">
        <v>20</v>
      </c>
      <c r="EO25" s="8" t="s">
        <v>51</v>
      </c>
      <c r="EP25" s="24">
        <v>0</v>
      </c>
      <c r="EQ25" s="418">
        <f>_xlfn.XLOOKUP($EA25,'Budget by Cost Category'!$AY:$AY,'Budget by Cost Category'!$BD:$BD,0)</f>
        <v>794816</v>
      </c>
      <c r="ER25" s="418">
        <f>_xlfn.XLOOKUP($EA25,'Budget by Cost Category'!$AY:$AY,'Budget by Cost Category'!$AZ:$AZ,0)</f>
        <v>510000</v>
      </c>
      <c r="ES25" s="24">
        <v>0</v>
      </c>
      <c r="ET25" s="24">
        <v>0</v>
      </c>
      <c r="EU25" s="24">
        <v>0</v>
      </c>
      <c r="EV25" s="29">
        <f t="shared" si="39"/>
        <v>0</v>
      </c>
      <c r="EW25" s="24">
        <f t="shared" si="40"/>
        <v>0</v>
      </c>
      <c r="EX25" s="40">
        <f t="shared" si="41"/>
        <v>0</v>
      </c>
      <c r="EY25" s="40">
        <f t="shared" si="42"/>
        <v>0</v>
      </c>
      <c r="EZ25" s="40">
        <f t="shared" si="43"/>
        <v>0</v>
      </c>
      <c r="FB25" s="33">
        <v>20</v>
      </c>
      <c r="FC25" s="8" t="s">
        <v>51</v>
      </c>
      <c r="FD25" s="24">
        <v>0</v>
      </c>
      <c r="FE25" s="418">
        <f>_xlfn.XLOOKUP($EA25,'Budget by Cost Category'!$BF:$BF,'Budget by Cost Category'!$BK:$BK,0)</f>
        <v>809915</v>
      </c>
      <c r="FF25" s="418">
        <f>_xlfn.XLOOKUP($EA25,'Budget by Cost Category'!$BF:$BF,'Budget by Cost Category'!$BG:$BG,0)</f>
        <v>520200</v>
      </c>
      <c r="FG25" s="24">
        <v>0</v>
      </c>
      <c r="FH25" s="24">
        <v>0</v>
      </c>
      <c r="FI25" s="24">
        <v>0</v>
      </c>
      <c r="FJ25" s="29">
        <f t="shared" si="45"/>
        <v>0</v>
      </c>
      <c r="FK25" s="24">
        <f t="shared" si="46"/>
        <v>0</v>
      </c>
      <c r="FL25" s="40">
        <f t="shared" si="47"/>
        <v>0</v>
      </c>
      <c r="FM25" s="40">
        <f t="shared" si="48"/>
        <v>0</v>
      </c>
      <c r="FN25" s="40">
        <f t="shared" si="49"/>
        <v>0</v>
      </c>
      <c r="FP25" s="33">
        <v>20</v>
      </c>
      <c r="FQ25" s="8" t="s">
        <v>51</v>
      </c>
      <c r="FR25" s="24">
        <v>0</v>
      </c>
      <c r="FS25" s="418">
        <f>_xlfn.XLOOKUP($EA25,'Budget by Cost Category'!$BM:$BM,'Budget by Cost Category'!$BR:$BR,0)</f>
        <v>825302</v>
      </c>
      <c r="FT25" s="418">
        <f>_xlfn.XLOOKUP($EA25,'Budget by Cost Category'!$BM:$BM,'Budget by Cost Category'!$BN:$BN,0)</f>
        <v>530604</v>
      </c>
      <c r="FU25" s="24">
        <v>0</v>
      </c>
      <c r="FV25" s="24">
        <v>0</v>
      </c>
      <c r="FW25" s="24">
        <v>0</v>
      </c>
      <c r="FX25" s="29">
        <f t="shared" si="51"/>
        <v>0</v>
      </c>
      <c r="FY25" s="24">
        <f t="shared" si="52"/>
        <v>0</v>
      </c>
      <c r="FZ25" s="40">
        <f t="shared" si="53"/>
        <v>0</v>
      </c>
      <c r="GA25" s="40">
        <f t="shared" si="54"/>
        <v>0</v>
      </c>
      <c r="GB25" s="40">
        <f t="shared" si="55"/>
        <v>0</v>
      </c>
    </row>
    <row r="26" spans="1:184" x14ac:dyDescent="0.25">
      <c r="A26" s="33">
        <v>21</v>
      </c>
      <c r="B26" s="8" t="s">
        <v>341</v>
      </c>
      <c r="C26" s="406">
        <v>0</v>
      </c>
      <c r="D26" s="406">
        <v>0</v>
      </c>
      <c r="E26" s="406">
        <v>0</v>
      </c>
      <c r="F26" s="406">
        <v>0</v>
      </c>
      <c r="G26" s="189">
        <v>0</v>
      </c>
      <c r="H26" s="189">
        <v>0</v>
      </c>
      <c r="I26" s="189">
        <v>0</v>
      </c>
      <c r="J26" s="189">
        <v>0</v>
      </c>
      <c r="K26" s="412">
        <v>0</v>
      </c>
      <c r="L26" s="412">
        <v>0</v>
      </c>
      <c r="M26" s="412">
        <v>0</v>
      </c>
      <c r="N26" s="430">
        <f t="shared" si="56"/>
        <v>0</v>
      </c>
      <c r="O26" s="412">
        <f t="shared" si="57"/>
        <v>0</v>
      </c>
      <c r="P26" s="412">
        <f t="shared" si="58"/>
        <v>0</v>
      </c>
      <c r="Q26" s="48">
        <f t="shared" si="59"/>
        <v>0</v>
      </c>
      <c r="R26" s="48">
        <f t="shared" si="60"/>
        <v>0</v>
      </c>
      <c r="S26" s="48">
        <f t="shared" si="61"/>
        <v>0</v>
      </c>
      <c r="T26" s="48">
        <f t="shared" si="62"/>
        <v>0</v>
      </c>
      <c r="U26" s="48">
        <f t="shared" si="63"/>
        <v>0</v>
      </c>
      <c r="V26" s="48">
        <f t="shared" si="64"/>
        <v>0</v>
      </c>
      <c r="X26" s="33">
        <v>21</v>
      </c>
      <c r="Y26" s="8" t="s">
        <v>341</v>
      </c>
      <c r="Z26" s="406">
        <v>0</v>
      </c>
      <c r="AA26" s="406">
        <v>0</v>
      </c>
      <c r="AB26" s="406">
        <v>0</v>
      </c>
      <c r="AC26" s="406">
        <v>0</v>
      </c>
      <c r="AD26" s="189">
        <v>0</v>
      </c>
      <c r="AE26" s="189">
        <v>0</v>
      </c>
      <c r="AF26" s="189">
        <v>0</v>
      </c>
      <c r="AG26" s="189">
        <v>0</v>
      </c>
      <c r="AH26" s="412">
        <v>0</v>
      </c>
      <c r="AI26" s="412">
        <v>0</v>
      </c>
      <c r="AJ26" s="412">
        <v>0</v>
      </c>
      <c r="AK26" s="430">
        <f t="shared" si="65"/>
        <v>0</v>
      </c>
      <c r="AL26" s="412">
        <f t="shared" si="66"/>
        <v>0</v>
      </c>
      <c r="AM26" s="412">
        <f t="shared" si="4"/>
        <v>0</v>
      </c>
      <c r="AN26" s="48">
        <f t="shared" si="67"/>
        <v>0</v>
      </c>
      <c r="AO26" s="48">
        <f t="shared" si="68"/>
        <v>0</v>
      </c>
      <c r="AP26" s="48">
        <f t="shared" si="69"/>
        <v>0</v>
      </c>
      <c r="AQ26" s="48">
        <f t="shared" si="70"/>
        <v>0</v>
      </c>
      <c r="AR26" s="48">
        <f t="shared" si="71"/>
        <v>0</v>
      </c>
      <c r="AS26" s="48">
        <f t="shared" si="72"/>
        <v>0</v>
      </c>
      <c r="AU26" s="33">
        <v>21</v>
      </c>
      <c r="AV26" s="8" t="s">
        <v>341</v>
      </c>
      <c r="AW26" s="406">
        <v>0</v>
      </c>
      <c r="AX26" s="406">
        <v>0</v>
      </c>
      <c r="AY26" s="406">
        <v>0</v>
      </c>
      <c r="AZ26" s="406">
        <v>0</v>
      </c>
      <c r="BA26" s="189">
        <v>0</v>
      </c>
      <c r="BB26" s="189">
        <v>0</v>
      </c>
      <c r="BC26" s="189">
        <v>0</v>
      </c>
      <c r="BD26" s="189">
        <v>0</v>
      </c>
      <c r="BE26" s="412">
        <v>0</v>
      </c>
      <c r="BF26" s="412">
        <v>0</v>
      </c>
      <c r="BG26" s="412">
        <v>0</v>
      </c>
      <c r="BH26" s="430">
        <f t="shared" si="73"/>
        <v>0</v>
      </c>
      <c r="BI26" s="412">
        <f t="shared" si="74"/>
        <v>0</v>
      </c>
      <c r="BJ26" s="412">
        <f t="shared" si="7"/>
        <v>0</v>
      </c>
      <c r="BK26" s="48">
        <f t="shared" si="8"/>
        <v>0</v>
      </c>
      <c r="BL26" s="48">
        <f t="shared" si="9"/>
        <v>0</v>
      </c>
      <c r="BM26" s="48">
        <f t="shared" si="10"/>
        <v>0</v>
      </c>
      <c r="BN26" s="48">
        <f t="shared" si="11"/>
        <v>0</v>
      </c>
      <c r="BO26" s="48">
        <f t="shared" si="12"/>
        <v>0</v>
      </c>
      <c r="BP26" s="48">
        <f t="shared" si="13"/>
        <v>0</v>
      </c>
      <c r="BR26" s="33">
        <v>21</v>
      </c>
      <c r="BS26" s="8" t="s">
        <v>341</v>
      </c>
      <c r="BT26" s="406">
        <v>0</v>
      </c>
      <c r="BU26" s="406">
        <v>0</v>
      </c>
      <c r="BV26" s="406">
        <v>0</v>
      </c>
      <c r="BW26" s="406">
        <v>0</v>
      </c>
      <c r="BX26" s="189">
        <v>0</v>
      </c>
      <c r="BY26" s="189">
        <v>0</v>
      </c>
      <c r="BZ26" s="189">
        <v>0</v>
      </c>
      <c r="CA26" s="189">
        <v>0</v>
      </c>
      <c r="CB26" s="412">
        <v>0</v>
      </c>
      <c r="CC26" s="412">
        <v>0</v>
      </c>
      <c r="CD26" s="412">
        <v>0</v>
      </c>
      <c r="CE26" s="430">
        <f t="shared" si="75"/>
        <v>0</v>
      </c>
      <c r="CF26" s="412">
        <f t="shared" si="76"/>
        <v>0</v>
      </c>
      <c r="CG26" s="412">
        <f t="shared" si="16"/>
        <v>0</v>
      </c>
      <c r="CH26" s="48">
        <f t="shared" si="17"/>
        <v>0</v>
      </c>
      <c r="CI26" s="48">
        <f t="shared" si="18"/>
        <v>0</v>
      </c>
      <c r="CJ26" s="48">
        <f t="shared" si="19"/>
        <v>0</v>
      </c>
      <c r="CK26" s="48">
        <f t="shared" si="20"/>
        <v>0</v>
      </c>
      <c r="CL26" s="48">
        <f t="shared" si="21"/>
        <v>0</v>
      </c>
      <c r="CM26" s="48">
        <f t="shared" si="22"/>
        <v>0</v>
      </c>
      <c r="CO26" s="33">
        <v>21</v>
      </c>
      <c r="CP26" s="8" t="s">
        <v>341</v>
      </c>
      <c r="CQ26" s="406">
        <v>0</v>
      </c>
      <c r="CR26" s="406">
        <v>0</v>
      </c>
      <c r="CS26" s="406">
        <v>0</v>
      </c>
      <c r="CT26" s="406">
        <v>0</v>
      </c>
      <c r="CU26" s="189">
        <v>0</v>
      </c>
      <c r="CV26" s="189">
        <v>0</v>
      </c>
      <c r="CW26" s="189">
        <v>0</v>
      </c>
      <c r="CX26" s="189">
        <v>0</v>
      </c>
      <c r="CY26" s="412">
        <v>0</v>
      </c>
      <c r="CZ26" s="412">
        <v>0</v>
      </c>
      <c r="DA26" s="412">
        <v>0</v>
      </c>
      <c r="DB26" s="430">
        <f t="shared" si="77"/>
        <v>0</v>
      </c>
      <c r="DC26" s="412">
        <f t="shared" si="78"/>
        <v>0</v>
      </c>
      <c r="DD26" s="412">
        <f t="shared" si="25"/>
        <v>0</v>
      </c>
      <c r="DE26" s="48">
        <f t="shared" si="26"/>
        <v>0</v>
      </c>
      <c r="DF26" s="48">
        <f t="shared" si="27"/>
        <v>0</v>
      </c>
      <c r="DG26" s="48">
        <f t="shared" si="28"/>
        <v>0</v>
      </c>
      <c r="DH26" s="48">
        <f t="shared" si="29"/>
        <v>0</v>
      </c>
      <c r="DI26" s="48">
        <f t="shared" si="30"/>
        <v>0</v>
      </c>
      <c r="DJ26" s="48">
        <f t="shared" si="31"/>
        <v>0</v>
      </c>
      <c r="DL26" s="33">
        <v>21</v>
      </c>
      <c r="DM26" s="8" t="s">
        <v>341</v>
      </c>
      <c r="DN26" s="406">
        <v>0</v>
      </c>
      <c r="DO26" s="413">
        <v>0</v>
      </c>
      <c r="DP26" s="413">
        <v>0</v>
      </c>
      <c r="DQ26" s="406">
        <v>0</v>
      </c>
      <c r="DR26" s="406">
        <v>0</v>
      </c>
      <c r="DS26" s="406">
        <v>0</v>
      </c>
      <c r="DT26" s="427">
        <f t="shared" si="79"/>
        <v>0</v>
      </c>
      <c r="DU26" s="406">
        <f t="shared" si="80"/>
        <v>0</v>
      </c>
      <c r="DV26" s="422">
        <f t="shared" si="81"/>
        <v>0</v>
      </c>
      <c r="DW26" s="422">
        <f t="shared" si="82"/>
        <v>0</v>
      </c>
      <c r="DX26" s="422">
        <f t="shared" si="83"/>
        <v>0</v>
      </c>
      <c r="DZ26" s="33">
        <v>21</v>
      </c>
      <c r="EA26" s="8" t="s">
        <v>53</v>
      </c>
      <c r="EB26" s="24">
        <v>0</v>
      </c>
      <c r="EC26" s="418">
        <f>_xlfn.XLOOKUP($EA26,'Budget by Cost Category'!$AR:$AR,'Budget by Cost Category'!$AW:$AW,0)</f>
        <v>2000000</v>
      </c>
      <c r="ED26" s="418">
        <f>_xlfn.XLOOKUP($EA26,'Budget by Cost Category'!$AR:$AR,'Budget by Cost Category'!$AS:$AS,0)</f>
        <v>1800000</v>
      </c>
      <c r="EE26" s="24">
        <v>0</v>
      </c>
      <c r="EF26" s="24">
        <v>0</v>
      </c>
      <c r="EG26" s="24">
        <v>0</v>
      </c>
      <c r="EH26" s="29">
        <f t="shared" si="34"/>
        <v>0</v>
      </c>
      <c r="EI26" s="24">
        <f t="shared" si="84"/>
        <v>0</v>
      </c>
      <c r="EJ26" s="40">
        <f t="shared" si="35"/>
        <v>0</v>
      </c>
      <c r="EK26" s="40">
        <f t="shared" si="36"/>
        <v>0</v>
      </c>
      <c r="EL26" s="40">
        <f t="shared" si="37"/>
        <v>0</v>
      </c>
      <c r="EN26" s="33">
        <v>21</v>
      </c>
      <c r="EO26" s="8" t="s">
        <v>53</v>
      </c>
      <c r="EP26" s="24">
        <v>0</v>
      </c>
      <c r="EQ26" s="418">
        <f>_xlfn.XLOOKUP($EA26,'Budget by Cost Category'!$AY:$AY,'Budget by Cost Category'!$BD:$BD,0)</f>
        <v>2039440</v>
      </c>
      <c r="ER26" s="418">
        <f>_xlfn.XLOOKUP($EA26,'Budget by Cost Category'!$AY:$AY,'Budget by Cost Category'!$AZ:$AZ,0)</f>
        <v>1836000</v>
      </c>
      <c r="ES26" s="24">
        <v>0</v>
      </c>
      <c r="ET26" s="24">
        <v>0</v>
      </c>
      <c r="EU26" s="24">
        <v>0</v>
      </c>
      <c r="EV26" s="29">
        <f t="shared" si="39"/>
        <v>0</v>
      </c>
      <c r="EW26" s="24">
        <f t="shared" si="40"/>
        <v>0</v>
      </c>
      <c r="EX26" s="40">
        <f t="shared" si="41"/>
        <v>0</v>
      </c>
      <c r="EY26" s="40">
        <f t="shared" si="42"/>
        <v>0</v>
      </c>
      <c r="EZ26" s="40">
        <f t="shared" si="43"/>
        <v>0</v>
      </c>
      <c r="FB26" s="33">
        <v>21</v>
      </c>
      <c r="FC26" s="8" t="s">
        <v>53</v>
      </c>
      <c r="FD26" s="24">
        <v>0</v>
      </c>
      <c r="FE26" s="418">
        <f>_xlfn.XLOOKUP($EA26,'Budget by Cost Category'!$BF:$BF,'Budget by Cost Category'!$BK:$BK,0)</f>
        <v>2079659</v>
      </c>
      <c r="FF26" s="418">
        <f>_xlfn.XLOOKUP($EA26,'Budget by Cost Category'!$BF:$BF,'Budget by Cost Category'!$BG:$BG,0)</f>
        <v>1872720</v>
      </c>
      <c r="FG26" s="24">
        <v>0</v>
      </c>
      <c r="FH26" s="24">
        <v>0</v>
      </c>
      <c r="FI26" s="24">
        <v>0</v>
      </c>
      <c r="FJ26" s="29">
        <f t="shared" si="45"/>
        <v>0</v>
      </c>
      <c r="FK26" s="24">
        <f t="shared" si="46"/>
        <v>0</v>
      </c>
      <c r="FL26" s="40">
        <f t="shared" si="47"/>
        <v>0</v>
      </c>
      <c r="FM26" s="40">
        <f t="shared" si="48"/>
        <v>0</v>
      </c>
      <c r="FN26" s="40">
        <f t="shared" si="49"/>
        <v>0</v>
      </c>
      <c r="FP26" s="33">
        <v>21</v>
      </c>
      <c r="FQ26" s="8" t="s">
        <v>53</v>
      </c>
      <c r="FR26" s="24">
        <v>0</v>
      </c>
      <c r="FS26" s="418">
        <f>_xlfn.XLOOKUP($EA26,'Budget by Cost Category'!$BM:$BM,'Budget by Cost Category'!$BR:$BR,0)</f>
        <v>2120673</v>
      </c>
      <c r="FT26" s="418">
        <f>_xlfn.XLOOKUP($EA26,'Budget by Cost Category'!$BM:$BM,'Budget by Cost Category'!$BN:$BN,0)</f>
        <v>1910174</v>
      </c>
      <c r="FU26" s="24">
        <v>0</v>
      </c>
      <c r="FV26" s="24">
        <v>0</v>
      </c>
      <c r="FW26" s="24">
        <v>0</v>
      </c>
      <c r="FX26" s="29">
        <f t="shared" si="51"/>
        <v>0</v>
      </c>
      <c r="FY26" s="24">
        <f t="shared" si="52"/>
        <v>0</v>
      </c>
      <c r="FZ26" s="40">
        <f t="shared" si="53"/>
        <v>0</v>
      </c>
      <c r="GA26" s="40">
        <f t="shared" si="54"/>
        <v>0</v>
      </c>
      <c r="GB26" s="40">
        <f t="shared" si="55"/>
        <v>0</v>
      </c>
    </row>
    <row r="27" spans="1:184" x14ac:dyDescent="0.25">
      <c r="A27" s="33">
        <v>22</v>
      </c>
      <c r="B27" s="8" t="s">
        <v>54</v>
      </c>
      <c r="C27" s="405">
        <v>0</v>
      </c>
      <c r="D27" s="405">
        <v>0</v>
      </c>
      <c r="E27" s="405">
        <v>0</v>
      </c>
      <c r="F27" s="405">
        <v>0</v>
      </c>
      <c r="G27" s="187">
        <v>4937438</v>
      </c>
      <c r="H27" s="187">
        <v>3050629.0612454498</v>
      </c>
      <c r="I27" s="187">
        <v>0</v>
      </c>
      <c r="J27" s="187">
        <v>0</v>
      </c>
      <c r="K27" s="24">
        <v>0</v>
      </c>
      <c r="L27" s="24">
        <v>0</v>
      </c>
      <c r="M27" s="24">
        <v>0</v>
      </c>
      <c r="N27" s="29">
        <f t="shared" si="56"/>
        <v>0</v>
      </c>
      <c r="O27" s="24">
        <f t="shared" si="57"/>
        <v>0</v>
      </c>
      <c r="P27" s="24">
        <f t="shared" si="58"/>
        <v>0</v>
      </c>
      <c r="Q27" s="40">
        <f t="shared" si="59"/>
        <v>0</v>
      </c>
      <c r="R27" s="40">
        <f t="shared" si="60"/>
        <v>0</v>
      </c>
      <c r="S27" s="40">
        <f t="shared" si="61"/>
        <v>0</v>
      </c>
      <c r="T27" s="40">
        <f t="shared" si="62"/>
        <v>0</v>
      </c>
      <c r="U27" s="40">
        <f t="shared" si="63"/>
        <v>0</v>
      </c>
      <c r="V27" s="40">
        <f t="shared" si="64"/>
        <v>0</v>
      </c>
      <c r="X27" s="33">
        <v>22</v>
      </c>
      <c r="Y27" s="8" t="s">
        <v>54</v>
      </c>
      <c r="Z27" s="405">
        <v>0</v>
      </c>
      <c r="AA27" s="405">
        <v>0</v>
      </c>
      <c r="AB27" s="405">
        <v>0</v>
      </c>
      <c r="AC27" s="405">
        <v>0</v>
      </c>
      <c r="AD27" s="187">
        <v>4937438</v>
      </c>
      <c r="AE27" s="187">
        <v>2720053.1773029808</v>
      </c>
      <c r="AF27" s="187">
        <v>0</v>
      </c>
      <c r="AG27" s="187">
        <v>0</v>
      </c>
      <c r="AH27" s="24">
        <v>0</v>
      </c>
      <c r="AI27" s="24">
        <v>0</v>
      </c>
      <c r="AJ27" s="24">
        <v>0</v>
      </c>
      <c r="AK27" s="29">
        <f t="shared" si="65"/>
        <v>0</v>
      </c>
      <c r="AL27" s="24">
        <f t="shared" si="66"/>
        <v>0</v>
      </c>
      <c r="AM27" s="24">
        <f t="shared" si="4"/>
        <v>0</v>
      </c>
      <c r="AN27" s="40">
        <f t="shared" si="67"/>
        <v>0</v>
      </c>
      <c r="AO27" s="40">
        <f t="shared" si="68"/>
        <v>0</v>
      </c>
      <c r="AP27" s="40">
        <f t="shared" si="69"/>
        <v>0</v>
      </c>
      <c r="AQ27" s="40">
        <f t="shared" si="70"/>
        <v>0</v>
      </c>
      <c r="AR27" s="40">
        <f t="shared" si="71"/>
        <v>0</v>
      </c>
      <c r="AS27" s="40">
        <f t="shared" si="72"/>
        <v>0</v>
      </c>
      <c r="AU27" s="33">
        <v>22</v>
      </c>
      <c r="AV27" s="8" t="s">
        <v>54</v>
      </c>
      <c r="AW27" s="405">
        <v>0</v>
      </c>
      <c r="AX27" s="405">
        <v>0</v>
      </c>
      <c r="AY27" s="405">
        <v>0</v>
      </c>
      <c r="AZ27" s="405">
        <v>0</v>
      </c>
      <c r="BA27" s="187">
        <f>3743607.9982888</f>
        <v>3743607.9982888</v>
      </c>
      <c r="BB27" s="187">
        <f>3765348.83999999</f>
        <v>3765348.8399999901</v>
      </c>
      <c r="BC27" s="187">
        <v>0</v>
      </c>
      <c r="BD27" s="187">
        <v>0</v>
      </c>
      <c r="BE27" s="24">
        <v>0</v>
      </c>
      <c r="BF27" s="24">
        <v>0</v>
      </c>
      <c r="BG27" s="24">
        <v>0</v>
      </c>
      <c r="BH27" s="29">
        <f t="shared" si="73"/>
        <v>0</v>
      </c>
      <c r="BI27" s="24">
        <f t="shared" si="74"/>
        <v>0</v>
      </c>
      <c r="BJ27" s="24">
        <f t="shared" si="7"/>
        <v>0</v>
      </c>
      <c r="BK27" s="40">
        <f t="shared" si="8"/>
        <v>0</v>
      </c>
      <c r="BL27" s="40">
        <f t="shared" si="9"/>
        <v>0</v>
      </c>
      <c r="BM27" s="40">
        <f t="shared" si="10"/>
        <v>0</v>
      </c>
      <c r="BN27" s="40">
        <f t="shared" si="11"/>
        <v>0</v>
      </c>
      <c r="BO27" s="40">
        <f t="shared" si="12"/>
        <v>0</v>
      </c>
      <c r="BP27" s="40">
        <f t="shared" si="13"/>
        <v>0</v>
      </c>
      <c r="BR27" s="33">
        <v>22</v>
      </c>
      <c r="BS27" s="8" t="s">
        <v>54</v>
      </c>
      <c r="BT27" s="405">
        <v>0</v>
      </c>
      <c r="BU27" s="405">
        <v>0</v>
      </c>
      <c r="BV27" s="405">
        <v>0</v>
      </c>
      <c r="BW27" s="405">
        <v>0</v>
      </c>
      <c r="BX27" s="187">
        <f>3942934.58467452</f>
        <v>3942934.58467452</v>
      </c>
      <c r="BY27" s="187">
        <f>4209840.13000001</f>
        <v>4209840.1300000101</v>
      </c>
      <c r="BZ27" s="187">
        <v>0</v>
      </c>
      <c r="CA27" s="187">
        <v>0</v>
      </c>
      <c r="CB27" s="24">
        <v>0</v>
      </c>
      <c r="CC27" s="24">
        <v>0</v>
      </c>
      <c r="CD27" s="24">
        <v>0</v>
      </c>
      <c r="CE27" s="29">
        <f t="shared" si="75"/>
        <v>0</v>
      </c>
      <c r="CF27" s="24">
        <f t="shared" si="76"/>
        <v>0</v>
      </c>
      <c r="CG27" s="24">
        <f t="shared" si="16"/>
        <v>0</v>
      </c>
      <c r="CH27" s="40">
        <f t="shared" si="17"/>
        <v>0</v>
      </c>
      <c r="CI27" s="40">
        <f t="shared" si="18"/>
        <v>0</v>
      </c>
      <c r="CJ27" s="40">
        <f t="shared" si="19"/>
        <v>0</v>
      </c>
      <c r="CK27" s="40">
        <f t="shared" si="20"/>
        <v>0</v>
      </c>
      <c r="CL27" s="40">
        <f t="shared" si="21"/>
        <v>0</v>
      </c>
      <c r="CM27" s="40">
        <f t="shared" si="22"/>
        <v>0</v>
      </c>
      <c r="CO27" s="33">
        <v>22</v>
      </c>
      <c r="CP27" s="8" t="s">
        <v>54</v>
      </c>
      <c r="CQ27" s="405">
        <v>0</v>
      </c>
      <c r="CR27" s="405">
        <v>0</v>
      </c>
      <c r="CS27" s="405">
        <v>0</v>
      </c>
      <c r="CT27" s="405">
        <v>0</v>
      </c>
      <c r="CU27" s="187">
        <f>4096709.03347682</f>
        <v>4096709.0334768202</v>
      </c>
      <c r="CV27" s="187">
        <f>4189638.27</f>
        <v>4189638.27</v>
      </c>
      <c r="CW27" s="187">
        <v>0</v>
      </c>
      <c r="CX27" s="187">
        <v>0</v>
      </c>
      <c r="CY27" s="24">
        <v>0</v>
      </c>
      <c r="CZ27" s="24">
        <v>0</v>
      </c>
      <c r="DA27" s="24">
        <v>0</v>
      </c>
      <c r="DB27" s="29">
        <f t="shared" si="77"/>
        <v>0</v>
      </c>
      <c r="DC27" s="24">
        <f t="shared" si="78"/>
        <v>0</v>
      </c>
      <c r="DD27" s="24">
        <f t="shared" si="25"/>
        <v>0</v>
      </c>
      <c r="DE27" s="40">
        <f t="shared" si="26"/>
        <v>0</v>
      </c>
      <c r="DF27" s="40">
        <f t="shared" si="27"/>
        <v>0</v>
      </c>
      <c r="DG27" s="40">
        <f t="shared" si="28"/>
        <v>0</v>
      </c>
      <c r="DH27" s="40">
        <f t="shared" si="29"/>
        <v>0</v>
      </c>
      <c r="DI27" s="40">
        <f t="shared" si="30"/>
        <v>0</v>
      </c>
      <c r="DJ27" s="40">
        <f t="shared" si="31"/>
        <v>0</v>
      </c>
      <c r="DL27" s="33">
        <v>22</v>
      </c>
      <c r="DM27" s="8" t="s">
        <v>54</v>
      </c>
      <c r="DN27" s="405">
        <v>0</v>
      </c>
      <c r="DO27" s="418">
        <v>4195030</v>
      </c>
      <c r="DP27" s="418">
        <v>0</v>
      </c>
      <c r="DQ27" s="405">
        <v>0</v>
      </c>
      <c r="DR27" s="405">
        <v>0</v>
      </c>
      <c r="DS27" s="405">
        <v>0</v>
      </c>
      <c r="DT27" s="426">
        <f t="shared" si="79"/>
        <v>0</v>
      </c>
      <c r="DU27" s="405">
        <f t="shared" si="80"/>
        <v>0</v>
      </c>
      <c r="DV27" s="421">
        <f t="shared" si="81"/>
        <v>0</v>
      </c>
      <c r="DW27" s="421">
        <f t="shared" si="82"/>
        <v>0</v>
      </c>
      <c r="DX27" s="421">
        <f t="shared" si="83"/>
        <v>0</v>
      </c>
      <c r="DZ27" s="33">
        <v>22</v>
      </c>
      <c r="EA27" s="8" t="s">
        <v>54</v>
      </c>
      <c r="EB27" s="24">
        <v>0</v>
      </c>
      <c r="EC27" s="418">
        <f>'Budget by Cost Category'!AV15</f>
        <v>5527149</v>
      </c>
      <c r="ED27" s="418">
        <v>0</v>
      </c>
      <c r="EE27" s="24">
        <v>0</v>
      </c>
      <c r="EF27" s="24">
        <v>0</v>
      </c>
      <c r="EG27" s="24">
        <v>0</v>
      </c>
      <c r="EH27" s="29">
        <f t="shared" si="34"/>
        <v>0</v>
      </c>
      <c r="EI27" s="24">
        <f t="shared" si="84"/>
        <v>0</v>
      </c>
      <c r="EJ27" s="40">
        <f t="shared" si="35"/>
        <v>0</v>
      </c>
      <c r="EK27" s="40">
        <f t="shared" si="36"/>
        <v>0</v>
      </c>
      <c r="EL27" s="40">
        <f t="shared" si="37"/>
        <v>0</v>
      </c>
      <c r="EN27" s="33">
        <v>22</v>
      </c>
      <c r="EO27" s="8" t="s">
        <v>54</v>
      </c>
      <c r="EP27" s="24">
        <v>0</v>
      </c>
      <c r="EQ27" s="418">
        <f>'Budget by Cost Category'!BC15</f>
        <v>5622215</v>
      </c>
      <c r="ER27" s="418">
        <v>0</v>
      </c>
      <c r="ES27" s="24">
        <v>0</v>
      </c>
      <c r="ET27" s="24">
        <v>0</v>
      </c>
      <c r="EU27" s="24">
        <v>0</v>
      </c>
      <c r="EV27" s="29">
        <f t="shared" si="39"/>
        <v>0</v>
      </c>
      <c r="EW27" s="24">
        <f t="shared" si="40"/>
        <v>0</v>
      </c>
      <c r="EX27" s="40">
        <f t="shared" si="41"/>
        <v>0</v>
      </c>
      <c r="EY27" s="40">
        <f t="shared" si="42"/>
        <v>0</v>
      </c>
      <c r="EZ27" s="40">
        <f t="shared" si="43"/>
        <v>0</v>
      </c>
      <c r="FB27" s="33">
        <v>22</v>
      </c>
      <c r="FC27" s="8" t="s">
        <v>54</v>
      </c>
      <c r="FD27" s="24">
        <v>0</v>
      </c>
      <c r="FE27" s="418">
        <f>'Budget by Cost Category'!BJ15</f>
        <v>5718918</v>
      </c>
      <c r="FF27" s="418">
        <v>0</v>
      </c>
      <c r="FG27" s="24">
        <v>0</v>
      </c>
      <c r="FH27" s="24">
        <v>0</v>
      </c>
      <c r="FI27" s="24">
        <v>0</v>
      </c>
      <c r="FJ27" s="29">
        <f t="shared" si="45"/>
        <v>0</v>
      </c>
      <c r="FK27" s="24">
        <f t="shared" si="46"/>
        <v>0</v>
      </c>
      <c r="FL27" s="40">
        <f t="shared" si="47"/>
        <v>0</v>
      </c>
      <c r="FM27" s="40">
        <f t="shared" si="48"/>
        <v>0</v>
      </c>
      <c r="FN27" s="40">
        <f t="shared" si="49"/>
        <v>0</v>
      </c>
      <c r="FP27" s="33">
        <v>22</v>
      </c>
      <c r="FQ27" s="8" t="s">
        <v>54</v>
      </c>
      <c r="FR27" s="24">
        <v>0</v>
      </c>
      <c r="FS27" s="418">
        <f>'Budget by Cost Category'!BQ15</f>
        <v>5817283</v>
      </c>
      <c r="FT27" s="418">
        <f>_xlfn.XLOOKUP($EA27,'Budget by Cost Category'!$BM:$BM,'Budget by Cost Category'!$BN:$BN,0)</f>
        <v>0</v>
      </c>
      <c r="FU27" s="24">
        <v>0</v>
      </c>
      <c r="FV27" s="24">
        <v>0</v>
      </c>
      <c r="FW27" s="24">
        <v>0</v>
      </c>
      <c r="FX27" s="29">
        <f t="shared" si="51"/>
        <v>0</v>
      </c>
      <c r="FY27" s="24">
        <f t="shared" si="52"/>
        <v>0</v>
      </c>
      <c r="FZ27" s="40">
        <f t="shared" si="53"/>
        <v>0</v>
      </c>
      <c r="GA27" s="40">
        <f t="shared" si="54"/>
        <v>0</v>
      </c>
      <c r="GB27" s="40">
        <f t="shared" si="55"/>
        <v>0</v>
      </c>
    </row>
    <row r="28" spans="1:184" x14ac:dyDescent="0.25">
      <c r="A28" s="33">
        <v>23</v>
      </c>
      <c r="B28" s="6" t="s">
        <v>4</v>
      </c>
      <c r="C28" s="22">
        <f t="shared" ref="C28:J28" si="115">SUM(C29:C32)</f>
        <v>298</v>
      </c>
      <c r="D28" s="22">
        <f t="shared" si="115"/>
        <v>193</v>
      </c>
      <c r="E28" s="22">
        <f t="shared" si="115"/>
        <v>41</v>
      </c>
      <c r="F28" s="22">
        <f t="shared" si="115"/>
        <v>21</v>
      </c>
      <c r="G28" s="186">
        <f t="shared" si="115"/>
        <v>11051215</v>
      </c>
      <c r="H28" s="186">
        <f t="shared" si="115"/>
        <v>11277071.049655993</v>
      </c>
      <c r="I28" s="186">
        <f t="shared" si="115"/>
        <v>8913828</v>
      </c>
      <c r="J28" s="186">
        <f t="shared" si="115"/>
        <v>8832382.879999999</v>
      </c>
      <c r="K28" s="22">
        <f t="shared" ref="K28:M28" si="116">SUM(K29:K32)</f>
        <v>79055062.874111027</v>
      </c>
      <c r="L28" s="22">
        <f t="shared" si="116"/>
        <v>37501716.866080582</v>
      </c>
      <c r="M28" s="22">
        <f t="shared" si="116"/>
        <v>658473459.83116043</v>
      </c>
      <c r="N28" s="28">
        <f t="shared" si="56"/>
        <v>29638.868724832213</v>
      </c>
      <c r="O28" s="22">
        <f t="shared" si="57"/>
        <v>125844.68747006907</v>
      </c>
      <c r="P28" s="22">
        <f t="shared" si="58"/>
        <v>194309.41381388903</v>
      </c>
      <c r="Q28" s="36">
        <f t="shared" si="59"/>
        <v>0.13979136311102797</v>
      </c>
      <c r="R28" s="36">
        <f t="shared" si="60"/>
        <v>0.29468557504884696</v>
      </c>
      <c r="S28" s="36">
        <f t="shared" si="61"/>
        <v>1.678308341058066E-2</v>
      </c>
      <c r="T28" s="36">
        <f t="shared" si="62"/>
        <v>0.14264830916160096</v>
      </c>
      <c r="U28" s="36">
        <f t="shared" si="63"/>
        <v>0.30070812730858831</v>
      </c>
      <c r="V28" s="36">
        <f t="shared" si="64"/>
        <v>1.7126082883503844E-2</v>
      </c>
      <c r="X28" s="33">
        <v>23</v>
      </c>
      <c r="Y28" s="6" t="s">
        <v>4</v>
      </c>
      <c r="Z28" s="22">
        <f t="shared" ref="Z28:AG28" si="117">SUM(Z29:Z32)</f>
        <v>338</v>
      </c>
      <c r="AA28" s="22">
        <f t="shared" si="117"/>
        <v>158</v>
      </c>
      <c r="AB28" s="22">
        <f t="shared" si="117"/>
        <v>31</v>
      </c>
      <c r="AC28" s="22">
        <f t="shared" si="117"/>
        <v>12</v>
      </c>
      <c r="AD28" s="186">
        <f t="shared" si="117"/>
        <v>11051215</v>
      </c>
      <c r="AE28" s="186">
        <f t="shared" si="117"/>
        <v>8615428.1938521005</v>
      </c>
      <c r="AF28" s="186">
        <f t="shared" si="117"/>
        <v>8913828</v>
      </c>
      <c r="AG28" s="186">
        <f t="shared" si="117"/>
        <v>6387662.8399999999</v>
      </c>
      <c r="AH28" s="22">
        <f t="shared" ref="AH28:AJ28" si="118">SUM(AH29:AH32)</f>
        <v>62710034.28647998</v>
      </c>
      <c r="AI28" s="22">
        <f t="shared" si="118"/>
        <v>28968881.214368008</v>
      </c>
      <c r="AJ28" s="22">
        <f t="shared" si="118"/>
        <v>508553113.06172311</v>
      </c>
      <c r="AK28" s="28">
        <f t="shared" si="65"/>
        <v>18898.41076923077</v>
      </c>
      <c r="AL28" s="22">
        <f t="shared" si="66"/>
        <v>85706.749154934936</v>
      </c>
      <c r="AM28" s="22">
        <f t="shared" si="4"/>
        <v>183347.34945802536</v>
      </c>
      <c r="AN28" s="36">
        <f t="shared" si="67"/>
        <v>0.17622721986587392</v>
      </c>
      <c r="AO28" s="36">
        <f t="shared" si="68"/>
        <v>0.38148573699555954</v>
      </c>
      <c r="AP28" s="36">
        <f t="shared" si="69"/>
        <v>2.173069973648694E-2</v>
      </c>
      <c r="AQ28" s="36">
        <f t="shared" si="70"/>
        <v>0.13738516159142894</v>
      </c>
      <c r="AR28" s="36">
        <f t="shared" si="71"/>
        <v>0.29740286240598807</v>
      </c>
      <c r="AS28" s="36">
        <f t="shared" si="72"/>
        <v>1.6941058805015015E-2</v>
      </c>
      <c r="AU28" s="33">
        <v>23</v>
      </c>
      <c r="AV28" s="6" t="s">
        <v>4</v>
      </c>
      <c r="AW28" s="22">
        <f t="shared" ref="AW28:BD28" si="119">SUM(AW29:AW32)</f>
        <v>353</v>
      </c>
      <c r="AX28" s="22">
        <f t="shared" si="119"/>
        <v>166</v>
      </c>
      <c r="AY28" s="22">
        <f t="shared" si="119"/>
        <v>34</v>
      </c>
      <c r="AZ28" s="22">
        <f t="shared" si="119"/>
        <v>14</v>
      </c>
      <c r="BA28" s="186">
        <f t="shared" si="119"/>
        <v>17828114.004956</v>
      </c>
      <c r="BB28" s="186">
        <f t="shared" si="119"/>
        <v>13289021.200000005</v>
      </c>
      <c r="BC28" s="186">
        <f t="shared" si="119"/>
        <v>13464000</v>
      </c>
      <c r="BD28" s="186">
        <f t="shared" si="119"/>
        <v>9094178.9499999955</v>
      </c>
      <c r="BE28" s="22">
        <f t="shared" ref="BE28:BG28" si="120">SUM(BE29:BE32)</f>
        <v>62115824.10458798</v>
      </c>
      <c r="BF28" s="22">
        <f t="shared" si="120"/>
        <v>44309314.055729605</v>
      </c>
      <c r="BG28" s="22">
        <f t="shared" si="120"/>
        <v>653664606.86652374</v>
      </c>
      <c r="BH28" s="28">
        <f t="shared" si="73"/>
        <v>25762.546600566558</v>
      </c>
      <c r="BI28" s="22">
        <f t="shared" si="74"/>
        <v>125522.13613521135</v>
      </c>
      <c r="BJ28" s="22">
        <f t="shared" si="7"/>
        <v>266923.57864897355</v>
      </c>
      <c r="BK28" s="36">
        <f t="shared" si="8"/>
        <v>0.28701404612998099</v>
      </c>
      <c r="BL28" s="36">
        <f t="shared" si="9"/>
        <v>0.40235590157258727</v>
      </c>
      <c r="BM28" s="36">
        <f t="shared" si="10"/>
        <v>2.7274100230726496E-2</v>
      </c>
      <c r="BN28" s="36">
        <f t="shared" si="11"/>
        <v>0.21393938487597808</v>
      </c>
      <c r="BO28" s="36">
        <f t="shared" si="12"/>
        <v>0.29991484822549652</v>
      </c>
      <c r="BP28" s="36">
        <f t="shared" si="13"/>
        <v>2.0330030202650364E-2</v>
      </c>
      <c r="BR28" s="33">
        <v>23</v>
      </c>
      <c r="BS28" s="6" t="s">
        <v>4</v>
      </c>
      <c r="BT28" s="22">
        <f t="shared" ref="BT28:CA28" si="121">SUM(BT29:BT32)</f>
        <v>326</v>
      </c>
      <c r="BU28" s="22">
        <f t="shared" si="121"/>
        <v>181</v>
      </c>
      <c r="BV28" s="22">
        <f t="shared" si="121"/>
        <v>26</v>
      </c>
      <c r="BW28" s="22">
        <f t="shared" si="121"/>
        <v>14</v>
      </c>
      <c r="BX28" s="186">
        <f t="shared" si="121"/>
        <v>19040425.474093009</v>
      </c>
      <c r="BY28" s="186">
        <f t="shared" si="121"/>
        <v>15484831.050000001</v>
      </c>
      <c r="BZ28" s="186">
        <f t="shared" si="121"/>
        <v>14379552</v>
      </c>
      <c r="CA28" s="186">
        <f t="shared" si="121"/>
        <v>11436528.739999995</v>
      </c>
      <c r="CB28" s="22">
        <f t="shared" ref="CB28:CD28" si="122">SUM(CB29:CB32)</f>
        <v>79508543.191940024</v>
      </c>
      <c r="CC28" s="22">
        <f t="shared" si="122"/>
        <v>56794944.486172192</v>
      </c>
      <c r="CD28" s="22">
        <f t="shared" si="122"/>
        <v>747187489.68551755</v>
      </c>
      <c r="CE28" s="28">
        <f t="shared" si="75"/>
        <v>35081.376503067469</v>
      </c>
      <c r="CF28" s="22">
        <f t="shared" si="76"/>
        <v>174217.62112322758</v>
      </c>
      <c r="CG28" s="22">
        <f t="shared" si="16"/>
        <v>313784.22368050937</v>
      </c>
      <c r="CH28" s="36">
        <f t="shared" si="17"/>
        <v>0.23947647271222022</v>
      </c>
      <c r="CI28" s="36">
        <f t="shared" si="18"/>
        <v>0.33524859732416434</v>
      </c>
      <c r="CJ28" s="36">
        <f t="shared" si="19"/>
        <v>2.548279479639963E-2</v>
      </c>
      <c r="CK28" s="36">
        <f t="shared" si="20"/>
        <v>0.194756820189981</v>
      </c>
      <c r="CL28" s="36">
        <f t="shared" si="21"/>
        <v>0.27264453183452053</v>
      </c>
      <c r="CM28" s="36">
        <f t="shared" si="22"/>
        <v>2.0724157274792415E-2</v>
      </c>
      <c r="CO28" s="33">
        <v>23</v>
      </c>
      <c r="CP28" s="6" t="s">
        <v>4</v>
      </c>
      <c r="CQ28" s="22">
        <f>SUM(CQ29:CQ32)</f>
        <v>382</v>
      </c>
      <c r="CR28" s="22">
        <f>SUM(CR29:CR32)</f>
        <v>211</v>
      </c>
      <c r="CS28" s="22">
        <f>SUM(CS29:CS32)</f>
        <v>45</v>
      </c>
      <c r="CT28" s="22">
        <f>SUM(CT29:CT32)</f>
        <v>18</v>
      </c>
      <c r="CU28" s="186">
        <f>SUM(CU29:CU32)</f>
        <v>19783002.067582641</v>
      </c>
      <c r="CV28" s="186">
        <f t="shared" ref="CV28:CX28" si="123">SUM(CV29:CV32)</f>
        <v>15689333.280000001</v>
      </c>
      <c r="CW28" s="186">
        <f t="shared" si="123"/>
        <v>14940354.527999999</v>
      </c>
      <c r="CX28" s="186">
        <f t="shared" si="123"/>
        <v>11526077.749999996</v>
      </c>
      <c r="CY28" s="22">
        <f t="shared" ref="CY28:DA28" si="124">SUM(CY29:CY32)</f>
        <v>83015550.845460027</v>
      </c>
      <c r="CZ28" s="22">
        <f t="shared" si="124"/>
        <v>59349776.125488207</v>
      </c>
      <c r="DA28" s="22">
        <f t="shared" si="124"/>
        <v>761719965.46575904</v>
      </c>
      <c r="DB28" s="28">
        <f t="shared" si="77"/>
        <v>30172.978403141351</v>
      </c>
      <c r="DC28" s="22">
        <f t="shared" si="78"/>
        <v>155365.90608766547</v>
      </c>
      <c r="DD28" s="22">
        <f t="shared" si="25"/>
        <v>281278.55983643699</v>
      </c>
      <c r="DE28" s="36">
        <f t="shared" si="26"/>
        <v>0.23830477381774234</v>
      </c>
      <c r="DF28" s="36">
        <f t="shared" si="27"/>
        <v>0.33332900912302993</v>
      </c>
      <c r="DG28" s="36">
        <f t="shared" si="28"/>
        <v>2.5971489477089108E-2</v>
      </c>
      <c r="DH28" s="36">
        <f t="shared" si="29"/>
        <v>0.18899270221319051</v>
      </c>
      <c r="DI28" s="36">
        <f t="shared" si="30"/>
        <v>0.26435370618461523</v>
      </c>
      <c r="DJ28" s="36">
        <f t="shared" si="31"/>
        <v>2.0597245695675902E-2</v>
      </c>
      <c r="DL28" s="33">
        <v>23</v>
      </c>
      <c r="DM28" s="6" t="s">
        <v>4</v>
      </c>
      <c r="DN28" s="415">
        <f>SUM(DN29:DN32)</f>
        <v>504.84200797401968</v>
      </c>
      <c r="DO28" s="417">
        <f>SUM(DO29:DO32)</f>
        <v>20257793.765055999</v>
      </c>
      <c r="DP28" s="417">
        <f>SUM(DP29:DP32)</f>
        <v>15298923.036672</v>
      </c>
      <c r="DQ28" s="415">
        <f>SUM(DQ29:DQ32)</f>
        <v>109711354.40285698</v>
      </c>
      <c r="DR28" s="415">
        <f t="shared" ref="DR28:DS28" si="125">SUM(DR29:DR32)</f>
        <v>78435236</v>
      </c>
      <c r="DS28" s="415">
        <f t="shared" si="125"/>
        <v>1006670777.1718186</v>
      </c>
      <c r="DT28" s="425">
        <f t="shared" si="79"/>
        <v>30304.377993558963</v>
      </c>
      <c r="DU28" s="415">
        <f t="shared" si="80"/>
        <v>155365.90608766547</v>
      </c>
      <c r="DV28" s="420">
        <f t="shared" si="81"/>
        <v>0.18464628274180225</v>
      </c>
      <c r="DW28" s="420">
        <f t="shared" si="82"/>
        <v>0.25827414817819888</v>
      </c>
      <c r="DX28" s="420">
        <f t="shared" si="83"/>
        <v>2.0123554020281646E-2</v>
      </c>
      <c r="DZ28" s="33">
        <v>23</v>
      </c>
      <c r="EA28" s="6" t="s">
        <v>4</v>
      </c>
      <c r="EB28" s="22">
        <f>SUM(EB29:EB32)</f>
        <v>284</v>
      </c>
      <c r="EC28" s="417">
        <f>SUM(EC29:EC32)</f>
        <v>26885759</v>
      </c>
      <c r="ED28" s="417">
        <f>SUM(ED29:ED32)</f>
        <v>20621597</v>
      </c>
      <c r="EE28" s="22">
        <f>SUM(EE29:EE32)</f>
        <v>77449853.227206796</v>
      </c>
      <c r="EF28" s="22">
        <f t="shared" ref="EF28:EG28" si="126">SUM(EF29:EF32)</f>
        <v>54214897.259044752</v>
      </c>
      <c r="EG28" s="22">
        <f t="shared" si="126"/>
        <v>881702950.88867092</v>
      </c>
      <c r="EH28" s="28">
        <f t="shared" si="34"/>
        <v>72611.257042253521</v>
      </c>
      <c r="EI28" s="22">
        <f t="shared" si="84"/>
        <v>190897.52556001674</v>
      </c>
      <c r="EJ28" s="36">
        <f t="shared" si="35"/>
        <v>0.3471376365443582</v>
      </c>
      <c r="EK28" s="36">
        <f t="shared" si="36"/>
        <v>0.49591090934908316</v>
      </c>
      <c r="EL28" s="36">
        <f t="shared" si="37"/>
        <v>3.0492989700104514E-2</v>
      </c>
      <c r="EN28" s="33">
        <v>23</v>
      </c>
      <c r="EO28" s="6" t="s">
        <v>4</v>
      </c>
      <c r="EP28" s="22">
        <f>SUM(EP29:EP32)</f>
        <v>306</v>
      </c>
      <c r="EQ28" s="417">
        <f>SUM(EQ29:EQ32)</f>
        <v>28709693</v>
      </c>
      <c r="ER28" s="417">
        <f>SUM(ER29:ER32)</f>
        <v>22337787</v>
      </c>
      <c r="ES28" s="22">
        <f>SUM(ES29:ES32)</f>
        <v>82838154.969447315</v>
      </c>
      <c r="ET28" s="22">
        <f t="shared" ref="ET28:EU28" si="127">SUM(ET29:ET32)</f>
        <v>57986708.478613123</v>
      </c>
      <c r="EU28" s="22">
        <f t="shared" si="127"/>
        <v>946998155.97133923</v>
      </c>
      <c r="EV28" s="28">
        <f t="shared" si="39"/>
        <v>72999.303921568629</v>
      </c>
      <c r="EW28" s="22">
        <f t="shared" si="40"/>
        <v>189499.04731572917</v>
      </c>
      <c r="EX28" s="36">
        <f t="shared" si="41"/>
        <v>0.3465757175614162</v>
      </c>
      <c r="EY28" s="36">
        <f t="shared" si="42"/>
        <v>0.49510816794488027</v>
      </c>
      <c r="EZ28" s="36">
        <f t="shared" si="43"/>
        <v>3.0316524714403874E-2</v>
      </c>
      <c r="FB28" s="33">
        <v>23</v>
      </c>
      <c r="FC28" s="6" t="s">
        <v>4</v>
      </c>
      <c r="FD28" s="22">
        <f>SUM(FD29:FD32)</f>
        <v>320</v>
      </c>
      <c r="FE28" s="417">
        <f>SUM(FE29:FE32)</f>
        <v>29971421</v>
      </c>
      <c r="FF28" s="417">
        <f>SUM(FF29:FF32)</f>
        <v>23489919</v>
      </c>
      <c r="FG28" s="22">
        <f>SUM(FG29:FG32)</f>
        <v>86127322.592576712</v>
      </c>
      <c r="FH28" s="22">
        <f t="shared" ref="FH28:FI28" si="128">SUM(FH29:FH32)</f>
        <v>60289125.814803705</v>
      </c>
      <c r="FI28" s="22">
        <f t="shared" si="128"/>
        <v>985844271.1532073</v>
      </c>
      <c r="FJ28" s="28">
        <f t="shared" si="45"/>
        <v>73405.996874999997</v>
      </c>
      <c r="FK28" s="22">
        <f t="shared" si="46"/>
        <v>188403.51817126159</v>
      </c>
      <c r="FL28" s="36">
        <f t="shared" si="47"/>
        <v>0.34798969824917358</v>
      </c>
      <c r="FM28" s="36">
        <f t="shared" si="48"/>
        <v>0.4971281403559622</v>
      </c>
      <c r="FN28" s="36">
        <f t="shared" si="49"/>
        <v>3.0401780359224938E-2</v>
      </c>
      <c r="FP28" s="33">
        <v>23</v>
      </c>
      <c r="FQ28" s="6" t="s">
        <v>4</v>
      </c>
      <c r="FR28" s="22">
        <f>SUM(FR29:FR32)</f>
        <v>335</v>
      </c>
      <c r="FS28" s="417">
        <f>SUM(FS29:FS32)</f>
        <v>31444661</v>
      </c>
      <c r="FT28" s="417">
        <f>SUM(FT29:FT32)</f>
        <v>24851675</v>
      </c>
      <c r="FU28" s="22">
        <f>SUM(FU29:FU32)</f>
        <v>89678881.980595022</v>
      </c>
      <c r="FV28" s="22">
        <f t="shared" ref="FV28:FW28" si="129">SUM(FV29:FV32)</f>
        <v>62775217.38641651</v>
      </c>
      <c r="FW28" s="22">
        <f t="shared" si="129"/>
        <v>1027996522.5726756</v>
      </c>
      <c r="FX28" s="28">
        <f t="shared" si="51"/>
        <v>74184.104477611938</v>
      </c>
      <c r="FY28" s="22">
        <f t="shared" si="52"/>
        <v>187388.70861616867</v>
      </c>
      <c r="FZ28" s="36">
        <f t="shared" si="53"/>
        <v>0.3506361844118896</v>
      </c>
      <c r="GA28" s="36">
        <f t="shared" si="54"/>
        <v>0.50090883487412807</v>
      </c>
      <c r="GB28" s="36">
        <f t="shared" si="55"/>
        <v>3.0588295105615962E-2</v>
      </c>
    </row>
    <row r="29" spans="1:184" x14ac:dyDescent="0.25">
      <c r="A29" s="33">
        <v>24</v>
      </c>
      <c r="B29" s="8" t="s">
        <v>52</v>
      </c>
      <c r="C29" s="403">
        <v>298</v>
      </c>
      <c r="D29" s="408">
        <v>193</v>
      </c>
      <c r="E29" s="405">
        <v>41</v>
      </c>
      <c r="F29" s="405">
        <v>21</v>
      </c>
      <c r="G29" s="187">
        <v>8913828</v>
      </c>
      <c r="H29" s="187">
        <v>9066068.8999999985</v>
      </c>
      <c r="I29" s="187">
        <v>8913828</v>
      </c>
      <c r="J29" s="187">
        <v>8832382.879999999</v>
      </c>
      <c r="K29" s="404">
        <v>79055062.874111027</v>
      </c>
      <c r="L29" s="404">
        <v>37501716.866080582</v>
      </c>
      <c r="M29" s="404">
        <v>658473459.83116043</v>
      </c>
      <c r="N29" s="29">
        <f t="shared" si="56"/>
        <v>29638.868724832213</v>
      </c>
      <c r="O29" s="24">
        <f t="shared" si="57"/>
        <v>125844.68747006907</v>
      </c>
      <c r="P29" s="24">
        <f t="shared" si="58"/>
        <v>194309.41381388903</v>
      </c>
      <c r="Q29" s="40">
        <f t="shared" si="59"/>
        <v>0.11275467599329558</v>
      </c>
      <c r="R29" s="40">
        <f t="shared" si="60"/>
        <v>0.23769119776119763</v>
      </c>
      <c r="S29" s="40">
        <f t="shared" si="61"/>
        <v>1.3537110519664072E-2</v>
      </c>
      <c r="T29" s="40">
        <f t="shared" si="62"/>
        <v>0.11468043374321263</v>
      </c>
      <c r="U29" s="40">
        <f t="shared" si="63"/>
        <v>0.24175076923478253</v>
      </c>
      <c r="V29" s="40">
        <f t="shared" si="64"/>
        <v>1.3768313308063523E-2</v>
      </c>
      <c r="X29" s="33">
        <v>24</v>
      </c>
      <c r="Y29" s="8" t="s">
        <v>52</v>
      </c>
      <c r="Z29" s="403">
        <v>338</v>
      </c>
      <c r="AA29" s="408">
        <v>158</v>
      </c>
      <c r="AB29" s="405">
        <v>31</v>
      </c>
      <c r="AC29" s="405">
        <v>12</v>
      </c>
      <c r="AD29" s="187">
        <v>8913828</v>
      </c>
      <c r="AE29" s="187">
        <v>6603816.0399999991</v>
      </c>
      <c r="AF29" s="187">
        <v>8913828</v>
      </c>
      <c r="AG29" s="187">
        <v>6387662.8399999999</v>
      </c>
      <c r="AH29" s="404">
        <v>62710034.28647998</v>
      </c>
      <c r="AI29" s="404">
        <v>28968881.214368008</v>
      </c>
      <c r="AJ29" s="404">
        <v>508553113.06172311</v>
      </c>
      <c r="AK29" s="29">
        <f t="shared" si="65"/>
        <v>18898.41076923077</v>
      </c>
      <c r="AL29" s="24">
        <f t="shared" si="66"/>
        <v>85706.749154934936</v>
      </c>
      <c r="AM29" s="24">
        <f t="shared" si="4"/>
        <v>183347.34945802536</v>
      </c>
      <c r="AN29" s="40">
        <f t="shared" si="67"/>
        <v>0.14214356763510466</v>
      </c>
      <c r="AO29" s="40">
        <f t="shared" si="68"/>
        <v>0.30770356418110179</v>
      </c>
      <c r="AP29" s="40">
        <f t="shared" si="69"/>
        <v>1.7527821128327511E-2</v>
      </c>
      <c r="AQ29" s="40">
        <f t="shared" si="70"/>
        <v>0.10530716678979322</v>
      </c>
      <c r="AR29" s="40">
        <f t="shared" si="71"/>
        <v>0.22796241218748323</v>
      </c>
      <c r="AS29" s="40">
        <f t="shared" si="72"/>
        <v>1.2985499194453841E-2</v>
      </c>
      <c r="AU29" s="33">
        <v>24</v>
      </c>
      <c r="AV29" s="8" t="s">
        <v>52</v>
      </c>
      <c r="AW29" s="403">
        <v>353</v>
      </c>
      <c r="AX29" s="408">
        <v>166</v>
      </c>
      <c r="AY29" s="405">
        <v>34</v>
      </c>
      <c r="AZ29" s="405">
        <v>14</v>
      </c>
      <c r="BA29" s="187">
        <v>13872000</v>
      </c>
      <c r="BB29" s="187">
        <v>9637296.6499999948</v>
      </c>
      <c r="BC29" s="187">
        <v>13464000</v>
      </c>
      <c r="BD29" s="187">
        <v>9094178.9499999955</v>
      </c>
      <c r="BE29" s="404">
        <v>62115824.10458798</v>
      </c>
      <c r="BF29" s="404">
        <v>44309314.055729605</v>
      </c>
      <c r="BG29" s="404">
        <v>653664606.86652374</v>
      </c>
      <c r="BH29" s="29">
        <f t="shared" si="73"/>
        <v>25762.546600566558</v>
      </c>
      <c r="BI29" s="24">
        <f t="shared" si="74"/>
        <v>125522.13613521135</v>
      </c>
      <c r="BJ29" s="24">
        <f t="shared" si="7"/>
        <v>266923.57864897355</v>
      </c>
      <c r="BK29" s="40">
        <f t="shared" si="8"/>
        <v>0.22332473568478972</v>
      </c>
      <c r="BL29" s="40">
        <f t="shared" si="9"/>
        <v>0.31307187429154576</v>
      </c>
      <c r="BM29" s="40">
        <f t="shared" si="10"/>
        <v>2.1221892472499462E-2</v>
      </c>
      <c r="BN29" s="40">
        <f t="shared" si="11"/>
        <v>0.15515042726911463</v>
      </c>
      <c r="BO29" s="40">
        <f t="shared" si="12"/>
        <v>0.21750047039497789</v>
      </c>
      <c r="BP29" s="40">
        <f t="shared" si="13"/>
        <v>1.474348855477791E-2</v>
      </c>
      <c r="BR29" s="33">
        <v>24</v>
      </c>
      <c r="BS29" s="8" t="s">
        <v>52</v>
      </c>
      <c r="BT29" s="403">
        <v>326</v>
      </c>
      <c r="BU29" s="408">
        <v>181</v>
      </c>
      <c r="BV29" s="405">
        <v>26</v>
      </c>
      <c r="BW29" s="405">
        <v>14</v>
      </c>
      <c r="BX29" s="187">
        <v>14815296</v>
      </c>
      <c r="BY29" s="187">
        <v>11767281.949999996</v>
      </c>
      <c r="BZ29" s="187">
        <v>14379552</v>
      </c>
      <c r="CA29" s="187">
        <v>11436528.739999995</v>
      </c>
      <c r="CB29" s="404">
        <v>79508543.191940024</v>
      </c>
      <c r="CC29" s="404">
        <v>56794944.486172192</v>
      </c>
      <c r="CD29" s="404">
        <v>747187489.68551755</v>
      </c>
      <c r="CE29" s="29">
        <f t="shared" si="75"/>
        <v>35081.376503067469</v>
      </c>
      <c r="CF29" s="24">
        <f t="shared" si="76"/>
        <v>174217.62112322758</v>
      </c>
      <c r="CG29" s="24">
        <f t="shared" si="16"/>
        <v>313784.22368050937</v>
      </c>
      <c r="CH29" s="40">
        <f t="shared" si="17"/>
        <v>0.18633590058661598</v>
      </c>
      <c r="CI29" s="40">
        <f t="shared" si="18"/>
        <v>0.26085589367213952</v>
      </c>
      <c r="CJ29" s="40">
        <f t="shared" si="19"/>
        <v>1.9828083586136573E-2</v>
      </c>
      <c r="CK29" s="40">
        <f t="shared" si="20"/>
        <v>0.14800022082649444</v>
      </c>
      <c r="CL29" s="40">
        <f t="shared" si="21"/>
        <v>0.20718889782285049</v>
      </c>
      <c r="CM29" s="40">
        <f t="shared" si="22"/>
        <v>1.5748767360857053E-2</v>
      </c>
      <c r="CO29" s="33">
        <v>24</v>
      </c>
      <c r="CP29" s="8" t="s">
        <v>52</v>
      </c>
      <c r="CQ29" s="403">
        <v>382</v>
      </c>
      <c r="CR29" s="408">
        <v>211</v>
      </c>
      <c r="CS29" s="405">
        <v>45</v>
      </c>
      <c r="CT29" s="405">
        <v>18</v>
      </c>
      <c r="CU29" s="187">
        <v>15393092.544</v>
      </c>
      <c r="CV29" s="187">
        <v>11880478.339999996</v>
      </c>
      <c r="CW29" s="187">
        <v>14940354.527999999</v>
      </c>
      <c r="CX29" s="187">
        <v>11526077.749999996</v>
      </c>
      <c r="CY29" s="404">
        <v>83015550.845460027</v>
      </c>
      <c r="CZ29" s="404">
        <v>59349776.125488207</v>
      </c>
      <c r="DA29" s="404">
        <v>761719965.46575904</v>
      </c>
      <c r="DB29" s="29">
        <f t="shared" si="77"/>
        <v>30172.978403141351</v>
      </c>
      <c r="DC29" s="24">
        <f t="shared" si="78"/>
        <v>155365.90608766547</v>
      </c>
      <c r="DD29" s="24">
        <f t="shared" si="25"/>
        <v>281278.55983643699</v>
      </c>
      <c r="DE29" s="40">
        <f t="shared" si="26"/>
        <v>0.1854242053113091</v>
      </c>
      <c r="DF29" s="40">
        <f t="shared" si="27"/>
        <v>0.25936226804719692</v>
      </c>
      <c r="DG29" s="40">
        <f t="shared" si="28"/>
        <v>2.0208335401301691E-2</v>
      </c>
      <c r="DH29" s="40">
        <f t="shared" si="29"/>
        <v>0.14311147994568441</v>
      </c>
      <c r="DI29" s="40">
        <f t="shared" si="30"/>
        <v>0.2001773067328865</v>
      </c>
      <c r="DJ29" s="40">
        <f t="shared" si="31"/>
        <v>1.5596910779062478E-2</v>
      </c>
      <c r="DL29" s="33">
        <v>24</v>
      </c>
      <c r="DM29" s="8" t="s">
        <v>52</v>
      </c>
      <c r="DN29" s="405">
        <f>$DR29*(CQ29/$CZ29)</f>
        <v>504.84200797401968</v>
      </c>
      <c r="DO29" s="418">
        <v>15762526.765055999</v>
      </c>
      <c r="DP29" s="418">
        <v>15298923.036672</v>
      </c>
      <c r="DQ29" s="405">
        <f>DR29*(CY29/CZ29)</f>
        <v>109711354.40285698</v>
      </c>
      <c r="DR29" s="405">
        <v>78435236</v>
      </c>
      <c r="DS29" s="405">
        <f>$DR29*(DA29/$CZ29)</f>
        <v>1006670777.1718186</v>
      </c>
      <c r="DT29" s="426">
        <f t="shared" si="79"/>
        <v>30304.377993558963</v>
      </c>
      <c r="DU29" s="405">
        <f t="shared" si="80"/>
        <v>155365.90608766547</v>
      </c>
      <c r="DV29" s="421">
        <f t="shared" si="81"/>
        <v>0.14367270234561547</v>
      </c>
      <c r="DW29" s="421">
        <f t="shared" si="82"/>
        <v>0.20096231705168835</v>
      </c>
      <c r="DX29" s="421">
        <f t="shared" si="83"/>
        <v>1.5658075234228887E-2</v>
      </c>
      <c r="DZ29" s="33">
        <v>24</v>
      </c>
      <c r="EA29" s="8" t="s">
        <v>52</v>
      </c>
      <c r="EB29" s="24">
        <v>284</v>
      </c>
      <c r="EC29" s="418">
        <f>_xlfn.XLOOKUP($EA29,'Budget by Cost Category'!$AR:$AR,'Budget by Cost Category'!$AW:$AW,0)</f>
        <v>19291597</v>
      </c>
      <c r="ED29" s="418">
        <f>_xlfn.XLOOKUP($EA29,'Budget by Cost Category'!$AR:$AR,'Budget by Cost Category'!$AS:$AS,0)</f>
        <v>18321597</v>
      </c>
      <c r="EE29" s="24">
        <v>77449853.227206796</v>
      </c>
      <c r="EF29" s="24">
        <v>54214897.259044752</v>
      </c>
      <c r="EG29" s="24">
        <v>881702950.88867092</v>
      </c>
      <c r="EH29" s="29">
        <f t="shared" si="34"/>
        <v>64512.665492957749</v>
      </c>
      <c r="EI29" s="24">
        <f t="shared" si="84"/>
        <v>190897.52556001674</v>
      </c>
      <c r="EJ29" s="40">
        <f t="shared" si="35"/>
        <v>0.24908500398840258</v>
      </c>
      <c r="EK29" s="40">
        <f t="shared" si="36"/>
        <v>0.35583571998343233</v>
      </c>
      <c r="EL29" s="40">
        <f t="shared" si="37"/>
        <v>2.1879927906054919E-2</v>
      </c>
      <c r="EN29" s="33">
        <v>24</v>
      </c>
      <c r="EO29" s="8" t="s">
        <v>52</v>
      </c>
      <c r="EP29" s="24">
        <v>306</v>
      </c>
      <c r="EQ29" s="418">
        <f>_xlfn.XLOOKUP($EA29,'Budget by Cost Category'!$AY:$AY,'Budget by Cost Category'!$BD:$BD,0)</f>
        <v>20978471</v>
      </c>
      <c r="ER29" s="418">
        <f>_xlfn.XLOOKUP($EA29,'Budget by Cost Category'!$AY:$AY,'Budget by Cost Category'!$AZ:$AZ,0)</f>
        <v>19991787</v>
      </c>
      <c r="ES29" s="24">
        <v>82838154.969447315</v>
      </c>
      <c r="ET29" s="24">
        <v>57986708.478613123</v>
      </c>
      <c r="EU29" s="24">
        <v>946998155.97133923</v>
      </c>
      <c r="EV29" s="29">
        <f t="shared" si="39"/>
        <v>65332.637254901958</v>
      </c>
      <c r="EW29" s="24">
        <f t="shared" si="40"/>
        <v>189499.04731572917</v>
      </c>
      <c r="EX29" s="40">
        <f t="shared" si="41"/>
        <v>0.25324647812034634</v>
      </c>
      <c r="EY29" s="40">
        <f t="shared" si="42"/>
        <v>0.36178068302906619</v>
      </c>
      <c r="EZ29" s="40">
        <f t="shared" si="43"/>
        <v>2.2152599630442058E-2</v>
      </c>
      <c r="FB29" s="33">
        <v>24</v>
      </c>
      <c r="FC29" s="8" t="s">
        <v>52</v>
      </c>
      <c r="FD29" s="24">
        <v>320</v>
      </c>
      <c r="FE29" s="418">
        <f>_xlfn.XLOOKUP($EA29,'Budget by Cost Category'!$BF:$BF,'Budget by Cost Category'!$BK:$BK,0)</f>
        <v>22100654</v>
      </c>
      <c r="FF29" s="418">
        <f>_xlfn.XLOOKUP($EA29,'Budget by Cost Category'!$BF:$BF,'Budget by Cost Category'!$BG:$BG,0)</f>
        <v>21096999</v>
      </c>
      <c r="FG29" s="24">
        <v>86127322.592576712</v>
      </c>
      <c r="FH29" s="24">
        <v>60289125.814803705</v>
      </c>
      <c r="FI29" s="24">
        <v>985844271.1532073</v>
      </c>
      <c r="FJ29" s="29">
        <f t="shared" si="45"/>
        <v>65928.121874999997</v>
      </c>
      <c r="FK29" s="24">
        <f t="shared" si="46"/>
        <v>188403.51817126159</v>
      </c>
      <c r="FL29" s="40">
        <f t="shared" si="47"/>
        <v>0.25660444716883429</v>
      </c>
      <c r="FM29" s="40">
        <f t="shared" si="48"/>
        <v>0.36657778166976324</v>
      </c>
      <c r="FN29" s="40">
        <f t="shared" si="49"/>
        <v>2.2417997088066861E-2</v>
      </c>
      <c r="FP29" s="33">
        <v>24</v>
      </c>
      <c r="FQ29" s="8" t="s">
        <v>52</v>
      </c>
      <c r="FR29" s="24">
        <v>335</v>
      </c>
      <c r="FS29" s="418">
        <f>_xlfn.XLOOKUP($EA29,'Budget by Cost Category'!$BM:$BM,'Budget by Cost Category'!$BR:$BR,0)</f>
        <v>23431816</v>
      </c>
      <c r="FT29" s="418">
        <f>_xlfn.XLOOKUP($EA29,'Budget by Cost Category'!$BM:$BM,'Budget by Cost Category'!$BN:$BN,0)</f>
        <v>22410897</v>
      </c>
      <c r="FU29" s="24">
        <v>89678881.980595022</v>
      </c>
      <c r="FV29" s="24">
        <v>62775217.38641651</v>
      </c>
      <c r="FW29" s="24">
        <v>1027996522.5726756</v>
      </c>
      <c r="FX29" s="29">
        <f t="shared" si="51"/>
        <v>66898.2</v>
      </c>
      <c r="FY29" s="24">
        <f t="shared" si="52"/>
        <v>187388.70861616867</v>
      </c>
      <c r="FZ29" s="40">
        <f t="shared" si="53"/>
        <v>0.26128577299915767</v>
      </c>
      <c r="GA29" s="40">
        <f t="shared" si="54"/>
        <v>0.37326538999879666</v>
      </c>
      <c r="GB29" s="40">
        <f t="shared" si="55"/>
        <v>2.279367243515501E-2</v>
      </c>
    </row>
    <row r="30" spans="1:184" x14ac:dyDescent="0.25">
      <c r="A30" s="33">
        <v>25</v>
      </c>
      <c r="B30" s="8" t="s">
        <v>340</v>
      </c>
      <c r="C30" s="406">
        <v>0</v>
      </c>
      <c r="D30" s="406">
        <v>0</v>
      </c>
      <c r="E30" s="406">
        <v>0</v>
      </c>
      <c r="F30" s="406">
        <v>0</v>
      </c>
      <c r="G30" s="189">
        <v>0</v>
      </c>
      <c r="H30" s="189">
        <v>0</v>
      </c>
      <c r="I30" s="189">
        <v>0</v>
      </c>
      <c r="J30" s="189">
        <v>0</v>
      </c>
      <c r="K30" s="412">
        <v>0</v>
      </c>
      <c r="L30" s="412">
        <v>0</v>
      </c>
      <c r="M30" s="412">
        <v>0</v>
      </c>
      <c r="N30" s="430">
        <f t="shared" si="56"/>
        <v>0</v>
      </c>
      <c r="O30" s="412">
        <f t="shared" si="57"/>
        <v>0</v>
      </c>
      <c r="P30" s="412">
        <f t="shared" si="58"/>
        <v>0</v>
      </c>
      <c r="Q30" s="48">
        <f t="shared" si="59"/>
        <v>0</v>
      </c>
      <c r="R30" s="48">
        <f t="shared" si="60"/>
        <v>0</v>
      </c>
      <c r="S30" s="48">
        <f t="shared" si="61"/>
        <v>0</v>
      </c>
      <c r="T30" s="48">
        <f t="shared" si="62"/>
        <v>0</v>
      </c>
      <c r="U30" s="48">
        <f t="shared" si="63"/>
        <v>0</v>
      </c>
      <c r="V30" s="48">
        <f t="shared" si="64"/>
        <v>0</v>
      </c>
      <c r="X30" s="33">
        <v>25</v>
      </c>
      <c r="Y30" s="8" t="s">
        <v>340</v>
      </c>
      <c r="Z30" s="406">
        <v>0</v>
      </c>
      <c r="AA30" s="406">
        <v>0</v>
      </c>
      <c r="AB30" s="406">
        <v>0</v>
      </c>
      <c r="AC30" s="406">
        <v>0</v>
      </c>
      <c r="AD30" s="189">
        <v>0</v>
      </c>
      <c r="AE30" s="189">
        <v>0</v>
      </c>
      <c r="AF30" s="189">
        <v>0</v>
      </c>
      <c r="AG30" s="189">
        <v>0</v>
      </c>
      <c r="AH30" s="412">
        <v>0</v>
      </c>
      <c r="AI30" s="412">
        <v>0</v>
      </c>
      <c r="AJ30" s="412">
        <v>0</v>
      </c>
      <c r="AK30" s="430">
        <f t="shared" si="65"/>
        <v>0</v>
      </c>
      <c r="AL30" s="412">
        <f t="shared" si="66"/>
        <v>0</v>
      </c>
      <c r="AM30" s="412">
        <f t="shared" si="4"/>
        <v>0</v>
      </c>
      <c r="AN30" s="48">
        <f t="shared" si="67"/>
        <v>0</v>
      </c>
      <c r="AO30" s="48">
        <f t="shared" si="68"/>
        <v>0</v>
      </c>
      <c r="AP30" s="48">
        <f t="shared" si="69"/>
        <v>0</v>
      </c>
      <c r="AQ30" s="48">
        <f t="shared" si="70"/>
        <v>0</v>
      </c>
      <c r="AR30" s="48">
        <f t="shared" si="71"/>
        <v>0</v>
      </c>
      <c r="AS30" s="48">
        <f t="shared" si="72"/>
        <v>0</v>
      </c>
      <c r="AU30" s="33">
        <v>25</v>
      </c>
      <c r="AV30" s="8" t="s">
        <v>340</v>
      </c>
      <c r="AW30" s="406">
        <v>0</v>
      </c>
      <c r="AX30" s="406">
        <v>0</v>
      </c>
      <c r="AY30" s="406">
        <v>0</v>
      </c>
      <c r="AZ30" s="406">
        <v>0</v>
      </c>
      <c r="BA30" s="189">
        <v>0</v>
      </c>
      <c r="BB30" s="189">
        <v>0</v>
      </c>
      <c r="BC30" s="189">
        <v>0</v>
      </c>
      <c r="BD30" s="189">
        <v>0</v>
      </c>
      <c r="BE30" s="412">
        <v>0</v>
      </c>
      <c r="BF30" s="412">
        <v>0</v>
      </c>
      <c r="BG30" s="412">
        <v>0</v>
      </c>
      <c r="BH30" s="430">
        <f t="shared" si="73"/>
        <v>0</v>
      </c>
      <c r="BI30" s="412">
        <f t="shared" si="74"/>
        <v>0</v>
      </c>
      <c r="BJ30" s="412">
        <f t="shared" si="7"/>
        <v>0</v>
      </c>
      <c r="BK30" s="48">
        <f t="shared" si="8"/>
        <v>0</v>
      </c>
      <c r="BL30" s="48">
        <f t="shared" si="9"/>
        <v>0</v>
      </c>
      <c r="BM30" s="48">
        <f t="shared" si="10"/>
        <v>0</v>
      </c>
      <c r="BN30" s="48">
        <f t="shared" si="11"/>
        <v>0</v>
      </c>
      <c r="BO30" s="48">
        <f t="shared" si="12"/>
        <v>0</v>
      </c>
      <c r="BP30" s="48">
        <f t="shared" si="13"/>
        <v>0</v>
      </c>
      <c r="BR30" s="33">
        <v>25</v>
      </c>
      <c r="BS30" s="8" t="s">
        <v>340</v>
      </c>
      <c r="BT30" s="406">
        <v>0</v>
      </c>
      <c r="BU30" s="406">
        <v>0</v>
      </c>
      <c r="BV30" s="406">
        <v>0</v>
      </c>
      <c r="BW30" s="406">
        <v>0</v>
      </c>
      <c r="BX30" s="189">
        <v>0</v>
      </c>
      <c r="BY30" s="189">
        <v>0</v>
      </c>
      <c r="BZ30" s="189">
        <v>0</v>
      </c>
      <c r="CA30" s="189">
        <v>0</v>
      </c>
      <c r="CB30" s="412">
        <v>0</v>
      </c>
      <c r="CC30" s="412">
        <v>0</v>
      </c>
      <c r="CD30" s="412">
        <v>0</v>
      </c>
      <c r="CE30" s="430">
        <f t="shared" si="75"/>
        <v>0</v>
      </c>
      <c r="CF30" s="412">
        <f t="shared" si="76"/>
        <v>0</v>
      </c>
      <c r="CG30" s="412">
        <f t="shared" si="16"/>
        <v>0</v>
      </c>
      <c r="CH30" s="48">
        <f t="shared" si="17"/>
        <v>0</v>
      </c>
      <c r="CI30" s="48">
        <f t="shared" si="18"/>
        <v>0</v>
      </c>
      <c r="CJ30" s="48">
        <f t="shared" si="19"/>
        <v>0</v>
      </c>
      <c r="CK30" s="48">
        <f t="shared" si="20"/>
        <v>0</v>
      </c>
      <c r="CL30" s="48">
        <f t="shared" si="21"/>
        <v>0</v>
      </c>
      <c r="CM30" s="48">
        <f t="shared" si="22"/>
        <v>0</v>
      </c>
      <c r="CO30" s="33">
        <v>25</v>
      </c>
      <c r="CP30" s="8" t="s">
        <v>340</v>
      </c>
      <c r="CQ30" s="406">
        <v>0</v>
      </c>
      <c r="CR30" s="406">
        <v>0</v>
      </c>
      <c r="CS30" s="406">
        <v>0</v>
      </c>
      <c r="CT30" s="406">
        <v>0</v>
      </c>
      <c r="CU30" s="189">
        <v>0</v>
      </c>
      <c r="CV30" s="189">
        <v>0</v>
      </c>
      <c r="CW30" s="189">
        <v>0</v>
      </c>
      <c r="CX30" s="189">
        <v>0</v>
      </c>
      <c r="CY30" s="412">
        <v>0</v>
      </c>
      <c r="CZ30" s="412">
        <v>0</v>
      </c>
      <c r="DA30" s="412">
        <v>0</v>
      </c>
      <c r="DB30" s="430">
        <f t="shared" si="77"/>
        <v>0</v>
      </c>
      <c r="DC30" s="412">
        <f t="shared" si="78"/>
        <v>0</v>
      </c>
      <c r="DD30" s="412">
        <f t="shared" si="25"/>
        <v>0</v>
      </c>
      <c r="DE30" s="48">
        <f t="shared" si="26"/>
        <v>0</v>
      </c>
      <c r="DF30" s="48">
        <f t="shared" si="27"/>
        <v>0</v>
      </c>
      <c r="DG30" s="48">
        <f t="shared" si="28"/>
        <v>0</v>
      </c>
      <c r="DH30" s="48">
        <f t="shared" si="29"/>
        <v>0</v>
      </c>
      <c r="DI30" s="48">
        <f t="shared" si="30"/>
        <v>0</v>
      </c>
      <c r="DJ30" s="48">
        <f t="shared" si="31"/>
        <v>0</v>
      </c>
      <c r="DL30" s="33">
        <v>25</v>
      </c>
      <c r="DM30" s="8" t="s">
        <v>340</v>
      </c>
      <c r="DN30" s="406">
        <v>0</v>
      </c>
      <c r="DO30" s="413">
        <v>0</v>
      </c>
      <c r="DP30" s="413">
        <v>0</v>
      </c>
      <c r="DQ30" s="406">
        <v>0</v>
      </c>
      <c r="DR30" s="406">
        <v>0</v>
      </c>
      <c r="DS30" s="406">
        <v>0</v>
      </c>
      <c r="DT30" s="427">
        <f t="shared" si="79"/>
        <v>0</v>
      </c>
      <c r="DU30" s="406">
        <f t="shared" si="80"/>
        <v>0</v>
      </c>
      <c r="DV30" s="422">
        <f t="shared" si="81"/>
        <v>0</v>
      </c>
      <c r="DW30" s="422">
        <f t="shared" si="82"/>
        <v>0</v>
      </c>
      <c r="DX30" s="422">
        <f t="shared" si="83"/>
        <v>0</v>
      </c>
      <c r="DZ30" s="33">
        <v>25</v>
      </c>
      <c r="EA30" s="8" t="s">
        <v>58</v>
      </c>
      <c r="EB30" s="24">
        <v>0</v>
      </c>
      <c r="EC30" s="418">
        <f>_xlfn.XLOOKUP($EA30,'Budget by Cost Category'!$AR:$AR,'Budget by Cost Category'!$AW:$AW,0)</f>
        <v>780000</v>
      </c>
      <c r="ED30" s="418">
        <f>_xlfn.XLOOKUP($EA30,'Budget by Cost Category'!$AR:$AR,'Budget by Cost Category'!$AS:$AS,0)</f>
        <v>500000</v>
      </c>
      <c r="EE30" s="24">
        <v>0</v>
      </c>
      <c r="EF30" s="24">
        <v>0</v>
      </c>
      <c r="EG30" s="24">
        <v>0</v>
      </c>
      <c r="EH30" s="29">
        <f t="shared" si="34"/>
        <v>0</v>
      </c>
      <c r="EI30" s="24">
        <f t="shared" si="84"/>
        <v>0</v>
      </c>
      <c r="EJ30" s="40">
        <f t="shared" si="35"/>
        <v>0</v>
      </c>
      <c r="EK30" s="40">
        <f t="shared" si="36"/>
        <v>0</v>
      </c>
      <c r="EL30" s="40">
        <f t="shared" si="37"/>
        <v>0</v>
      </c>
      <c r="EN30" s="33">
        <v>25</v>
      </c>
      <c r="EO30" s="8" t="s">
        <v>58</v>
      </c>
      <c r="EP30" s="24">
        <v>0</v>
      </c>
      <c r="EQ30" s="418">
        <f>_xlfn.XLOOKUP($EA30,'Budget by Cost Category'!$AY:$AY,'Budget by Cost Category'!$BD:$BD,0)</f>
        <v>794816</v>
      </c>
      <c r="ER30" s="418">
        <f>_xlfn.XLOOKUP($EA30,'Budget by Cost Category'!$AY:$AY,'Budget by Cost Category'!$AZ:$AZ,0)</f>
        <v>510000</v>
      </c>
      <c r="ES30" s="24">
        <v>0</v>
      </c>
      <c r="ET30" s="24">
        <v>0</v>
      </c>
      <c r="EU30" s="24">
        <v>0</v>
      </c>
      <c r="EV30" s="29">
        <f t="shared" si="39"/>
        <v>0</v>
      </c>
      <c r="EW30" s="24">
        <f t="shared" si="40"/>
        <v>0</v>
      </c>
      <c r="EX30" s="40">
        <f t="shared" si="41"/>
        <v>0</v>
      </c>
      <c r="EY30" s="40">
        <f t="shared" si="42"/>
        <v>0</v>
      </c>
      <c r="EZ30" s="40">
        <f t="shared" si="43"/>
        <v>0</v>
      </c>
      <c r="FB30" s="33">
        <v>25</v>
      </c>
      <c r="FC30" s="8" t="s">
        <v>58</v>
      </c>
      <c r="FD30" s="24">
        <v>0</v>
      </c>
      <c r="FE30" s="418">
        <f>_xlfn.XLOOKUP($EA30,'Budget by Cost Category'!$BF:$BF,'Budget by Cost Category'!$BK:$BK,0)</f>
        <v>809915</v>
      </c>
      <c r="FF30" s="418">
        <f>_xlfn.XLOOKUP($EA30,'Budget by Cost Category'!$BF:$BF,'Budget by Cost Category'!$BG:$BG,0)</f>
        <v>520200</v>
      </c>
      <c r="FG30" s="24">
        <v>0</v>
      </c>
      <c r="FH30" s="24">
        <v>0</v>
      </c>
      <c r="FI30" s="24">
        <v>0</v>
      </c>
      <c r="FJ30" s="29">
        <f t="shared" si="45"/>
        <v>0</v>
      </c>
      <c r="FK30" s="24">
        <f t="shared" si="46"/>
        <v>0</v>
      </c>
      <c r="FL30" s="40">
        <f t="shared" si="47"/>
        <v>0</v>
      </c>
      <c r="FM30" s="40">
        <f t="shared" si="48"/>
        <v>0</v>
      </c>
      <c r="FN30" s="40">
        <f t="shared" si="49"/>
        <v>0</v>
      </c>
      <c r="FP30" s="33">
        <v>25</v>
      </c>
      <c r="FQ30" s="8" t="s">
        <v>58</v>
      </c>
      <c r="FR30" s="24">
        <v>0</v>
      </c>
      <c r="FS30" s="418">
        <f>_xlfn.XLOOKUP($EA30,'Budget by Cost Category'!$BM:$BM,'Budget by Cost Category'!$BR:$BR,0)</f>
        <v>825302</v>
      </c>
      <c r="FT30" s="418">
        <f>_xlfn.XLOOKUP($EA30,'Budget by Cost Category'!$BM:$BM,'Budget by Cost Category'!$BN:$BN,0)</f>
        <v>530604</v>
      </c>
      <c r="FU30" s="24">
        <v>0</v>
      </c>
      <c r="FV30" s="24">
        <v>0</v>
      </c>
      <c r="FW30" s="24">
        <v>0</v>
      </c>
      <c r="FX30" s="29">
        <f t="shared" si="51"/>
        <v>0</v>
      </c>
      <c r="FY30" s="24">
        <f t="shared" si="52"/>
        <v>0</v>
      </c>
      <c r="FZ30" s="40">
        <f t="shared" si="53"/>
        <v>0</v>
      </c>
      <c r="GA30" s="40">
        <f t="shared" si="54"/>
        <v>0</v>
      </c>
      <c r="GB30" s="40">
        <f t="shared" si="55"/>
        <v>0</v>
      </c>
    </row>
    <row r="31" spans="1:184" x14ac:dyDescent="0.25">
      <c r="A31" s="33">
        <v>26</v>
      </c>
      <c r="B31" s="8" t="s">
        <v>339</v>
      </c>
      <c r="C31" s="406">
        <v>0</v>
      </c>
      <c r="D31" s="406">
        <v>0</v>
      </c>
      <c r="E31" s="406">
        <v>0</v>
      </c>
      <c r="F31" s="406">
        <v>0</v>
      </c>
      <c r="G31" s="189">
        <v>0</v>
      </c>
      <c r="H31" s="189">
        <v>0</v>
      </c>
      <c r="I31" s="189">
        <v>0</v>
      </c>
      <c r="J31" s="189">
        <v>0</v>
      </c>
      <c r="K31" s="412">
        <v>0</v>
      </c>
      <c r="L31" s="412">
        <v>0</v>
      </c>
      <c r="M31" s="412">
        <v>0</v>
      </c>
      <c r="N31" s="430">
        <f t="shared" si="56"/>
        <v>0</v>
      </c>
      <c r="O31" s="412">
        <f t="shared" si="57"/>
        <v>0</v>
      </c>
      <c r="P31" s="412">
        <f t="shared" si="58"/>
        <v>0</v>
      </c>
      <c r="Q31" s="48">
        <f t="shared" si="59"/>
        <v>0</v>
      </c>
      <c r="R31" s="48">
        <f t="shared" si="60"/>
        <v>0</v>
      </c>
      <c r="S31" s="48">
        <f t="shared" si="61"/>
        <v>0</v>
      </c>
      <c r="T31" s="48">
        <f t="shared" si="62"/>
        <v>0</v>
      </c>
      <c r="U31" s="48">
        <f t="shared" si="63"/>
        <v>0</v>
      </c>
      <c r="V31" s="48">
        <f t="shared" si="64"/>
        <v>0</v>
      </c>
      <c r="X31" s="33">
        <v>26</v>
      </c>
      <c r="Y31" s="8" t="s">
        <v>339</v>
      </c>
      <c r="Z31" s="406">
        <v>0</v>
      </c>
      <c r="AA31" s="406">
        <v>0</v>
      </c>
      <c r="AB31" s="406">
        <v>0</v>
      </c>
      <c r="AC31" s="406">
        <v>0</v>
      </c>
      <c r="AD31" s="189">
        <v>0</v>
      </c>
      <c r="AE31" s="189">
        <v>0</v>
      </c>
      <c r="AF31" s="189">
        <v>0</v>
      </c>
      <c r="AG31" s="189">
        <v>0</v>
      </c>
      <c r="AH31" s="412">
        <v>0</v>
      </c>
      <c r="AI31" s="412">
        <v>0</v>
      </c>
      <c r="AJ31" s="412">
        <v>0</v>
      </c>
      <c r="AK31" s="430">
        <f t="shared" si="65"/>
        <v>0</v>
      </c>
      <c r="AL31" s="412">
        <f t="shared" si="66"/>
        <v>0</v>
      </c>
      <c r="AM31" s="412">
        <f t="shared" si="4"/>
        <v>0</v>
      </c>
      <c r="AN31" s="48">
        <f t="shared" si="67"/>
        <v>0</v>
      </c>
      <c r="AO31" s="48">
        <f t="shared" si="68"/>
        <v>0</v>
      </c>
      <c r="AP31" s="48">
        <f t="shared" si="69"/>
        <v>0</v>
      </c>
      <c r="AQ31" s="48">
        <f t="shared" si="70"/>
        <v>0</v>
      </c>
      <c r="AR31" s="48">
        <f t="shared" si="71"/>
        <v>0</v>
      </c>
      <c r="AS31" s="48">
        <f t="shared" si="72"/>
        <v>0</v>
      </c>
      <c r="AU31" s="33">
        <v>26</v>
      </c>
      <c r="AV31" s="8" t="s">
        <v>339</v>
      </c>
      <c r="AW31" s="406">
        <v>0</v>
      </c>
      <c r="AX31" s="406">
        <v>0</v>
      </c>
      <c r="AY31" s="406">
        <v>0</v>
      </c>
      <c r="AZ31" s="406">
        <v>0</v>
      </c>
      <c r="BA31" s="189">
        <v>0</v>
      </c>
      <c r="BB31" s="189">
        <v>0</v>
      </c>
      <c r="BC31" s="189">
        <v>0</v>
      </c>
      <c r="BD31" s="189">
        <v>0</v>
      </c>
      <c r="BE31" s="412">
        <v>0</v>
      </c>
      <c r="BF31" s="412">
        <v>0</v>
      </c>
      <c r="BG31" s="412">
        <v>0</v>
      </c>
      <c r="BH31" s="430">
        <f t="shared" si="73"/>
        <v>0</v>
      </c>
      <c r="BI31" s="412">
        <f t="shared" si="74"/>
        <v>0</v>
      </c>
      <c r="BJ31" s="412">
        <f t="shared" si="7"/>
        <v>0</v>
      </c>
      <c r="BK31" s="48">
        <f t="shared" si="8"/>
        <v>0</v>
      </c>
      <c r="BL31" s="48">
        <f t="shared" si="9"/>
        <v>0</v>
      </c>
      <c r="BM31" s="48">
        <f t="shared" si="10"/>
        <v>0</v>
      </c>
      <c r="BN31" s="48">
        <f t="shared" si="11"/>
        <v>0</v>
      </c>
      <c r="BO31" s="48">
        <f t="shared" si="12"/>
        <v>0</v>
      </c>
      <c r="BP31" s="48">
        <f t="shared" si="13"/>
        <v>0</v>
      </c>
      <c r="BR31" s="33">
        <v>26</v>
      </c>
      <c r="BS31" s="8" t="s">
        <v>339</v>
      </c>
      <c r="BT31" s="406">
        <v>0</v>
      </c>
      <c r="BU31" s="406">
        <v>0</v>
      </c>
      <c r="BV31" s="406">
        <v>0</v>
      </c>
      <c r="BW31" s="406">
        <v>0</v>
      </c>
      <c r="BX31" s="189">
        <v>0</v>
      </c>
      <c r="BY31" s="189">
        <v>0</v>
      </c>
      <c r="BZ31" s="189">
        <v>0</v>
      </c>
      <c r="CA31" s="189">
        <v>0</v>
      </c>
      <c r="CB31" s="412">
        <v>0</v>
      </c>
      <c r="CC31" s="412">
        <v>0</v>
      </c>
      <c r="CD31" s="412">
        <v>0</v>
      </c>
      <c r="CE31" s="430">
        <f t="shared" si="75"/>
        <v>0</v>
      </c>
      <c r="CF31" s="412">
        <f t="shared" si="76"/>
        <v>0</v>
      </c>
      <c r="CG31" s="412">
        <f t="shared" si="16"/>
        <v>0</v>
      </c>
      <c r="CH31" s="48">
        <f t="shared" si="17"/>
        <v>0</v>
      </c>
      <c r="CI31" s="48">
        <f t="shared" si="18"/>
        <v>0</v>
      </c>
      <c r="CJ31" s="48">
        <f t="shared" si="19"/>
        <v>0</v>
      </c>
      <c r="CK31" s="48">
        <f t="shared" si="20"/>
        <v>0</v>
      </c>
      <c r="CL31" s="48">
        <f t="shared" si="21"/>
        <v>0</v>
      </c>
      <c r="CM31" s="48">
        <f t="shared" si="22"/>
        <v>0</v>
      </c>
      <c r="CO31" s="33">
        <v>26</v>
      </c>
      <c r="CP31" s="8" t="s">
        <v>339</v>
      </c>
      <c r="CQ31" s="406">
        <v>0</v>
      </c>
      <c r="CR31" s="406">
        <v>0</v>
      </c>
      <c r="CS31" s="406">
        <v>0</v>
      </c>
      <c r="CT31" s="406">
        <v>0</v>
      </c>
      <c r="CU31" s="189">
        <v>0</v>
      </c>
      <c r="CV31" s="189">
        <v>0</v>
      </c>
      <c r="CW31" s="189">
        <v>0</v>
      </c>
      <c r="CX31" s="189">
        <v>0</v>
      </c>
      <c r="CY31" s="412">
        <v>0</v>
      </c>
      <c r="CZ31" s="412">
        <v>0</v>
      </c>
      <c r="DA31" s="412">
        <v>0</v>
      </c>
      <c r="DB31" s="430">
        <f t="shared" si="77"/>
        <v>0</v>
      </c>
      <c r="DC31" s="412">
        <f t="shared" si="78"/>
        <v>0</v>
      </c>
      <c r="DD31" s="412">
        <f t="shared" si="25"/>
        <v>0</v>
      </c>
      <c r="DE31" s="48">
        <f t="shared" si="26"/>
        <v>0</v>
      </c>
      <c r="DF31" s="48">
        <f t="shared" si="27"/>
        <v>0</v>
      </c>
      <c r="DG31" s="48">
        <f t="shared" si="28"/>
        <v>0</v>
      </c>
      <c r="DH31" s="48">
        <f t="shared" si="29"/>
        <v>0</v>
      </c>
      <c r="DI31" s="48">
        <f t="shared" si="30"/>
        <v>0</v>
      </c>
      <c r="DJ31" s="48">
        <f t="shared" si="31"/>
        <v>0</v>
      </c>
      <c r="DL31" s="33">
        <v>26</v>
      </c>
      <c r="DM31" s="8" t="s">
        <v>339</v>
      </c>
      <c r="DN31" s="406">
        <v>0</v>
      </c>
      <c r="DO31" s="413">
        <v>0</v>
      </c>
      <c r="DP31" s="413">
        <v>0</v>
      </c>
      <c r="DQ31" s="406">
        <v>0</v>
      </c>
      <c r="DR31" s="406">
        <v>0</v>
      </c>
      <c r="DS31" s="406">
        <v>0</v>
      </c>
      <c r="DT31" s="427">
        <f t="shared" si="79"/>
        <v>0</v>
      </c>
      <c r="DU31" s="406">
        <f t="shared" si="80"/>
        <v>0</v>
      </c>
      <c r="DV31" s="422">
        <f t="shared" si="81"/>
        <v>0</v>
      </c>
      <c r="DW31" s="422">
        <f t="shared" si="82"/>
        <v>0</v>
      </c>
      <c r="DX31" s="422">
        <f t="shared" si="83"/>
        <v>0</v>
      </c>
      <c r="DZ31" s="33">
        <v>26</v>
      </c>
      <c r="EA31" s="8" t="s">
        <v>61</v>
      </c>
      <c r="EB31" s="24">
        <v>0</v>
      </c>
      <c r="EC31" s="418">
        <f>_xlfn.XLOOKUP($EA31,'Budget by Cost Category'!$AR:$AR,'Budget by Cost Category'!$AW:$AW,0)</f>
        <v>2000000</v>
      </c>
      <c r="ED31" s="418">
        <f>_xlfn.XLOOKUP($EA31,'Budget by Cost Category'!$AR:$AR,'Budget by Cost Category'!$AS:$AS,0)</f>
        <v>1800000</v>
      </c>
      <c r="EE31" s="24">
        <v>0</v>
      </c>
      <c r="EF31" s="24">
        <v>0</v>
      </c>
      <c r="EG31" s="24">
        <v>0</v>
      </c>
      <c r="EH31" s="29">
        <f t="shared" si="34"/>
        <v>0</v>
      </c>
      <c r="EI31" s="24">
        <f t="shared" si="84"/>
        <v>0</v>
      </c>
      <c r="EJ31" s="40">
        <f t="shared" si="35"/>
        <v>0</v>
      </c>
      <c r="EK31" s="40">
        <f t="shared" si="36"/>
        <v>0</v>
      </c>
      <c r="EL31" s="40">
        <f t="shared" si="37"/>
        <v>0</v>
      </c>
      <c r="EN31" s="33">
        <v>26</v>
      </c>
      <c r="EO31" s="8" t="s">
        <v>61</v>
      </c>
      <c r="EP31" s="24">
        <v>0</v>
      </c>
      <c r="EQ31" s="418">
        <f>_xlfn.XLOOKUP($EA31,'Budget by Cost Category'!$AY:$AY,'Budget by Cost Category'!$BD:$BD,0)</f>
        <v>2039440</v>
      </c>
      <c r="ER31" s="418">
        <f>_xlfn.XLOOKUP($EA31,'Budget by Cost Category'!$AY:$AY,'Budget by Cost Category'!$AZ:$AZ,0)</f>
        <v>1836000</v>
      </c>
      <c r="ES31" s="24">
        <v>0</v>
      </c>
      <c r="ET31" s="24">
        <v>0</v>
      </c>
      <c r="EU31" s="24">
        <v>0</v>
      </c>
      <c r="EV31" s="29">
        <f t="shared" si="39"/>
        <v>0</v>
      </c>
      <c r="EW31" s="24">
        <f t="shared" si="40"/>
        <v>0</v>
      </c>
      <c r="EX31" s="40">
        <f t="shared" si="41"/>
        <v>0</v>
      </c>
      <c r="EY31" s="40">
        <f t="shared" si="42"/>
        <v>0</v>
      </c>
      <c r="EZ31" s="40">
        <f t="shared" si="43"/>
        <v>0</v>
      </c>
      <c r="FB31" s="33">
        <v>26</v>
      </c>
      <c r="FC31" s="8" t="s">
        <v>61</v>
      </c>
      <c r="FD31" s="24">
        <v>0</v>
      </c>
      <c r="FE31" s="418">
        <f>_xlfn.XLOOKUP($EA31,'Budget by Cost Category'!$BF:$BF,'Budget by Cost Category'!$BK:$BK,0)</f>
        <v>2079659</v>
      </c>
      <c r="FF31" s="418">
        <f>_xlfn.XLOOKUP($EA31,'Budget by Cost Category'!$BF:$BF,'Budget by Cost Category'!$BG:$BG,0)</f>
        <v>1872720</v>
      </c>
      <c r="FG31" s="24">
        <v>0</v>
      </c>
      <c r="FH31" s="24">
        <v>0</v>
      </c>
      <c r="FI31" s="24">
        <v>0</v>
      </c>
      <c r="FJ31" s="29">
        <f t="shared" si="45"/>
        <v>0</v>
      </c>
      <c r="FK31" s="24">
        <f t="shared" si="46"/>
        <v>0</v>
      </c>
      <c r="FL31" s="40">
        <f t="shared" si="47"/>
        <v>0</v>
      </c>
      <c r="FM31" s="40">
        <f t="shared" si="48"/>
        <v>0</v>
      </c>
      <c r="FN31" s="40">
        <f t="shared" si="49"/>
        <v>0</v>
      </c>
      <c r="FP31" s="33">
        <v>26</v>
      </c>
      <c r="FQ31" s="8" t="s">
        <v>61</v>
      </c>
      <c r="FR31" s="24">
        <v>0</v>
      </c>
      <c r="FS31" s="418">
        <f>_xlfn.XLOOKUP($EA31,'Budget by Cost Category'!$BM:$BM,'Budget by Cost Category'!$BR:$BR,0)</f>
        <v>2120673</v>
      </c>
      <c r="FT31" s="418">
        <f>_xlfn.XLOOKUP($EA31,'Budget by Cost Category'!$BM:$BM,'Budget by Cost Category'!$BN:$BN,0)</f>
        <v>1910174</v>
      </c>
      <c r="FU31" s="24">
        <v>0</v>
      </c>
      <c r="FV31" s="24">
        <v>0</v>
      </c>
      <c r="FW31" s="24">
        <v>0</v>
      </c>
      <c r="FX31" s="29">
        <f t="shared" si="51"/>
        <v>0</v>
      </c>
      <c r="FY31" s="24">
        <f t="shared" si="52"/>
        <v>0</v>
      </c>
      <c r="FZ31" s="40">
        <f t="shared" si="53"/>
        <v>0</v>
      </c>
      <c r="GA31" s="40">
        <f t="shared" si="54"/>
        <v>0</v>
      </c>
      <c r="GB31" s="40">
        <f t="shared" si="55"/>
        <v>0</v>
      </c>
    </row>
    <row r="32" spans="1:184" x14ac:dyDescent="0.25">
      <c r="A32" s="33">
        <v>27</v>
      </c>
      <c r="B32" s="8" t="s">
        <v>63</v>
      </c>
      <c r="C32" s="405">
        <v>0</v>
      </c>
      <c r="D32" s="405">
        <v>0</v>
      </c>
      <c r="E32" s="405">
        <v>0</v>
      </c>
      <c r="F32" s="405">
        <v>0</v>
      </c>
      <c r="G32" s="187">
        <v>2137387</v>
      </c>
      <c r="H32" s="187">
        <v>2211002.1496559936</v>
      </c>
      <c r="I32" s="187">
        <v>0</v>
      </c>
      <c r="J32" s="187">
        <v>0</v>
      </c>
      <c r="K32" s="24">
        <v>0</v>
      </c>
      <c r="L32" s="24">
        <v>0</v>
      </c>
      <c r="M32" s="24">
        <v>0</v>
      </c>
      <c r="N32" s="29">
        <f t="shared" si="56"/>
        <v>0</v>
      </c>
      <c r="O32" s="24">
        <f t="shared" si="57"/>
        <v>0</v>
      </c>
      <c r="P32" s="24">
        <f t="shared" si="58"/>
        <v>0</v>
      </c>
      <c r="Q32" s="40">
        <f t="shared" si="59"/>
        <v>0</v>
      </c>
      <c r="R32" s="40">
        <f t="shared" si="60"/>
        <v>0</v>
      </c>
      <c r="S32" s="40">
        <f t="shared" si="61"/>
        <v>0</v>
      </c>
      <c r="T32" s="40">
        <f t="shared" si="62"/>
        <v>0</v>
      </c>
      <c r="U32" s="40">
        <f t="shared" si="63"/>
        <v>0</v>
      </c>
      <c r="V32" s="40">
        <f t="shared" si="64"/>
        <v>0</v>
      </c>
      <c r="X32" s="33">
        <v>27</v>
      </c>
      <c r="Y32" s="8" t="s">
        <v>63</v>
      </c>
      <c r="Z32" s="405">
        <v>0</v>
      </c>
      <c r="AA32" s="405">
        <v>0</v>
      </c>
      <c r="AB32" s="405">
        <v>0</v>
      </c>
      <c r="AC32" s="405">
        <v>0</v>
      </c>
      <c r="AD32" s="187">
        <v>2137387</v>
      </c>
      <c r="AE32" s="187">
        <v>2011612.1538521019</v>
      </c>
      <c r="AF32" s="187">
        <v>0</v>
      </c>
      <c r="AG32" s="187">
        <v>0</v>
      </c>
      <c r="AH32" s="24">
        <v>0</v>
      </c>
      <c r="AI32" s="24">
        <v>0</v>
      </c>
      <c r="AJ32" s="24">
        <v>0</v>
      </c>
      <c r="AK32" s="29">
        <f t="shared" si="65"/>
        <v>0</v>
      </c>
      <c r="AL32" s="24">
        <f t="shared" si="66"/>
        <v>0</v>
      </c>
      <c r="AM32" s="24">
        <f t="shared" si="4"/>
        <v>0</v>
      </c>
      <c r="AN32" s="40">
        <f t="shared" si="67"/>
        <v>0</v>
      </c>
      <c r="AO32" s="40">
        <f t="shared" si="68"/>
        <v>0</v>
      </c>
      <c r="AP32" s="40">
        <f t="shared" si="69"/>
        <v>0</v>
      </c>
      <c r="AQ32" s="40">
        <f t="shared" si="70"/>
        <v>0</v>
      </c>
      <c r="AR32" s="40">
        <f t="shared" si="71"/>
        <v>0</v>
      </c>
      <c r="AS32" s="40">
        <f t="shared" si="72"/>
        <v>0</v>
      </c>
      <c r="AU32" s="33">
        <v>27</v>
      </c>
      <c r="AV32" s="8" t="s">
        <v>63</v>
      </c>
      <c r="AW32" s="405">
        <v>0</v>
      </c>
      <c r="AX32" s="405">
        <v>0</v>
      </c>
      <c r="AY32" s="405">
        <v>0</v>
      </c>
      <c r="AZ32" s="405">
        <v>0</v>
      </c>
      <c r="BA32" s="187">
        <v>3956114.004956</v>
      </c>
      <c r="BB32" s="187">
        <v>3651724.5500000101</v>
      </c>
      <c r="BC32" s="187">
        <v>0</v>
      </c>
      <c r="BD32" s="187">
        <v>0</v>
      </c>
      <c r="BE32" s="24">
        <v>0</v>
      </c>
      <c r="BF32" s="24">
        <v>0</v>
      </c>
      <c r="BG32" s="24">
        <v>0</v>
      </c>
      <c r="BH32" s="29">
        <f t="shared" si="73"/>
        <v>0</v>
      </c>
      <c r="BI32" s="24">
        <f t="shared" si="74"/>
        <v>0</v>
      </c>
      <c r="BJ32" s="24">
        <f t="shared" si="7"/>
        <v>0</v>
      </c>
      <c r="BK32" s="40">
        <f t="shared" si="8"/>
        <v>0</v>
      </c>
      <c r="BL32" s="40">
        <f t="shared" si="9"/>
        <v>0</v>
      </c>
      <c r="BM32" s="40">
        <f t="shared" si="10"/>
        <v>0</v>
      </c>
      <c r="BN32" s="40">
        <f t="shared" si="11"/>
        <v>0</v>
      </c>
      <c r="BO32" s="40">
        <f t="shared" si="12"/>
        <v>0</v>
      </c>
      <c r="BP32" s="40">
        <f t="shared" si="13"/>
        <v>0</v>
      </c>
      <c r="BR32" s="33">
        <v>27</v>
      </c>
      <c r="BS32" s="8" t="s">
        <v>63</v>
      </c>
      <c r="BT32" s="405">
        <v>0</v>
      </c>
      <c r="BU32" s="405">
        <v>0</v>
      </c>
      <c r="BV32" s="405">
        <v>0</v>
      </c>
      <c r="BW32" s="405">
        <v>0</v>
      </c>
      <c r="BX32" s="187">
        <v>4225129.4740930097</v>
      </c>
      <c r="BY32" s="187">
        <v>3717549.1000000047</v>
      </c>
      <c r="BZ32" s="187">
        <v>0</v>
      </c>
      <c r="CA32" s="187">
        <v>0</v>
      </c>
      <c r="CB32" s="24">
        <v>0</v>
      </c>
      <c r="CC32" s="24">
        <v>0</v>
      </c>
      <c r="CD32" s="24">
        <v>0</v>
      </c>
      <c r="CE32" s="29">
        <f t="shared" si="75"/>
        <v>0</v>
      </c>
      <c r="CF32" s="24">
        <f t="shared" si="76"/>
        <v>0</v>
      </c>
      <c r="CG32" s="24">
        <f t="shared" si="16"/>
        <v>0</v>
      </c>
      <c r="CH32" s="40">
        <f t="shared" si="17"/>
        <v>0</v>
      </c>
      <c r="CI32" s="40">
        <f t="shared" si="18"/>
        <v>0</v>
      </c>
      <c r="CJ32" s="40">
        <f t="shared" si="19"/>
        <v>0</v>
      </c>
      <c r="CK32" s="40">
        <f t="shared" si="20"/>
        <v>0</v>
      </c>
      <c r="CL32" s="40">
        <f t="shared" si="21"/>
        <v>0</v>
      </c>
      <c r="CM32" s="40">
        <f t="shared" si="22"/>
        <v>0</v>
      </c>
      <c r="CO32" s="33">
        <v>27</v>
      </c>
      <c r="CP32" s="8" t="s">
        <v>63</v>
      </c>
      <c r="CQ32" s="405">
        <v>0</v>
      </c>
      <c r="CR32" s="405">
        <v>0</v>
      </c>
      <c r="CS32" s="405">
        <v>0</v>
      </c>
      <c r="CT32" s="405">
        <v>0</v>
      </c>
      <c r="CU32" s="187">
        <v>4389909.5235826401</v>
      </c>
      <c r="CV32" s="187">
        <v>3808854.9400000051</v>
      </c>
      <c r="CW32" s="187">
        <v>0</v>
      </c>
      <c r="CX32" s="187">
        <v>0</v>
      </c>
      <c r="CY32" s="24">
        <v>0</v>
      </c>
      <c r="CZ32" s="24">
        <v>0</v>
      </c>
      <c r="DA32" s="24">
        <v>0</v>
      </c>
      <c r="DB32" s="29">
        <f t="shared" si="77"/>
        <v>0</v>
      </c>
      <c r="DC32" s="24">
        <f t="shared" si="78"/>
        <v>0</v>
      </c>
      <c r="DD32" s="24">
        <f t="shared" si="25"/>
        <v>0</v>
      </c>
      <c r="DE32" s="40">
        <f t="shared" si="26"/>
        <v>0</v>
      </c>
      <c r="DF32" s="40">
        <f t="shared" si="27"/>
        <v>0</v>
      </c>
      <c r="DG32" s="40">
        <f t="shared" si="28"/>
        <v>0</v>
      </c>
      <c r="DH32" s="40">
        <f t="shared" si="29"/>
        <v>0</v>
      </c>
      <c r="DI32" s="40">
        <f t="shared" si="30"/>
        <v>0</v>
      </c>
      <c r="DJ32" s="40">
        <f t="shared" si="31"/>
        <v>0</v>
      </c>
      <c r="DL32" s="33">
        <v>27</v>
      </c>
      <c r="DM32" s="8" t="s">
        <v>63</v>
      </c>
      <c r="DN32" s="405">
        <v>0</v>
      </c>
      <c r="DO32" s="418">
        <v>4495267</v>
      </c>
      <c r="DP32" s="418">
        <v>0</v>
      </c>
      <c r="DQ32" s="405">
        <v>0</v>
      </c>
      <c r="DR32" s="405">
        <v>0</v>
      </c>
      <c r="DS32" s="405">
        <v>0</v>
      </c>
      <c r="DT32" s="426">
        <f t="shared" si="79"/>
        <v>0</v>
      </c>
      <c r="DU32" s="405">
        <f t="shared" si="80"/>
        <v>0</v>
      </c>
      <c r="DV32" s="421">
        <f t="shared" si="81"/>
        <v>0</v>
      </c>
      <c r="DW32" s="421">
        <f t="shared" si="82"/>
        <v>0</v>
      </c>
      <c r="DX32" s="421">
        <f t="shared" si="83"/>
        <v>0</v>
      </c>
      <c r="DZ32" s="33">
        <v>27</v>
      </c>
      <c r="EA32" s="8" t="s">
        <v>63</v>
      </c>
      <c r="EB32" s="24">
        <v>0</v>
      </c>
      <c r="EC32" s="418">
        <f>'Budget by Cost Category'!AV24</f>
        <v>4814162</v>
      </c>
      <c r="ED32" s="418">
        <v>0</v>
      </c>
      <c r="EE32" s="24">
        <v>0</v>
      </c>
      <c r="EF32" s="24">
        <v>0</v>
      </c>
      <c r="EG32" s="24">
        <v>0</v>
      </c>
      <c r="EH32" s="29">
        <f t="shared" si="34"/>
        <v>0</v>
      </c>
      <c r="EI32" s="24">
        <f t="shared" si="84"/>
        <v>0</v>
      </c>
      <c r="EJ32" s="40">
        <f t="shared" si="35"/>
        <v>0</v>
      </c>
      <c r="EK32" s="40">
        <f t="shared" si="36"/>
        <v>0</v>
      </c>
      <c r="EL32" s="40">
        <f t="shared" si="37"/>
        <v>0</v>
      </c>
      <c r="EN32" s="33">
        <v>27</v>
      </c>
      <c r="EO32" s="8" t="s">
        <v>63</v>
      </c>
      <c r="EP32" s="24">
        <v>0</v>
      </c>
      <c r="EQ32" s="418">
        <f>'Budget by Cost Category'!BC24</f>
        <v>4896966</v>
      </c>
      <c r="ER32" s="418">
        <v>0</v>
      </c>
      <c r="ES32" s="24">
        <v>0</v>
      </c>
      <c r="ET32" s="24">
        <v>0</v>
      </c>
      <c r="EU32" s="24">
        <v>0</v>
      </c>
      <c r="EV32" s="29">
        <f t="shared" si="39"/>
        <v>0</v>
      </c>
      <c r="EW32" s="24">
        <f t="shared" si="40"/>
        <v>0</v>
      </c>
      <c r="EX32" s="40">
        <f t="shared" si="41"/>
        <v>0</v>
      </c>
      <c r="EY32" s="40">
        <f t="shared" si="42"/>
        <v>0</v>
      </c>
      <c r="EZ32" s="40">
        <f t="shared" si="43"/>
        <v>0</v>
      </c>
      <c r="FB32" s="33">
        <v>27</v>
      </c>
      <c r="FC32" s="8" t="s">
        <v>63</v>
      </c>
      <c r="FD32" s="24">
        <v>0</v>
      </c>
      <c r="FE32" s="418">
        <f>'Budget by Cost Category'!BJ24</f>
        <v>4981193</v>
      </c>
      <c r="FF32" s="418">
        <v>0</v>
      </c>
      <c r="FG32" s="24">
        <v>0</v>
      </c>
      <c r="FH32" s="24">
        <v>0</v>
      </c>
      <c r="FI32" s="24">
        <v>0</v>
      </c>
      <c r="FJ32" s="29">
        <f t="shared" si="45"/>
        <v>0</v>
      </c>
      <c r="FK32" s="24">
        <f t="shared" si="46"/>
        <v>0</v>
      </c>
      <c r="FL32" s="40">
        <f t="shared" si="47"/>
        <v>0</v>
      </c>
      <c r="FM32" s="40">
        <f t="shared" si="48"/>
        <v>0</v>
      </c>
      <c r="FN32" s="40">
        <f t="shared" si="49"/>
        <v>0</v>
      </c>
      <c r="FP32" s="33">
        <v>27</v>
      </c>
      <c r="FQ32" s="8" t="s">
        <v>63</v>
      </c>
      <c r="FR32" s="24">
        <v>0</v>
      </c>
      <c r="FS32" s="418">
        <f>'Budget by Cost Category'!BQ24</f>
        <v>5066870</v>
      </c>
      <c r="FT32" s="418">
        <f>_xlfn.XLOOKUP($EA32,'Budget by Cost Category'!$BM:$BM,'Budget by Cost Category'!$BN:$BN,0)</f>
        <v>0</v>
      </c>
      <c r="FU32" s="24">
        <v>0</v>
      </c>
      <c r="FV32" s="24">
        <v>0</v>
      </c>
      <c r="FW32" s="24">
        <v>0</v>
      </c>
      <c r="FX32" s="29">
        <f t="shared" si="51"/>
        <v>0</v>
      </c>
      <c r="FY32" s="24">
        <f t="shared" si="52"/>
        <v>0</v>
      </c>
      <c r="FZ32" s="40">
        <f t="shared" si="53"/>
        <v>0</v>
      </c>
      <c r="GA32" s="40">
        <f t="shared" si="54"/>
        <v>0</v>
      </c>
      <c r="GB32" s="40">
        <f t="shared" si="55"/>
        <v>0</v>
      </c>
    </row>
    <row r="33" spans="1:185" x14ac:dyDescent="0.25">
      <c r="A33" s="33">
        <v>28</v>
      </c>
      <c r="B33" s="6" t="s">
        <v>5</v>
      </c>
      <c r="C33" s="22">
        <f t="shared" ref="C33:J33" si="130">SUM(C34:C35)</f>
        <v>43</v>
      </c>
      <c r="D33" s="22">
        <f t="shared" si="130"/>
        <v>20</v>
      </c>
      <c r="E33" s="22">
        <f t="shared" si="130"/>
        <v>6</v>
      </c>
      <c r="F33" s="22">
        <f t="shared" si="130"/>
        <v>5</v>
      </c>
      <c r="G33" s="186">
        <f t="shared" si="130"/>
        <v>3937000</v>
      </c>
      <c r="H33" s="186">
        <f t="shared" si="130"/>
        <v>2729313.51</v>
      </c>
      <c r="I33" s="186">
        <f t="shared" si="130"/>
        <v>3150000</v>
      </c>
      <c r="J33" s="186">
        <f t="shared" si="130"/>
        <v>2250475.42</v>
      </c>
      <c r="K33" s="22">
        <f t="shared" ref="K33:M33" si="131">SUM(K34:K35)</f>
        <v>63438078.54457099</v>
      </c>
      <c r="L33" s="22">
        <f t="shared" si="131"/>
        <v>9712369.825173825</v>
      </c>
      <c r="M33" s="22">
        <f t="shared" si="131"/>
        <v>141733709.2545104</v>
      </c>
      <c r="N33" s="28">
        <f t="shared" si="56"/>
        <v>52336.637674418605</v>
      </c>
      <c r="O33" s="22">
        <f t="shared" si="57"/>
        <v>225869.06570171687</v>
      </c>
      <c r="P33" s="22">
        <f t="shared" si="58"/>
        <v>485618.49125869124</v>
      </c>
      <c r="Q33" s="36">
        <f t="shared" si="59"/>
        <v>6.2060517757231586E-2</v>
      </c>
      <c r="R33" s="36">
        <f t="shared" si="60"/>
        <v>0.40535935830980763</v>
      </c>
      <c r="S33" s="36">
        <f t="shared" si="61"/>
        <v>2.7777442788365553E-2</v>
      </c>
      <c r="T33" s="36">
        <f t="shared" si="62"/>
        <v>4.3023268872849137E-2</v>
      </c>
      <c r="U33" s="36">
        <f t="shared" si="63"/>
        <v>0.28101416638046445</v>
      </c>
      <c r="V33" s="36">
        <f t="shared" si="64"/>
        <v>1.9256629381645459E-2</v>
      </c>
      <c r="X33" s="33">
        <v>28</v>
      </c>
      <c r="Y33" s="6" t="s">
        <v>5</v>
      </c>
      <c r="Z33" s="22">
        <f t="shared" ref="Z33:AG33" si="132">SUM(Z34:Z35)</f>
        <v>76</v>
      </c>
      <c r="AA33" s="22">
        <f t="shared" si="132"/>
        <v>25</v>
      </c>
      <c r="AB33" s="22">
        <f t="shared" si="132"/>
        <v>8</v>
      </c>
      <c r="AC33" s="22">
        <f t="shared" si="132"/>
        <v>5</v>
      </c>
      <c r="AD33" s="186">
        <f t="shared" si="132"/>
        <v>3937000</v>
      </c>
      <c r="AE33" s="186">
        <f t="shared" si="132"/>
        <v>3079271.8799999994</v>
      </c>
      <c r="AF33" s="186">
        <f t="shared" si="132"/>
        <v>3150000</v>
      </c>
      <c r="AG33" s="186">
        <f t="shared" si="132"/>
        <v>2714346.6799999997</v>
      </c>
      <c r="AH33" s="22">
        <f t="shared" ref="AH33:AJ33" si="133">SUM(AH34:AH35)</f>
        <v>53714579.507830009</v>
      </c>
      <c r="AI33" s="22">
        <f t="shared" si="133"/>
        <v>8223702.1226469995</v>
      </c>
      <c r="AJ33" s="22">
        <f t="shared" si="133"/>
        <v>97042448.452550992</v>
      </c>
      <c r="AK33" s="28">
        <f t="shared" si="65"/>
        <v>35715.08789473684</v>
      </c>
      <c r="AL33" s="22">
        <f t="shared" si="66"/>
        <v>108206.60687693421</v>
      </c>
      <c r="AM33" s="22">
        <f t="shared" si="4"/>
        <v>328948.08490587998</v>
      </c>
      <c r="AN33" s="36">
        <f t="shared" si="67"/>
        <v>7.3294811875537463E-2</v>
      </c>
      <c r="AO33" s="36">
        <f t="shared" si="68"/>
        <v>0.47873815725377711</v>
      </c>
      <c r="AP33" s="36">
        <f t="shared" si="69"/>
        <v>4.0569874964820167E-2</v>
      </c>
      <c r="AQ33" s="36">
        <f t="shared" si="70"/>
        <v>5.7326556555304171E-2</v>
      </c>
      <c r="AR33" s="36">
        <f t="shared" si="71"/>
        <v>0.37443864503799179</v>
      </c>
      <c r="AS33" s="36">
        <f t="shared" si="72"/>
        <v>3.1731184951558723E-2</v>
      </c>
      <c r="AU33" s="33">
        <v>28</v>
      </c>
      <c r="AV33" s="6" t="s">
        <v>5</v>
      </c>
      <c r="AW33" s="22">
        <f t="shared" ref="AW33:BD33" si="134">SUM(AW34:AW35)</f>
        <v>37</v>
      </c>
      <c r="AX33" s="22">
        <f t="shared" si="134"/>
        <v>18</v>
      </c>
      <c r="AY33" s="22">
        <f t="shared" si="134"/>
        <v>4</v>
      </c>
      <c r="AZ33" s="22">
        <f t="shared" si="134"/>
        <v>4</v>
      </c>
      <c r="BA33" s="186">
        <f t="shared" si="134"/>
        <v>2766624.0003840011</v>
      </c>
      <c r="BB33" s="186">
        <f t="shared" si="134"/>
        <v>2684891.1900000004</v>
      </c>
      <c r="BC33" s="186">
        <f t="shared" si="134"/>
        <v>2499000</v>
      </c>
      <c r="BD33" s="186">
        <f t="shared" si="134"/>
        <v>2468422.4500000002</v>
      </c>
      <c r="BE33" s="22">
        <f t="shared" ref="BE33:BG33" si="135">SUM(BE34:BE35)</f>
        <v>78995116.239165008</v>
      </c>
      <c r="BF33" s="22">
        <f t="shared" si="135"/>
        <v>22726894.942007769</v>
      </c>
      <c r="BG33" s="22">
        <f t="shared" si="135"/>
        <v>75471580.997948781</v>
      </c>
      <c r="BH33" s="28">
        <f t="shared" si="73"/>
        <v>66714.120270270272</v>
      </c>
      <c r="BI33" s="22">
        <f t="shared" si="74"/>
        <v>614240.40383804776</v>
      </c>
      <c r="BJ33" s="22">
        <f t="shared" si="7"/>
        <v>1262605.2745559872</v>
      </c>
      <c r="BK33" s="36">
        <f t="shared" si="8"/>
        <v>3.5022722063067689E-2</v>
      </c>
      <c r="BL33" s="36">
        <f t="shared" si="9"/>
        <v>0.12173347953794819</v>
      </c>
      <c r="BM33" s="36">
        <f t="shared" si="10"/>
        <v>3.6657824889864098E-2</v>
      </c>
      <c r="BN33" s="36">
        <f t="shared" si="11"/>
        <v>3.3988065564347601E-2</v>
      </c>
      <c r="BO33" s="36">
        <f t="shared" si="12"/>
        <v>0.11813717610131251</v>
      </c>
      <c r="BP33" s="36">
        <f t="shared" si="13"/>
        <v>3.5574863471761274E-2</v>
      </c>
      <c r="BR33" s="33">
        <v>28</v>
      </c>
      <c r="BS33" s="6" t="s">
        <v>5</v>
      </c>
      <c r="BT33" s="22">
        <f t="shared" ref="BT33:CA33" si="136">SUM(BT34:BT35)</f>
        <v>34</v>
      </c>
      <c r="BU33" s="22">
        <f t="shared" si="136"/>
        <v>17</v>
      </c>
      <c r="BV33" s="22">
        <f t="shared" si="136"/>
        <v>3</v>
      </c>
      <c r="BW33" s="22">
        <f t="shared" si="136"/>
        <v>3</v>
      </c>
      <c r="BX33" s="186">
        <f t="shared" si="136"/>
        <v>2954754.9564101133</v>
      </c>
      <c r="BY33" s="186">
        <f t="shared" si="136"/>
        <v>2475139.17</v>
      </c>
      <c r="BZ33" s="186">
        <f t="shared" si="136"/>
        <v>2668932</v>
      </c>
      <c r="CA33" s="186">
        <f t="shared" si="136"/>
        <v>2239533.61</v>
      </c>
      <c r="CB33" s="22">
        <f t="shared" ref="CB33:CD33" si="137">SUM(CB34:CB35)</f>
        <v>47160940.651649997</v>
      </c>
      <c r="CC33" s="22">
        <f t="shared" si="137"/>
        <v>11200723.404766873</v>
      </c>
      <c r="CD33" s="22">
        <f t="shared" si="137"/>
        <v>29134389.674219027</v>
      </c>
      <c r="CE33" s="28">
        <f t="shared" si="75"/>
        <v>65868.635588235295</v>
      </c>
      <c r="CF33" s="22">
        <f t="shared" si="76"/>
        <v>329433.04131667269</v>
      </c>
      <c r="CG33" s="22">
        <f t="shared" si="16"/>
        <v>658866.08263334539</v>
      </c>
      <c r="CH33" s="36">
        <f t="shared" si="17"/>
        <v>6.265258740776912E-2</v>
      </c>
      <c r="CI33" s="36">
        <f t="shared" si="18"/>
        <v>0.26380036803271212</v>
      </c>
      <c r="CJ33" s="36">
        <f t="shared" si="19"/>
        <v>0.10141811753910777</v>
      </c>
      <c r="CK33" s="36">
        <f t="shared" si="20"/>
        <v>5.2482820227916796E-2</v>
      </c>
      <c r="CL33" s="36">
        <f t="shared" si="21"/>
        <v>0.2209802956964918</v>
      </c>
      <c r="CM33" s="36">
        <f t="shared" si="22"/>
        <v>8.4955930008386152E-2</v>
      </c>
      <c r="CO33" s="33">
        <v>28</v>
      </c>
      <c r="CP33" s="6" t="s">
        <v>5</v>
      </c>
      <c r="CQ33" s="22">
        <f>SUM(CQ34:CQ35)</f>
        <v>42</v>
      </c>
      <c r="CR33" s="22">
        <f>SUM(CR34:CR35)</f>
        <v>19</v>
      </c>
      <c r="CS33" s="22">
        <f>SUM(CS34:CS35)</f>
        <v>2</v>
      </c>
      <c r="CT33" s="22">
        <f>SUM(CT34:CT35)</f>
        <v>6</v>
      </c>
      <c r="CU33" s="186">
        <f>SUM(CU34:CU35)</f>
        <v>3069990.3997101076</v>
      </c>
      <c r="CV33" s="186">
        <f t="shared" ref="CV33:CX33" si="138">SUM(CV34:CV35)</f>
        <v>2764581.3000000003</v>
      </c>
      <c r="CW33" s="186">
        <f t="shared" si="138"/>
        <v>2773020.3479999998</v>
      </c>
      <c r="CX33" s="186">
        <f t="shared" si="138"/>
        <v>2510576.3600000003</v>
      </c>
      <c r="CY33" s="22">
        <f t="shared" ref="CY33:DA33" si="139">SUM(CY34:CY35)</f>
        <v>49657012.672238991</v>
      </c>
      <c r="CZ33" s="22">
        <f t="shared" si="139"/>
        <v>11793540.509656765</v>
      </c>
      <c r="DA33" s="22">
        <f t="shared" si="139"/>
        <v>36242579.096966192</v>
      </c>
      <c r="DB33" s="28">
        <f t="shared" si="77"/>
        <v>59775.627619047627</v>
      </c>
      <c r="DC33" s="22">
        <f t="shared" si="78"/>
        <v>280798.58356325631</v>
      </c>
      <c r="DD33" s="22">
        <f t="shared" si="25"/>
        <v>620712.65840298764</v>
      </c>
      <c r="DE33" s="36">
        <f t="shared" si="26"/>
        <v>6.1823904308814806E-2</v>
      </c>
      <c r="DF33" s="36">
        <f t="shared" si="27"/>
        <v>0.2603111760371149</v>
      </c>
      <c r="DG33" s="36">
        <f t="shared" si="28"/>
        <v>8.4706731038550503E-2</v>
      </c>
      <c r="DH33" s="36">
        <f t="shared" si="29"/>
        <v>5.5673532321559763E-2</v>
      </c>
      <c r="DI33" s="36">
        <f t="shared" si="30"/>
        <v>0.23441487293288313</v>
      </c>
      <c r="DJ33" s="36">
        <f t="shared" si="31"/>
        <v>7.627992733639144E-2</v>
      </c>
      <c r="DL33" s="33">
        <v>28</v>
      </c>
      <c r="DM33" s="6" t="s">
        <v>5</v>
      </c>
      <c r="DN33" s="415">
        <f>SUM(DN34:DN35)</f>
        <v>48.269367416330496</v>
      </c>
      <c r="DO33" s="417">
        <f>SUM(DO34:DO35)</f>
        <v>3143670.3023999999</v>
      </c>
      <c r="DP33" s="417">
        <f>SUM(DP34:DP35)</f>
        <v>2839572.836352</v>
      </c>
      <c r="DQ33" s="415">
        <f>SUM(DQ34:DQ35)</f>
        <v>57069347.36842104</v>
      </c>
      <c r="DR33" s="415">
        <f t="shared" ref="DR33:DS33" si="140">SUM(DR34:DR35)</f>
        <v>13553970</v>
      </c>
      <c r="DS33" s="415">
        <f t="shared" si="140"/>
        <v>41652532.536830492</v>
      </c>
      <c r="DT33" s="425">
        <f t="shared" si="79"/>
        <v>58827.637243725621</v>
      </c>
      <c r="DU33" s="415">
        <f t="shared" si="80"/>
        <v>280798.58356325631</v>
      </c>
      <c r="DV33" s="420">
        <f t="shared" si="81"/>
        <v>5.5085092915212304E-2</v>
      </c>
      <c r="DW33" s="420">
        <f t="shared" si="82"/>
        <v>0.23193723332720967</v>
      </c>
      <c r="DX33" s="420">
        <f t="shared" si="83"/>
        <v>7.547368937579646E-2</v>
      </c>
      <c r="DZ33" s="33">
        <v>28</v>
      </c>
      <c r="EA33" s="6" t="s">
        <v>5</v>
      </c>
      <c r="EB33" s="22">
        <f>SUM(EB34:EB35)</f>
        <v>67</v>
      </c>
      <c r="EC33" s="417">
        <f>SUM(EC34:EC35)</f>
        <v>3479654</v>
      </c>
      <c r="ED33" s="417">
        <f>SUM(ED34:ED35)</f>
        <v>3178709</v>
      </c>
      <c r="EE33" s="22">
        <f>SUM(EE34:EE35)</f>
        <v>76840507.707485452</v>
      </c>
      <c r="EF33" s="22">
        <f t="shared" ref="EF33:EG33" si="141">SUM(EF34:EF35)</f>
        <v>18249620.580527794</v>
      </c>
      <c r="EG33" s="22">
        <f t="shared" si="141"/>
        <v>200745826.38580573</v>
      </c>
      <c r="EH33" s="28">
        <f t="shared" si="34"/>
        <v>47443.417910447759</v>
      </c>
      <c r="EI33" s="22">
        <f t="shared" si="84"/>
        <v>272382.39672429545</v>
      </c>
      <c r="EJ33" s="36">
        <f t="shared" si="35"/>
        <v>4.5284109954690316E-2</v>
      </c>
      <c r="EK33" s="36">
        <f t="shared" si="36"/>
        <v>0.19066993665132767</v>
      </c>
      <c r="EL33" s="36">
        <f t="shared" si="37"/>
        <v>1.7333630604666153E-2</v>
      </c>
      <c r="EN33" s="33">
        <v>28</v>
      </c>
      <c r="EO33" s="6" t="s">
        <v>5</v>
      </c>
      <c r="EP33" s="22">
        <f>SUM(EP34:EP35)</f>
        <v>74</v>
      </c>
      <c r="EQ33" s="417">
        <f>SUM(EQ34:EQ35)</f>
        <v>3613250</v>
      </c>
      <c r="ER33" s="417">
        <f>SUM(ER34:ER35)</f>
        <v>3307129</v>
      </c>
      <c r="ES33" s="22">
        <f>SUM(ES34:ES35)</f>
        <v>84868620.45304364</v>
      </c>
      <c r="ET33" s="22">
        <f t="shared" ref="ET33:EU33" si="142">SUM(ET34:ET35)</f>
        <v>20156297.357597861</v>
      </c>
      <c r="EU33" s="22">
        <f t="shared" si="142"/>
        <v>221719270.93357646</v>
      </c>
      <c r="EV33" s="28">
        <f t="shared" si="39"/>
        <v>44690.932432432433</v>
      </c>
      <c r="EW33" s="22">
        <f t="shared" si="40"/>
        <v>272382.39672429545</v>
      </c>
      <c r="EX33" s="36">
        <f t="shared" si="41"/>
        <v>4.2574628652048724E-2</v>
      </c>
      <c r="EY33" s="36">
        <f t="shared" si="42"/>
        <v>0.17926159432441571</v>
      </c>
      <c r="EZ33" s="36">
        <f t="shared" si="43"/>
        <v>1.6296508574946883E-2</v>
      </c>
      <c r="FB33" s="33">
        <v>28</v>
      </c>
      <c r="FC33" s="6" t="s">
        <v>5</v>
      </c>
      <c r="FD33" s="22">
        <f>SUM(FD34:FD35)</f>
        <v>78</v>
      </c>
      <c r="FE33" s="417">
        <f>SUM(FE34:FE35)</f>
        <v>3752123</v>
      </c>
      <c r="FF33" s="417">
        <f>SUM(FF34:FF35)</f>
        <v>3440737</v>
      </c>
      <c r="FG33" s="22">
        <f>SUM(FG34:FG35)</f>
        <v>89456113.45050545</v>
      </c>
      <c r="FH33" s="22">
        <f t="shared" ref="FH33:FI33" si="143">SUM(FH34:FH35)</f>
        <v>21245826.944495041</v>
      </c>
      <c r="FI33" s="22">
        <f t="shared" si="143"/>
        <v>233704096.38944545</v>
      </c>
      <c r="FJ33" s="28">
        <f t="shared" si="45"/>
        <v>44112.01282051282</v>
      </c>
      <c r="FK33" s="22">
        <f t="shared" si="46"/>
        <v>272382.39672429539</v>
      </c>
      <c r="FL33" s="36">
        <f t="shared" si="47"/>
        <v>4.1943729224006431E-2</v>
      </c>
      <c r="FM33" s="36">
        <f t="shared" si="48"/>
        <v>0.17660517568002709</v>
      </c>
      <c r="FN33" s="36">
        <f t="shared" si="49"/>
        <v>1.6055015970911555E-2</v>
      </c>
      <c r="FP33" s="33">
        <v>28</v>
      </c>
      <c r="FQ33" s="6" t="s">
        <v>5</v>
      </c>
      <c r="FR33" s="22">
        <f>SUM(FR34:FR35)</f>
        <v>79</v>
      </c>
      <c r="FS33" s="417">
        <f>SUM(FS34:FS35)</f>
        <v>3896485</v>
      </c>
      <c r="FT33" s="417">
        <f>SUM(FT34:FT35)</f>
        <v>3579743</v>
      </c>
      <c r="FU33" s="22">
        <f>SUM(FU34:FU35)</f>
        <v>90602986.699870914</v>
      </c>
      <c r="FV33" s="22">
        <f t="shared" ref="FV33:FW33" si="144">SUM(FV34:FV35)</f>
        <v>21518209.34121934</v>
      </c>
      <c r="FW33" s="22">
        <f t="shared" si="144"/>
        <v>236700302.75341272</v>
      </c>
      <c r="FX33" s="28">
        <f t="shared" si="51"/>
        <v>45313.202531645569</v>
      </c>
      <c r="FY33" s="22">
        <f t="shared" si="52"/>
        <v>272382.39672429545</v>
      </c>
      <c r="FZ33" s="36">
        <f t="shared" si="53"/>
        <v>4.3006142975257476E-2</v>
      </c>
      <c r="GA33" s="36">
        <f t="shared" si="54"/>
        <v>0.18107849673792623</v>
      </c>
      <c r="GB33" s="36">
        <f t="shared" si="55"/>
        <v>1.6461681521629658E-2</v>
      </c>
    </row>
    <row r="34" spans="1:185" x14ac:dyDescent="0.25">
      <c r="A34" s="33">
        <v>29</v>
      </c>
      <c r="B34" s="105" t="s">
        <v>57</v>
      </c>
      <c r="C34" s="403">
        <v>43</v>
      </c>
      <c r="D34" s="408">
        <v>20</v>
      </c>
      <c r="E34" s="398">
        <v>6</v>
      </c>
      <c r="F34" s="405">
        <v>5</v>
      </c>
      <c r="G34" s="187">
        <v>3150000</v>
      </c>
      <c r="H34" s="187">
        <v>2329797.42</v>
      </c>
      <c r="I34" s="187">
        <v>3150000</v>
      </c>
      <c r="J34" s="187">
        <v>2250475.42</v>
      </c>
      <c r="K34" s="408">
        <v>63438078.54457099</v>
      </c>
      <c r="L34" s="408">
        <v>9712369.825173825</v>
      </c>
      <c r="M34" s="408">
        <v>141733709.2545104</v>
      </c>
      <c r="N34" s="29">
        <f t="shared" si="56"/>
        <v>52336.637674418605</v>
      </c>
      <c r="O34" s="24">
        <f t="shared" si="57"/>
        <v>225869.06570171687</v>
      </c>
      <c r="P34" s="24">
        <f t="shared" si="58"/>
        <v>485618.49125869124</v>
      </c>
      <c r="Q34" s="40">
        <f t="shared" si="59"/>
        <v>4.9654719567000127E-2</v>
      </c>
      <c r="R34" s="40">
        <f t="shared" si="60"/>
        <v>0.32432867124101955</v>
      </c>
      <c r="S34" s="40">
        <f t="shared" si="61"/>
        <v>2.2224776424524129E-2</v>
      </c>
      <c r="T34" s="40">
        <f t="shared" si="62"/>
        <v>3.6725535726355688E-2</v>
      </c>
      <c r="U34" s="40">
        <f t="shared" si="63"/>
        <v>0.23987939729820809</v>
      </c>
      <c r="V34" s="40">
        <f t="shared" si="64"/>
        <v>1.6437849769502584E-2</v>
      </c>
      <c r="X34" s="33">
        <v>29</v>
      </c>
      <c r="Y34" s="105" t="s">
        <v>57</v>
      </c>
      <c r="Z34" s="403">
        <v>76</v>
      </c>
      <c r="AA34" s="408">
        <v>25</v>
      </c>
      <c r="AB34" s="398">
        <v>8</v>
      </c>
      <c r="AC34" s="405">
        <v>5</v>
      </c>
      <c r="AD34" s="187">
        <v>3150000</v>
      </c>
      <c r="AE34" s="187">
        <v>2756466.4799999995</v>
      </c>
      <c r="AF34" s="187">
        <v>3150000</v>
      </c>
      <c r="AG34" s="187">
        <v>2714346.6799999997</v>
      </c>
      <c r="AH34" s="408">
        <v>53714579.507830009</v>
      </c>
      <c r="AI34" s="408">
        <v>8223702.1226469995</v>
      </c>
      <c r="AJ34" s="408">
        <v>97042448.452550992</v>
      </c>
      <c r="AK34" s="29">
        <f t="shared" si="65"/>
        <v>35715.08789473684</v>
      </c>
      <c r="AL34" s="24">
        <f t="shared" si="66"/>
        <v>108206.60687693421</v>
      </c>
      <c r="AM34" s="24">
        <f t="shared" si="4"/>
        <v>328948.08490587998</v>
      </c>
      <c r="AN34" s="40">
        <f t="shared" si="67"/>
        <v>5.8643296268210056E-2</v>
      </c>
      <c r="AO34" s="40">
        <f t="shared" si="68"/>
        <v>0.38303916569707847</v>
      </c>
      <c r="AP34" s="40">
        <f t="shared" si="69"/>
        <v>3.2460021879396374E-2</v>
      </c>
      <c r="AQ34" s="40">
        <f t="shared" si="70"/>
        <v>5.1316914425406375E-2</v>
      </c>
      <c r="AR34" s="40">
        <f t="shared" si="71"/>
        <v>0.33518559389560715</v>
      </c>
      <c r="AS34" s="40">
        <f t="shared" si="72"/>
        <v>2.8404749920832601E-2</v>
      </c>
      <c r="AU34" s="33">
        <v>29</v>
      </c>
      <c r="AV34" s="105" t="s">
        <v>57</v>
      </c>
      <c r="AW34" s="403">
        <v>37</v>
      </c>
      <c r="AX34" s="408">
        <v>18</v>
      </c>
      <c r="AY34" s="398">
        <v>4</v>
      </c>
      <c r="AZ34" s="405">
        <v>4</v>
      </c>
      <c r="BA34" s="187">
        <v>2550000</v>
      </c>
      <c r="BB34" s="187">
        <v>2493023.7400000002</v>
      </c>
      <c r="BC34" s="187">
        <v>2499000</v>
      </c>
      <c r="BD34" s="187">
        <v>2468422.4500000002</v>
      </c>
      <c r="BE34" s="408">
        <v>78995116.239165008</v>
      </c>
      <c r="BF34" s="408">
        <v>22726894.942007769</v>
      </c>
      <c r="BG34" s="408">
        <v>75471580.997948781</v>
      </c>
      <c r="BH34" s="29">
        <f t="shared" si="73"/>
        <v>66714.120270270272</v>
      </c>
      <c r="BI34" s="24">
        <f t="shared" si="74"/>
        <v>614240.40383804776</v>
      </c>
      <c r="BJ34" s="24">
        <f t="shared" si="7"/>
        <v>1262605.2745559872</v>
      </c>
      <c r="BK34" s="40">
        <f t="shared" si="8"/>
        <v>3.2280476583889557E-2</v>
      </c>
      <c r="BL34" s="40">
        <f t="shared" si="9"/>
        <v>0.11220186508129845</v>
      </c>
      <c r="BM34" s="40">
        <f t="shared" si="10"/>
        <v>3.3787552430752786E-2</v>
      </c>
      <c r="BN34" s="40">
        <f t="shared" si="11"/>
        <v>3.1559213514568932E-2</v>
      </c>
      <c r="BO34" s="40">
        <f t="shared" si="12"/>
        <v>0.10969486796860946</v>
      </c>
      <c r="BP34" s="40">
        <f t="shared" si="13"/>
        <v>3.3032615814259376E-2</v>
      </c>
      <c r="BR34" s="33">
        <v>29</v>
      </c>
      <c r="BS34" s="105" t="s">
        <v>57</v>
      </c>
      <c r="BT34" s="403">
        <v>34</v>
      </c>
      <c r="BU34" s="408">
        <v>17</v>
      </c>
      <c r="BV34" s="398">
        <v>3</v>
      </c>
      <c r="BW34" s="405">
        <v>3</v>
      </c>
      <c r="BX34" s="187">
        <v>2723400</v>
      </c>
      <c r="BY34" s="187">
        <v>2244898.61</v>
      </c>
      <c r="BZ34" s="187">
        <v>2668932</v>
      </c>
      <c r="CA34" s="187">
        <v>2239533.61</v>
      </c>
      <c r="CB34" s="408">
        <v>47160940.651649997</v>
      </c>
      <c r="CC34" s="408">
        <v>11200723.404766873</v>
      </c>
      <c r="CD34" s="408">
        <v>29134389.674219027</v>
      </c>
      <c r="CE34" s="29">
        <f t="shared" si="75"/>
        <v>65868.635588235295</v>
      </c>
      <c r="CF34" s="24">
        <f t="shared" si="76"/>
        <v>329433.04131667269</v>
      </c>
      <c r="CG34" s="24">
        <f t="shared" si="16"/>
        <v>658866.08263334539</v>
      </c>
      <c r="CH34" s="40">
        <f t="shared" si="17"/>
        <v>5.7746939784686369E-2</v>
      </c>
      <c r="CI34" s="40">
        <f t="shared" si="18"/>
        <v>0.24314500961973212</v>
      </c>
      <c r="CJ34" s="40">
        <f t="shared" si="19"/>
        <v>9.3477159825658962E-2</v>
      </c>
      <c r="CK34" s="40">
        <f t="shared" si="20"/>
        <v>4.7600802252477099E-2</v>
      </c>
      <c r="CL34" s="40">
        <f t="shared" si="21"/>
        <v>0.20042443053674569</v>
      </c>
      <c r="CM34" s="40">
        <f t="shared" si="22"/>
        <v>7.7053222501053689E-2</v>
      </c>
      <c r="CO34" s="33">
        <v>29</v>
      </c>
      <c r="CP34" s="105" t="s">
        <v>57</v>
      </c>
      <c r="CQ34" s="403">
        <v>42</v>
      </c>
      <c r="CR34" s="408">
        <v>19</v>
      </c>
      <c r="CS34" s="398">
        <v>2</v>
      </c>
      <c r="CT34" s="405">
        <v>6</v>
      </c>
      <c r="CU34" s="187">
        <v>2829612.5999999996</v>
      </c>
      <c r="CV34" s="187">
        <v>2511336.0600000005</v>
      </c>
      <c r="CW34" s="187">
        <v>2773020.3479999998</v>
      </c>
      <c r="CX34" s="187">
        <v>2510576.3600000003</v>
      </c>
      <c r="CY34" s="408">
        <v>49657012.672238991</v>
      </c>
      <c r="CZ34" s="408">
        <v>11793540.509656765</v>
      </c>
      <c r="DA34" s="408">
        <v>36242579.096966192</v>
      </c>
      <c r="DB34" s="29">
        <f t="shared" si="77"/>
        <v>59775.627619047627</v>
      </c>
      <c r="DC34" s="24">
        <f t="shared" si="78"/>
        <v>280798.58356325631</v>
      </c>
      <c r="DD34" s="24">
        <f t="shared" si="25"/>
        <v>620712.65840298764</v>
      </c>
      <c r="DE34" s="40">
        <f t="shared" si="26"/>
        <v>5.6983141911432562E-2</v>
      </c>
      <c r="DF34" s="40">
        <f t="shared" si="27"/>
        <v>0.23992901857445281</v>
      </c>
      <c r="DG34" s="40">
        <f t="shared" si="28"/>
        <v>7.8074261559295643E-2</v>
      </c>
      <c r="DH34" s="40">
        <f t="shared" si="29"/>
        <v>5.0573643577314427E-2</v>
      </c>
      <c r="DI34" s="40">
        <f t="shared" si="30"/>
        <v>0.2129416571676396</v>
      </c>
      <c r="DJ34" s="40">
        <f t="shared" si="31"/>
        <v>6.9292421305916951E-2</v>
      </c>
      <c r="DL34" s="33">
        <v>29</v>
      </c>
      <c r="DM34" s="105" t="s">
        <v>57</v>
      </c>
      <c r="DN34" s="405">
        <f>$DR34*(CQ34/$CZ34)</f>
        <v>48.269367416330496</v>
      </c>
      <c r="DO34" s="418">
        <v>2897523.3023999999</v>
      </c>
      <c r="DP34" s="418">
        <v>2839572.836352</v>
      </c>
      <c r="DQ34" s="405">
        <f>DR34*(CY34/CZ34)</f>
        <v>57069347.36842104</v>
      </c>
      <c r="DR34" s="405">
        <v>13553970</v>
      </c>
      <c r="DS34" s="405">
        <f>$DR34*(DA34/$CZ34)</f>
        <v>41652532.536830492</v>
      </c>
      <c r="DT34" s="426">
        <f t="shared" si="79"/>
        <v>58827.637243725621</v>
      </c>
      <c r="DU34" s="405">
        <f t="shared" si="80"/>
        <v>280798.58356325631</v>
      </c>
      <c r="DV34" s="421">
        <f t="shared" si="81"/>
        <v>5.0771971925568683E-2</v>
      </c>
      <c r="DW34" s="421">
        <f t="shared" si="82"/>
        <v>0.21377672389713123</v>
      </c>
      <c r="DX34" s="421">
        <f t="shared" si="83"/>
        <v>6.9564156749362546E-2</v>
      </c>
      <c r="DZ34" s="33">
        <v>29</v>
      </c>
      <c r="EA34" s="105" t="s">
        <v>57</v>
      </c>
      <c r="EB34" s="398">
        <v>67</v>
      </c>
      <c r="EC34" s="418">
        <f>_xlfn.XLOOKUP($EA34,'Budget by Cost Category'!$AR:$AR,'Budget by Cost Category'!$AW:$AW,0)</f>
        <v>3203709</v>
      </c>
      <c r="ED34" s="418">
        <f>_xlfn.XLOOKUP($EA34,'Budget by Cost Category'!$AR:$AR,'Budget by Cost Category'!$AS:$AS,0)</f>
        <v>3178709</v>
      </c>
      <c r="EE34" s="24">
        <v>76840507.707485452</v>
      </c>
      <c r="EF34" s="24">
        <v>18249620.580527794</v>
      </c>
      <c r="EG34" s="24">
        <v>200745826.38580573</v>
      </c>
      <c r="EH34" s="29">
        <f t="shared" si="34"/>
        <v>47443.417910447759</v>
      </c>
      <c r="EI34" s="24">
        <f t="shared" si="84"/>
        <v>272382.39672429545</v>
      </c>
      <c r="EJ34" s="40">
        <f t="shared" si="35"/>
        <v>4.1692970226014127E-2</v>
      </c>
      <c r="EK34" s="40">
        <f t="shared" si="36"/>
        <v>0.1755493483200595</v>
      </c>
      <c r="EL34" s="40">
        <f t="shared" si="37"/>
        <v>1.5959031665459953E-2</v>
      </c>
      <c r="EN34" s="33">
        <v>29</v>
      </c>
      <c r="EO34" s="105" t="s">
        <v>57</v>
      </c>
      <c r="EP34" s="398">
        <v>74</v>
      </c>
      <c r="EQ34" s="418">
        <f>_xlfn.XLOOKUP($EA34,'Budget by Cost Category'!$AY:$AY,'Budget by Cost Category'!$BD:$BD,0)</f>
        <v>3332559</v>
      </c>
      <c r="ER34" s="418">
        <f>_xlfn.XLOOKUP($EA34,'Budget by Cost Category'!$AY:$AY,'Budget by Cost Category'!$AZ:$AZ,0)</f>
        <v>3307129</v>
      </c>
      <c r="ES34" s="24">
        <v>84868620.45304364</v>
      </c>
      <c r="ET34" s="24">
        <v>20156297.357597861</v>
      </c>
      <c r="EU34" s="24">
        <v>221719270.93357646</v>
      </c>
      <c r="EV34" s="29">
        <f t="shared" si="39"/>
        <v>44690.932432432433</v>
      </c>
      <c r="EW34" s="24">
        <f t="shared" si="40"/>
        <v>272382.39672429545</v>
      </c>
      <c r="EX34" s="40">
        <f t="shared" si="41"/>
        <v>3.926726960106354E-2</v>
      </c>
      <c r="EY34" s="40">
        <f t="shared" si="42"/>
        <v>0.16533587200447808</v>
      </c>
      <c r="EZ34" s="40">
        <f t="shared" si="43"/>
        <v>1.5030533818588918E-2</v>
      </c>
      <c r="FB34" s="33">
        <v>29</v>
      </c>
      <c r="FC34" s="105" t="s">
        <v>57</v>
      </c>
      <c r="FD34" s="398">
        <v>78</v>
      </c>
      <c r="FE34" s="418">
        <f>_xlfn.XLOOKUP($EA34,'Budget by Cost Category'!$BF:$BF,'Budget by Cost Category'!$BK:$BK,0)</f>
        <v>3466604</v>
      </c>
      <c r="FF34" s="418">
        <f>_xlfn.XLOOKUP($EA34,'Budget by Cost Category'!$BF:$BF,'Budget by Cost Category'!$BG:$BG,0)</f>
        <v>3440737</v>
      </c>
      <c r="FG34" s="24">
        <v>89456113.45050545</v>
      </c>
      <c r="FH34" s="24">
        <v>21245826.944495041</v>
      </c>
      <c r="FI34" s="24">
        <v>233704096.38944545</v>
      </c>
      <c r="FJ34" s="29">
        <f t="shared" si="45"/>
        <v>44112.01282051282</v>
      </c>
      <c r="FK34" s="24">
        <f t="shared" si="46"/>
        <v>272382.39672429539</v>
      </c>
      <c r="FL34" s="40">
        <f t="shared" si="47"/>
        <v>3.8752007730785368E-2</v>
      </c>
      <c r="FM34" s="40">
        <f t="shared" si="48"/>
        <v>0.16316634834014893</v>
      </c>
      <c r="FN34" s="40">
        <f t="shared" si="49"/>
        <v>1.4833304394558993E-2</v>
      </c>
      <c r="FP34" s="33">
        <v>29</v>
      </c>
      <c r="FQ34" s="105" t="s">
        <v>57</v>
      </c>
      <c r="FR34" s="398">
        <v>79</v>
      </c>
      <c r="FS34" s="418">
        <f>_xlfn.XLOOKUP($EA34,'Budget by Cost Category'!$BM:$BM,'Budget by Cost Category'!$BR:$BR,0)</f>
        <v>3606055</v>
      </c>
      <c r="FT34" s="418">
        <f>_xlfn.XLOOKUP($EA34,'Budget by Cost Category'!$BM:$BM,'Budget by Cost Category'!$BN:$BN,0)</f>
        <v>3579743</v>
      </c>
      <c r="FU34" s="24">
        <v>90602986.699870914</v>
      </c>
      <c r="FV34" s="24">
        <v>21518209.34121934</v>
      </c>
      <c r="FW34" s="24">
        <v>236700302.75341272</v>
      </c>
      <c r="FX34" s="29">
        <f t="shared" si="51"/>
        <v>45313.202531645569</v>
      </c>
      <c r="FY34" s="24">
        <f t="shared" si="52"/>
        <v>272382.39672429545</v>
      </c>
      <c r="FZ34" s="40">
        <f t="shared" si="53"/>
        <v>3.9800619508773186E-2</v>
      </c>
      <c r="GA34" s="40">
        <f t="shared" si="54"/>
        <v>0.16758155582641343</v>
      </c>
      <c r="GB34" s="40">
        <f t="shared" si="55"/>
        <v>1.5234686893310314E-2</v>
      </c>
    </row>
    <row r="35" spans="1:185" x14ac:dyDescent="0.25">
      <c r="A35" s="33">
        <v>30</v>
      </c>
      <c r="B35" s="10" t="s">
        <v>68</v>
      </c>
      <c r="C35" s="411">
        <v>0</v>
      </c>
      <c r="D35" s="411">
        <v>0</v>
      </c>
      <c r="E35" s="411">
        <v>0</v>
      </c>
      <c r="F35" s="411">
        <v>0</v>
      </c>
      <c r="G35" s="187">
        <v>787000</v>
      </c>
      <c r="H35" s="187">
        <v>399516.08999999997</v>
      </c>
      <c r="I35" s="187">
        <v>0</v>
      </c>
      <c r="J35" s="187">
        <v>0</v>
      </c>
      <c r="K35" s="24">
        <v>0</v>
      </c>
      <c r="L35" s="24">
        <v>0</v>
      </c>
      <c r="M35" s="24">
        <v>0</v>
      </c>
      <c r="N35" s="29">
        <f t="shared" si="56"/>
        <v>0</v>
      </c>
      <c r="O35" s="24">
        <f t="shared" si="57"/>
        <v>0</v>
      </c>
      <c r="P35" s="24">
        <f t="shared" si="58"/>
        <v>0</v>
      </c>
      <c r="Q35" s="40">
        <f t="shared" si="59"/>
        <v>0</v>
      </c>
      <c r="R35" s="40">
        <f t="shared" si="60"/>
        <v>0</v>
      </c>
      <c r="S35" s="40">
        <f t="shared" si="61"/>
        <v>0</v>
      </c>
      <c r="T35" s="40">
        <f t="shared" si="62"/>
        <v>0</v>
      </c>
      <c r="U35" s="40">
        <f t="shared" si="63"/>
        <v>0</v>
      </c>
      <c r="V35" s="40">
        <f t="shared" si="64"/>
        <v>0</v>
      </c>
      <c r="X35" s="33">
        <v>30</v>
      </c>
      <c r="Y35" s="10" t="s">
        <v>68</v>
      </c>
      <c r="Z35" s="411">
        <v>0</v>
      </c>
      <c r="AA35" s="411">
        <v>0</v>
      </c>
      <c r="AB35" s="411">
        <v>0</v>
      </c>
      <c r="AC35" s="411">
        <v>0</v>
      </c>
      <c r="AD35" s="187">
        <v>787000</v>
      </c>
      <c r="AE35" s="187">
        <v>322805.39999999997</v>
      </c>
      <c r="AF35" s="187">
        <v>0</v>
      </c>
      <c r="AG35" s="187">
        <v>0</v>
      </c>
      <c r="AH35" s="24">
        <v>0</v>
      </c>
      <c r="AI35" s="24">
        <v>0</v>
      </c>
      <c r="AJ35" s="24">
        <v>0</v>
      </c>
      <c r="AK35" s="29">
        <f t="shared" si="65"/>
        <v>0</v>
      </c>
      <c r="AL35" s="24">
        <f t="shared" si="66"/>
        <v>0</v>
      </c>
      <c r="AM35" s="24">
        <f t="shared" si="4"/>
        <v>0</v>
      </c>
      <c r="AN35" s="40">
        <f t="shared" si="67"/>
        <v>0</v>
      </c>
      <c r="AO35" s="40">
        <f t="shared" si="68"/>
        <v>0</v>
      </c>
      <c r="AP35" s="40">
        <f t="shared" si="69"/>
        <v>0</v>
      </c>
      <c r="AQ35" s="40">
        <f t="shared" si="70"/>
        <v>0</v>
      </c>
      <c r="AR35" s="40">
        <f t="shared" si="71"/>
        <v>0</v>
      </c>
      <c r="AS35" s="40">
        <f t="shared" si="72"/>
        <v>0</v>
      </c>
      <c r="AU35" s="33">
        <v>30</v>
      </c>
      <c r="AV35" s="10" t="s">
        <v>68</v>
      </c>
      <c r="AW35" s="411">
        <v>0</v>
      </c>
      <c r="AX35" s="411">
        <v>0</v>
      </c>
      <c r="AY35" s="411">
        <v>0</v>
      </c>
      <c r="AZ35" s="411">
        <v>0</v>
      </c>
      <c r="BA35" s="187">
        <v>216624.00038400127</v>
      </c>
      <c r="BB35" s="187">
        <v>191867.45000000004</v>
      </c>
      <c r="BC35" s="187">
        <v>0</v>
      </c>
      <c r="BD35" s="187">
        <v>0</v>
      </c>
      <c r="BE35" s="24">
        <v>0</v>
      </c>
      <c r="BF35" s="24">
        <v>0</v>
      </c>
      <c r="BG35" s="24">
        <v>0</v>
      </c>
      <c r="BH35" s="29">
        <f t="shared" si="73"/>
        <v>0</v>
      </c>
      <c r="BI35" s="24">
        <f t="shared" si="74"/>
        <v>0</v>
      </c>
      <c r="BJ35" s="24">
        <f t="shared" si="7"/>
        <v>0</v>
      </c>
      <c r="BK35" s="40">
        <f t="shared" si="8"/>
        <v>0</v>
      </c>
      <c r="BL35" s="40">
        <f t="shared" si="9"/>
        <v>0</v>
      </c>
      <c r="BM35" s="40">
        <f t="shared" si="10"/>
        <v>0</v>
      </c>
      <c r="BN35" s="40">
        <f t="shared" si="11"/>
        <v>0</v>
      </c>
      <c r="BO35" s="40">
        <f t="shared" si="12"/>
        <v>0</v>
      </c>
      <c r="BP35" s="40">
        <f t="shared" si="13"/>
        <v>0</v>
      </c>
      <c r="BR35" s="33">
        <v>30</v>
      </c>
      <c r="BS35" s="10" t="s">
        <v>68</v>
      </c>
      <c r="BT35" s="411">
        <v>0</v>
      </c>
      <c r="BU35" s="411">
        <v>0</v>
      </c>
      <c r="BV35" s="411">
        <v>0</v>
      </c>
      <c r="BW35" s="411">
        <v>0</v>
      </c>
      <c r="BX35" s="187">
        <v>231354.95641011337</v>
      </c>
      <c r="BY35" s="187">
        <v>230240.56000000017</v>
      </c>
      <c r="BZ35" s="187">
        <v>0</v>
      </c>
      <c r="CA35" s="187">
        <v>0</v>
      </c>
      <c r="CB35" s="24">
        <v>0</v>
      </c>
      <c r="CC35" s="24">
        <v>0</v>
      </c>
      <c r="CD35" s="24">
        <v>0</v>
      </c>
      <c r="CE35" s="29">
        <f t="shared" si="75"/>
        <v>0</v>
      </c>
      <c r="CF35" s="24">
        <f t="shared" si="76"/>
        <v>0</v>
      </c>
      <c r="CG35" s="24">
        <f t="shared" si="16"/>
        <v>0</v>
      </c>
      <c r="CH35" s="40">
        <f t="shared" si="17"/>
        <v>0</v>
      </c>
      <c r="CI35" s="40">
        <f t="shared" si="18"/>
        <v>0</v>
      </c>
      <c r="CJ35" s="40">
        <f t="shared" si="19"/>
        <v>0</v>
      </c>
      <c r="CK35" s="40">
        <f t="shared" si="20"/>
        <v>0</v>
      </c>
      <c r="CL35" s="40">
        <f t="shared" si="21"/>
        <v>0</v>
      </c>
      <c r="CM35" s="40">
        <f t="shared" si="22"/>
        <v>0</v>
      </c>
      <c r="CO35" s="33">
        <v>30</v>
      </c>
      <c r="CP35" s="10" t="s">
        <v>68</v>
      </c>
      <c r="CQ35" s="411">
        <v>0</v>
      </c>
      <c r="CR35" s="411">
        <v>0</v>
      </c>
      <c r="CS35" s="411">
        <v>0</v>
      </c>
      <c r="CT35" s="411">
        <v>0</v>
      </c>
      <c r="CU35" s="187">
        <v>240377.79971010776</v>
      </c>
      <c r="CV35" s="187">
        <v>253245.23999999996</v>
      </c>
      <c r="CW35" s="187">
        <v>0</v>
      </c>
      <c r="CX35" s="187">
        <v>0</v>
      </c>
      <c r="CY35" s="24">
        <v>0</v>
      </c>
      <c r="CZ35" s="24">
        <v>0</v>
      </c>
      <c r="DA35" s="24">
        <v>0</v>
      </c>
      <c r="DB35" s="29">
        <f t="shared" si="77"/>
        <v>0</v>
      </c>
      <c r="DC35" s="24">
        <f t="shared" si="78"/>
        <v>0</v>
      </c>
      <c r="DD35" s="24">
        <f t="shared" si="25"/>
        <v>0</v>
      </c>
      <c r="DE35" s="40">
        <f t="shared" si="26"/>
        <v>0</v>
      </c>
      <c r="DF35" s="40">
        <f t="shared" si="27"/>
        <v>0</v>
      </c>
      <c r="DG35" s="40">
        <f t="shared" si="28"/>
        <v>0</v>
      </c>
      <c r="DH35" s="40">
        <f t="shared" si="29"/>
        <v>0</v>
      </c>
      <c r="DI35" s="40">
        <f t="shared" si="30"/>
        <v>0</v>
      </c>
      <c r="DJ35" s="40">
        <f t="shared" si="31"/>
        <v>0</v>
      </c>
      <c r="DL35" s="33">
        <v>30</v>
      </c>
      <c r="DM35" s="10" t="s">
        <v>68</v>
      </c>
      <c r="DN35" s="405">
        <v>0</v>
      </c>
      <c r="DO35" s="418">
        <v>246147</v>
      </c>
      <c r="DP35" s="418">
        <v>0</v>
      </c>
      <c r="DQ35" s="405">
        <v>0</v>
      </c>
      <c r="DR35" s="405">
        <v>0</v>
      </c>
      <c r="DS35" s="405">
        <v>0</v>
      </c>
      <c r="DT35" s="426">
        <f t="shared" si="79"/>
        <v>0</v>
      </c>
      <c r="DU35" s="405">
        <f t="shared" si="80"/>
        <v>0</v>
      </c>
      <c r="DV35" s="421">
        <f t="shared" si="81"/>
        <v>0</v>
      </c>
      <c r="DW35" s="421">
        <f t="shared" si="82"/>
        <v>0</v>
      </c>
      <c r="DX35" s="421">
        <f t="shared" si="83"/>
        <v>0</v>
      </c>
      <c r="DZ35" s="33">
        <v>30</v>
      </c>
      <c r="EA35" s="10" t="s">
        <v>68</v>
      </c>
      <c r="EB35" s="24">
        <v>0</v>
      </c>
      <c r="EC35" s="418">
        <f>'Budget by Cost Category'!AV28</f>
        <v>275945</v>
      </c>
      <c r="ED35" s="418">
        <v>0</v>
      </c>
      <c r="EE35" s="24">
        <v>0</v>
      </c>
      <c r="EF35" s="24">
        <v>0</v>
      </c>
      <c r="EG35" s="24">
        <v>0</v>
      </c>
      <c r="EH35" s="29">
        <f t="shared" si="34"/>
        <v>0</v>
      </c>
      <c r="EI35" s="24">
        <f t="shared" si="84"/>
        <v>0</v>
      </c>
      <c r="EJ35" s="40">
        <f t="shared" si="35"/>
        <v>0</v>
      </c>
      <c r="EK35" s="40">
        <f t="shared" si="36"/>
        <v>0</v>
      </c>
      <c r="EL35" s="40">
        <f t="shared" si="37"/>
        <v>0</v>
      </c>
      <c r="EN35" s="33">
        <v>30</v>
      </c>
      <c r="EO35" s="10" t="s">
        <v>68</v>
      </c>
      <c r="EP35" s="24">
        <v>0</v>
      </c>
      <c r="EQ35" s="418">
        <f>'Budget by Cost Category'!BC28</f>
        <v>280691</v>
      </c>
      <c r="ER35" s="418">
        <v>0</v>
      </c>
      <c r="ES35" s="24">
        <v>0</v>
      </c>
      <c r="ET35" s="24">
        <v>0</v>
      </c>
      <c r="EU35" s="24">
        <v>0</v>
      </c>
      <c r="EV35" s="29">
        <f t="shared" si="39"/>
        <v>0</v>
      </c>
      <c r="EW35" s="24">
        <f t="shared" si="40"/>
        <v>0</v>
      </c>
      <c r="EX35" s="40">
        <f t="shared" si="41"/>
        <v>0</v>
      </c>
      <c r="EY35" s="40">
        <f t="shared" si="42"/>
        <v>0</v>
      </c>
      <c r="EZ35" s="40">
        <f t="shared" si="43"/>
        <v>0</v>
      </c>
      <c r="FB35" s="33">
        <v>30</v>
      </c>
      <c r="FC35" s="10" t="s">
        <v>68</v>
      </c>
      <c r="FD35" s="24">
        <v>0</v>
      </c>
      <c r="FE35" s="418">
        <f>'Budget by Cost Category'!BJ28</f>
        <v>285519</v>
      </c>
      <c r="FF35" s="418">
        <v>0</v>
      </c>
      <c r="FG35" s="24">
        <v>0</v>
      </c>
      <c r="FH35" s="24">
        <v>0</v>
      </c>
      <c r="FI35" s="24">
        <v>0</v>
      </c>
      <c r="FJ35" s="29">
        <f t="shared" si="45"/>
        <v>0</v>
      </c>
      <c r="FK35" s="24">
        <f t="shared" si="46"/>
        <v>0</v>
      </c>
      <c r="FL35" s="40">
        <f t="shared" si="47"/>
        <v>0</v>
      </c>
      <c r="FM35" s="40">
        <f t="shared" si="48"/>
        <v>0</v>
      </c>
      <c r="FN35" s="40">
        <f t="shared" si="49"/>
        <v>0</v>
      </c>
      <c r="FP35" s="33">
        <v>30</v>
      </c>
      <c r="FQ35" s="10" t="s">
        <v>68</v>
      </c>
      <c r="FR35" s="24">
        <v>0</v>
      </c>
      <c r="FS35" s="418">
        <f>'Budget by Cost Category'!BQ28</f>
        <v>290430</v>
      </c>
      <c r="FT35" s="418">
        <f>_xlfn.XLOOKUP($EA35,'Budget by Cost Category'!$BM:$BM,'Budget by Cost Category'!$BN:$BN,0)</f>
        <v>0</v>
      </c>
      <c r="FU35" s="24">
        <v>0</v>
      </c>
      <c r="FV35" s="24">
        <v>0</v>
      </c>
      <c r="FW35" s="24">
        <v>0</v>
      </c>
      <c r="FX35" s="29">
        <f t="shared" si="51"/>
        <v>0</v>
      </c>
      <c r="FY35" s="24">
        <f t="shared" si="52"/>
        <v>0</v>
      </c>
      <c r="FZ35" s="40">
        <f t="shared" si="53"/>
        <v>0</v>
      </c>
      <c r="GA35" s="40">
        <f t="shared" si="54"/>
        <v>0</v>
      </c>
      <c r="GB35" s="40">
        <f t="shared" si="55"/>
        <v>0</v>
      </c>
    </row>
    <row r="36" spans="1:185" ht="15.75" thickBot="1" x14ac:dyDescent="0.3">
      <c r="A36" s="33">
        <v>31</v>
      </c>
      <c r="B36" s="6" t="s">
        <v>346</v>
      </c>
      <c r="C36" s="22">
        <f t="shared" ref="C36:F36" si="145">SUM(C37:C38)</f>
        <v>73</v>
      </c>
      <c r="D36" s="22">
        <f t="shared" si="145"/>
        <v>71</v>
      </c>
      <c r="E36" s="22">
        <f t="shared" si="145"/>
        <v>0</v>
      </c>
      <c r="F36" s="22">
        <f t="shared" si="145"/>
        <v>0</v>
      </c>
      <c r="G36" s="186">
        <f>SUM(G37:G38)+520200+841000</f>
        <v>3433971</v>
      </c>
      <c r="H36" s="186">
        <f>SUM(H37:H38)+63077.35</f>
        <v>521737.75</v>
      </c>
      <c r="I36" s="186">
        <f>SUM(I37:I38)+520200+841000</f>
        <v>3433971</v>
      </c>
      <c r="J36" s="186">
        <f t="shared" ref="J36:M36" si="146">SUM(J37:J38)</f>
        <v>70355</v>
      </c>
      <c r="K36" s="22">
        <f t="shared" si="146"/>
        <v>1309464.6296000001</v>
      </c>
      <c r="L36" s="22">
        <f t="shared" si="146"/>
        <v>1144957.0063327202</v>
      </c>
      <c r="M36" s="22">
        <f t="shared" si="146"/>
        <v>8164849.2475629998</v>
      </c>
      <c r="N36" s="28">
        <f t="shared" si="56"/>
        <v>963.76712328767121</v>
      </c>
      <c r="O36" s="22">
        <f t="shared" ref="O36" si="147">IFERROR(L36/C36,0)</f>
        <v>15684.342552503016</v>
      </c>
      <c r="P36" s="22">
        <f t="shared" si="58"/>
        <v>16126.155018770707</v>
      </c>
      <c r="Q36" s="36">
        <f t="shared" ref="Q36" si="148">IFERROR(G36/K36,0)</f>
        <v>2.6224236396892744</v>
      </c>
      <c r="R36" s="36">
        <f t="shared" ref="R36" si="149">IFERROR(G36/L36,0)</f>
        <v>2.9992139276905747</v>
      </c>
      <c r="S36" s="36">
        <f t="shared" ref="S36" si="150">IFERROR(G36/M36,0)</f>
        <v>0.4205798412046558</v>
      </c>
      <c r="T36" s="36">
        <f t="shared" ref="T36" si="151">IFERROR(H36/K36,0)</f>
        <v>0.39843592427492625</v>
      </c>
      <c r="U36" s="36">
        <f t="shared" ref="U36" si="152">IFERROR(H36/L36,0)</f>
        <v>0.45568326768104422</v>
      </c>
      <c r="V36" s="36">
        <f t="shared" ref="V36" si="153">IFERROR(H36/M36,0)</f>
        <v>6.3900475585109612E-2</v>
      </c>
      <c r="X36" s="33">
        <v>31</v>
      </c>
      <c r="Y36" s="6" t="s">
        <v>346</v>
      </c>
      <c r="Z36" s="22">
        <f t="shared" ref="Z36" si="154">SUM(Z37:Z38)</f>
        <v>13</v>
      </c>
      <c r="AA36" s="22">
        <f t="shared" ref="AA36" si="155">SUM(AA37:AA38)</f>
        <v>13</v>
      </c>
      <c r="AB36" s="22">
        <f t="shared" ref="AB36" si="156">SUM(AB37:AB38)</f>
        <v>0</v>
      </c>
      <c r="AC36" s="22">
        <f t="shared" ref="AC36" si="157">SUM(AC37:AC38)</f>
        <v>0</v>
      </c>
      <c r="AD36" s="186">
        <f>SUM(AD37:AD38)+520200+841000</f>
        <v>3433971</v>
      </c>
      <c r="AE36" s="186">
        <f>SUM(AE37:AE38)+24000+489606.815145225</f>
        <v>574019.57514522504</v>
      </c>
      <c r="AF36" s="186">
        <f>SUM(AF37:AF38)+520200+841000</f>
        <v>3433971</v>
      </c>
      <c r="AG36" s="186">
        <f t="shared" ref="AG36" si="158">SUM(AG37:AG38)</f>
        <v>34818.400000000001</v>
      </c>
      <c r="AH36" s="22">
        <f t="shared" ref="AH36" si="159">SUM(AH37:AH38)</f>
        <v>1034677</v>
      </c>
      <c r="AI36" s="22">
        <f t="shared" ref="AI36" si="160">SUM(AI37:AI38)</f>
        <v>1001378.5061999999</v>
      </c>
      <c r="AJ36" s="22">
        <f t="shared" ref="AJ36" si="161">SUM(AJ37:AJ38)</f>
        <v>5006892.5310000004</v>
      </c>
      <c r="AK36" s="28">
        <f t="shared" si="65"/>
        <v>2678.3384615384616</v>
      </c>
      <c r="AL36" s="22">
        <f t="shared" ref="AL36" si="162">IFERROR(AI36/Z36,0)</f>
        <v>77029.115861538463</v>
      </c>
      <c r="AM36" s="22">
        <f t="shared" si="4"/>
        <v>77029.115861538463</v>
      </c>
      <c r="AN36" s="36">
        <f t="shared" ref="AN36" si="163">IFERROR(AD36/AH36,0)</f>
        <v>3.3188821245664104</v>
      </c>
      <c r="AO36" s="36">
        <f t="shared" ref="AO36" si="164">IFERROR(AD36/AI36,0)</f>
        <v>3.4292437662069726</v>
      </c>
      <c r="AP36" s="36">
        <f t="shared" ref="AP36" si="165">IFERROR(AD36/AJ36,0)</f>
        <v>0.68584875324139438</v>
      </c>
      <c r="AQ36" s="36">
        <f t="shared" ref="AQ36" si="166">IFERROR(AE36/AH36,0)</f>
        <v>0.55478141984911722</v>
      </c>
      <c r="AR36" s="36">
        <f t="shared" ref="AR36" si="167">IFERROR(AE36/AI36,0)</f>
        <v>0.57322937489790615</v>
      </c>
      <c r="AS36" s="36">
        <f t="shared" ref="AS36" si="168">IFERROR(AE36/AJ36,0)</f>
        <v>0.11464587497958122</v>
      </c>
      <c r="AU36" s="33">
        <v>31</v>
      </c>
      <c r="AV36" s="6" t="s">
        <v>111</v>
      </c>
      <c r="AW36" s="22">
        <f t="shared" ref="AW36:BG36" si="169">SUM(AW37:AW38)</f>
        <v>29</v>
      </c>
      <c r="AX36" s="22">
        <f t="shared" si="169"/>
        <v>29</v>
      </c>
      <c r="AY36" s="22">
        <f t="shared" si="169"/>
        <v>0</v>
      </c>
      <c r="AZ36" s="22">
        <f t="shared" si="169"/>
        <v>0</v>
      </c>
      <c r="BA36" s="186">
        <f t="shared" si="169"/>
        <v>1221656.0001920001</v>
      </c>
      <c r="BB36" s="186">
        <f t="shared" si="169"/>
        <v>1464037</v>
      </c>
      <c r="BC36" s="186">
        <f t="shared" si="169"/>
        <v>637500</v>
      </c>
      <c r="BD36" s="186">
        <f t="shared" si="169"/>
        <v>663448</v>
      </c>
      <c r="BE36" s="22">
        <f t="shared" si="169"/>
        <v>0</v>
      </c>
      <c r="BF36" s="22">
        <f t="shared" si="169"/>
        <v>0</v>
      </c>
      <c r="BG36" s="22">
        <f t="shared" si="169"/>
        <v>0</v>
      </c>
      <c r="BH36" s="28">
        <f t="shared" si="73"/>
        <v>22877.517241379312</v>
      </c>
      <c r="BI36" s="22">
        <f>IFERROR(BF36/AW36,0)</f>
        <v>0</v>
      </c>
      <c r="BJ36" s="22">
        <f t="shared" si="7"/>
        <v>0</v>
      </c>
      <c r="BK36" s="36">
        <f t="shared" si="8"/>
        <v>0</v>
      </c>
      <c r="BL36" s="36">
        <f t="shared" si="9"/>
        <v>0</v>
      </c>
      <c r="BM36" s="36">
        <f t="shared" si="10"/>
        <v>0</v>
      </c>
      <c r="BN36" s="36">
        <f t="shared" si="11"/>
        <v>0</v>
      </c>
      <c r="BO36" s="36">
        <f t="shared" si="12"/>
        <v>0</v>
      </c>
      <c r="BP36" s="36">
        <f t="shared" si="13"/>
        <v>0</v>
      </c>
      <c r="BR36" s="33">
        <v>31</v>
      </c>
      <c r="BS36" s="6" t="s">
        <v>111</v>
      </c>
      <c r="BT36" s="22">
        <f t="shared" ref="BT36:CD36" si="170">SUM(BT37:BT38)</f>
        <v>27</v>
      </c>
      <c r="BU36" s="22">
        <f t="shared" si="170"/>
        <v>27</v>
      </c>
      <c r="BV36" s="22">
        <f t="shared" si="170"/>
        <v>0</v>
      </c>
      <c r="BW36" s="22">
        <f t="shared" si="170"/>
        <v>0</v>
      </c>
      <c r="BX36" s="186">
        <f t="shared" si="170"/>
        <v>1281378.978205058</v>
      </c>
      <c r="BY36" s="186">
        <f t="shared" si="170"/>
        <v>1081464.56</v>
      </c>
      <c r="BZ36" s="186">
        <f t="shared" si="170"/>
        <v>668100</v>
      </c>
      <c r="CA36" s="186">
        <f t="shared" si="170"/>
        <v>328699.59999999998</v>
      </c>
      <c r="CB36" s="22">
        <f t="shared" si="170"/>
        <v>276138</v>
      </c>
      <c r="CC36" s="22">
        <f t="shared" si="170"/>
        <v>276138</v>
      </c>
      <c r="CD36" s="22">
        <f t="shared" si="170"/>
        <v>2761380</v>
      </c>
      <c r="CE36" s="28">
        <f t="shared" si="75"/>
        <v>12174.059259259258</v>
      </c>
      <c r="CF36" s="22">
        <f>IFERROR(CC36/BT36,0)</f>
        <v>10227.333333333334</v>
      </c>
      <c r="CG36" s="22">
        <f t="shared" si="16"/>
        <v>10227.333333333334</v>
      </c>
      <c r="CH36" s="36">
        <f t="shared" si="17"/>
        <v>4.6403572786253902</v>
      </c>
      <c r="CI36" s="36">
        <f t="shared" si="18"/>
        <v>4.6403572786253902</v>
      </c>
      <c r="CJ36" s="36">
        <f t="shared" si="19"/>
        <v>0.46403572786253905</v>
      </c>
      <c r="CK36" s="36">
        <f t="shared" si="20"/>
        <v>3.9163916592428425</v>
      </c>
      <c r="CL36" s="36">
        <f t="shared" si="21"/>
        <v>3.9163916592428425</v>
      </c>
      <c r="CM36" s="36">
        <f t="shared" si="22"/>
        <v>0.39163916592428427</v>
      </c>
      <c r="CO36" s="33">
        <v>31</v>
      </c>
      <c r="CP36" s="6" t="s">
        <v>111</v>
      </c>
      <c r="CQ36" s="22">
        <f t="shared" ref="CQ36:DA36" si="171">SUM(CQ37:CQ38)</f>
        <v>31</v>
      </c>
      <c r="CR36" s="22">
        <f t="shared" si="171"/>
        <v>31</v>
      </c>
      <c r="CS36" s="22">
        <f t="shared" si="171"/>
        <v>0</v>
      </c>
      <c r="CT36" s="22">
        <f t="shared" si="171"/>
        <v>0</v>
      </c>
      <c r="CU36" s="186">
        <f t="shared" si="171"/>
        <v>1331352.040355057</v>
      </c>
      <c r="CV36" s="186">
        <f t="shared" si="171"/>
        <v>1148435.19</v>
      </c>
      <c r="CW36" s="186">
        <f t="shared" si="171"/>
        <v>694155.89999999991</v>
      </c>
      <c r="CX36" s="186">
        <f t="shared" si="171"/>
        <v>345891</v>
      </c>
      <c r="CY36" s="22">
        <f t="shared" si="171"/>
        <v>375033</v>
      </c>
      <c r="CZ36" s="22">
        <f t="shared" si="171"/>
        <v>375033</v>
      </c>
      <c r="DA36" s="22">
        <f t="shared" si="171"/>
        <v>3750330</v>
      </c>
      <c r="DB36" s="28">
        <f t="shared" si="77"/>
        <v>11157.774193548386</v>
      </c>
      <c r="DC36" s="22">
        <f>IFERROR(CZ36/CQ36,0)</f>
        <v>12097.838709677419</v>
      </c>
      <c r="DD36" s="22">
        <f t="shared" si="25"/>
        <v>12097.838709677419</v>
      </c>
      <c r="DE36" s="36">
        <f t="shared" si="26"/>
        <v>3.5499597111589032</v>
      </c>
      <c r="DF36" s="36">
        <f t="shared" si="27"/>
        <v>3.5499597111589032</v>
      </c>
      <c r="DG36" s="36">
        <f t="shared" si="28"/>
        <v>0.35499597111589032</v>
      </c>
      <c r="DH36" s="36">
        <f t="shared" si="29"/>
        <v>3.0622243642559455</v>
      </c>
      <c r="DI36" s="36">
        <f t="shared" si="30"/>
        <v>3.0622243642559455</v>
      </c>
      <c r="DJ36" s="36">
        <f t="shared" si="31"/>
        <v>0.30622243642559455</v>
      </c>
      <c r="DL36" s="33">
        <v>31</v>
      </c>
      <c r="DM36" s="6" t="s">
        <v>111</v>
      </c>
      <c r="DN36" s="415">
        <f t="shared" ref="DN36:DS36" si="172">SUM(DN37:DN38)</f>
        <v>25</v>
      </c>
      <c r="DO36" s="417">
        <f t="shared" si="172"/>
        <v>1363304.6971417875</v>
      </c>
      <c r="DP36" s="417">
        <f t="shared" si="172"/>
        <v>710815.64159999997</v>
      </c>
      <c r="DQ36" s="415">
        <f t="shared" si="172"/>
        <v>375000</v>
      </c>
      <c r="DR36" s="415">
        <f t="shared" si="172"/>
        <v>375000</v>
      </c>
      <c r="DS36" s="415">
        <f t="shared" si="172"/>
        <v>3750000</v>
      </c>
      <c r="DT36" s="425">
        <f>IFERROR(DP36/$DN36,0)</f>
        <v>28432.625663999999</v>
      </c>
      <c r="DU36" s="415">
        <f>IFERROR(DR36/$DN36,0)</f>
        <v>15000</v>
      </c>
      <c r="DV36" s="420">
        <f>IFERROR(DO36/DQ36,0)</f>
        <v>3.6354791923780998</v>
      </c>
      <c r="DW36" s="420">
        <f>IFERROR(DO36/DR36,0)</f>
        <v>3.6354791923780998</v>
      </c>
      <c r="DX36" s="420">
        <f>IFERROR(DO36/DS36,0)</f>
        <v>0.36354791923780999</v>
      </c>
      <c r="DZ36" s="33">
        <v>31</v>
      </c>
      <c r="EA36" s="6" t="s">
        <v>8</v>
      </c>
      <c r="EB36" s="25">
        <v>0</v>
      </c>
      <c r="EC36" s="417">
        <f>_xlfn.XLOOKUP($EA36,'Budget by Cost Category'!$AR:$AR,'Budget by Cost Category'!$AW:$AW,0)</f>
        <v>17637852</v>
      </c>
      <c r="ED36" s="417">
        <f>_xlfn.XLOOKUP($EA36,'Budget by Cost Category'!$AR:$AR,'Budget by Cost Category'!$AS:$AS,0)</f>
        <v>0</v>
      </c>
      <c r="EE36" s="22">
        <v>0</v>
      </c>
      <c r="EF36" s="25">
        <v>0</v>
      </c>
      <c r="EG36" s="25">
        <v>0</v>
      </c>
      <c r="EH36" s="31">
        <f t="shared" si="34"/>
        <v>0</v>
      </c>
      <c r="EI36" s="25">
        <f t="shared" si="84"/>
        <v>0</v>
      </c>
      <c r="EJ36" s="414">
        <f t="shared" si="35"/>
        <v>0</v>
      </c>
      <c r="EK36" s="414">
        <f t="shared" si="36"/>
        <v>0</v>
      </c>
      <c r="EL36" s="414">
        <f t="shared" si="37"/>
        <v>0</v>
      </c>
      <c r="EN36" s="33">
        <v>31</v>
      </c>
      <c r="EO36" s="6" t="s">
        <v>8</v>
      </c>
      <c r="EP36" s="25">
        <v>0</v>
      </c>
      <c r="EQ36" s="417">
        <f>_xlfn.XLOOKUP($EA36,'Budget by Cost Category'!$AY:$AY,'Budget by Cost Category'!$BD:$BD,0)</f>
        <v>17737784</v>
      </c>
      <c r="ER36" s="417">
        <f>_xlfn.XLOOKUP($EA36,'Budget by Cost Category'!$AY:$AY,'Budget by Cost Category'!$AZ:$AZ,0)</f>
        <v>0</v>
      </c>
      <c r="ES36" s="22">
        <v>0</v>
      </c>
      <c r="ET36" s="25">
        <v>0</v>
      </c>
      <c r="EU36" s="25">
        <v>0</v>
      </c>
      <c r="EV36" s="31">
        <f t="shared" si="39"/>
        <v>0</v>
      </c>
      <c r="EW36" s="25">
        <f t="shared" si="40"/>
        <v>0</v>
      </c>
      <c r="EX36" s="414">
        <f t="shared" si="41"/>
        <v>0</v>
      </c>
      <c r="EY36" s="414">
        <f t="shared" si="42"/>
        <v>0</v>
      </c>
      <c r="EZ36" s="414">
        <f t="shared" si="43"/>
        <v>0</v>
      </c>
      <c r="FB36" s="33">
        <v>31</v>
      </c>
      <c r="FC36" s="6" t="s">
        <v>8</v>
      </c>
      <c r="FD36" s="25">
        <v>0</v>
      </c>
      <c r="FE36" s="417">
        <f>_xlfn.XLOOKUP($EA36,'Budget by Cost Category'!$BF:$BF,'Budget by Cost Category'!$BK:$BK,0)</f>
        <v>18042873</v>
      </c>
      <c r="FF36" s="417">
        <f>_xlfn.XLOOKUP($EA36,'Budget by Cost Category'!$BF:$BF,'Budget by Cost Category'!$BG:$BG,0)</f>
        <v>0</v>
      </c>
      <c r="FG36" s="22">
        <v>0</v>
      </c>
      <c r="FH36" s="25">
        <v>0</v>
      </c>
      <c r="FI36" s="25">
        <v>0</v>
      </c>
      <c r="FJ36" s="31">
        <f t="shared" si="45"/>
        <v>0</v>
      </c>
      <c r="FK36" s="25">
        <f t="shared" si="46"/>
        <v>0</v>
      </c>
      <c r="FL36" s="414">
        <f t="shared" si="47"/>
        <v>0</v>
      </c>
      <c r="FM36" s="414">
        <f t="shared" si="48"/>
        <v>0</v>
      </c>
      <c r="FN36" s="414">
        <f t="shared" si="49"/>
        <v>0</v>
      </c>
      <c r="FP36" s="33">
        <v>31</v>
      </c>
      <c r="FQ36" s="6" t="s">
        <v>8</v>
      </c>
      <c r="FR36" s="25">
        <v>0</v>
      </c>
      <c r="FS36" s="417">
        <f>_xlfn.XLOOKUP($EA36,'Budget by Cost Category'!$BM:$BM,'Budget by Cost Category'!$BR:$BR,0)</f>
        <v>18353209</v>
      </c>
      <c r="FT36" s="417">
        <f>_xlfn.XLOOKUP($EA36,'Budget by Cost Category'!$BM:$BM,'Budget by Cost Category'!$BN:$BN,0)</f>
        <v>0</v>
      </c>
      <c r="FU36" s="22">
        <v>0</v>
      </c>
      <c r="FV36" s="25">
        <v>0</v>
      </c>
      <c r="FW36" s="25">
        <v>0</v>
      </c>
      <c r="FX36" s="31">
        <f t="shared" si="51"/>
        <v>0</v>
      </c>
      <c r="FY36" s="25">
        <f t="shared" si="52"/>
        <v>0</v>
      </c>
      <c r="FZ36" s="414">
        <f t="shared" si="53"/>
        <v>0</v>
      </c>
      <c r="GA36" s="414">
        <f t="shared" si="54"/>
        <v>0</v>
      </c>
      <c r="GB36" s="414">
        <f t="shared" si="55"/>
        <v>0</v>
      </c>
    </row>
    <row r="37" spans="1:185" ht="15.75" thickTop="1" x14ac:dyDescent="0.25">
      <c r="A37" s="33">
        <v>32</v>
      </c>
      <c r="B37" s="8" t="s">
        <v>347</v>
      </c>
      <c r="C37" s="403">
        <v>7</v>
      </c>
      <c r="D37" s="408">
        <v>5</v>
      </c>
      <c r="E37" s="405">
        <v>0</v>
      </c>
      <c r="F37" s="405">
        <v>0</v>
      </c>
      <c r="G37" s="187">
        <v>1443562</v>
      </c>
      <c r="H37" s="187">
        <v>187083.90000000002</v>
      </c>
      <c r="I37" s="187">
        <v>1443562</v>
      </c>
      <c r="J37" s="187">
        <v>15000</v>
      </c>
      <c r="K37" s="404">
        <v>1219801.6296000001</v>
      </c>
      <c r="L37" s="404">
        <v>1100071.7085327201</v>
      </c>
      <c r="M37" s="404">
        <v>7940422.7585629998</v>
      </c>
      <c r="N37" s="29">
        <f t="shared" si="56"/>
        <v>2142.8571428571427</v>
      </c>
      <c r="O37" s="24">
        <f>IFERROR(L37/C37,0)</f>
        <v>157153.10121896002</v>
      </c>
      <c r="P37" s="24">
        <f t="shared" si="58"/>
        <v>220014.34170654402</v>
      </c>
      <c r="Q37" s="40">
        <f>IFERROR(G37/K37,0)</f>
        <v>1.183439966770151</v>
      </c>
      <c r="R37" s="40">
        <f>IFERROR(G37/L37,0)</f>
        <v>1.3122435463097479</v>
      </c>
      <c r="S37" s="40">
        <f>IFERROR(G37/M37,0)</f>
        <v>0.18179913638014475</v>
      </c>
      <c r="T37" s="40">
        <f>IFERROR(H37/K37,0)</f>
        <v>0.15337239716702869</v>
      </c>
      <c r="U37" s="40">
        <f>IFERROR(H37/L37,0)</f>
        <v>0.17006518625002479</v>
      </c>
      <c r="V37" s="40">
        <f>IFERROR(H37/M37,0)</f>
        <v>2.3560949547459249E-2</v>
      </c>
      <c r="X37" s="33">
        <v>32</v>
      </c>
      <c r="Y37" s="8" t="s">
        <v>347</v>
      </c>
      <c r="Z37" s="403">
        <v>4</v>
      </c>
      <c r="AA37" s="408">
        <v>4</v>
      </c>
      <c r="AB37" s="405">
        <v>0</v>
      </c>
      <c r="AC37" s="405">
        <v>0</v>
      </c>
      <c r="AD37" s="187">
        <v>1443562</v>
      </c>
      <c r="AE37" s="187">
        <v>63664.65</v>
      </c>
      <c r="AF37" s="187">
        <v>1443562</v>
      </c>
      <c r="AG37" s="187">
        <v>23818.400000000001</v>
      </c>
      <c r="AH37" s="404">
        <v>968000</v>
      </c>
      <c r="AI37" s="404">
        <v>968000</v>
      </c>
      <c r="AJ37" s="404">
        <v>4840000</v>
      </c>
      <c r="AK37" s="29">
        <f t="shared" si="65"/>
        <v>5954.6</v>
      </c>
      <c r="AL37" s="24">
        <f>IFERROR(AI37/Z37,0)</f>
        <v>242000</v>
      </c>
      <c r="AM37" s="24">
        <f t="shared" si="4"/>
        <v>242000</v>
      </c>
      <c r="AN37" s="40">
        <f>IFERROR(AD37/AH37,0)</f>
        <v>1.4912830578512397</v>
      </c>
      <c r="AO37" s="40">
        <f>IFERROR(AD37/AI37,0)</f>
        <v>1.4912830578512397</v>
      </c>
      <c r="AP37" s="40">
        <f>IFERROR(AD37/AJ37,0)</f>
        <v>0.29825661157024791</v>
      </c>
      <c r="AQ37" s="40">
        <f>IFERROR(AE37/AH37,0)</f>
        <v>6.5769266528925618E-2</v>
      </c>
      <c r="AR37" s="40">
        <f>IFERROR(AE37/AI37,0)</f>
        <v>6.5769266528925618E-2</v>
      </c>
      <c r="AS37" s="40">
        <f>IFERROR(AE37/AJ37,0)</f>
        <v>1.3153853305785125E-2</v>
      </c>
      <c r="AU37" s="33">
        <v>32</v>
      </c>
      <c r="AV37" s="8" t="s">
        <v>353</v>
      </c>
      <c r="AW37" s="403">
        <v>29</v>
      </c>
      <c r="AX37" s="408">
        <v>29</v>
      </c>
      <c r="AY37" s="405">
        <v>0</v>
      </c>
      <c r="AZ37" s="405">
        <v>0</v>
      </c>
      <c r="BA37" s="187">
        <f>1221656.000096-104156</f>
        <v>1117500.000096</v>
      </c>
      <c r="BB37" s="187">
        <f>1464037.14-37428</f>
        <v>1426609.14</v>
      </c>
      <c r="BC37" s="187">
        <v>637500</v>
      </c>
      <c r="BD37" s="187">
        <v>663448</v>
      </c>
      <c r="BE37" s="404">
        <v>0</v>
      </c>
      <c r="BF37" s="404">
        <v>0</v>
      </c>
      <c r="BG37" s="404">
        <v>0</v>
      </c>
      <c r="BH37" s="29">
        <f t="shared" si="73"/>
        <v>22877.517241379312</v>
      </c>
      <c r="BI37" s="24">
        <f>IFERROR(BF37/AW37,0)</f>
        <v>0</v>
      </c>
      <c r="BJ37" s="24">
        <f t="shared" si="7"/>
        <v>0</v>
      </c>
      <c r="BK37" s="40">
        <f t="shared" si="8"/>
        <v>0</v>
      </c>
      <c r="BL37" s="40">
        <f t="shared" si="9"/>
        <v>0</v>
      </c>
      <c r="BM37" s="40">
        <f t="shared" si="10"/>
        <v>0</v>
      </c>
      <c r="BN37" s="40">
        <f t="shared" si="11"/>
        <v>0</v>
      </c>
      <c r="BO37" s="40">
        <f t="shared" si="12"/>
        <v>0</v>
      </c>
      <c r="BP37" s="40">
        <f t="shared" si="13"/>
        <v>0</v>
      </c>
      <c r="BR37" s="33">
        <v>32</v>
      </c>
      <c r="BS37" s="8" t="s">
        <v>353</v>
      </c>
      <c r="BT37" s="403">
        <v>27</v>
      </c>
      <c r="BU37" s="408">
        <v>27</v>
      </c>
      <c r="BV37" s="405">
        <v>0</v>
      </c>
      <c r="BW37" s="405">
        <v>0</v>
      </c>
      <c r="BX37" s="187">
        <f>1281378.48910253-110238</f>
        <v>1171140.4891025301</v>
      </c>
      <c r="BY37" s="187">
        <f>1081464.92-47726</f>
        <v>1033738.9199999999</v>
      </c>
      <c r="BZ37" s="187">
        <v>668100</v>
      </c>
      <c r="CA37" s="187">
        <v>328699.59999999998</v>
      </c>
      <c r="CB37" s="404">
        <v>276138</v>
      </c>
      <c r="CC37" s="404">
        <v>276138</v>
      </c>
      <c r="CD37" s="404">
        <v>2761380</v>
      </c>
      <c r="CE37" s="29">
        <f t="shared" si="75"/>
        <v>12174.059259259258</v>
      </c>
      <c r="CF37" s="24">
        <f>IFERROR(CC37/BT37,0)</f>
        <v>10227.333333333334</v>
      </c>
      <c r="CG37" s="24">
        <f t="shared" si="16"/>
        <v>10227.333333333334</v>
      </c>
      <c r="CH37" s="40">
        <f t="shared" si="17"/>
        <v>4.241142070640513</v>
      </c>
      <c r="CI37" s="40">
        <f t="shared" si="18"/>
        <v>4.241142070640513</v>
      </c>
      <c r="CJ37" s="40">
        <f t="shared" si="19"/>
        <v>0.42411420706405134</v>
      </c>
      <c r="CK37" s="40">
        <f t="shared" si="20"/>
        <v>3.7435590900202071</v>
      </c>
      <c r="CL37" s="40">
        <f t="shared" si="21"/>
        <v>3.7435590900202071</v>
      </c>
      <c r="CM37" s="40">
        <f t="shared" si="22"/>
        <v>0.3743559090020207</v>
      </c>
      <c r="CO37" s="33">
        <v>32</v>
      </c>
      <c r="CP37" s="8" t="s">
        <v>353</v>
      </c>
      <c r="CQ37" s="403">
        <v>31</v>
      </c>
      <c r="CR37" s="408">
        <v>31</v>
      </c>
      <c r="CS37" s="405">
        <v>0</v>
      </c>
      <c r="CT37" s="405">
        <v>0</v>
      </c>
      <c r="CU37" s="187">
        <f>1331352.25017753-114538</f>
        <v>1216814.2501775301</v>
      </c>
      <c r="CV37" s="187">
        <f>1148435.19-44760</f>
        <v>1103675.19</v>
      </c>
      <c r="CW37" s="187">
        <v>694155.89999999991</v>
      </c>
      <c r="CX37" s="187">
        <v>345891</v>
      </c>
      <c r="CY37" s="404">
        <v>375033</v>
      </c>
      <c r="CZ37" s="404">
        <v>375033</v>
      </c>
      <c r="DA37" s="404">
        <v>3750330</v>
      </c>
      <c r="DB37" s="29">
        <f t="shared" si="77"/>
        <v>11157.774193548386</v>
      </c>
      <c r="DC37" s="24">
        <f>IFERROR(CZ37/CQ37,0)</f>
        <v>12097.838709677419</v>
      </c>
      <c r="DD37" s="24">
        <f t="shared" si="25"/>
        <v>12097.838709677419</v>
      </c>
      <c r="DE37" s="40">
        <f t="shared" si="26"/>
        <v>3.2445524798551864</v>
      </c>
      <c r="DF37" s="40">
        <f t="shared" si="27"/>
        <v>3.2445524798551864</v>
      </c>
      <c r="DG37" s="40">
        <f t="shared" si="28"/>
        <v>0.32445524798551861</v>
      </c>
      <c r="DH37" s="40">
        <f t="shared" si="29"/>
        <v>2.9428748670117026</v>
      </c>
      <c r="DI37" s="40">
        <f t="shared" si="30"/>
        <v>2.9428748670117026</v>
      </c>
      <c r="DJ37" s="40">
        <f t="shared" si="31"/>
        <v>0.29428748670117028</v>
      </c>
      <c r="DL37" s="33">
        <v>32</v>
      </c>
      <c r="DM37" s="8" t="s">
        <v>353</v>
      </c>
      <c r="DN37" s="405">
        <v>25</v>
      </c>
      <c r="DO37" s="418">
        <v>1246018</v>
      </c>
      <c r="DP37" s="418">
        <v>710815.64159999997</v>
      </c>
      <c r="DQ37" s="405">
        <f>DR37*(CY37/CZ37)</f>
        <v>375000</v>
      </c>
      <c r="DR37" s="405">
        <v>375000</v>
      </c>
      <c r="DS37" s="405">
        <f>$DR37*(DA37/$CZ37)</f>
        <v>3750000</v>
      </c>
      <c r="DT37" s="426">
        <f>IFERROR(DP37/$DN37,0)</f>
        <v>28432.625663999999</v>
      </c>
      <c r="DU37" s="405">
        <f>IFERROR(DR37/$DN37,0)</f>
        <v>15000</v>
      </c>
      <c r="DV37" s="421">
        <f>IFERROR(DO37/DQ37,0)</f>
        <v>3.3227146666666667</v>
      </c>
      <c r="DW37" s="421">
        <f>IFERROR(DO37/DR37,0)</f>
        <v>3.3227146666666667</v>
      </c>
      <c r="DX37" s="421">
        <f>IFERROR(DO37/DS37,0)</f>
        <v>0.33227146666666668</v>
      </c>
      <c r="DZ37" s="33">
        <v>32</v>
      </c>
      <c r="EA37" s="7" t="s">
        <v>9</v>
      </c>
      <c r="EB37" s="23">
        <f>SUM(EB6,EB14,EB18,EB28,EB33,EB36)</f>
        <v>231865</v>
      </c>
      <c r="EC37" s="419">
        <f>SUM(EC6,EC14,EC18,EC28,EC33,EC36)</f>
        <v>191174922</v>
      </c>
      <c r="ED37" s="419">
        <f>SUM(ED6,ED14,ED18,ED28,ED33,ED36)</f>
        <v>134785541</v>
      </c>
      <c r="EE37" s="23">
        <f>SUM(EE6,EE14,EE18,EE28,EE33,EE36)</f>
        <v>219119822.36651927</v>
      </c>
      <c r="EF37" s="23">
        <f t="shared" ref="EF37:EG37" si="173">SUM(EF6,EF14,EF18,EF28,EF33,EF36)</f>
        <v>126168056.46601328</v>
      </c>
      <c r="EG37" s="23">
        <f t="shared" si="173"/>
        <v>1946071773.2831006</v>
      </c>
      <c r="EH37" s="30">
        <f t="shared" si="34"/>
        <v>581.31042201280923</v>
      </c>
      <c r="EI37" s="23">
        <f t="shared" si="84"/>
        <v>544.14446538293089</v>
      </c>
      <c r="EJ37" s="46">
        <f t="shared" si="35"/>
        <v>0.87246749260422385</v>
      </c>
      <c r="EK37" s="46">
        <f t="shared" si="36"/>
        <v>1.515240286288297</v>
      </c>
      <c r="EL37" s="46">
        <f t="shared" si="37"/>
        <v>9.8236316164989276E-2</v>
      </c>
      <c r="EN37" s="33">
        <v>32</v>
      </c>
      <c r="EO37" s="7" t="s">
        <v>9</v>
      </c>
      <c r="EP37" s="23">
        <f>SUM(EP6,EP14,EP18,EP28,EP33,EP36)</f>
        <v>274719</v>
      </c>
      <c r="EQ37" s="419">
        <f>SUM(EQ6,EQ14,EQ18,EQ28,EQ33,EQ36)</f>
        <v>204011309</v>
      </c>
      <c r="ER37" s="419">
        <f>SUM(ER6,ER14,ER18,ER28,ER33,ER36)</f>
        <v>146754892</v>
      </c>
      <c r="ES37" s="23">
        <f>SUM(ES6,ES14,ES18,ES28,ES33,ES36)</f>
        <v>240309059.30630171</v>
      </c>
      <c r="ET37" s="23">
        <f t="shared" ref="ET37:EU37" si="174">SUM(ET6,ET14,ET18,ET28,ET33,ET36)</f>
        <v>138296213.28900367</v>
      </c>
      <c r="EU37" s="23">
        <f t="shared" si="174"/>
        <v>2107179375.7834311</v>
      </c>
      <c r="EV37" s="30">
        <f t="shared" si="39"/>
        <v>534.20000800818286</v>
      </c>
      <c r="EW37" s="23">
        <f t="shared" si="40"/>
        <v>503.40971424984684</v>
      </c>
      <c r="EX37" s="46">
        <f t="shared" si="41"/>
        <v>0.84895388292442175</v>
      </c>
      <c r="EY37" s="46">
        <f t="shared" si="42"/>
        <v>1.4751763923837062</v>
      </c>
      <c r="EZ37" s="46">
        <f t="shared" si="43"/>
        <v>9.6817248376944831E-2</v>
      </c>
      <c r="FB37" s="33">
        <v>32</v>
      </c>
      <c r="FC37" s="7" t="s">
        <v>9</v>
      </c>
      <c r="FD37" s="23">
        <f>SUM(FD6,FD14,FD18,FD28,FD33,FD36)</f>
        <v>316085</v>
      </c>
      <c r="FE37" s="419">
        <f>SUM(FE6,FE14,FE18,FE28,FE33,FE36)</f>
        <v>215655264</v>
      </c>
      <c r="FF37" s="419">
        <f>SUM(FF6,FF14,FF18,FF28,FF33,FF36)</f>
        <v>156829983</v>
      </c>
      <c r="FG37" s="23">
        <f>SUM(FG6,FG14,FG18,FG28,FG33,FG36)</f>
        <v>253401917.53538322</v>
      </c>
      <c r="FH37" s="23">
        <f t="shared" ref="FH37:FI37" si="175">SUM(FH6,FH14,FH18,FH28,FH33,FH36)</f>
        <v>145928374.49926478</v>
      </c>
      <c r="FI37" s="23">
        <f t="shared" si="175"/>
        <v>2209044715.6195755</v>
      </c>
      <c r="FJ37" s="30">
        <f t="shared" si="45"/>
        <v>496.16395273423291</v>
      </c>
      <c r="FK37" s="23">
        <f t="shared" si="46"/>
        <v>461.67446889053508</v>
      </c>
      <c r="FL37" s="46">
        <f t="shared" si="47"/>
        <v>0.85104037924214782</v>
      </c>
      <c r="FM37" s="46">
        <f t="shared" si="48"/>
        <v>1.4778158445195764</v>
      </c>
      <c r="FN37" s="46">
        <f t="shared" si="49"/>
        <v>9.7623765818391189E-2</v>
      </c>
      <c r="FP37" s="33">
        <v>32</v>
      </c>
      <c r="FQ37" s="7" t="s">
        <v>9</v>
      </c>
      <c r="FR37" s="23">
        <f>SUM(FR6,FR14,FR18,FR28,FR33,FR36)</f>
        <v>356198</v>
      </c>
      <c r="FS37" s="419">
        <f>SUM(FS6,FS14,FS18,FS28,FS33,FS36)</f>
        <v>226724801</v>
      </c>
      <c r="FT37" s="419">
        <f>SUM(FT6,FT14,FT18,FT28,FT33,FT36)</f>
        <v>166234535</v>
      </c>
      <c r="FU37" s="23">
        <f>SUM(FU6,FU14,FU18,FU28,FU33,FU36)</f>
        <v>262055545.90155908</v>
      </c>
      <c r="FV37" s="23">
        <f t="shared" ref="FV37:FW37" si="176">SUM(FV6,FV14,FV18,FV28,FV33,FV36)</f>
        <v>151966195.6830284</v>
      </c>
      <c r="FW37" s="23">
        <f t="shared" si="176"/>
        <v>2292597210.9748869</v>
      </c>
      <c r="FX37" s="30">
        <f t="shared" si="51"/>
        <v>466.69137670621399</v>
      </c>
      <c r="FY37" s="23">
        <f t="shared" si="52"/>
        <v>426.6340509576932</v>
      </c>
      <c r="FZ37" s="46">
        <f t="shared" si="53"/>
        <v>0.86517841177522326</v>
      </c>
      <c r="GA37" s="46">
        <f t="shared" si="54"/>
        <v>1.4919423361291702</v>
      </c>
      <c r="GB37" s="46">
        <f t="shared" si="55"/>
        <v>9.8894302023332409E-2</v>
      </c>
    </row>
    <row r="38" spans="1:185" x14ac:dyDescent="0.25">
      <c r="A38" s="33">
        <v>33</v>
      </c>
      <c r="B38" s="8" t="s">
        <v>348</v>
      </c>
      <c r="C38" s="403">
        <v>66</v>
      </c>
      <c r="D38" s="408">
        <v>66</v>
      </c>
      <c r="E38" s="405">
        <v>0</v>
      </c>
      <c r="F38" s="405">
        <v>0</v>
      </c>
      <c r="G38" s="187">
        <v>629209</v>
      </c>
      <c r="H38" s="187">
        <v>271576.5</v>
      </c>
      <c r="I38" s="187">
        <v>629209</v>
      </c>
      <c r="J38" s="187">
        <v>55355</v>
      </c>
      <c r="K38" s="404">
        <v>89663</v>
      </c>
      <c r="L38" s="404">
        <v>44885.2978</v>
      </c>
      <c r="M38" s="404">
        <v>224426.48899999994</v>
      </c>
      <c r="N38" s="29">
        <f t="shared" si="56"/>
        <v>838.71212121212125</v>
      </c>
      <c r="O38" s="24">
        <f>IFERROR(L38/C38,0)</f>
        <v>680.08026969696971</v>
      </c>
      <c r="P38" s="24">
        <f t="shared" si="58"/>
        <v>680.08026969696971</v>
      </c>
      <c r="Q38" s="40">
        <f>IFERROR(G38/K38,0)</f>
        <v>7.017487703958154</v>
      </c>
      <c r="R38" s="40">
        <f>IFERROR(G38/L38,0)</f>
        <v>14.018153623568027</v>
      </c>
      <c r="S38" s="40">
        <f>IFERROR(G38/M38,0)</f>
        <v>2.8036307247136061</v>
      </c>
      <c r="T38" s="40">
        <f>IFERROR(H38/K38,0)</f>
        <v>3.0288580573926813</v>
      </c>
      <c r="U38" s="40">
        <f>IFERROR(H38/L38,0)</f>
        <v>6.0504555681036383</v>
      </c>
      <c r="V38" s="40">
        <f>IFERROR(H38/M38,0)</f>
        <v>1.210091113620728</v>
      </c>
      <c r="X38" s="33">
        <v>33</v>
      </c>
      <c r="Y38" s="8" t="s">
        <v>348</v>
      </c>
      <c r="Z38" s="403">
        <v>9</v>
      </c>
      <c r="AA38" s="408">
        <v>9</v>
      </c>
      <c r="AB38" s="405">
        <v>0</v>
      </c>
      <c r="AC38" s="405">
        <v>0</v>
      </c>
      <c r="AD38" s="187">
        <v>629209</v>
      </c>
      <c r="AE38" s="187">
        <v>-3251.8899999999994</v>
      </c>
      <c r="AF38" s="187">
        <v>629209</v>
      </c>
      <c r="AG38" s="187">
        <v>11000</v>
      </c>
      <c r="AH38" s="404">
        <v>66677</v>
      </c>
      <c r="AI38" s="404">
        <v>33378.506199999996</v>
      </c>
      <c r="AJ38" s="404">
        <v>166892.53099999999</v>
      </c>
      <c r="AK38" s="29">
        <f t="shared" si="65"/>
        <v>1222.2222222222222</v>
      </c>
      <c r="AL38" s="24">
        <f>IFERROR(AI38/Z38,0)</f>
        <v>3708.7229111111105</v>
      </c>
      <c r="AM38" s="24">
        <f t="shared" si="4"/>
        <v>3708.7229111111105</v>
      </c>
      <c r="AN38" s="40">
        <f>IFERROR(AD38/AH38,0)</f>
        <v>9.4366723157910517</v>
      </c>
      <c r="AO38" s="40">
        <f>IFERROR(AD38/AI38,0)</f>
        <v>18.850723763066426</v>
      </c>
      <c r="AP38" s="40">
        <f>IFERROR(AD38/AJ38,0)</f>
        <v>3.7701447526132852</v>
      </c>
      <c r="AQ38" s="40">
        <f>IFERROR(AE38/AH38,0)</f>
        <v>-4.8770790527468237E-2</v>
      </c>
      <c r="AR38" s="40">
        <f>IFERROR(AE38/AI38,0)</f>
        <v>-9.7424671449197447E-2</v>
      </c>
      <c r="AS38" s="40">
        <f>IFERROR(AE38/AJ38,0)</f>
        <v>-1.9484934289839488E-2</v>
      </c>
      <c r="AU38" s="33">
        <v>33</v>
      </c>
      <c r="AV38" s="10" t="s">
        <v>242</v>
      </c>
      <c r="AW38" s="403">
        <v>0</v>
      </c>
      <c r="AX38" s="408">
        <v>0</v>
      </c>
      <c r="AY38" s="405">
        <v>0</v>
      </c>
      <c r="AZ38" s="405">
        <v>0</v>
      </c>
      <c r="BA38" s="187">
        <v>104156.000096</v>
      </c>
      <c r="BB38" s="187">
        <v>37427.860000000008</v>
      </c>
      <c r="BC38" s="187">
        <v>0</v>
      </c>
      <c r="BD38" s="187">
        <v>0</v>
      </c>
      <c r="BE38" s="404">
        <v>0</v>
      </c>
      <c r="BF38" s="404">
        <v>0</v>
      </c>
      <c r="BG38" s="404">
        <v>0</v>
      </c>
      <c r="BH38" s="29">
        <f t="shared" si="73"/>
        <v>0</v>
      </c>
      <c r="BI38" s="24">
        <f>IFERROR(BF38/AW38,0)</f>
        <v>0</v>
      </c>
      <c r="BJ38" s="24">
        <f t="shared" ref="BJ38" si="177">IFERROR(BF38/AX38,0)</f>
        <v>0</v>
      </c>
      <c r="BK38" s="40">
        <f t="shared" ref="BK38" si="178">IFERROR(BA38/BE38,0)</f>
        <v>0</v>
      </c>
      <c r="BL38" s="40">
        <f t="shared" ref="BL38" si="179">IFERROR(BA38/BF38,0)</f>
        <v>0</v>
      </c>
      <c r="BM38" s="40">
        <f t="shared" ref="BM38" si="180">IFERROR(BA38/BG38,0)</f>
        <v>0</v>
      </c>
      <c r="BN38" s="40">
        <f t="shared" ref="BN38" si="181">IFERROR(BB38/BE38,0)</f>
        <v>0</v>
      </c>
      <c r="BO38" s="40">
        <f t="shared" ref="BO38" si="182">IFERROR(BB38/BF38,0)</f>
        <v>0</v>
      </c>
      <c r="BP38" s="40">
        <f t="shared" ref="BP38" si="183">IFERROR(BB38/BG38,0)</f>
        <v>0</v>
      </c>
      <c r="BR38" s="33">
        <v>33</v>
      </c>
      <c r="BS38" s="10" t="s">
        <v>242</v>
      </c>
      <c r="BT38" s="403">
        <v>0</v>
      </c>
      <c r="BU38" s="408">
        <v>0</v>
      </c>
      <c r="BV38" s="405">
        <v>0</v>
      </c>
      <c r="BW38" s="405">
        <v>0</v>
      </c>
      <c r="BX38" s="187">
        <v>110238.48910252799</v>
      </c>
      <c r="BY38" s="187">
        <v>47725.640000000029</v>
      </c>
      <c r="BZ38" s="187">
        <v>0</v>
      </c>
      <c r="CA38" s="187">
        <v>0</v>
      </c>
      <c r="CB38" s="404">
        <v>0</v>
      </c>
      <c r="CC38" s="404">
        <v>0</v>
      </c>
      <c r="CD38" s="404">
        <v>0</v>
      </c>
      <c r="CE38" s="29">
        <f t="shared" si="75"/>
        <v>0</v>
      </c>
      <c r="CF38" s="24">
        <f>IFERROR(CC38/BT38,0)</f>
        <v>0</v>
      </c>
      <c r="CG38" s="24">
        <f t="shared" ref="CG38" si="184">IFERROR(CC38/BU38,0)</f>
        <v>0</v>
      </c>
      <c r="CH38" s="40">
        <f t="shared" ref="CH38" si="185">IFERROR(BX38/CB38,0)</f>
        <v>0</v>
      </c>
      <c r="CI38" s="40">
        <f t="shared" ref="CI38" si="186">IFERROR(BX38/CC38,0)</f>
        <v>0</v>
      </c>
      <c r="CJ38" s="40">
        <f t="shared" ref="CJ38" si="187">IFERROR(BX38/CD38,0)</f>
        <v>0</v>
      </c>
      <c r="CK38" s="40">
        <f t="shared" ref="CK38" si="188">IFERROR(BY38/CB38,0)</f>
        <v>0</v>
      </c>
      <c r="CL38" s="40">
        <f t="shared" ref="CL38" si="189">IFERROR(BY38/CC38,0)</f>
        <v>0</v>
      </c>
      <c r="CM38" s="40">
        <f t="shared" ref="CM38" si="190">IFERROR(BY38/CD38,0)</f>
        <v>0</v>
      </c>
      <c r="CO38" s="33">
        <v>33</v>
      </c>
      <c r="CP38" s="10" t="s">
        <v>242</v>
      </c>
      <c r="CQ38" s="403">
        <v>0</v>
      </c>
      <c r="CR38" s="408">
        <v>0</v>
      </c>
      <c r="CS38" s="405">
        <v>0</v>
      </c>
      <c r="CT38" s="405">
        <v>0</v>
      </c>
      <c r="CU38" s="187">
        <v>114537.79017752694</v>
      </c>
      <c r="CV38" s="187">
        <v>44759.999999999971</v>
      </c>
      <c r="CW38" s="187">
        <v>0</v>
      </c>
      <c r="CX38" s="187">
        <v>0</v>
      </c>
      <c r="CY38" s="404">
        <v>0</v>
      </c>
      <c r="CZ38" s="404">
        <v>0</v>
      </c>
      <c r="DA38" s="404">
        <v>0</v>
      </c>
      <c r="DB38" s="29">
        <f t="shared" si="77"/>
        <v>0</v>
      </c>
      <c r="DC38" s="24">
        <f>IFERROR(CZ38/CQ38,0)</f>
        <v>0</v>
      </c>
      <c r="DD38" s="24">
        <f t="shared" si="25"/>
        <v>0</v>
      </c>
      <c r="DE38" s="40">
        <f t="shared" si="26"/>
        <v>0</v>
      </c>
      <c r="DF38" s="40">
        <f t="shared" si="27"/>
        <v>0</v>
      </c>
      <c r="DG38" s="40">
        <f t="shared" si="28"/>
        <v>0</v>
      </c>
      <c r="DH38" s="40">
        <f t="shared" ref="DH38" si="191">IFERROR(CV38/CY38,0)</f>
        <v>0</v>
      </c>
      <c r="DI38" s="40">
        <f t="shared" ref="DI38" si="192">IFERROR(CV38/CZ38,0)</f>
        <v>0</v>
      </c>
      <c r="DJ38" s="40">
        <f t="shared" ref="DJ38" si="193">IFERROR(CV38/DA38,0)</f>
        <v>0</v>
      </c>
      <c r="DL38" s="33">
        <v>33</v>
      </c>
      <c r="DM38" s="10" t="s">
        <v>242</v>
      </c>
      <c r="DN38" s="405">
        <v>0</v>
      </c>
      <c r="DO38" s="418">
        <v>117286.69714178759</v>
      </c>
      <c r="DP38" s="418">
        <v>0</v>
      </c>
      <c r="DQ38" s="405">
        <v>0</v>
      </c>
      <c r="DR38" s="405">
        <v>0</v>
      </c>
      <c r="DS38" s="405">
        <v>0</v>
      </c>
      <c r="DT38" s="426">
        <f>IFERROR(DP38/$DN38,0)</f>
        <v>0</v>
      </c>
      <c r="DU38" s="405">
        <f>IFERROR(DR38/$DN38,0)</f>
        <v>0</v>
      </c>
      <c r="DV38" s="421">
        <f>IFERROR(DO38/DQ38,0)</f>
        <v>0</v>
      </c>
      <c r="DW38" s="421">
        <f>IFERROR(DO38/DR38,0)</f>
        <v>0</v>
      </c>
      <c r="DX38" s="421">
        <f>IFERROR(DO38/DS38,0)</f>
        <v>0</v>
      </c>
      <c r="DZ38" s="33"/>
      <c r="EC38"/>
      <c r="ED38"/>
      <c r="EE38"/>
      <c r="EF38"/>
      <c r="EG38"/>
      <c r="EH38"/>
      <c r="EI38"/>
      <c r="EJ38"/>
      <c r="EK38"/>
      <c r="EL38"/>
      <c r="EN38" s="33"/>
      <c r="EP38"/>
      <c r="EQ38"/>
      <c r="ER38"/>
      <c r="ES38"/>
      <c r="ET38"/>
      <c r="EU38"/>
      <c r="EV38"/>
      <c r="EW38"/>
      <c r="EX38"/>
      <c r="EY38"/>
      <c r="EZ38"/>
      <c r="FB38" s="33"/>
      <c r="FE38"/>
      <c r="FF38"/>
      <c r="FG38"/>
      <c r="FH38"/>
      <c r="FI38"/>
      <c r="FJ38"/>
      <c r="FK38"/>
      <c r="FL38"/>
      <c r="FM38"/>
      <c r="FN38"/>
      <c r="FQ38"/>
      <c r="FR38"/>
      <c r="FS38"/>
      <c r="FT38"/>
      <c r="FU38"/>
      <c r="FV38"/>
      <c r="FW38"/>
      <c r="FX38"/>
      <c r="FY38"/>
      <c r="FZ38"/>
      <c r="GA38"/>
      <c r="GB38"/>
      <c r="GC38"/>
    </row>
    <row r="39" spans="1:185" s="134" customFormat="1" x14ac:dyDescent="0.25">
      <c r="A39" s="33">
        <v>34</v>
      </c>
      <c r="B39" s="6" t="s">
        <v>349</v>
      </c>
      <c r="C39" s="25">
        <v>78</v>
      </c>
      <c r="D39" s="25">
        <v>78</v>
      </c>
      <c r="E39" s="25">
        <v>0</v>
      </c>
      <c r="F39" s="25">
        <v>0</v>
      </c>
      <c r="G39" s="186">
        <v>9788947</v>
      </c>
      <c r="H39" s="186">
        <v>8157678.4800000004</v>
      </c>
      <c r="I39" s="186">
        <v>7887924</v>
      </c>
      <c r="J39" s="186">
        <v>5858249.2300000004</v>
      </c>
      <c r="K39" s="22">
        <v>0</v>
      </c>
      <c r="L39" s="25">
        <v>0</v>
      </c>
      <c r="M39" s="25">
        <v>0</v>
      </c>
      <c r="N39" s="31">
        <f t="shared" si="56"/>
        <v>75105.759358974363</v>
      </c>
      <c r="O39" s="25">
        <f t="shared" ref="O39" si="194">IFERROR(L39/C39,0)</f>
        <v>0</v>
      </c>
      <c r="P39" s="25">
        <f t="shared" ref="P39" si="195">IFERROR(L39/D39,0)</f>
        <v>0</v>
      </c>
      <c r="Q39" s="414">
        <f t="shared" ref="Q39" si="196">IFERROR(G39/K39,0)</f>
        <v>0</v>
      </c>
      <c r="R39" s="414">
        <f t="shared" ref="R39" si="197">IFERROR(G39/L39,0)</f>
        <v>0</v>
      </c>
      <c r="S39" s="414">
        <f t="shared" ref="S39" si="198">IFERROR(G39/M39,0)</f>
        <v>0</v>
      </c>
      <c r="T39" s="414">
        <f t="shared" ref="T39" si="199">IFERROR(H39/K39,0)</f>
        <v>0</v>
      </c>
      <c r="U39" s="414">
        <f t="shared" ref="U39" si="200">IFERROR(H39/L39,0)</f>
        <v>0</v>
      </c>
      <c r="V39" s="414">
        <f t="shared" ref="V39" si="201">IFERROR(H39/M39,0)</f>
        <v>0</v>
      </c>
      <c r="W39"/>
      <c r="X39" s="33">
        <v>34</v>
      </c>
      <c r="Y39" s="6" t="s">
        <v>349</v>
      </c>
      <c r="Z39" s="25">
        <v>54</v>
      </c>
      <c r="AA39" s="25">
        <v>54</v>
      </c>
      <c r="AB39" s="25">
        <v>0</v>
      </c>
      <c r="AC39" s="25">
        <v>0</v>
      </c>
      <c r="AD39" s="186">
        <v>9788947</v>
      </c>
      <c r="AE39" s="186">
        <v>5202468.25</v>
      </c>
      <c r="AF39" s="186">
        <v>7887924</v>
      </c>
      <c r="AG39" s="186">
        <v>3931783.11</v>
      </c>
      <c r="AH39" s="22">
        <v>0</v>
      </c>
      <c r="AI39" s="25">
        <v>0</v>
      </c>
      <c r="AJ39" s="25">
        <v>0</v>
      </c>
      <c r="AK39" s="31">
        <f t="shared" si="65"/>
        <v>72810.798333333325</v>
      </c>
      <c r="AL39" s="25">
        <f t="shared" ref="AL39" si="202">IFERROR(AI39/Z39,0)</f>
        <v>0</v>
      </c>
      <c r="AM39" s="25">
        <f t="shared" si="4"/>
        <v>0</v>
      </c>
      <c r="AN39" s="414">
        <f t="shared" ref="AN39" si="203">IFERROR(AD39/AH39,0)</f>
        <v>0</v>
      </c>
      <c r="AO39" s="414">
        <f t="shared" ref="AO39" si="204">IFERROR(AD39/AI39,0)</f>
        <v>0</v>
      </c>
      <c r="AP39" s="414">
        <f t="shared" ref="AP39" si="205">IFERROR(AD39/AJ39,0)</f>
        <v>0</v>
      </c>
      <c r="AQ39" s="414">
        <f t="shared" ref="AQ39" si="206">IFERROR(AE39/AH39,0)</f>
        <v>0</v>
      </c>
      <c r="AR39" s="414">
        <f t="shared" ref="AR39" si="207">IFERROR(AE39/AI39,0)</f>
        <v>0</v>
      </c>
      <c r="AS39" s="414">
        <f t="shared" ref="AS39" si="208">IFERROR(AE39/AJ39,0)</f>
        <v>0</v>
      </c>
      <c r="AT39"/>
      <c r="AU39" s="33">
        <v>34</v>
      </c>
      <c r="AV39" s="6" t="s">
        <v>354</v>
      </c>
      <c r="AW39" s="25">
        <v>124</v>
      </c>
      <c r="AX39" s="25">
        <v>124</v>
      </c>
      <c r="AY39" s="25">
        <v>0</v>
      </c>
      <c r="AZ39" s="25">
        <v>0</v>
      </c>
      <c r="BA39" s="186">
        <v>8437502.9980540369</v>
      </c>
      <c r="BB39" s="186">
        <v>6385859.8600000003</v>
      </c>
      <c r="BC39" s="186">
        <v>2818600</v>
      </c>
      <c r="BD39" s="186">
        <v>1911549.9999999998</v>
      </c>
      <c r="BE39" s="22">
        <v>0</v>
      </c>
      <c r="BF39" s="25">
        <v>0</v>
      </c>
      <c r="BG39" s="25">
        <v>0</v>
      </c>
      <c r="BH39" s="31">
        <f t="shared" si="73"/>
        <v>15415.725806451612</v>
      </c>
      <c r="BI39" s="25">
        <f t="shared" ref="BI39" si="209">IFERROR(BF39/AW39,0)</f>
        <v>0</v>
      </c>
      <c r="BJ39" s="25">
        <f t="shared" si="7"/>
        <v>0</v>
      </c>
      <c r="BK39" s="414">
        <f>IFERROR(BA39/BE39,0)</f>
        <v>0</v>
      </c>
      <c r="BL39" s="414">
        <f>IFERROR(BA39/BF39,0)</f>
        <v>0</v>
      </c>
      <c r="BM39" s="414">
        <f>IFERROR(BA39/BG39,0)</f>
        <v>0</v>
      </c>
      <c r="BN39" s="414">
        <f>IFERROR(BB39/BE39,0)</f>
        <v>0</v>
      </c>
      <c r="BO39" s="414">
        <f>IFERROR(BB39/BF39,0)</f>
        <v>0</v>
      </c>
      <c r="BP39" s="414">
        <f>IFERROR(BB39/BG39,0)</f>
        <v>0</v>
      </c>
      <c r="BQ39"/>
      <c r="BR39" s="33">
        <v>34</v>
      </c>
      <c r="BS39" s="6" t="s">
        <v>354</v>
      </c>
      <c r="BT39" s="25">
        <v>155</v>
      </c>
      <c r="BU39" s="25">
        <v>155</v>
      </c>
      <c r="BV39" s="25">
        <v>0</v>
      </c>
      <c r="BW39" s="25">
        <v>0</v>
      </c>
      <c r="BX39" s="186">
        <v>9951354.1359217111</v>
      </c>
      <c r="BY39" s="186">
        <v>7467313.8900000006</v>
      </c>
      <c r="BZ39" s="186">
        <v>3714492.8000000003</v>
      </c>
      <c r="CA39" s="186">
        <v>2441524.79</v>
      </c>
      <c r="CB39" s="22">
        <v>0</v>
      </c>
      <c r="CC39" s="25">
        <v>0</v>
      </c>
      <c r="CD39" s="25">
        <v>0</v>
      </c>
      <c r="CE39" s="31">
        <f t="shared" si="75"/>
        <v>15751.772838709678</v>
      </c>
      <c r="CF39" s="25">
        <f t="shared" ref="CF39" si="210">IFERROR(CC39/BT39,0)</f>
        <v>0</v>
      </c>
      <c r="CG39" s="25">
        <f t="shared" si="16"/>
        <v>0</v>
      </c>
      <c r="CH39" s="414">
        <f>IFERROR(BX39/CB39,0)</f>
        <v>0</v>
      </c>
      <c r="CI39" s="414">
        <f>IFERROR(BX39/CC39,0)</f>
        <v>0</v>
      </c>
      <c r="CJ39" s="414">
        <f>IFERROR(BX39/CD39,0)</f>
        <v>0</v>
      </c>
      <c r="CK39" s="414">
        <f>IFERROR(BY39/CB39,0)</f>
        <v>0</v>
      </c>
      <c r="CL39" s="414">
        <f>IFERROR(BY39/CC39,0)</f>
        <v>0</v>
      </c>
      <c r="CM39" s="414">
        <f>IFERROR(BY39/CD39,0)</f>
        <v>0</v>
      </c>
      <c r="CN39"/>
      <c r="CO39" s="33">
        <v>34</v>
      </c>
      <c r="CP39" s="6" t="s">
        <v>354</v>
      </c>
      <c r="CQ39" s="25">
        <v>175</v>
      </c>
      <c r="CR39" s="25">
        <v>175</v>
      </c>
      <c r="CS39" s="25">
        <v>5</v>
      </c>
      <c r="CT39" s="25">
        <v>1</v>
      </c>
      <c r="CU39" s="186">
        <v>12590248.273551226</v>
      </c>
      <c r="CV39" s="186">
        <v>7044824.0600000005</v>
      </c>
      <c r="CW39" s="186">
        <v>4756540.1297304947</v>
      </c>
      <c r="CX39" s="186">
        <v>2213122.08</v>
      </c>
      <c r="CY39" s="22">
        <v>0</v>
      </c>
      <c r="CZ39" s="25">
        <v>0</v>
      </c>
      <c r="DA39" s="25">
        <v>0</v>
      </c>
      <c r="DB39" s="31">
        <f t="shared" si="77"/>
        <v>12646.411885714286</v>
      </c>
      <c r="DC39" s="25">
        <f t="shared" ref="DC39" si="211">IFERROR(CZ39/CQ39,0)</f>
        <v>0</v>
      </c>
      <c r="DD39" s="25">
        <f t="shared" si="25"/>
        <v>0</v>
      </c>
      <c r="DE39" s="414">
        <f>IFERROR(CU39/CY39,0)</f>
        <v>0</v>
      </c>
      <c r="DF39" s="414">
        <f>IFERROR(CU39/CZ39,0)</f>
        <v>0</v>
      </c>
      <c r="DG39" s="414">
        <f>IFERROR(CU39/DA39,0)</f>
        <v>0</v>
      </c>
      <c r="DH39" s="414">
        <f>IFERROR(CV39/CY39,0)</f>
        <v>0</v>
      </c>
      <c r="DI39" s="414">
        <f>IFERROR(CV39/CZ39,0)</f>
        <v>0</v>
      </c>
      <c r="DJ39" s="414">
        <f>IFERROR(CV39/DA39,0)</f>
        <v>0</v>
      </c>
      <c r="DK39"/>
      <c r="DL39" s="33">
        <v>34</v>
      </c>
      <c r="DM39" s="6" t="s">
        <v>361</v>
      </c>
      <c r="DN39" s="410">
        <v>269</v>
      </c>
      <c r="DO39" s="417">
        <v>12892414.278871704</v>
      </c>
      <c r="DP39" s="417">
        <v>4870697.0928440271</v>
      </c>
      <c r="DQ39" s="410">
        <v>0</v>
      </c>
      <c r="DR39" s="410">
        <v>0</v>
      </c>
      <c r="DS39" s="410">
        <v>0</v>
      </c>
      <c r="DT39" s="428">
        <f t="shared" ref="DT39" si="212">IFERROR(DP39/$DN39,0)</f>
        <v>18106.680642542851</v>
      </c>
      <c r="DU39" s="410">
        <f t="shared" ref="DU39" si="213">IFERROR(DR39/$DN39,0)</f>
        <v>0</v>
      </c>
      <c r="DV39" s="423">
        <f t="shared" ref="DV39" si="214">IFERROR(DO39/DQ39,0)</f>
        <v>0</v>
      </c>
      <c r="DW39" s="423">
        <f t="shared" ref="DW39" si="215">IFERROR(DO39/DR39,0)</f>
        <v>0</v>
      </c>
      <c r="DX39" s="423">
        <f t="shared" ref="DX39" si="216">IFERROR(DO39/DS39,0)</f>
        <v>0</v>
      </c>
      <c r="DY39"/>
      <c r="DZ39" s="33"/>
      <c r="EB39" s="399"/>
      <c r="EC39"/>
      <c r="ED39"/>
      <c r="EE39"/>
      <c r="EF39"/>
      <c r="EG39"/>
      <c r="EH39"/>
      <c r="EI39"/>
      <c r="EJ39"/>
      <c r="EK39"/>
      <c r="EL39"/>
      <c r="EM39"/>
      <c r="EN39" s="33"/>
      <c r="EP39"/>
      <c r="EQ39"/>
      <c r="ER39"/>
      <c r="ES39"/>
      <c r="ET39"/>
      <c r="EU39"/>
      <c r="EV39"/>
      <c r="EW39"/>
      <c r="EX39"/>
      <c r="EY39"/>
      <c r="EZ39"/>
      <c r="FA39"/>
      <c r="FB39" s="33"/>
      <c r="FD39" s="399"/>
      <c r="FE39"/>
      <c r="FF39"/>
      <c r="FG39"/>
      <c r="FH39"/>
      <c r="FI39"/>
      <c r="FJ39"/>
      <c r="FK39"/>
      <c r="FL39"/>
      <c r="FM39"/>
      <c r="FN39"/>
      <c r="FO39"/>
      <c r="FP39"/>
      <c r="FQ39"/>
      <c r="FR39"/>
      <c r="FS39"/>
      <c r="FT39"/>
      <c r="FU39"/>
      <c r="FV39"/>
      <c r="FW39"/>
      <c r="FX39"/>
      <c r="FY39"/>
      <c r="FZ39"/>
      <c r="GA39"/>
      <c r="GB39"/>
      <c r="GC39"/>
    </row>
    <row r="40" spans="1:185" ht="15.75" thickBot="1" x14ac:dyDescent="0.3">
      <c r="A40" s="33">
        <v>35</v>
      </c>
      <c r="B40" s="6" t="s">
        <v>384</v>
      </c>
      <c r="C40" s="25">
        <v>0</v>
      </c>
      <c r="D40" s="25">
        <v>0</v>
      </c>
      <c r="E40" s="25">
        <v>0</v>
      </c>
      <c r="F40" s="25">
        <v>0</v>
      </c>
      <c r="G40" s="186">
        <v>448000</v>
      </c>
      <c r="H40" s="186">
        <v>71444.100000000006</v>
      </c>
      <c r="I40" s="186">
        <v>448000</v>
      </c>
      <c r="J40" s="186">
        <v>1794.1</v>
      </c>
      <c r="K40" s="22">
        <v>0</v>
      </c>
      <c r="L40" s="25">
        <v>0</v>
      </c>
      <c r="M40" s="25">
        <v>0</v>
      </c>
      <c r="N40" s="31">
        <f t="shared" si="56"/>
        <v>0</v>
      </c>
      <c r="O40" s="25">
        <f t="shared" ref="O40" si="217">IFERROR(L40/C40,0)</f>
        <v>0</v>
      </c>
      <c r="P40" s="25">
        <f t="shared" si="58"/>
        <v>0</v>
      </c>
      <c r="Q40" s="414">
        <f t="shared" ref="Q40" si="218">IFERROR(G40/K40,0)</f>
        <v>0</v>
      </c>
      <c r="R40" s="414">
        <f t="shared" ref="R40" si="219">IFERROR(G40/L40,0)</f>
        <v>0</v>
      </c>
      <c r="S40" s="414">
        <f t="shared" ref="S40" si="220">IFERROR(G40/M40,0)</f>
        <v>0</v>
      </c>
      <c r="T40" s="414">
        <f t="shared" ref="T40" si="221">IFERROR(H40/K40,0)</f>
        <v>0</v>
      </c>
      <c r="U40" s="414">
        <f t="shared" ref="U40" si="222">IFERROR(H40/L40,0)</f>
        <v>0</v>
      </c>
      <c r="V40" s="414">
        <f t="shared" ref="V40" si="223">IFERROR(H40/M40,0)</f>
        <v>0</v>
      </c>
      <c r="X40" s="33">
        <v>35</v>
      </c>
      <c r="Y40" s="6" t="s">
        <v>384</v>
      </c>
      <c r="Z40" s="25">
        <v>60</v>
      </c>
      <c r="AA40" s="25">
        <v>15</v>
      </c>
      <c r="AB40" s="25">
        <v>0</v>
      </c>
      <c r="AC40" s="25">
        <v>0</v>
      </c>
      <c r="AD40" s="186">
        <v>448000</v>
      </c>
      <c r="AE40" s="186">
        <v>151183</v>
      </c>
      <c r="AF40" s="186">
        <v>448000</v>
      </c>
      <c r="AG40" s="186">
        <v>95802</v>
      </c>
      <c r="AH40" s="22">
        <v>7993</v>
      </c>
      <c r="AI40" s="25">
        <v>7982</v>
      </c>
      <c r="AJ40" s="25">
        <v>182982</v>
      </c>
      <c r="AK40" s="31">
        <f t="shared" si="65"/>
        <v>1596.7</v>
      </c>
      <c r="AL40" s="25">
        <f>IFERROR(AI40/Z40,0)</f>
        <v>133.03333333333333</v>
      </c>
      <c r="AM40" s="25">
        <f>IFERROR(AI40/AA40,0)</f>
        <v>532.13333333333333</v>
      </c>
      <c r="AN40" s="414">
        <f>IFERROR(AD40/AH40,0)</f>
        <v>56.049042912548479</v>
      </c>
      <c r="AO40" s="414">
        <f>IFERROR(AD40/AI40,0)</f>
        <v>56.126284139313455</v>
      </c>
      <c r="AP40" s="414">
        <f>IFERROR(AD40/AJ40,0)</f>
        <v>2.4483282508662052</v>
      </c>
      <c r="AQ40" s="414">
        <f>IFERROR(AE40/AH40,0)</f>
        <v>18.914425121981733</v>
      </c>
      <c r="AR40" s="414">
        <f>IFERROR(AE40/AI40,0)</f>
        <v>18.940491104986219</v>
      </c>
      <c r="AS40" s="414">
        <f>IFERROR(AE40/AJ40,0)</f>
        <v>0.82621787935425339</v>
      </c>
      <c r="AU40" s="33">
        <v>35</v>
      </c>
      <c r="AV40" s="6" t="s">
        <v>8</v>
      </c>
      <c r="AW40" s="431">
        <v>0</v>
      </c>
      <c r="AX40" s="431">
        <v>0</v>
      </c>
      <c r="AY40" s="431">
        <v>0</v>
      </c>
      <c r="AZ40" s="431">
        <v>0</v>
      </c>
      <c r="BA40" s="432">
        <v>18359999.998982839</v>
      </c>
      <c r="BB40" s="432">
        <v>12089820.400000036</v>
      </c>
      <c r="BC40" s="432">
        <v>0</v>
      </c>
      <c r="BD40" s="432">
        <v>0</v>
      </c>
      <c r="BE40" s="433">
        <v>0</v>
      </c>
      <c r="BF40" s="431">
        <v>0</v>
      </c>
      <c r="BG40" s="431">
        <v>0</v>
      </c>
      <c r="BH40" s="437">
        <f t="shared" si="73"/>
        <v>0</v>
      </c>
      <c r="BI40" s="431">
        <f t="shared" si="74"/>
        <v>0</v>
      </c>
      <c r="BJ40" s="431">
        <f t="shared" si="7"/>
        <v>0</v>
      </c>
      <c r="BK40" s="434">
        <f>IFERROR(BA40/BE40,0)</f>
        <v>0</v>
      </c>
      <c r="BL40" s="434">
        <f>IFERROR(BA40/BF40,0)</f>
        <v>0</v>
      </c>
      <c r="BM40" s="434">
        <f>IFERROR(BA40/BG40,0)</f>
        <v>0</v>
      </c>
      <c r="BN40" s="434">
        <f>IFERROR(BB40/BE40,0)</f>
        <v>0</v>
      </c>
      <c r="BO40" s="434">
        <f>IFERROR(BB40/BF40,0)</f>
        <v>0</v>
      </c>
      <c r="BP40" s="434">
        <f>IFERROR(BB40/BG40,0)</f>
        <v>0</v>
      </c>
      <c r="BR40" s="33">
        <v>35</v>
      </c>
      <c r="BS40" s="6" t="s">
        <v>8</v>
      </c>
      <c r="BT40" s="431">
        <v>0</v>
      </c>
      <c r="BU40" s="431">
        <v>0</v>
      </c>
      <c r="BV40" s="431">
        <v>0</v>
      </c>
      <c r="BW40" s="431">
        <v>0</v>
      </c>
      <c r="BX40" s="432">
        <v>19608479.998913672</v>
      </c>
      <c r="BY40" s="432">
        <v>14588035.310000002</v>
      </c>
      <c r="BZ40" s="432">
        <v>0</v>
      </c>
      <c r="CA40" s="432">
        <v>0</v>
      </c>
      <c r="CB40" s="433">
        <v>0</v>
      </c>
      <c r="CC40" s="431">
        <v>0</v>
      </c>
      <c r="CD40" s="431">
        <v>0</v>
      </c>
      <c r="CE40" s="437">
        <f t="shared" si="75"/>
        <v>0</v>
      </c>
      <c r="CF40" s="431">
        <f t="shared" si="76"/>
        <v>0</v>
      </c>
      <c r="CG40" s="431">
        <f t="shared" si="16"/>
        <v>0</v>
      </c>
      <c r="CH40" s="434">
        <f>IFERROR(BX40/CB40,0)</f>
        <v>0</v>
      </c>
      <c r="CI40" s="434">
        <f>IFERROR(BX40/CC40,0)</f>
        <v>0</v>
      </c>
      <c r="CJ40" s="434">
        <f>IFERROR(BX40/CD40,0)</f>
        <v>0</v>
      </c>
      <c r="CK40" s="434">
        <f>IFERROR(BY40/CB40,0)</f>
        <v>0</v>
      </c>
      <c r="CL40" s="434">
        <f>IFERROR(BY40/CC40,0)</f>
        <v>0</v>
      </c>
      <c r="CM40" s="434">
        <f>IFERROR(BY40/CD40,0)</f>
        <v>0</v>
      </c>
      <c r="CO40" s="33">
        <v>35</v>
      </c>
      <c r="CP40" s="6" t="s">
        <v>8</v>
      </c>
      <c r="CQ40" s="431">
        <v>0</v>
      </c>
      <c r="CR40" s="431">
        <v>0</v>
      </c>
      <c r="CS40" s="431">
        <v>0</v>
      </c>
      <c r="CT40" s="431">
        <v>0</v>
      </c>
      <c r="CU40" s="432">
        <v>20373210.3036713</v>
      </c>
      <c r="CV40" s="432">
        <v>13066020.120000022</v>
      </c>
      <c r="CW40" s="432">
        <v>0</v>
      </c>
      <c r="CX40" s="432">
        <v>0</v>
      </c>
      <c r="CY40" s="433">
        <v>0</v>
      </c>
      <c r="CZ40" s="431">
        <v>0</v>
      </c>
      <c r="DA40" s="431">
        <v>0</v>
      </c>
      <c r="DB40" s="437">
        <f t="shared" si="77"/>
        <v>0</v>
      </c>
      <c r="DC40" s="431">
        <f t="shared" si="78"/>
        <v>0</v>
      </c>
      <c r="DD40" s="431">
        <f t="shared" si="25"/>
        <v>0</v>
      </c>
      <c r="DE40" s="434">
        <f>IFERROR(CU40/CY40,0)</f>
        <v>0</v>
      </c>
      <c r="DF40" s="434">
        <f>IFERROR(CU40/CZ40,0)</f>
        <v>0</v>
      </c>
      <c r="DG40" s="434">
        <f>IFERROR(CU40/DA40,0)</f>
        <v>0</v>
      </c>
      <c r="DH40" s="434">
        <f>IFERROR(CV40/CY40,0)</f>
        <v>0</v>
      </c>
      <c r="DI40" s="434">
        <f>IFERROR(CV40/CZ40,0)</f>
        <v>0</v>
      </c>
      <c r="DJ40" s="434">
        <f>IFERROR(CV40/DA40,0)</f>
        <v>0</v>
      </c>
      <c r="DL40" s="33">
        <v>35</v>
      </c>
      <c r="DM40" s="6" t="s">
        <v>8</v>
      </c>
      <c r="DN40" s="410">
        <v>0</v>
      </c>
      <c r="DO40" s="417">
        <v>20862167.350959416</v>
      </c>
      <c r="DP40" s="417">
        <v>0</v>
      </c>
      <c r="DQ40" s="410">
        <v>0</v>
      </c>
      <c r="DR40" s="410">
        <v>0</v>
      </c>
      <c r="DS40" s="410">
        <v>0</v>
      </c>
      <c r="DT40" s="428">
        <f t="shared" si="79"/>
        <v>0</v>
      </c>
      <c r="DU40" s="410">
        <f t="shared" si="80"/>
        <v>0</v>
      </c>
      <c r="DV40" s="423">
        <f t="shared" si="81"/>
        <v>0</v>
      </c>
      <c r="DW40" s="423">
        <f t="shared" si="82"/>
        <v>0</v>
      </c>
      <c r="DX40" s="423">
        <f t="shared" si="83"/>
        <v>0</v>
      </c>
      <c r="DZ40" s="33"/>
      <c r="EA40" s="396"/>
      <c r="EB40" s="396"/>
      <c r="EC40"/>
      <c r="ED40"/>
      <c r="EE40"/>
      <c r="EF40"/>
      <c r="EG40"/>
      <c r="EH40"/>
      <c r="EI40"/>
      <c r="EJ40"/>
      <c r="EK40"/>
      <c r="EL40"/>
      <c r="EN40" s="33"/>
      <c r="EP40"/>
      <c r="EQ40"/>
      <c r="ER40"/>
      <c r="ES40"/>
      <c r="ET40"/>
      <c r="EU40"/>
      <c r="EV40"/>
      <c r="EW40"/>
      <c r="EX40"/>
      <c r="EY40"/>
      <c r="EZ40"/>
      <c r="FB40" s="33"/>
      <c r="FQ40"/>
      <c r="FR40"/>
      <c r="FS40"/>
      <c r="FT40"/>
      <c r="FU40"/>
      <c r="FV40"/>
      <c r="FW40"/>
      <c r="FX40"/>
      <c r="FY40"/>
      <c r="FZ40"/>
      <c r="GA40"/>
      <c r="GB40"/>
      <c r="GC40"/>
    </row>
    <row r="41" spans="1:185" ht="16.5" thickTop="1" thickBot="1" x14ac:dyDescent="0.3">
      <c r="A41" s="33">
        <v>36</v>
      </c>
      <c r="B41" s="6" t="s">
        <v>8</v>
      </c>
      <c r="C41" s="25">
        <v>0</v>
      </c>
      <c r="D41" s="25">
        <v>0</v>
      </c>
      <c r="E41" s="25">
        <v>0</v>
      </c>
      <c r="F41" s="25">
        <v>0</v>
      </c>
      <c r="G41" s="186">
        <v>10905719</v>
      </c>
      <c r="H41" s="186">
        <v>7513115.7599999998</v>
      </c>
      <c r="I41" s="186">
        <v>0</v>
      </c>
      <c r="J41" s="186">
        <v>0</v>
      </c>
      <c r="K41" s="22">
        <v>0</v>
      </c>
      <c r="L41" s="25">
        <v>0</v>
      </c>
      <c r="M41" s="25">
        <v>0</v>
      </c>
      <c r="N41" s="31">
        <f t="shared" si="56"/>
        <v>0</v>
      </c>
      <c r="O41" s="25">
        <f t="shared" si="57"/>
        <v>0</v>
      </c>
      <c r="P41" s="25">
        <f t="shared" si="58"/>
        <v>0</v>
      </c>
      <c r="Q41" s="414">
        <f t="shared" si="59"/>
        <v>0</v>
      </c>
      <c r="R41" s="414">
        <f t="shared" si="60"/>
        <v>0</v>
      </c>
      <c r="S41" s="414">
        <f t="shared" si="61"/>
        <v>0</v>
      </c>
      <c r="T41" s="414">
        <f t="shared" si="62"/>
        <v>0</v>
      </c>
      <c r="U41" s="414">
        <f t="shared" si="63"/>
        <v>0</v>
      </c>
      <c r="V41" s="414">
        <f t="shared" si="64"/>
        <v>0</v>
      </c>
      <c r="X41" s="33">
        <v>36</v>
      </c>
      <c r="Y41" s="6" t="s">
        <v>8</v>
      </c>
      <c r="Z41" s="25">
        <v>0</v>
      </c>
      <c r="AA41" s="25">
        <v>0</v>
      </c>
      <c r="AB41" s="25">
        <v>0</v>
      </c>
      <c r="AC41" s="25">
        <v>0</v>
      </c>
      <c r="AD41" s="186">
        <v>10905719</v>
      </c>
      <c r="AE41" s="186">
        <f>7774009.27-584.57</f>
        <v>7773424.6999999993</v>
      </c>
      <c r="AF41" s="186">
        <v>0</v>
      </c>
      <c r="AG41" s="186">
        <v>0</v>
      </c>
      <c r="AH41" s="22">
        <v>0</v>
      </c>
      <c r="AI41" s="25">
        <v>0</v>
      </c>
      <c r="AJ41" s="25">
        <v>0</v>
      </c>
      <c r="AK41" s="31">
        <f t="shared" si="65"/>
        <v>0</v>
      </c>
      <c r="AL41" s="25">
        <f t="shared" si="66"/>
        <v>0</v>
      </c>
      <c r="AM41" s="25">
        <f t="shared" si="4"/>
        <v>0</v>
      </c>
      <c r="AN41" s="414">
        <f t="shared" si="67"/>
        <v>0</v>
      </c>
      <c r="AO41" s="414">
        <f t="shared" si="68"/>
        <v>0</v>
      </c>
      <c r="AP41" s="414">
        <f t="shared" si="69"/>
        <v>0</v>
      </c>
      <c r="AQ41" s="414">
        <f t="shared" si="70"/>
        <v>0</v>
      </c>
      <c r="AR41" s="414">
        <f t="shared" si="71"/>
        <v>0</v>
      </c>
      <c r="AS41" s="414">
        <f t="shared" si="72"/>
        <v>0</v>
      </c>
      <c r="AU41" s="33">
        <v>36</v>
      </c>
      <c r="AV41" s="7" t="s">
        <v>9</v>
      </c>
      <c r="AW41" s="23">
        <f t="shared" ref="AW41" si="224">SUM(AW6,AW14,AW18,AW28,AW33,AW36,AW39,AW40)</f>
        <v>99573</v>
      </c>
      <c r="AX41" s="23">
        <f t="shared" ref="AX41" si="225">SUM(AX6,AX14,AX18,AX28,AX33,AX36,AX39,AX40)</f>
        <v>93793</v>
      </c>
      <c r="AY41" s="23">
        <f t="shared" ref="AY41" si="226">SUM(AY6,AY14,AY18,AY28,AY33,AY36,AY39,AY40)</f>
        <v>281</v>
      </c>
      <c r="AZ41" s="23">
        <f t="shared" ref="AZ41" si="227">SUM(AZ6,AZ14,AZ18,AZ28,AZ33,AZ36,AZ39,AZ40)</f>
        <v>49</v>
      </c>
      <c r="BA41" s="435">
        <f t="shared" ref="BA41" si="228">SUM(BA6,BA14,BA18,BA28,BA33,BA36,BA39,BA40)</f>
        <v>167242920.71532193</v>
      </c>
      <c r="BB41" s="435">
        <f t="shared" ref="BB41" si="229">SUM(BB6,BB14,BB18,BB28,BB33,BB36,BB39,BB40)</f>
        <v>144721462.69000006</v>
      </c>
      <c r="BC41" s="435">
        <f t="shared" ref="BC41" si="230">SUM(BC6,BC14,BC18,BC28,BC33,BC36,BC39,BC40)</f>
        <v>114820482.91180339</v>
      </c>
      <c r="BD41" s="435">
        <f t="shared" ref="BD41" si="231">SUM(BD6,BD14,BD18,BD28,BD33,BD36,BD39,BD40)</f>
        <v>98953362.220000014</v>
      </c>
      <c r="BE41" s="436">
        <f t="shared" ref="BE41" si="232">SUM(BE6,BE14,BE18,BE28,BE33,BE36,BE39,BE40)</f>
        <v>207722348.55168134</v>
      </c>
      <c r="BF41" s="23">
        <f t="shared" ref="BF41" si="233">SUM(BF6,BF14,BF18,BF28,BF33,BF36,BF39,BF40)</f>
        <v>121521973.53165616</v>
      </c>
      <c r="BG41" s="23">
        <f t="shared" ref="BG41" si="234">SUM(BG6,BG14,BG18,BG28,BG33,BG36,BG39,BG40)</f>
        <v>1759636244.4606097</v>
      </c>
      <c r="BH41" s="30">
        <f t="shared" si="73"/>
        <v>993.77705020437281</v>
      </c>
      <c r="BI41" s="23">
        <f t="shared" si="74"/>
        <v>1220.4309755822981</v>
      </c>
      <c r="BJ41" s="23">
        <f t="shared" si="7"/>
        <v>1295.6401174038165</v>
      </c>
      <c r="BK41" s="46">
        <f>IFERROR(BA41/BE41,0)</f>
        <v>0.80512723778352557</v>
      </c>
      <c r="BL41" s="46">
        <f>IFERROR(BA41/BF41,0)</f>
        <v>1.3762360489624172</v>
      </c>
      <c r="BM41" s="46">
        <f>IFERROR(BA41/BG41,0)</f>
        <v>9.5044030402196999E-2</v>
      </c>
      <c r="BN41" s="46">
        <f>IFERROR(BB41/BE41,0)</f>
        <v>0.69670627016810061</v>
      </c>
      <c r="BO41" s="46">
        <f>IFERROR(BB41/BF41,0)</f>
        <v>1.190907771525785</v>
      </c>
      <c r="BP41" s="46">
        <f>IFERROR(BB41/BG41,0)</f>
        <v>8.224510215994231E-2</v>
      </c>
      <c r="BR41" s="33">
        <v>36</v>
      </c>
      <c r="BS41" s="7" t="s">
        <v>9</v>
      </c>
      <c r="BT41" s="23">
        <f t="shared" ref="BT41" si="235">SUM(BT6,BT14,BT18,BT28,BT33,BT36,BT39,BT40)</f>
        <v>137000</v>
      </c>
      <c r="BU41" s="23">
        <f t="shared" ref="BU41" si="236">SUM(BU6,BU14,BU18,BU28,BU33,BU36,BU39,BU40)</f>
        <v>131674</v>
      </c>
      <c r="BV41" s="23">
        <f t="shared" ref="BV41" si="237">SUM(BV6,BV14,BV18,BV28,BV33,BV36,BV39,BV40)</f>
        <v>299</v>
      </c>
      <c r="BW41" s="23">
        <f t="shared" ref="BW41" si="238">SUM(BW6,BW14,BW18,BW28,BW33,BW36,BW39,BW40)</f>
        <v>69</v>
      </c>
      <c r="BX41" s="435">
        <f t="shared" ref="BX41" si="239">SUM(BX6,BX14,BX18,BX28,BX33,BX36,BX39,BX40)</f>
        <v>183081927.68886596</v>
      </c>
      <c r="BY41" s="435">
        <f t="shared" ref="BY41" si="240">SUM(BY6,BY14,BY18,BY28,BY33,BY36,BY39,BY40)</f>
        <v>302109813.63000154</v>
      </c>
      <c r="BZ41" s="435">
        <f t="shared" ref="BZ41" si="241">SUM(BZ6,BZ14,BZ18,BZ28,BZ33,BZ36,BZ39,BZ40)</f>
        <v>126907491.83940606</v>
      </c>
      <c r="CA41" s="435">
        <f t="shared" ref="CA41" si="242">SUM(CA6,CA14,CA18,CA28,CA33,CA36,CA39,CA40)</f>
        <v>255420078.49000078</v>
      </c>
      <c r="CB41" s="436">
        <f t="shared" ref="CB41" si="243">SUM(CB6,CB14,CB18,CB28,CB33,CB36,CB39,CB40)</f>
        <v>231320304.15278608</v>
      </c>
      <c r="CC41" s="23">
        <f t="shared" ref="CC41" si="244">SUM(CC6,CC14,CC18,CC28,CC33,CC36,CC39,CC40)</f>
        <v>160919552.84759653</v>
      </c>
      <c r="CD41" s="23">
        <f t="shared" ref="CD41" si="245">SUM(CD6,CD14,CD18,CD28,CD33,CD36,CD39,CD40)</f>
        <v>2707959439.9822083</v>
      </c>
      <c r="CE41" s="30">
        <f t="shared" si="75"/>
        <v>1864.3801349635094</v>
      </c>
      <c r="CF41" s="23">
        <f>IFERROR(CC41/BT41,0)</f>
        <v>1174.5952762598286</v>
      </c>
      <c r="CG41" s="23">
        <f t="shared" si="16"/>
        <v>1222.1057524461664</v>
      </c>
      <c r="CH41" s="46">
        <f>IFERROR(BX41/CB41,0)</f>
        <v>0.79146501367187005</v>
      </c>
      <c r="CI41" s="46">
        <f>IFERROR(BX41/CC41,0)</f>
        <v>1.1377233185718516</v>
      </c>
      <c r="CJ41" s="46">
        <f>IFERROR(BX41/CD41,0)</f>
        <v>6.7608814587735794E-2</v>
      </c>
      <c r="CK41" s="46">
        <f>IFERROR(BY41/CB41,0)</f>
        <v>1.3060237610203871</v>
      </c>
      <c r="CL41" s="46">
        <f>IFERROR(BY41/CC41,0)</f>
        <v>1.8773965517796543</v>
      </c>
      <c r="CM41" s="46">
        <f>IFERROR(BY41/CD41,0)</f>
        <v>0.11156364056619196</v>
      </c>
      <c r="CO41" s="33">
        <v>36</v>
      </c>
      <c r="CP41" s="7" t="s">
        <v>9</v>
      </c>
      <c r="CQ41" s="23">
        <f t="shared" ref="CQ41:DA41" si="246">SUM(CQ6,CQ14,CQ18,CQ28,CQ33,CQ36,CQ39,CQ40)</f>
        <v>72887</v>
      </c>
      <c r="CR41" s="23">
        <f t="shared" si="246"/>
        <v>68674</v>
      </c>
      <c r="CS41" s="23">
        <f t="shared" si="246"/>
        <v>302</v>
      </c>
      <c r="CT41" s="23">
        <f t="shared" si="246"/>
        <v>65</v>
      </c>
      <c r="CU41" s="435">
        <f t="shared" si="246"/>
        <v>195114930.15675968</v>
      </c>
      <c r="CV41" s="435">
        <f t="shared" si="246"/>
        <v>162243026.82000002</v>
      </c>
      <c r="CW41" s="435">
        <f t="shared" si="246"/>
        <v>135396083.22279945</v>
      </c>
      <c r="CX41" s="435">
        <f t="shared" si="246"/>
        <v>112952919.99999997</v>
      </c>
      <c r="CY41" s="436">
        <f t="shared" si="246"/>
        <v>190952712.02108997</v>
      </c>
      <c r="CZ41" s="23">
        <f t="shared" si="246"/>
        <v>122410033.33428994</v>
      </c>
      <c r="DA41" s="23">
        <f t="shared" si="246"/>
        <v>1665662378.397347</v>
      </c>
      <c r="DB41" s="30">
        <f t="shared" si="77"/>
        <v>1549.699123300451</v>
      </c>
      <c r="DC41" s="23">
        <f>IFERROR(CZ41/CQ41,0)</f>
        <v>1679.4494674535918</v>
      </c>
      <c r="DD41" s="23">
        <f t="shared" si="25"/>
        <v>1782.4800264188766</v>
      </c>
      <c r="DE41" s="46">
        <f>IFERROR(CU41/CY41,0)</f>
        <v>1.0217971145401172</v>
      </c>
      <c r="DF41" s="46">
        <f>IFERROR(CU41/CZ41,0)</f>
        <v>1.5939455683662769</v>
      </c>
      <c r="DG41" s="46">
        <f>IFERROR(CU41/DA41,0)</f>
        <v>0.1171395432155307</v>
      </c>
      <c r="DH41" s="46">
        <f>IFERROR(CV41/CY41,0)</f>
        <v>0.84965028829797884</v>
      </c>
      <c r="DI41" s="46">
        <f>IFERROR(CV41/CZ41,0)</f>
        <v>1.325406279213486</v>
      </c>
      <c r="DJ41" s="46">
        <f>IFERROR(CV41/DA41,0)</f>
        <v>9.7404509415711035E-2</v>
      </c>
      <c r="DL41" s="33">
        <v>36</v>
      </c>
      <c r="DM41" s="7" t="s">
        <v>9</v>
      </c>
      <c r="DN41" s="416">
        <f t="shared" ref="DN41" si="247">SUM(DN6,DN14,DN18,DN28,DN33,DN36,DN39,DN40)</f>
        <v>83590.993883145886</v>
      </c>
      <c r="DO41" s="419">
        <f>SUM(DO6,DO14,DO18,DO28,DO33,DO36,DO39,DO40)</f>
        <v>199797687.94711277</v>
      </c>
      <c r="DP41" s="419">
        <f t="shared" ref="DP41:DS41" si="248">SUM(DP6,DP14,DP18,DP28,DP33,DP36,DP39,DP40)</f>
        <v>138645589.22014666</v>
      </c>
      <c r="DQ41" s="416">
        <f t="shared" si="248"/>
        <v>233852936.26777527</v>
      </c>
      <c r="DR41" s="416">
        <f t="shared" si="248"/>
        <v>150807091</v>
      </c>
      <c r="DS41" s="416">
        <f t="shared" si="248"/>
        <v>2052618197.9623055</v>
      </c>
      <c r="DT41" s="429">
        <f>IFERROR(DP41/$DN41,0)</f>
        <v>1658.6187432340269</v>
      </c>
      <c r="DU41" s="416">
        <f>IFERROR(DR41/$DN41,0)</f>
        <v>1804.1069258108992</v>
      </c>
      <c r="DV41" s="424">
        <f>IFERROR(DO41/DQ41,0)</f>
        <v>0.85437322761828716</v>
      </c>
      <c r="DW41" s="424">
        <f>IFERROR(DO41/DR41,0)</f>
        <v>1.3248560569815166</v>
      </c>
      <c r="DX41" s="424">
        <f>IFERROR(DO41/DS41,0)</f>
        <v>9.7337969694246018E-2</v>
      </c>
      <c r="DZ41" s="33"/>
      <c r="EA41" s="396"/>
      <c r="EB41" s="396"/>
      <c r="EE41" s="396"/>
      <c r="EF41" s="396"/>
      <c r="EG41" s="396"/>
      <c r="EN41" s="33"/>
      <c r="EP41"/>
      <c r="EQ41"/>
      <c r="ER41"/>
      <c r="ES41"/>
      <c r="ET41"/>
      <c r="EU41"/>
      <c r="EV41"/>
      <c r="EW41"/>
      <c r="EX41"/>
      <c r="EY41"/>
      <c r="EZ41"/>
      <c r="FB41" s="33"/>
      <c r="FQ41"/>
      <c r="FR41"/>
      <c r="FS41"/>
      <c r="FT41"/>
      <c r="FU41"/>
      <c r="FV41"/>
      <c r="FW41"/>
      <c r="FX41"/>
      <c r="FY41"/>
      <c r="FZ41"/>
      <c r="GA41"/>
      <c r="GB41"/>
      <c r="GC41"/>
    </row>
    <row r="42" spans="1:185" ht="15.75" thickTop="1" x14ac:dyDescent="0.25">
      <c r="A42" s="33">
        <v>37</v>
      </c>
      <c r="B42" s="7" t="s">
        <v>9</v>
      </c>
      <c r="C42" s="23">
        <f>SUM(C6,C14,C18,C28,C33,C36,C39,C40,C41)</f>
        <v>67538</v>
      </c>
      <c r="D42" s="23">
        <f t="shared" ref="D42:M42" si="249">SUM(D6,D14,D18,D28,D33,D36,D39,D40,D41)</f>
        <v>63942</v>
      </c>
      <c r="E42" s="23">
        <f t="shared" si="249"/>
        <v>133</v>
      </c>
      <c r="F42" s="23">
        <f t="shared" si="249"/>
        <v>35</v>
      </c>
      <c r="G42" s="188">
        <f t="shared" si="249"/>
        <v>132106917</v>
      </c>
      <c r="H42" s="188">
        <f t="shared" si="249"/>
        <v>122596777.10597134</v>
      </c>
      <c r="I42" s="188">
        <f t="shared" si="249"/>
        <v>104929657</v>
      </c>
      <c r="J42" s="188">
        <f t="shared" si="249"/>
        <v>86839020.629999995</v>
      </c>
      <c r="K42" s="23">
        <f t="shared" si="249"/>
        <v>201603945.84793201</v>
      </c>
      <c r="L42" s="23">
        <f t="shared" si="249"/>
        <v>92549295.706706151</v>
      </c>
      <c r="M42" s="23">
        <f t="shared" si="249"/>
        <v>1654915405.3460624</v>
      </c>
      <c r="N42" s="30">
        <f t="shared" si="56"/>
        <v>1285.7801627232077</v>
      </c>
      <c r="O42" s="23">
        <f t="shared" si="57"/>
        <v>1370.3292325314069</v>
      </c>
      <c r="P42" s="23">
        <f t="shared" si="58"/>
        <v>1447.3944466345463</v>
      </c>
      <c r="Q42" s="46">
        <f t="shared" si="59"/>
        <v>0.65527942146354135</v>
      </c>
      <c r="R42" s="46">
        <f t="shared" si="60"/>
        <v>1.4274221752983853</v>
      </c>
      <c r="S42" s="46">
        <f t="shared" si="61"/>
        <v>7.9826990898289985E-2</v>
      </c>
      <c r="T42" s="46">
        <f t="shared" si="62"/>
        <v>0.60810703178619807</v>
      </c>
      <c r="U42" s="46">
        <f t="shared" si="63"/>
        <v>1.3246646143530614</v>
      </c>
      <c r="V42" s="46">
        <f t="shared" si="64"/>
        <v>7.4080389069998961E-2</v>
      </c>
      <c r="X42" s="33">
        <v>37</v>
      </c>
      <c r="Y42" s="7" t="s">
        <v>9</v>
      </c>
      <c r="Z42" s="23">
        <f t="shared" ref="Z42:AJ42" si="250">SUM(Z6,Z14,Z18,Z28,Z33,Z36,Z39,Z40,Z41)</f>
        <v>77414</v>
      </c>
      <c r="AA42" s="23">
        <f t="shared" si="250"/>
        <v>72653</v>
      </c>
      <c r="AB42" s="23">
        <f t="shared" si="250"/>
        <v>112</v>
      </c>
      <c r="AC42" s="23">
        <f t="shared" si="250"/>
        <v>24</v>
      </c>
      <c r="AD42" s="188">
        <f t="shared" si="250"/>
        <v>132106917</v>
      </c>
      <c r="AE42" s="188">
        <f t="shared" si="250"/>
        <v>120949720.26803319</v>
      </c>
      <c r="AF42" s="188">
        <f t="shared" si="250"/>
        <v>104929657</v>
      </c>
      <c r="AG42" s="188">
        <f t="shared" si="250"/>
        <v>86336368.450000003</v>
      </c>
      <c r="AH42" s="23">
        <f t="shared" si="250"/>
        <v>168008902.16739199</v>
      </c>
      <c r="AI42" s="23">
        <f t="shared" si="250"/>
        <v>78585463.128523737</v>
      </c>
      <c r="AJ42" s="23">
        <f t="shared" si="250"/>
        <v>1385885285.8888686</v>
      </c>
      <c r="AK42" s="30">
        <f t="shared" si="65"/>
        <v>1115.2552309659752</v>
      </c>
      <c r="AL42" s="23">
        <f t="shared" si="66"/>
        <v>1015.1324454042388</v>
      </c>
      <c r="AM42" s="23">
        <f t="shared" si="4"/>
        <v>1081.6547579387463</v>
      </c>
      <c r="AN42" s="46">
        <f t="shared" si="67"/>
        <v>0.78630903062730673</v>
      </c>
      <c r="AO42" s="46">
        <f t="shared" si="68"/>
        <v>1.6810604880440014</v>
      </c>
      <c r="AP42" s="46">
        <f t="shared" si="69"/>
        <v>9.532312547446542E-2</v>
      </c>
      <c r="AQ42" s="46">
        <f t="shared" si="70"/>
        <v>0.71990066423699139</v>
      </c>
      <c r="AR42" s="46">
        <f t="shared" si="71"/>
        <v>1.539085162229358</v>
      </c>
      <c r="AS42" s="46">
        <f t="shared" si="72"/>
        <v>8.727253366461668E-2</v>
      </c>
      <c r="AU42" s="33"/>
      <c r="AW42"/>
      <c r="AX42"/>
      <c r="AY42"/>
      <c r="AZ42"/>
      <c r="BA42"/>
      <c r="BB42"/>
      <c r="BC42"/>
      <c r="BD42"/>
      <c r="BE42"/>
      <c r="BF42"/>
      <c r="BG42"/>
      <c r="BH42"/>
      <c r="BI42"/>
      <c r="BJ42"/>
      <c r="BK42"/>
      <c r="BL42"/>
      <c r="BM42"/>
      <c r="BN42"/>
      <c r="BO42"/>
      <c r="BP42"/>
      <c r="BS42"/>
      <c r="BT42"/>
      <c r="BU42"/>
      <c r="BV42"/>
      <c r="BW42"/>
      <c r="BX42"/>
      <c r="BY42"/>
      <c r="BZ42"/>
      <c r="CA42"/>
      <c r="CB42"/>
      <c r="CC42"/>
      <c r="CD42"/>
      <c r="CE42"/>
      <c r="CF42"/>
      <c r="CG42"/>
      <c r="CH42"/>
      <c r="CI42"/>
      <c r="CJ42"/>
      <c r="CK42"/>
      <c r="CL42"/>
      <c r="CM42"/>
      <c r="CP42"/>
      <c r="CQ42"/>
      <c r="CR42"/>
      <c r="CS42"/>
      <c r="CT42"/>
      <c r="CU42"/>
      <c r="CV42"/>
      <c r="CW42"/>
      <c r="CX42"/>
      <c r="CY42"/>
      <c r="CZ42"/>
      <c r="DA42"/>
      <c r="DB42"/>
      <c r="DC42"/>
      <c r="DD42"/>
      <c r="DE42"/>
      <c r="DF42"/>
      <c r="DG42"/>
      <c r="DH42"/>
      <c r="DI42"/>
      <c r="DJ42"/>
      <c r="DM42"/>
      <c r="DN42"/>
      <c r="DO42"/>
      <c r="DP42"/>
      <c r="DQ42"/>
      <c r="DR42"/>
      <c r="DS42"/>
      <c r="DT42"/>
      <c r="DU42"/>
      <c r="DV42"/>
      <c r="DW42"/>
      <c r="DX42"/>
      <c r="EA42"/>
      <c r="EB42"/>
      <c r="EC42"/>
      <c r="ED42"/>
      <c r="EE42"/>
      <c r="EF42"/>
      <c r="EG42"/>
      <c r="EH42"/>
      <c r="EI42"/>
      <c r="EJ42"/>
      <c r="EK42"/>
      <c r="EL42"/>
      <c r="EO42"/>
      <c r="EP42"/>
      <c r="EQ42"/>
      <c r="ER42"/>
      <c r="ES42"/>
      <c r="ET42"/>
      <c r="EU42"/>
      <c r="EV42"/>
      <c r="EW42"/>
      <c r="EX42"/>
      <c r="EY42"/>
      <c r="EZ42"/>
      <c r="FP42" s="33"/>
    </row>
    <row r="43" spans="1:185" x14ac:dyDescent="0.25">
      <c r="A43"/>
      <c r="B43"/>
      <c r="C43"/>
      <c r="D43"/>
      <c r="E43"/>
      <c r="F43"/>
      <c r="G43"/>
      <c r="H43"/>
      <c r="I43"/>
      <c r="J43"/>
      <c r="K43"/>
      <c r="L43"/>
      <c r="M43"/>
      <c r="N43"/>
      <c r="O43"/>
      <c r="P43"/>
      <c r="Q43"/>
      <c r="R43"/>
      <c r="S43"/>
      <c r="T43"/>
      <c r="U43"/>
      <c r="V43"/>
      <c r="Y43"/>
      <c r="Z43"/>
      <c r="AA43"/>
      <c r="AB43"/>
      <c r="AC43"/>
      <c r="AD43"/>
      <c r="AE43"/>
      <c r="AF43"/>
      <c r="AG43"/>
      <c r="AH43"/>
      <c r="AI43"/>
      <c r="AJ43"/>
      <c r="AK43"/>
      <c r="AL43"/>
      <c r="AM43"/>
      <c r="AN43"/>
      <c r="AO43"/>
      <c r="AP43"/>
      <c r="AQ43"/>
      <c r="AR43"/>
      <c r="AS43"/>
      <c r="AV43"/>
      <c r="AW43"/>
      <c r="AX43"/>
      <c r="AY43"/>
      <c r="AZ43"/>
      <c r="BA43"/>
      <c r="BB43"/>
      <c r="BC43"/>
      <c r="BD43"/>
      <c r="BE43"/>
      <c r="BF43"/>
      <c r="BG43"/>
      <c r="BH43"/>
      <c r="BI43"/>
      <c r="BJ43"/>
      <c r="BK43"/>
      <c r="BL43"/>
      <c r="BM43"/>
      <c r="BN43"/>
      <c r="BO43"/>
      <c r="BP43"/>
      <c r="BS43"/>
      <c r="BT43"/>
      <c r="BU43"/>
      <c r="BV43"/>
      <c r="BW43"/>
      <c r="BX43"/>
      <c r="BY43"/>
      <c r="BZ43"/>
      <c r="CA43"/>
      <c r="CB43"/>
      <c r="CC43"/>
      <c r="CD43"/>
      <c r="CE43"/>
      <c r="CF43"/>
      <c r="CG43"/>
      <c r="CH43"/>
      <c r="CI43"/>
      <c r="CJ43"/>
      <c r="CK43"/>
      <c r="CL43"/>
      <c r="CM43"/>
      <c r="CP43"/>
      <c r="CQ43"/>
      <c r="CR43"/>
      <c r="CS43"/>
      <c r="CT43"/>
      <c r="CU43"/>
      <c r="CV43"/>
      <c r="CW43"/>
      <c r="CX43"/>
      <c r="CY43"/>
      <c r="CZ43"/>
      <c r="DA43"/>
      <c r="DB43"/>
      <c r="DC43"/>
      <c r="DD43"/>
      <c r="DE43"/>
      <c r="DF43"/>
      <c r="DG43"/>
      <c r="DH43"/>
      <c r="DI43"/>
      <c r="DJ43"/>
      <c r="DM43"/>
      <c r="DN43"/>
      <c r="DO43"/>
      <c r="DP43"/>
      <c r="DQ43"/>
      <c r="DR43"/>
      <c r="DS43"/>
      <c r="DT43"/>
      <c r="DU43"/>
      <c r="DV43"/>
      <c r="DW43"/>
      <c r="DX43"/>
      <c r="EA43"/>
      <c r="EB43"/>
      <c r="EC43"/>
      <c r="ED43"/>
      <c r="EE43"/>
      <c r="EF43"/>
      <c r="EG43"/>
      <c r="EH43"/>
      <c r="EI43"/>
      <c r="EJ43"/>
      <c r="EK43"/>
      <c r="EL43"/>
      <c r="EO43"/>
      <c r="EP43"/>
      <c r="EQ43"/>
      <c r="ER43"/>
      <c r="ES43"/>
      <c r="ET43"/>
      <c r="EU43"/>
      <c r="EV43"/>
      <c r="EW43"/>
      <c r="EX43"/>
      <c r="EY43"/>
      <c r="EZ43"/>
    </row>
    <row r="44" spans="1:185" x14ac:dyDescent="0.25">
      <c r="A44"/>
      <c r="B44" s="385" t="s">
        <v>501</v>
      </c>
      <c r="AF44" s="15"/>
      <c r="AG44" s="15"/>
      <c r="AH44" s="15"/>
      <c r="AI44" s="15"/>
      <c r="AJ44" s="15"/>
      <c r="AW44"/>
      <c r="AX44"/>
      <c r="AY44"/>
      <c r="AZ44"/>
      <c r="BA44"/>
      <c r="BB44"/>
      <c r="BC44"/>
      <c r="BD44"/>
      <c r="BE44"/>
      <c r="BF44"/>
      <c r="BG44"/>
      <c r="BH44"/>
      <c r="BI44"/>
      <c r="BJ44"/>
      <c r="BK44"/>
      <c r="BL44"/>
      <c r="BM44"/>
      <c r="BN44"/>
      <c r="BO44"/>
      <c r="BP44"/>
      <c r="BS44"/>
      <c r="BT44"/>
      <c r="BU44"/>
      <c r="BV44"/>
      <c r="BW44"/>
      <c r="BX44"/>
      <c r="BY44"/>
      <c r="BZ44"/>
      <c r="CA44"/>
      <c r="CB44"/>
      <c r="CC44"/>
      <c r="CD44"/>
      <c r="CE44"/>
      <c r="CF44"/>
      <c r="CG44"/>
      <c r="CH44"/>
      <c r="CI44"/>
      <c r="CJ44"/>
      <c r="CK44"/>
      <c r="CL44"/>
      <c r="CM44"/>
      <c r="CP44"/>
      <c r="CQ44"/>
      <c r="CR44"/>
      <c r="CS44"/>
      <c r="CT44"/>
      <c r="CU44"/>
      <c r="CV44"/>
      <c r="CW44"/>
      <c r="CX44"/>
      <c r="CY44"/>
      <c r="CZ44"/>
      <c r="DA44"/>
      <c r="DB44"/>
      <c r="DC44"/>
      <c r="DD44"/>
      <c r="DE44"/>
      <c r="DF44"/>
      <c r="DG44"/>
      <c r="DH44"/>
      <c r="DI44"/>
      <c r="DJ44"/>
      <c r="DM44"/>
      <c r="DN44"/>
      <c r="DO44"/>
      <c r="DP44"/>
      <c r="DQ44"/>
      <c r="DR44"/>
      <c r="DS44"/>
      <c r="DT44"/>
      <c r="DU44"/>
      <c r="DV44"/>
      <c r="DW44"/>
      <c r="DX44"/>
      <c r="EA44"/>
      <c r="EB44"/>
      <c r="EC44"/>
      <c r="ED44"/>
      <c r="EE44"/>
      <c r="EF44"/>
      <c r="EG44"/>
      <c r="EH44"/>
      <c r="EI44"/>
      <c r="EJ44"/>
      <c r="EK44"/>
      <c r="EL44"/>
      <c r="EO44"/>
      <c r="EP44"/>
      <c r="EQ44"/>
      <c r="ER44"/>
      <c r="ES44"/>
      <c r="ET44"/>
      <c r="EU44"/>
      <c r="EV44"/>
      <c r="EW44"/>
      <c r="EX44"/>
      <c r="EY44"/>
      <c r="EZ44"/>
    </row>
    <row r="45" spans="1:185" x14ac:dyDescent="0.25">
      <c r="A45"/>
      <c r="B45" s="481" t="s">
        <v>422</v>
      </c>
      <c r="L45" s="401"/>
      <c r="AI45" s="401"/>
      <c r="AW45"/>
      <c r="AX45"/>
      <c r="AY45"/>
      <c r="AZ45"/>
      <c r="BA45"/>
      <c r="BB45"/>
      <c r="BC45"/>
      <c r="BD45"/>
      <c r="BE45"/>
      <c r="BF45"/>
      <c r="BG45"/>
      <c r="BH45"/>
      <c r="BI45"/>
      <c r="BJ45"/>
      <c r="BK45"/>
      <c r="BL45"/>
      <c r="BM45"/>
      <c r="BN45"/>
      <c r="BO45"/>
      <c r="BP45"/>
      <c r="BS45"/>
      <c r="BT45"/>
      <c r="BU45"/>
      <c r="BV45"/>
      <c r="BW45"/>
      <c r="BX45"/>
      <c r="BY45"/>
      <c r="BZ45"/>
      <c r="CA45"/>
      <c r="CB45"/>
      <c r="CC45"/>
      <c r="CD45"/>
      <c r="CE45"/>
      <c r="CF45"/>
      <c r="CG45"/>
      <c r="CH45"/>
      <c r="CI45"/>
      <c r="CJ45"/>
      <c r="CK45"/>
      <c r="CL45"/>
      <c r="CM45"/>
      <c r="CP45"/>
      <c r="CQ45"/>
      <c r="CR45"/>
      <c r="CS45"/>
      <c r="CT45"/>
      <c r="CU45"/>
      <c r="CV45"/>
      <c r="CW45"/>
      <c r="CX45"/>
      <c r="CY45"/>
      <c r="CZ45"/>
      <c r="DA45"/>
      <c r="DB45"/>
      <c r="DC45"/>
      <c r="DD45"/>
      <c r="DE45"/>
      <c r="DF45"/>
      <c r="DG45"/>
      <c r="DH45"/>
      <c r="DI45"/>
      <c r="DJ45"/>
      <c r="DM45"/>
      <c r="DN45"/>
      <c r="DO45"/>
      <c r="DP45"/>
      <c r="DQ45"/>
      <c r="DR45"/>
      <c r="DS45"/>
      <c r="DT45"/>
      <c r="DU45"/>
      <c r="DV45"/>
      <c r="DW45"/>
      <c r="DX45"/>
      <c r="EA45"/>
      <c r="EB45"/>
      <c r="EC45"/>
      <c r="ED45"/>
      <c r="EE45"/>
      <c r="EF45"/>
      <c r="EG45"/>
      <c r="EH45"/>
      <c r="EI45"/>
      <c r="EJ45"/>
      <c r="EK45"/>
      <c r="EL45"/>
      <c r="EO45"/>
      <c r="EP45"/>
      <c r="EQ45"/>
      <c r="ER45"/>
      <c r="ES45"/>
      <c r="ET45"/>
      <c r="EU45"/>
      <c r="EV45"/>
      <c r="EW45"/>
      <c r="EX45"/>
      <c r="EY45"/>
      <c r="EZ45"/>
    </row>
    <row r="46" spans="1:185" x14ac:dyDescent="0.25">
      <c r="A46"/>
      <c r="B46" s="481" t="s">
        <v>595</v>
      </c>
      <c r="AW46"/>
      <c r="AX46"/>
      <c r="AY46"/>
      <c r="AZ46"/>
      <c r="BA46"/>
      <c r="BB46"/>
      <c r="BC46"/>
      <c r="BD46"/>
      <c r="BE46"/>
      <c r="BF46"/>
      <c r="BG46"/>
      <c r="BH46"/>
      <c r="BI46"/>
      <c r="BJ46"/>
      <c r="BK46"/>
      <c r="BL46"/>
      <c r="BM46"/>
      <c r="BN46"/>
      <c r="BO46"/>
      <c r="BP46"/>
      <c r="BS46"/>
      <c r="BT46"/>
      <c r="BU46"/>
      <c r="BV46"/>
      <c r="BW46"/>
      <c r="BX46"/>
      <c r="BY46"/>
      <c r="BZ46"/>
      <c r="CA46"/>
      <c r="CB46"/>
      <c r="CC46"/>
      <c r="CD46"/>
      <c r="CE46"/>
      <c r="CF46"/>
      <c r="CG46"/>
      <c r="CH46"/>
      <c r="CI46"/>
      <c r="CJ46"/>
      <c r="CK46"/>
      <c r="CL46"/>
      <c r="CM46"/>
      <c r="CP46"/>
      <c r="CQ46"/>
      <c r="CR46"/>
      <c r="CS46"/>
      <c r="CT46"/>
      <c r="CU46"/>
      <c r="CV46"/>
      <c r="CW46"/>
      <c r="CX46"/>
      <c r="CY46"/>
      <c r="CZ46"/>
      <c r="DA46"/>
      <c r="DB46"/>
      <c r="DC46"/>
      <c r="DD46"/>
      <c r="DE46"/>
      <c r="DF46"/>
      <c r="DG46"/>
      <c r="DH46"/>
      <c r="DI46"/>
      <c r="DJ46"/>
      <c r="DM46"/>
      <c r="DN46"/>
      <c r="DO46"/>
      <c r="DP46"/>
      <c r="DQ46"/>
      <c r="DR46"/>
      <c r="DS46"/>
      <c r="DT46"/>
      <c r="DU46"/>
      <c r="DV46"/>
      <c r="DW46"/>
      <c r="DX46"/>
      <c r="EA46"/>
      <c r="EB46"/>
      <c r="EC46"/>
      <c r="ED46"/>
      <c r="EE46"/>
      <c r="EF46"/>
      <c r="EG46"/>
      <c r="EH46"/>
      <c r="EI46"/>
      <c r="EJ46"/>
      <c r="EK46"/>
      <c r="EL46"/>
      <c r="EO46"/>
      <c r="EP46"/>
      <c r="EQ46"/>
      <c r="ER46"/>
      <c r="ES46"/>
      <c r="ET46"/>
      <c r="EU46"/>
      <c r="EV46"/>
      <c r="EW46"/>
      <c r="EX46"/>
      <c r="EY46"/>
      <c r="EZ46"/>
    </row>
    <row r="47" spans="1:185" x14ac:dyDescent="0.25">
      <c r="A47"/>
      <c r="B47" s="481" t="s">
        <v>596</v>
      </c>
      <c r="AW47"/>
      <c r="AX47"/>
      <c r="AY47"/>
      <c r="AZ47"/>
      <c r="BA47"/>
      <c r="BB47"/>
      <c r="BC47"/>
      <c r="BD47"/>
      <c r="BE47"/>
      <c r="BF47"/>
      <c r="BG47"/>
      <c r="BH47"/>
      <c r="BI47"/>
      <c r="BJ47"/>
      <c r="BK47"/>
      <c r="BL47"/>
      <c r="BM47"/>
      <c r="BN47"/>
      <c r="BO47"/>
      <c r="BP47"/>
      <c r="BS47"/>
      <c r="BT47"/>
      <c r="BU47"/>
      <c r="BV47"/>
      <c r="BW47"/>
      <c r="BX47"/>
      <c r="BY47"/>
      <c r="BZ47"/>
      <c r="CA47"/>
      <c r="CB47"/>
      <c r="CC47"/>
      <c r="CD47"/>
      <c r="CE47"/>
      <c r="CF47"/>
      <c r="CG47"/>
      <c r="CH47"/>
      <c r="CI47"/>
      <c r="CJ47"/>
      <c r="CK47"/>
      <c r="CL47"/>
      <c r="CM47"/>
      <c r="CP47"/>
      <c r="CQ47"/>
      <c r="CR47"/>
      <c r="CS47"/>
      <c r="CT47"/>
      <c r="CU47"/>
      <c r="CV47"/>
      <c r="CW47"/>
      <c r="CX47"/>
      <c r="CY47"/>
      <c r="CZ47"/>
      <c r="DA47"/>
      <c r="DB47"/>
      <c r="DC47"/>
      <c r="DD47"/>
      <c r="DE47"/>
      <c r="DF47"/>
      <c r="DG47"/>
      <c r="DH47"/>
      <c r="DI47"/>
      <c r="DJ47"/>
      <c r="DM47"/>
      <c r="DN47"/>
      <c r="DO47"/>
      <c r="DP47"/>
      <c r="DQ47"/>
      <c r="DR47"/>
      <c r="DS47"/>
      <c r="DT47"/>
      <c r="DU47"/>
      <c r="DV47"/>
      <c r="DW47"/>
      <c r="DX47"/>
      <c r="EA47"/>
      <c r="EB47"/>
      <c r="EC47"/>
      <c r="ED47"/>
      <c r="EE47"/>
      <c r="EF47"/>
      <c r="EG47"/>
      <c r="EH47"/>
      <c r="EI47"/>
      <c r="EJ47"/>
      <c r="EK47"/>
      <c r="EL47"/>
      <c r="EO47"/>
      <c r="EP47"/>
      <c r="EQ47"/>
      <c r="ER47"/>
      <c r="ES47"/>
      <c r="ET47"/>
      <c r="EU47"/>
      <c r="EV47"/>
      <c r="EW47"/>
      <c r="EX47"/>
      <c r="EY47"/>
      <c r="EZ47"/>
    </row>
    <row r="48" spans="1:185" x14ac:dyDescent="0.25">
      <c r="A48"/>
      <c r="B48" s="481" t="s">
        <v>597</v>
      </c>
      <c r="C48" s="400"/>
      <c r="AW48"/>
      <c r="AX48"/>
      <c r="AY48"/>
      <c r="AZ48"/>
      <c r="BA48"/>
      <c r="BB48"/>
      <c r="BC48"/>
      <c r="BD48"/>
      <c r="BE48"/>
      <c r="BF48"/>
      <c r="BG48"/>
      <c r="BH48"/>
      <c r="BI48"/>
      <c r="BJ48"/>
      <c r="BK48"/>
      <c r="BL48"/>
      <c r="BM48"/>
      <c r="BN48"/>
      <c r="BO48"/>
      <c r="BP48"/>
      <c r="BS48"/>
      <c r="BT48"/>
      <c r="BU48"/>
      <c r="BV48"/>
      <c r="BW48"/>
      <c r="BX48"/>
      <c r="BY48"/>
      <c r="BZ48"/>
      <c r="CA48"/>
      <c r="CB48"/>
      <c r="CC48"/>
      <c r="CD48"/>
      <c r="CE48"/>
      <c r="CF48"/>
      <c r="CG48"/>
      <c r="CH48"/>
      <c r="CI48"/>
      <c r="CJ48"/>
      <c r="CK48"/>
      <c r="CL48"/>
      <c r="CM48"/>
      <c r="CP48"/>
      <c r="CQ48"/>
      <c r="CR48"/>
      <c r="CS48"/>
      <c r="CT48"/>
      <c r="CU48"/>
      <c r="CV48"/>
      <c r="CW48"/>
      <c r="CX48"/>
      <c r="CY48"/>
      <c r="CZ48"/>
      <c r="DA48"/>
      <c r="DB48"/>
      <c r="DC48"/>
      <c r="DD48"/>
      <c r="DE48"/>
      <c r="DF48"/>
      <c r="DG48"/>
      <c r="DH48"/>
      <c r="DI48"/>
      <c r="DJ48"/>
      <c r="DM48"/>
      <c r="DN48"/>
      <c r="DO48"/>
      <c r="DP48"/>
      <c r="DQ48"/>
      <c r="DR48"/>
      <c r="DS48"/>
      <c r="DT48"/>
      <c r="DU48"/>
      <c r="DV48"/>
      <c r="DW48"/>
      <c r="DX48"/>
      <c r="EA48"/>
      <c r="EB48"/>
      <c r="EC48"/>
      <c r="ED48"/>
      <c r="EE48"/>
      <c r="EF48"/>
      <c r="EG48"/>
      <c r="EH48"/>
      <c r="EI48"/>
      <c r="EJ48"/>
      <c r="EK48"/>
      <c r="EL48"/>
      <c r="EO48"/>
      <c r="EP48"/>
      <c r="EQ48"/>
      <c r="ER48"/>
      <c r="ES48"/>
      <c r="ET48"/>
      <c r="EU48"/>
      <c r="EV48"/>
      <c r="EW48"/>
      <c r="EX48"/>
      <c r="EY48"/>
      <c r="EZ48"/>
    </row>
    <row r="49" spans="1:156" x14ac:dyDescent="0.25">
      <c r="A49"/>
      <c r="B49" s="481" t="s">
        <v>598</v>
      </c>
      <c r="L49" s="401"/>
      <c r="AW49"/>
      <c r="AX49"/>
      <c r="AY49"/>
      <c r="AZ49"/>
      <c r="BA49"/>
      <c r="BB49"/>
      <c r="BC49"/>
      <c r="BD49"/>
      <c r="BE49"/>
      <c r="BF49"/>
      <c r="BG49"/>
      <c r="BH49"/>
      <c r="BI49"/>
      <c r="BJ49"/>
      <c r="BK49"/>
      <c r="BL49"/>
      <c r="BM49"/>
      <c r="BN49"/>
      <c r="BO49"/>
      <c r="BP49"/>
      <c r="BS49"/>
      <c r="BT49"/>
      <c r="BU49"/>
      <c r="BV49"/>
      <c r="BW49"/>
      <c r="BX49"/>
      <c r="BY49"/>
      <c r="BZ49"/>
      <c r="CA49"/>
      <c r="CB49"/>
      <c r="CC49"/>
      <c r="CD49"/>
      <c r="CE49"/>
      <c r="CF49"/>
      <c r="CG49"/>
      <c r="CH49"/>
      <c r="CI49"/>
      <c r="CJ49"/>
      <c r="CK49"/>
      <c r="CL49"/>
      <c r="CM49"/>
      <c r="CP49"/>
      <c r="CQ49"/>
      <c r="CR49"/>
      <c r="CS49"/>
      <c r="CT49"/>
      <c r="CU49"/>
      <c r="CV49"/>
      <c r="CW49"/>
      <c r="CX49"/>
      <c r="CY49"/>
      <c r="CZ49"/>
      <c r="DA49"/>
      <c r="DB49"/>
      <c r="DC49"/>
      <c r="DD49"/>
      <c r="DE49"/>
      <c r="DF49"/>
      <c r="DG49"/>
      <c r="DH49"/>
      <c r="DI49"/>
      <c r="DJ49"/>
      <c r="DM49"/>
      <c r="DN49"/>
      <c r="DO49"/>
      <c r="DP49"/>
      <c r="DQ49"/>
      <c r="DR49"/>
      <c r="DS49"/>
      <c r="DT49"/>
      <c r="DU49"/>
      <c r="DV49"/>
      <c r="DW49"/>
      <c r="DX49"/>
      <c r="EA49"/>
      <c r="EB49"/>
      <c r="EC49"/>
      <c r="ED49"/>
      <c r="EE49"/>
      <c r="EF49"/>
      <c r="EG49"/>
      <c r="EH49"/>
      <c r="EI49"/>
      <c r="EJ49"/>
      <c r="EK49"/>
      <c r="EL49"/>
      <c r="EO49"/>
      <c r="EP49"/>
      <c r="EQ49"/>
      <c r="ER49"/>
      <c r="ES49"/>
      <c r="ET49"/>
      <c r="EU49"/>
      <c r="EV49"/>
      <c r="EW49"/>
      <c r="EX49"/>
      <c r="EY49"/>
      <c r="EZ49"/>
    </row>
    <row r="50" spans="1:156" x14ac:dyDescent="0.25">
      <c r="A50"/>
      <c r="B50" s="481" t="s">
        <v>599</v>
      </c>
      <c r="AW50"/>
      <c r="AX50"/>
      <c r="AY50"/>
      <c r="AZ50"/>
      <c r="BA50"/>
      <c r="BB50"/>
      <c r="BC50"/>
      <c r="BD50"/>
      <c r="BE50"/>
      <c r="BF50"/>
      <c r="BG50"/>
      <c r="BH50"/>
      <c r="BI50"/>
      <c r="BJ50"/>
      <c r="BK50"/>
      <c r="BL50"/>
      <c r="BM50"/>
      <c r="BN50"/>
      <c r="BO50"/>
      <c r="BP50"/>
      <c r="BS50"/>
      <c r="BT50"/>
      <c r="BU50"/>
      <c r="BV50"/>
      <c r="BW50"/>
      <c r="BX50"/>
      <c r="BY50"/>
      <c r="BZ50"/>
      <c r="CA50"/>
      <c r="CB50"/>
      <c r="CC50"/>
      <c r="CD50"/>
      <c r="CE50"/>
      <c r="CF50"/>
      <c r="CG50"/>
      <c r="CH50"/>
      <c r="CI50"/>
      <c r="CJ50"/>
      <c r="CK50"/>
      <c r="CL50"/>
      <c r="CM50"/>
      <c r="CP50"/>
      <c r="CQ50"/>
      <c r="CR50"/>
      <c r="CS50"/>
      <c r="CT50"/>
      <c r="CU50"/>
      <c r="CV50"/>
      <c r="CW50"/>
      <c r="CX50"/>
      <c r="CY50"/>
      <c r="CZ50"/>
      <c r="DA50"/>
      <c r="DB50"/>
      <c r="DC50"/>
      <c r="DD50"/>
      <c r="DE50"/>
      <c r="DF50"/>
      <c r="DG50"/>
      <c r="DH50"/>
      <c r="DI50"/>
      <c r="DJ50"/>
      <c r="DM50"/>
      <c r="DN50"/>
      <c r="DO50"/>
      <c r="DP50"/>
      <c r="DQ50"/>
      <c r="DR50"/>
      <c r="DS50"/>
      <c r="DT50"/>
      <c r="DU50"/>
      <c r="DV50"/>
      <c r="DW50"/>
      <c r="DX50"/>
      <c r="EA50"/>
      <c r="EB50"/>
      <c r="EC50"/>
      <c r="ED50"/>
      <c r="EE50"/>
      <c r="EF50"/>
      <c r="EG50"/>
      <c r="EH50"/>
      <c r="EI50"/>
      <c r="EJ50"/>
      <c r="EK50"/>
      <c r="EL50"/>
      <c r="EO50"/>
      <c r="EP50"/>
      <c r="EQ50"/>
      <c r="ER50"/>
      <c r="ES50"/>
      <c r="ET50"/>
      <c r="EU50"/>
      <c r="EV50"/>
      <c r="EW50"/>
      <c r="EX50"/>
      <c r="EY50"/>
      <c r="EZ50"/>
    </row>
    <row r="51" spans="1:156" x14ac:dyDescent="0.25">
      <c r="A51"/>
      <c r="B51" s="481" t="s">
        <v>600</v>
      </c>
      <c r="L51" s="397"/>
      <c r="AI51" s="397"/>
      <c r="BF51" s="401"/>
      <c r="CC51" s="401"/>
      <c r="CZ51" s="401"/>
      <c r="DR51" s="401"/>
    </row>
    <row r="52" spans="1:156" x14ac:dyDescent="0.25">
      <c r="A52"/>
      <c r="B52" s="481" t="s">
        <v>601</v>
      </c>
      <c r="Y52" s="400"/>
    </row>
    <row r="53" spans="1:156" x14ac:dyDescent="0.25">
      <c r="A53"/>
      <c r="B53" s="481" t="s">
        <v>602</v>
      </c>
      <c r="L53" s="401"/>
      <c r="AI53" s="401"/>
      <c r="BF53" s="397"/>
      <c r="CC53" s="397"/>
      <c r="CZ53" s="397"/>
      <c r="DR53" s="397"/>
    </row>
    <row r="54" spans="1:156" x14ac:dyDescent="0.25">
      <c r="A54"/>
      <c r="B54" s="481" t="s">
        <v>603</v>
      </c>
      <c r="C54" s="400"/>
      <c r="L54" s="401"/>
      <c r="AI54" s="401"/>
      <c r="BF54" s="401"/>
      <c r="CC54" s="401"/>
      <c r="CZ54" s="401"/>
      <c r="DR54" s="401"/>
    </row>
    <row r="55" spans="1:156" x14ac:dyDescent="0.25">
      <c r="A55"/>
      <c r="B55" s="481" t="s">
        <v>604</v>
      </c>
      <c r="C55" s="15"/>
      <c r="L55" s="397"/>
      <c r="AI55" s="397"/>
      <c r="BF55" s="397"/>
      <c r="CC55" s="397"/>
      <c r="CZ55" s="397"/>
      <c r="DR55" s="397"/>
    </row>
    <row r="56" spans="1:156" x14ac:dyDescent="0.25">
      <c r="A56"/>
      <c r="B56" s="481" t="s">
        <v>605</v>
      </c>
      <c r="C56" s="15"/>
      <c r="L56" s="397"/>
      <c r="AI56" s="397"/>
    </row>
    <row r="57" spans="1:156" x14ac:dyDescent="0.25">
      <c r="A57"/>
      <c r="B57" s="481" t="s">
        <v>606</v>
      </c>
      <c r="BF57" s="401"/>
      <c r="CC57" s="401"/>
      <c r="CZ57" s="401"/>
      <c r="DR57" s="401"/>
    </row>
    <row r="58" spans="1:156" x14ac:dyDescent="0.25">
      <c r="A58"/>
      <c r="B58" s="481" t="s">
        <v>607</v>
      </c>
    </row>
    <row r="59" spans="1:156" x14ac:dyDescent="0.25">
      <c r="B59" s="481" t="s">
        <v>608</v>
      </c>
    </row>
  </sheetData>
  <mergeCells count="20">
    <mergeCell ref="EE1:EG1"/>
    <mergeCell ref="EE2:EG2"/>
    <mergeCell ref="FU1:FW1"/>
    <mergeCell ref="FU2:FW2"/>
    <mergeCell ref="ES1:EU1"/>
    <mergeCell ref="ES2:EU2"/>
    <mergeCell ref="FG1:FI1"/>
    <mergeCell ref="FG2:FI2"/>
    <mergeCell ref="CA1:CC1"/>
    <mergeCell ref="CA2:CC2"/>
    <mergeCell ref="CX1:CZ1"/>
    <mergeCell ref="CX2:CZ2"/>
    <mergeCell ref="DQ1:DS1"/>
    <mergeCell ref="DQ2:DS2"/>
    <mergeCell ref="J1:L1"/>
    <mergeCell ref="J2:L2"/>
    <mergeCell ref="AG1:AI1"/>
    <mergeCell ref="AG2:AI2"/>
    <mergeCell ref="BD1:BF1"/>
    <mergeCell ref="BD2:BF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A95DE-8067-41F7-9E15-272189D390C2}">
  <sheetPr codeName="Sheet8"/>
  <dimension ref="A1:BH45"/>
  <sheetViews>
    <sheetView showGridLines="0" zoomScaleNormal="100" workbookViewId="0"/>
  </sheetViews>
  <sheetFormatPr defaultColWidth="9.140625" defaultRowHeight="12.75" x14ac:dyDescent="0.25"/>
  <cols>
    <col min="1" max="1" width="5.7109375" style="15" customWidth="1"/>
    <col min="2" max="2" width="34.85546875" style="15" customWidth="1"/>
    <col min="3" max="5" width="15.7109375" style="15" customWidth="1"/>
    <col min="6" max="6" width="10.7109375" style="15" customWidth="1"/>
    <col min="7" max="7" width="5.7109375" style="15" customWidth="1"/>
    <col min="8" max="8" width="33.140625" style="15" bestFit="1" customWidth="1"/>
    <col min="9" max="11" width="15.7109375" style="15" customWidth="1"/>
    <col min="12" max="12" width="10.7109375" style="15" customWidth="1"/>
    <col min="13" max="13" width="5.7109375" style="15" customWidth="1"/>
    <col min="14" max="14" width="40.7109375" style="15" customWidth="1"/>
    <col min="15" max="17" width="15.7109375" style="15" customWidth="1"/>
    <col min="18" max="18" width="10.7109375" style="15" customWidth="1"/>
    <col min="19" max="19" width="5.7109375" style="15" customWidth="1"/>
    <col min="20" max="20" width="40.7109375" style="15" customWidth="1"/>
    <col min="21" max="23" width="15.7109375" style="15" customWidth="1"/>
    <col min="24" max="24" width="10.7109375" style="15" customWidth="1"/>
    <col min="25" max="25" width="5.7109375" style="15" customWidth="1"/>
    <col min="26" max="26" width="40.7109375" style="15" customWidth="1"/>
    <col min="27" max="29" width="15.7109375" style="15" customWidth="1"/>
    <col min="30" max="30" width="10.7109375" style="15" customWidth="1"/>
    <col min="31" max="31" width="5.7109375" style="15" customWidth="1"/>
    <col min="32" max="32" width="40.7109375" style="15" customWidth="1"/>
    <col min="33" max="35" width="15.7109375" style="15" customWidth="1"/>
    <col min="36" max="36" width="10.7109375" style="15" customWidth="1"/>
    <col min="37" max="37" width="5.7109375" style="15" customWidth="1"/>
    <col min="38" max="38" width="40.7109375" style="15" customWidth="1" collapsed="1"/>
    <col min="39" max="41" width="15.7109375" style="15" customWidth="1"/>
    <col min="42" max="42" width="10.7109375" style="15" customWidth="1"/>
    <col min="43" max="43" width="5.7109375" style="15" customWidth="1"/>
    <col min="44" max="44" width="40.7109375" style="15" customWidth="1"/>
    <col min="45" max="47" width="15.7109375" style="15" customWidth="1"/>
    <col min="48" max="48" width="10.7109375" style="15" customWidth="1"/>
    <col min="49" max="49" width="5.7109375" style="15" customWidth="1"/>
    <col min="50" max="50" width="40.7109375" style="15" customWidth="1"/>
    <col min="51" max="53" width="15.7109375" style="15" customWidth="1"/>
    <col min="54" max="54" width="10.7109375" style="15" customWidth="1"/>
    <col min="55" max="55" width="5.7109375" style="15" customWidth="1"/>
    <col min="56" max="56" width="40.7109375" style="15" customWidth="1"/>
    <col min="57" max="59" width="15.7109375" style="15" customWidth="1"/>
    <col min="60" max="60" width="10.7109375" style="15" customWidth="1"/>
    <col min="61" max="61" width="5.7109375" style="15" customWidth="1"/>
    <col min="62" max="16384" width="9.140625" style="15"/>
  </cols>
  <sheetData>
    <row r="1" spans="2:60" x14ac:dyDescent="0.2">
      <c r="B1" s="484" t="s">
        <v>466</v>
      </c>
      <c r="C1" s="484"/>
      <c r="D1" s="484"/>
      <c r="E1" s="484"/>
      <c r="F1" s="484"/>
      <c r="H1" s="484" t="s">
        <v>468</v>
      </c>
      <c r="I1" s="484"/>
      <c r="J1" s="484"/>
      <c r="K1" s="484"/>
      <c r="L1" s="484"/>
      <c r="N1" s="484" t="s">
        <v>518</v>
      </c>
      <c r="O1" s="484"/>
      <c r="P1" s="484"/>
      <c r="Q1" s="484"/>
      <c r="R1" s="484"/>
      <c r="T1" s="484" t="s">
        <v>519</v>
      </c>
      <c r="U1" s="484"/>
      <c r="V1" s="484"/>
      <c r="W1" s="484"/>
      <c r="X1" s="484"/>
      <c r="Z1" s="484" t="s">
        <v>520</v>
      </c>
      <c r="AA1" s="484"/>
      <c r="AB1" s="484"/>
      <c r="AC1" s="484"/>
      <c r="AD1" s="484"/>
      <c r="AF1" s="484" t="s">
        <v>521</v>
      </c>
      <c r="AG1" s="484"/>
      <c r="AH1" s="484"/>
      <c r="AI1" s="484"/>
      <c r="AJ1" s="484"/>
      <c r="AL1" s="484" t="s">
        <v>522</v>
      </c>
      <c r="AM1" s="484"/>
      <c r="AN1" s="484"/>
      <c r="AO1" s="484"/>
      <c r="AP1" s="484"/>
      <c r="AR1" s="484" t="s">
        <v>523</v>
      </c>
      <c r="AS1" s="484"/>
      <c r="AT1" s="484"/>
      <c r="AU1" s="484"/>
      <c r="AV1" s="484"/>
      <c r="AX1" s="484" t="s">
        <v>524</v>
      </c>
      <c r="AY1" s="484"/>
      <c r="AZ1" s="484"/>
      <c r="BA1" s="484"/>
      <c r="BB1" s="484"/>
      <c r="BD1" s="484" t="s">
        <v>525</v>
      </c>
      <c r="BE1" s="484"/>
      <c r="BF1" s="484"/>
      <c r="BG1" s="484"/>
      <c r="BH1" s="484"/>
    </row>
    <row r="2" spans="2:60" x14ac:dyDescent="0.2">
      <c r="B2" s="484" t="s">
        <v>544</v>
      </c>
      <c r="C2" s="484"/>
      <c r="D2" s="484"/>
      <c r="E2" s="484"/>
      <c r="F2" s="484"/>
      <c r="H2" s="484" t="s">
        <v>545</v>
      </c>
      <c r="I2" s="484"/>
      <c r="J2" s="484"/>
      <c r="K2" s="484"/>
      <c r="L2" s="484"/>
      <c r="N2" s="484" t="s">
        <v>547</v>
      </c>
      <c r="O2" s="484"/>
      <c r="P2" s="484"/>
      <c r="Q2" s="484"/>
      <c r="R2" s="484"/>
      <c r="T2" s="484" t="s">
        <v>546</v>
      </c>
      <c r="U2" s="484"/>
      <c r="V2" s="484"/>
      <c r="W2" s="484"/>
      <c r="X2" s="484"/>
      <c r="Z2" s="484" t="s">
        <v>548</v>
      </c>
      <c r="AA2" s="484"/>
      <c r="AB2" s="484"/>
      <c r="AC2" s="484"/>
      <c r="AD2" s="484"/>
      <c r="AF2" s="484" t="s">
        <v>549</v>
      </c>
      <c r="AG2" s="484"/>
      <c r="AH2" s="484"/>
      <c r="AI2" s="484"/>
      <c r="AJ2" s="484"/>
      <c r="AL2" s="484" t="s">
        <v>551</v>
      </c>
      <c r="AM2" s="484"/>
      <c r="AN2" s="484"/>
      <c r="AO2" s="484"/>
      <c r="AP2" s="484"/>
      <c r="AR2" s="484" t="s">
        <v>552</v>
      </c>
      <c r="AS2" s="484"/>
      <c r="AT2" s="484"/>
      <c r="AU2" s="484"/>
      <c r="AV2" s="484"/>
      <c r="AX2" s="484" t="s">
        <v>553</v>
      </c>
      <c r="AY2" s="484"/>
      <c r="AZ2" s="484"/>
      <c r="BA2" s="484"/>
      <c r="BB2" s="484"/>
      <c r="BD2" s="484" t="s">
        <v>554</v>
      </c>
      <c r="BE2" s="484"/>
      <c r="BF2" s="484"/>
      <c r="BG2" s="484"/>
      <c r="BH2" s="484"/>
    </row>
    <row r="3" spans="2:60" x14ac:dyDescent="0.25">
      <c r="B3" s="220"/>
      <c r="C3" s="220"/>
      <c r="D3" s="220"/>
      <c r="E3" s="220"/>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row>
    <row r="4" spans="2:60" ht="25.5" x14ac:dyDescent="0.25">
      <c r="B4" s="2" t="s">
        <v>405</v>
      </c>
      <c r="C4" s="11" t="s">
        <v>98</v>
      </c>
      <c r="D4" s="12" t="s">
        <v>99</v>
      </c>
      <c r="E4" s="12" t="s">
        <v>404</v>
      </c>
      <c r="F4" s="4" t="s">
        <v>100</v>
      </c>
      <c r="H4" s="2" t="s">
        <v>406</v>
      </c>
      <c r="I4" s="11" t="s">
        <v>98</v>
      </c>
      <c r="J4" s="12" t="s">
        <v>99</v>
      </c>
      <c r="K4" s="12" t="s">
        <v>404</v>
      </c>
      <c r="L4" s="4" t="s">
        <v>100</v>
      </c>
      <c r="N4" s="2" t="s">
        <v>407</v>
      </c>
      <c r="O4" s="11" t="s">
        <v>98</v>
      </c>
      <c r="P4" s="3" t="s">
        <v>99</v>
      </c>
      <c r="Q4" s="12" t="s">
        <v>404</v>
      </c>
      <c r="R4" s="4" t="s">
        <v>100</v>
      </c>
      <c r="T4" s="2" t="s">
        <v>408</v>
      </c>
      <c r="U4" s="11" t="s">
        <v>98</v>
      </c>
      <c r="V4" s="3" t="s">
        <v>99</v>
      </c>
      <c r="W4" s="12" t="s">
        <v>404</v>
      </c>
      <c r="X4" s="4" t="s">
        <v>100</v>
      </c>
      <c r="Z4" s="2" t="s">
        <v>409</v>
      </c>
      <c r="AA4" s="11" t="s">
        <v>98</v>
      </c>
      <c r="AB4" s="3" t="s">
        <v>99</v>
      </c>
      <c r="AC4" s="12" t="s">
        <v>404</v>
      </c>
      <c r="AD4" s="4" t="s">
        <v>100</v>
      </c>
      <c r="AF4" s="2" t="s">
        <v>550</v>
      </c>
      <c r="AG4" s="11" t="s">
        <v>98</v>
      </c>
      <c r="AH4" s="3" t="s">
        <v>99</v>
      </c>
      <c r="AI4" s="12" t="s">
        <v>404</v>
      </c>
      <c r="AJ4" s="4" t="s">
        <v>100</v>
      </c>
      <c r="AL4" s="2" t="s">
        <v>101</v>
      </c>
      <c r="AM4" s="11" t="s">
        <v>488</v>
      </c>
      <c r="AN4" s="3" t="s">
        <v>489</v>
      </c>
      <c r="AO4" s="12" t="s">
        <v>485</v>
      </c>
      <c r="AP4" s="4" t="s">
        <v>100</v>
      </c>
      <c r="AR4" s="2" t="s">
        <v>102</v>
      </c>
      <c r="AS4" s="11" t="s">
        <v>488</v>
      </c>
      <c r="AT4" s="3" t="s">
        <v>489</v>
      </c>
      <c r="AU4" s="12" t="s">
        <v>485</v>
      </c>
      <c r="AV4" s="4" t="s">
        <v>100</v>
      </c>
      <c r="AX4" s="2" t="s">
        <v>103</v>
      </c>
      <c r="AY4" s="11" t="s">
        <v>488</v>
      </c>
      <c r="AZ4" s="3" t="s">
        <v>489</v>
      </c>
      <c r="BA4" s="12" t="s">
        <v>485</v>
      </c>
      <c r="BB4" s="4" t="s">
        <v>100</v>
      </c>
      <c r="BD4" s="2" t="s">
        <v>104</v>
      </c>
      <c r="BE4" s="11" t="s">
        <v>488</v>
      </c>
      <c r="BF4" s="3" t="s">
        <v>489</v>
      </c>
      <c r="BG4" s="12" t="s">
        <v>485</v>
      </c>
      <c r="BH4" s="4" t="s">
        <v>100</v>
      </c>
    </row>
    <row r="5" spans="2:60" x14ac:dyDescent="0.25">
      <c r="B5" s="492" t="s">
        <v>325</v>
      </c>
      <c r="C5" s="493"/>
      <c r="D5" s="493"/>
      <c r="E5" s="493"/>
      <c r="F5" s="494"/>
      <c r="H5" s="492" t="s">
        <v>325</v>
      </c>
      <c r="I5" s="493"/>
      <c r="J5" s="493"/>
      <c r="K5" s="493"/>
      <c r="L5" s="494"/>
      <c r="N5" s="222" t="s">
        <v>1</v>
      </c>
      <c r="O5" s="223">
        <f>SUM(O6:O9)</f>
        <v>172041170</v>
      </c>
      <c r="P5" s="223">
        <f>SUM(P6:P9)</f>
        <v>340528597.51184732</v>
      </c>
      <c r="Q5" s="224">
        <f>SUM(Q6:Q9)</f>
        <v>-168487427.51184732</v>
      </c>
      <c r="R5" s="225">
        <f t="shared" ref="R5:R31" si="0">IFERROR(O5/P5,0)</f>
        <v>0.50521797950909109</v>
      </c>
      <c r="T5" s="222" t="s">
        <v>1</v>
      </c>
      <c r="U5" s="223">
        <f>SUM(U6:U9)</f>
        <v>560796912.79999995</v>
      </c>
      <c r="V5" s="223">
        <f>SUM(V6:V9)</f>
        <v>1426666186.9959037</v>
      </c>
      <c r="W5" s="224">
        <f>SUM(W6:W9)</f>
        <v>-865869274.19590378</v>
      </c>
      <c r="X5" s="225">
        <f t="shared" ref="X5:X32" si="1">IFERROR(U5/V5,0)</f>
        <v>0.39308208038550096</v>
      </c>
      <c r="Z5" s="222" t="s">
        <v>1</v>
      </c>
      <c r="AA5" s="223">
        <f>SUM(AA6:AA9)</f>
        <v>121655151</v>
      </c>
      <c r="AB5" s="223">
        <f>SUM(AB6:AB9)</f>
        <v>205956317.78666356</v>
      </c>
      <c r="AC5" s="224">
        <f>SUM(AC6:AC9)</f>
        <v>-84301166.786663592</v>
      </c>
      <c r="AD5" s="225">
        <f t="shared" ref="AD5:AD32" si="2">IFERROR(AA5/AB5,0)</f>
        <v>0.5906842397814398</v>
      </c>
      <c r="AF5" s="222" t="s">
        <v>1</v>
      </c>
      <c r="AG5" s="223">
        <f>SUM(AG6:AG9)</f>
        <v>88875938.817052186</v>
      </c>
      <c r="AH5" s="223">
        <f>SUM(AH6:AH9)</f>
        <v>117819951.00212523</v>
      </c>
      <c r="AI5" s="224">
        <f>SUM(AI6:AI9)</f>
        <v>-28944012.185073048</v>
      </c>
      <c r="AJ5" s="225">
        <f t="shared" ref="AJ5:AJ32" si="3">IFERROR(AG5/AH5,0)</f>
        <v>0.75433691884194587</v>
      </c>
      <c r="AL5" s="222" t="s">
        <v>1</v>
      </c>
      <c r="AM5" s="223">
        <f>SUM(AM6:AM12)</f>
        <v>109272906.35894507</v>
      </c>
      <c r="AN5" s="223">
        <f>SUM(AN6:AN12)</f>
        <v>122122245.15977828</v>
      </c>
      <c r="AO5" s="224">
        <f>AM5-AN5</f>
        <v>-12849338.80083321</v>
      </c>
      <c r="AP5" s="225">
        <f t="shared" ref="AP5:AP33" si="4">IFERROR(AM5/AN5,0)</f>
        <v>0.89478297926784911</v>
      </c>
      <c r="AR5" s="222" t="s">
        <v>1</v>
      </c>
      <c r="AS5" s="226">
        <f>SUM(AS6:AS12)</f>
        <v>118550763.04810309</v>
      </c>
      <c r="AT5" s="226">
        <f>SUM(AT6:AT12)</f>
        <v>125104700.528923</v>
      </c>
      <c r="AU5" s="224">
        <f>AS5-AT5</f>
        <v>-6553937.4808199108</v>
      </c>
      <c r="AV5" s="225">
        <f t="shared" ref="AV5:AV33" si="5">IFERROR(AS5/AT5,0)</f>
        <v>0.94761238024541927</v>
      </c>
      <c r="AX5" s="222" t="s">
        <v>1</v>
      </c>
      <c r="AY5" s="226">
        <f>SUM(AY6:AY12)</f>
        <v>125724144.33070993</v>
      </c>
      <c r="AZ5" s="226">
        <f>SUM(AZ6:AZ12)</f>
        <v>127883968.27194017</v>
      </c>
      <c r="BA5" s="224">
        <f>AY5-AZ5</f>
        <v>-2159823.9412302375</v>
      </c>
      <c r="BB5" s="225">
        <f t="shared" ref="BB5:BB33" si="6">IFERROR(AY5/AZ5,0)</f>
        <v>0.98311106567605522</v>
      </c>
      <c r="BD5" s="222" t="s">
        <v>1</v>
      </c>
      <c r="BE5" s="226">
        <f>SUM(BE6:BE12)</f>
        <v>132046195.32328492</v>
      </c>
      <c r="BF5" s="226">
        <f>SUM(BF6:BF12)</f>
        <v>128694297.9976403</v>
      </c>
      <c r="BG5" s="224">
        <f>BE5-BF5</f>
        <v>3351897.3256446272</v>
      </c>
      <c r="BH5" s="225">
        <f t="shared" ref="BH5:BH33" si="7">IFERROR(BE5/BF5,0)</f>
        <v>1.026045422196608</v>
      </c>
    </row>
    <row r="6" spans="2:60" x14ac:dyDescent="0.25">
      <c r="B6" s="106" t="s">
        <v>267</v>
      </c>
      <c r="C6" s="224">
        <f>SUM(C7,C10)</f>
        <v>233156771.34022862</v>
      </c>
      <c r="D6" s="224">
        <f>SUM(D7,D10)</f>
        <v>87114083.555827469</v>
      </c>
      <c r="E6" s="224">
        <f t="shared" ref="E6:E20" si="8">C6-D6</f>
        <v>146042687.78440115</v>
      </c>
      <c r="F6" s="243">
        <f t="shared" ref="F6:F20" si="9">IFERROR(C6/D6,0)</f>
        <v>2.6764532418091616</v>
      </c>
      <c r="H6" s="106" t="s">
        <v>267</v>
      </c>
      <c r="I6" s="224">
        <f>SUM(I7,I10)</f>
        <v>210397519.01095742</v>
      </c>
      <c r="J6" s="224">
        <f>SUM(J7,J10)</f>
        <v>80244041.838875324</v>
      </c>
      <c r="K6" s="224">
        <f t="shared" ref="K6:K20" si="10">I6-J6</f>
        <v>130153477.1720821</v>
      </c>
      <c r="L6" s="243">
        <f t="shared" ref="L6:L20" si="11">IFERROR(I6/J6,0)</f>
        <v>2.6219706060347954</v>
      </c>
      <c r="N6" s="105" t="s">
        <v>25</v>
      </c>
      <c r="O6" s="229">
        <v>118941699</v>
      </c>
      <c r="P6" s="229">
        <v>321898279.26184732</v>
      </c>
      <c r="Q6" s="229">
        <f>O6-P6</f>
        <v>-202956580.26184732</v>
      </c>
      <c r="R6" s="230">
        <f t="shared" si="0"/>
        <v>0.36950088479114607</v>
      </c>
      <c r="T6" s="105" t="s">
        <v>25</v>
      </c>
      <c r="U6" s="229">
        <v>528998020.63</v>
      </c>
      <c r="V6" s="229">
        <v>1415602439.755903</v>
      </c>
      <c r="W6" s="229">
        <f>U6-V6</f>
        <v>-886604419.12590301</v>
      </c>
      <c r="X6" s="230">
        <f t="shared" si="1"/>
        <v>0.37369109134992512</v>
      </c>
      <c r="Y6" s="265"/>
      <c r="Z6" s="105" t="s">
        <v>25</v>
      </c>
      <c r="AA6" s="229">
        <v>71765321</v>
      </c>
      <c r="AB6" s="229">
        <v>158305567.74985936</v>
      </c>
      <c r="AC6" s="229">
        <f>AA6-AB6</f>
        <v>-86540246.749859363</v>
      </c>
      <c r="AD6" s="230">
        <f t="shared" si="2"/>
        <v>0.45333415634121788</v>
      </c>
      <c r="AF6" s="266" t="s">
        <v>105</v>
      </c>
      <c r="AG6" s="232">
        <v>52495826.939459987</v>
      </c>
      <c r="AH6" s="232">
        <v>85503793.654136986</v>
      </c>
      <c r="AI6" s="232">
        <f>AG6-AH6</f>
        <v>-33007966.714676999</v>
      </c>
      <c r="AJ6" s="233">
        <f t="shared" si="3"/>
        <v>0.61395903849372713</v>
      </c>
      <c r="AL6" s="105" t="s">
        <v>26</v>
      </c>
      <c r="AM6" s="229">
        <v>27132114.102075294</v>
      </c>
      <c r="AN6" s="229">
        <v>46333980</v>
      </c>
      <c r="AO6" s="229">
        <f t="shared" ref="AO6:AO33" si="12">AM6-AN6</f>
        <v>-19201865.897924706</v>
      </c>
      <c r="AP6" s="230">
        <f t="shared" si="4"/>
        <v>0.58557702364604325</v>
      </c>
      <c r="AR6" s="105" t="s">
        <v>26</v>
      </c>
      <c r="AS6" s="229">
        <v>25357140.122719485</v>
      </c>
      <c r="AT6" s="229">
        <v>41649702</v>
      </c>
      <c r="AU6" s="229">
        <f t="shared" ref="AU6:AU33" si="13">AS6-AT6</f>
        <v>-16292561.877280515</v>
      </c>
      <c r="AV6" s="230">
        <f t="shared" si="5"/>
        <v>0.60881924491847472</v>
      </c>
      <c r="AX6" s="105" t="s">
        <v>26</v>
      </c>
      <c r="AY6" s="229">
        <v>23921743.253463481</v>
      </c>
      <c r="AZ6" s="229">
        <v>37920624.600000001</v>
      </c>
      <c r="BA6" s="229">
        <f t="shared" ref="BA6:BA33" si="14">AY6-AZ6</f>
        <v>-13998881.346536521</v>
      </c>
      <c r="BB6" s="230">
        <f t="shared" si="6"/>
        <v>0.63083726878969915</v>
      </c>
      <c r="BD6" s="105" t="s">
        <v>26</v>
      </c>
      <c r="BE6" s="229">
        <v>22956820.954476725</v>
      </c>
      <c r="BF6" s="229">
        <v>35221291.75</v>
      </c>
      <c r="BG6" s="229">
        <f t="shared" ref="BG6:BG33" si="15">BE6-BF6</f>
        <v>-12264470.795523275</v>
      </c>
      <c r="BH6" s="230">
        <f t="shared" si="7"/>
        <v>0.65178816033846132</v>
      </c>
    </row>
    <row r="7" spans="2:60" x14ac:dyDescent="0.25">
      <c r="B7" s="234" t="s">
        <v>260</v>
      </c>
      <c r="C7" s="267">
        <f>SUM(C8:C9)</f>
        <v>95142400.547392726</v>
      </c>
      <c r="D7" s="267">
        <f>SUM(D8:D9)</f>
        <v>50258019.47799293</v>
      </c>
      <c r="E7" s="268">
        <f t="shared" si="8"/>
        <v>44884381.069399796</v>
      </c>
      <c r="F7" s="269">
        <f t="shared" si="9"/>
        <v>1.8930789859129615</v>
      </c>
      <c r="H7" s="234" t="s">
        <v>260</v>
      </c>
      <c r="I7" s="267">
        <f>SUM(I8:I9)</f>
        <v>89205027.469603121</v>
      </c>
      <c r="J7" s="267">
        <f>SUM(J8:J9)</f>
        <v>45780058.348347455</v>
      </c>
      <c r="K7" s="268">
        <f t="shared" si="10"/>
        <v>43424969.121255666</v>
      </c>
      <c r="L7" s="269">
        <f t="shared" si="11"/>
        <v>1.9485564389374177</v>
      </c>
      <c r="N7" s="105" t="s">
        <v>27</v>
      </c>
      <c r="O7" s="229">
        <v>0</v>
      </c>
      <c r="P7" s="229">
        <v>14600</v>
      </c>
      <c r="Q7" s="229">
        <f>O7-P7</f>
        <v>-14600</v>
      </c>
      <c r="R7" s="230">
        <f t="shared" si="0"/>
        <v>0</v>
      </c>
      <c r="T7" s="105" t="s">
        <v>27</v>
      </c>
      <c r="U7" s="229"/>
      <c r="V7" s="229">
        <v>73669.570000000007</v>
      </c>
      <c r="W7" s="229">
        <f>U7-V7</f>
        <v>-73669.570000000007</v>
      </c>
      <c r="X7" s="230">
        <f t="shared" si="1"/>
        <v>0</v>
      </c>
      <c r="Z7" s="105" t="s">
        <v>27</v>
      </c>
      <c r="AA7" s="229">
        <v>22175012</v>
      </c>
      <c r="AB7" s="229">
        <v>34282127.666804224</v>
      </c>
      <c r="AC7" s="229">
        <f>AA7-AB7</f>
        <v>-12107115.666804224</v>
      </c>
      <c r="AD7" s="230">
        <f t="shared" si="2"/>
        <v>0.64683884896305077</v>
      </c>
      <c r="AF7" s="105" t="s">
        <v>27</v>
      </c>
      <c r="AG7" s="229">
        <v>10442027.437198693</v>
      </c>
      <c r="AH7" s="229">
        <v>15703943.357988255</v>
      </c>
      <c r="AI7" s="229">
        <f>AG7-AH7</f>
        <v>-5261915.9207895622</v>
      </c>
      <c r="AJ7" s="230">
        <f t="shared" si="3"/>
        <v>0.66493027892176271</v>
      </c>
      <c r="AL7" s="105" t="s">
        <v>28</v>
      </c>
      <c r="AM7" s="229">
        <v>25155419.217856552</v>
      </c>
      <c r="AN7" s="229">
        <v>22029875</v>
      </c>
      <c r="AO7" s="229">
        <f t="shared" si="12"/>
        <v>3125544.2178565525</v>
      </c>
      <c r="AP7" s="230">
        <f t="shared" si="4"/>
        <v>1.141877528486047</v>
      </c>
      <c r="AR7" s="105" t="s">
        <v>28</v>
      </c>
      <c r="AS7" s="229">
        <v>31690629.921645641</v>
      </c>
      <c r="AT7" s="229">
        <v>26578117</v>
      </c>
      <c r="AU7" s="229">
        <f t="shared" si="13"/>
        <v>5112512.9216456413</v>
      </c>
      <c r="AV7" s="230">
        <f t="shared" si="5"/>
        <v>1.192357980877488</v>
      </c>
      <c r="AX7" s="105" t="s">
        <v>28</v>
      </c>
      <c r="AY7" s="229">
        <v>35932880.429035127</v>
      </c>
      <c r="AZ7" s="229">
        <v>29133042</v>
      </c>
      <c r="BA7" s="229">
        <f t="shared" si="14"/>
        <v>6799838.4290351272</v>
      </c>
      <c r="BB7" s="230">
        <f t="shared" si="6"/>
        <v>1.2334063991338469</v>
      </c>
      <c r="BD7" s="105" t="s">
        <v>28</v>
      </c>
      <c r="BE7" s="229">
        <v>39215534.719181322</v>
      </c>
      <c r="BF7" s="229">
        <v>30877739</v>
      </c>
      <c r="BG7" s="229">
        <f t="shared" si="15"/>
        <v>8337795.7191813216</v>
      </c>
      <c r="BH7" s="230">
        <f t="shared" si="7"/>
        <v>1.2700261090742855</v>
      </c>
    </row>
    <row r="8" spans="2:60" x14ac:dyDescent="0.25">
      <c r="B8" s="105" t="s">
        <v>145</v>
      </c>
      <c r="C8" s="229">
        <v>70266852.234996155</v>
      </c>
      <c r="D8" s="229">
        <v>42395805.785363555</v>
      </c>
      <c r="E8" s="229">
        <f t="shared" si="8"/>
        <v>27871046.4496326</v>
      </c>
      <c r="F8" s="230">
        <f t="shared" si="9"/>
        <v>1.657401031383501</v>
      </c>
      <c r="H8" s="105" t="s">
        <v>145</v>
      </c>
      <c r="I8" s="229">
        <v>63268831.344731435</v>
      </c>
      <c r="J8" s="229">
        <v>37063700.193760909</v>
      </c>
      <c r="K8" s="229">
        <f t="shared" si="10"/>
        <v>26205131.150970526</v>
      </c>
      <c r="L8" s="230">
        <f t="shared" si="11"/>
        <v>1.7070295468066015</v>
      </c>
      <c r="N8" s="105" t="s">
        <v>29</v>
      </c>
      <c r="O8" s="229">
        <v>53099471</v>
      </c>
      <c r="P8" s="229">
        <v>17406848.920000002</v>
      </c>
      <c r="Q8" s="229">
        <f>O8-P8</f>
        <v>35692622.079999998</v>
      </c>
      <c r="R8" s="230">
        <f t="shared" si="0"/>
        <v>3.0504930124940728</v>
      </c>
      <c r="T8" s="105" t="s">
        <v>29</v>
      </c>
      <c r="U8" s="229">
        <v>31798892.170000002</v>
      </c>
      <c r="V8" s="229">
        <v>9015298.4699999988</v>
      </c>
      <c r="W8" s="229">
        <f>U8-V8</f>
        <v>22783593.700000003</v>
      </c>
      <c r="X8" s="230">
        <f t="shared" si="1"/>
        <v>3.5272145759584603</v>
      </c>
      <c r="Y8" s="265"/>
      <c r="Z8" s="105" t="s">
        <v>29</v>
      </c>
      <c r="AA8" s="229">
        <v>27714818</v>
      </c>
      <c r="AB8" s="229">
        <v>11220409.73</v>
      </c>
      <c r="AC8" s="229">
        <f>AA8-AB8</f>
        <v>16494408.27</v>
      </c>
      <c r="AD8" s="230">
        <f t="shared" si="2"/>
        <v>2.4700361811118996</v>
      </c>
      <c r="AF8" s="105" t="s">
        <v>29</v>
      </c>
      <c r="AG8" s="229">
        <v>25938084.440393515</v>
      </c>
      <c r="AH8" s="229">
        <v>14392623.99</v>
      </c>
      <c r="AI8" s="229">
        <f>AG8-AH8</f>
        <v>11545460.450393515</v>
      </c>
      <c r="AJ8" s="230">
        <f t="shared" si="3"/>
        <v>1.8021789812903681</v>
      </c>
      <c r="AL8" s="105" t="s">
        <v>31</v>
      </c>
      <c r="AM8" s="229">
        <v>25220779.381153688</v>
      </c>
      <c r="AN8" s="229">
        <v>31418591.159778282</v>
      </c>
      <c r="AO8" s="229">
        <f t="shared" si="12"/>
        <v>-6197811.7786245942</v>
      </c>
      <c r="AP8" s="230">
        <f t="shared" si="4"/>
        <v>0.80273425542520949</v>
      </c>
      <c r="AR8" s="105" t="s">
        <v>31</v>
      </c>
      <c r="AS8" s="229">
        <v>26008079.833118718</v>
      </c>
      <c r="AT8" s="229">
        <v>33128368.528923012</v>
      </c>
      <c r="AU8" s="229">
        <f t="shared" si="13"/>
        <v>-7120288.6958042942</v>
      </c>
      <c r="AV8" s="230">
        <f t="shared" si="5"/>
        <v>0.78506974499550553</v>
      </c>
      <c r="AX8" s="105" t="s">
        <v>31</v>
      </c>
      <c r="AY8" s="229">
        <v>26694019.630085353</v>
      </c>
      <c r="AZ8" s="229">
        <v>35617449.671940163</v>
      </c>
      <c r="BA8" s="229">
        <f t="shared" si="14"/>
        <v>-8923430.04185481</v>
      </c>
      <c r="BB8" s="230">
        <f t="shared" si="6"/>
        <v>0.74946465499227499</v>
      </c>
      <c r="BD8" s="105" t="s">
        <v>31</v>
      </c>
      <c r="BE8" s="229">
        <v>27673810.438613035</v>
      </c>
      <c r="BF8" s="229">
        <v>35922068.247640297</v>
      </c>
      <c r="BG8" s="229">
        <f t="shared" si="15"/>
        <v>-8248257.809027262</v>
      </c>
      <c r="BH8" s="230">
        <f t="shared" si="7"/>
        <v>0.77038466292738905</v>
      </c>
    </row>
    <row r="9" spans="2:60" x14ac:dyDescent="0.25">
      <c r="B9" s="105" t="s">
        <v>147</v>
      </c>
      <c r="C9" s="229">
        <v>24875548.312396564</v>
      </c>
      <c r="D9" s="229">
        <v>7862213.6926293727</v>
      </c>
      <c r="E9" s="229">
        <f t="shared" si="8"/>
        <v>17013334.619767189</v>
      </c>
      <c r="F9" s="230">
        <f t="shared" si="9"/>
        <v>3.1639369374705195</v>
      </c>
      <c r="H9" s="105" t="s">
        <v>147</v>
      </c>
      <c r="I9" s="229">
        <v>25936196.124871694</v>
      </c>
      <c r="J9" s="229">
        <v>8716358.1545865498</v>
      </c>
      <c r="K9" s="229">
        <f t="shared" si="10"/>
        <v>17219837.970285144</v>
      </c>
      <c r="L9" s="230">
        <f t="shared" si="11"/>
        <v>2.9755771464283005</v>
      </c>
      <c r="N9" s="105" t="s">
        <v>85</v>
      </c>
      <c r="O9" s="229"/>
      <c r="P9" s="229">
        <v>1208869.3299999975</v>
      </c>
      <c r="Q9" s="229">
        <f>O9-P9</f>
        <v>-1208869.3299999975</v>
      </c>
      <c r="R9" s="230">
        <f t="shared" si="0"/>
        <v>0</v>
      </c>
      <c r="T9" s="105" t="s">
        <v>85</v>
      </c>
      <c r="U9" s="229"/>
      <c r="V9" s="229">
        <v>1974779.2000007678</v>
      </c>
      <c r="W9" s="229">
        <f>U9-V9</f>
        <v>-1974779.2000007678</v>
      </c>
      <c r="X9" s="230">
        <f t="shared" si="1"/>
        <v>0</v>
      </c>
      <c r="Y9" s="265"/>
      <c r="Z9" s="105" t="s">
        <v>85</v>
      </c>
      <c r="AA9" s="229"/>
      <c r="AB9" s="229">
        <v>2148212.6399999987</v>
      </c>
      <c r="AC9" s="229">
        <f>AA9-AB9</f>
        <v>-2148212.6399999987</v>
      </c>
      <c r="AD9" s="230">
        <f t="shared" si="2"/>
        <v>0</v>
      </c>
      <c r="AF9" s="105" t="s">
        <v>85</v>
      </c>
      <c r="AG9" s="229">
        <v>0</v>
      </c>
      <c r="AH9" s="229">
        <v>2219590</v>
      </c>
      <c r="AI9" s="229">
        <f>AG9-AH9</f>
        <v>-2219590</v>
      </c>
      <c r="AJ9" s="230">
        <f t="shared" si="3"/>
        <v>0</v>
      </c>
      <c r="AL9" s="105" t="s">
        <v>30</v>
      </c>
      <c r="AM9" s="229">
        <v>17562583.892735232</v>
      </c>
      <c r="AN9" s="229">
        <v>9537961</v>
      </c>
      <c r="AO9" s="229">
        <f t="shared" si="12"/>
        <v>8024622.8927352317</v>
      </c>
      <c r="AP9" s="230">
        <f t="shared" si="4"/>
        <v>1.8413352594684789</v>
      </c>
      <c r="AR9" s="105" t="s">
        <v>30</v>
      </c>
      <c r="AS9" s="229">
        <v>18261043.857871324</v>
      </c>
      <c r="AT9" s="229">
        <v>9500967</v>
      </c>
      <c r="AU9" s="229">
        <f t="shared" si="13"/>
        <v>8760076.8578713238</v>
      </c>
      <c r="AV9" s="230">
        <f t="shared" si="5"/>
        <v>1.922019501580347</v>
      </c>
      <c r="AX9" s="105" t="s">
        <v>30</v>
      </c>
      <c r="AY9" s="229">
        <v>18902049.986813609</v>
      </c>
      <c r="AZ9" s="229">
        <v>9545635</v>
      </c>
      <c r="BA9" s="229">
        <f t="shared" si="14"/>
        <v>9356414.9868136086</v>
      </c>
      <c r="BB9" s="230">
        <f t="shared" si="6"/>
        <v>1.980177325742458</v>
      </c>
      <c r="BD9" s="105" t="s">
        <v>30</v>
      </c>
      <c r="BE9" s="229">
        <v>19013472.434342112</v>
      </c>
      <c r="BF9" s="229">
        <v>9572002</v>
      </c>
      <c r="BG9" s="229">
        <f t="shared" si="15"/>
        <v>9441470.4343421124</v>
      </c>
      <c r="BH9" s="230">
        <f t="shared" si="7"/>
        <v>1.9863631907245853</v>
      </c>
    </row>
    <row r="10" spans="2:60" x14ac:dyDescent="0.25">
      <c r="B10" s="234" t="s">
        <v>261</v>
      </c>
      <c r="C10" s="268">
        <f>SUM(C11:C16)</f>
        <v>138014370.79283589</v>
      </c>
      <c r="D10" s="268">
        <f>SUM(D11:D16)</f>
        <v>36856064.077834547</v>
      </c>
      <c r="E10" s="268">
        <f t="shared" si="8"/>
        <v>101158306.71500134</v>
      </c>
      <c r="F10" s="270">
        <f t="shared" si="9"/>
        <v>3.7446855557166927</v>
      </c>
      <c r="H10" s="234" t="s">
        <v>261</v>
      </c>
      <c r="I10" s="268">
        <f>SUM(I11:I16)</f>
        <v>121192491.54135428</v>
      </c>
      <c r="J10" s="268">
        <f>SUM(J11:J16)</f>
        <v>34463983.490527876</v>
      </c>
      <c r="K10" s="268">
        <f t="shared" si="10"/>
        <v>86728508.050826401</v>
      </c>
      <c r="L10" s="270">
        <f t="shared" si="11"/>
        <v>3.5164969126294694</v>
      </c>
      <c r="N10" s="106" t="s">
        <v>34</v>
      </c>
      <c r="O10" s="223">
        <f>SUM(O11:O13)</f>
        <v>42576564</v>
      </c>
      <c r="P10" s="223">
        <f>SUM(P11:P13)</f>
        <v>26574581.188851669</v>
      </c>
      <c r="Q10" s="223">
        <f>SUM(Q11:Q13)</f>
        <v>16001982.811148331</v>
      </c>
      <c r="R10" s="243">
        <f t="shared" si="0"/>
        <v>1.6021537158922881</v>
      </c>
      <c r="T10" s="106" t="s">
        <v>34</v>
      </c>
      <c r="U10" s="223">
        <f>SUM(U11:U13)</f>
        <v>67798444.719999999</v>
      </c>
      <c r="V10" s="223">
        <f>SUM(V11:V13)</f>
        <v>35225992.122015655</v>
      </c>
      <c r="W10" s="223">
        <f>SUM(W11:W13)</f>
        <v>32572452.597984344</v>
      </c>
      <c r="X10" s="243">
        <f t="shared" si="1"/>
        <v>1.9246709783264588</v>
      </c>
      <c r="Z10" s="106" t="s">
        <v>34</v>
      </c>
      <c r="AA10" s="223">
        <f>SUM(AA11:AA13)</f>
        <v>27888280</v>
      </c>
      <c r="AB10" s="223">
        <f>SUM(AB11:AB13)</f>
        <v>30173090.870192789</v>
      </c>
      <c r="AC10" s="223">
        <f>SUM(AC11:AC13)</f>
        <v>-2284810.8701927881</v>
      </c>
      <c r="AD10" s="243">
        <f t="shared" si="2"/>
        <v>0.9242765389856068</v>
      </c>
      <c r="AF10" s="106" t="s">
        <v>34</v>
      </c>
      <c r="AG10" s="223">
        <f>SUM(AG11:AG13)</f>
        <v>23244929.087846041</v>
      </c>
      <c r="AH10" s="223">
        <f>SUM(AH11:AH13)</f>
        <v>28155390.258133471</v>
      </c>
      <c r="AI10" s="223">
        <f>SUM(AI11:AI13)</f>
        <v>-4910461.1702874321</v>
      </c>
      <c r="AJ10" s="243">
        <f t="shared" si="3"/>
        <v>0.82559427785345985</v>
      </c>
      <c r="AL10" s="105" t="s">
        <v>32</v>
      </c>
      <c r="AM10" s="229">
        <v>13250635.968653176</v>
      </c>
      <c r="AN10" s="229">
        <v>7768100</v>
      </c>
      <c r="AO10" s="229">
        <f t="shared" si="12"/>
        <v>5482535.968653176</v>
      </c>
      <c r="AP10" s="230">
        <f t="shared" si="4"/>
        <v>1.705775668265493</v>
      </c>
      <c r="AR10" s="105" t="s">
        <v>32</v>
      </c>
      <c r="AS10" s="229">
        <v>15547916.448321428</v>
      </c>
      <c r="AT10" s="229">
        <v>8984820</v>
      </c>
      <c r="AU10" s="229">
        <f t="shared" si="13"/>
        <v>6563096.4483214281</v>
      </c>
      <c r="AV10" s="230">
        <f t="shared" si="5"/>
        <v>1.7304649896515933</v>
      </c>
      <c r="AX10" s="105" t="s">
        <v>32</v>
      </c>
      <c r="AY10" s="229">
        <v>17939910.880592249</v>
      </c>
      <c r="AZ10" s="229">
        <v>10003563</v>
      </c>
      <c r="BA10" s="229">
        <f t="shared" si="14"/>
        <v>7936347.8805922493</v>
      </c>
      <c r="BB10" s="230">
        <f t="shared" si="6"/>
        <v>1.7933521167000448</v>
      </c>
      <c r="BD10" s="105" t="s">
        <v>32</v>
      </c>
      <c r="BE10" s="229">
        <v>20278471.615937449</v>
      </c>
      <c r="BF10" s="229">
        <v>11024379</v>
      </c>
      <c r="BG10" s="229">
        <f t="shared" si="15"/>
        <v>9254092.615937449</v>
      </c>
      <c r="BH10" s="230">
        <f t="shared" si="7"/>
        <v>1.8394207615628462</v>
      </c>
    </row>
    <row r="11" spans="2:60" x14ac:dyDescent="0.25">
      <c r="B11" s="105" t="s">
        <v>268</v>
      </c>
      <c r="C11" s="229">
        <v>67579.951074170269</v>
      </c>
      <c r="D11" s="229">
        <v>327058.4519435215</v>
      </c>
      <c r="E11" s="229">
        <f t="shared" si="8"/>
        <v>-259478.50086935124</v>
      </c>
      <c r="F11" s="230">
        <f t="shared" si="9"/>
        <v>0.20662958157045394</v>
      </c>
      <c r="H11" s="105" t="s">
        <v>268</v>
      </c>
      <c r="I11" s="229">
        <v>47057.006507920894</v>
      </c>
      <c r="J11" s="229">
        <v>19358.066641456753</v>
      </c>
      <c r="K11" s="229">
        <f t="shared" si="10"/>
        <v>27698.939866464141</v>
      </c>
      <c r="L11" s="230">
        <f t="shared" si="11"/>
        <v>2.430873257102276</v>
      </c>
      <c r="N11" s="105" t="s">
        <v>36</v>
      </c>
      <c r="O11" s="229">
        <v>24328903</v>
      </c>
      <c r="P11" s="229">
        <v>16930410.769513156</v>
      </c>
      <c r="Q11" s="229">
        <f>O11-P11</f>
        <v>7398492.2304868437</v>
      </c>
      <c r="R11" s="230">
        <f t="shared" si="0"/>
        <v>1.4369942543750573</v>
      </c>
      <c r="T11" s="105" t="s">
        <v>36</v>
      </c>
      <c r="U11" s="229">
        <v>36771539.93</v>
      </c>
      <c r="V11" s="229">
        <v>20465829.896422047</v>
      </c>
      <c r="W11" s="229">
        <f>U11-V11</f>
        <v>16305710.033577953</v>
      </c>
      <c r="X11" s="230">
        <f t="shared" si="1"/>
        <v>1.7967285038574765</v>
      </c>
      <c r="Y11" s="271"/>
      <c r="Z11" s="105" t="s">
        <v>36</v>
      </c>
      <c r="AA11" s="229">
        <v>19599468</v>
      </c>
      <c r="AB11" s="229">
        <v>20503869.902359463</v>
      </c>
      <c r="AC11" s="229">
        <f>AA11-AB11</f>
        <v>-904401.90235946327</v>
      </c>
      <c r="AD11" s="230">
        <f t="shared" si="2"/>
        <v>0.9558911607093552</v>
      </c>
      <c r="AF11" s="105" t="s">
        <v>36</v>
      </c>
      <c r="AG11" s="229">
        <v>17234410.003199939</v>
      </c>
      <c r="AH11" s="229">
        <v>19970700</v>
      </c>
      <c r="AI11" s="229">
        <f>AG11-AH11</f>
        <v>-2736289.9968000613</v>
      </c>
      <c r="AJ11" s="230">
        <f t="shared" si="3"/>
        <v>0.86298477285222541</v>
      </c>
      <c r="AL11" s="105" t="s">
        <v>33</v>
      </c>
      <c r="AM11" s="229">
        <v>951373.79647113313</v>
      </c>
      <c r="AN11" s="229">
        <v>2460000</v>
      </c>
      <c r="AO11" s="229">
        <f t="shared" si="12"/>
        <v>-1508626.2035288669</v>
      </c>
      <c r="AP11" s="230">
        <f t="shared" si="4"/>
        <v>0.38673731563867203</v>
      </c>
      <c r="AR11" s="105" t="s">
        <v>33</v>
      </c>
      <c r="AS11" s="229">
        <v>1685952.8644264902</v>
      </c>
      <c r="AT11" s="229">
        <v>2644720</v>
      </c>
      <c r="AU11" s="229">
        <f t="shared" si="13"/>
        <v>-958767.13557350985</v>
      </c>
      <c r="AV11" s="230">
        <f t="shared" si="5"/>
        <v>0.63747877447385359</v>
      </c>
      <c r="AX11" s="105" t="s">
        <v>33</v>
      </c>
      <c r="AY11" s="229">
        <v>2333540.1507201223</v>
      </c>
      <c r="AZ11" s="229">
        <v>3000618</v>
      </c>
      <c r="BA11" s="229">
        <f t="shared" si="14"/>
        <v>-667077.84927987773</v>
      </c>
      <c r="BB11" s="230">
        <f t="shared" si="6"/>
        <v>0.77768651348492956</v>
      </c>
      <c r="BD11" s="105" t="s">
        <v>33</v>
      </c>
      <c r="BE11" s="229">
        <v>2908085.1607342996</v>
      </c>
      <c r="BF11" s="229">
        <v>3367977</v>
      </c>
      <c r="BG11" s="229">
        <f t="shared" si="15"/>
        <v>-459891.83926570043</v>
      </c>
      <c r="BH11" s="230">
        <f t="shared" si="7"/>
        <v>0.86345160929967735</v>
      </c>
    </row>
    <row r="12" spans="2:60" x14ac:dyDescent="0.25">
      <c r="B12" s="105" t="s">
        <v>269</v>
      </c>
      <c r="C12" s="229">
        <v>852860.69689601078</v>
      </c>
      <c r="D12" s="229">
        <v>208074.9248179305</v>
      </c>
      <c r="E12" s="229">
        <f t="shared" si="8"/>
        <v>644785.77207808034</v>
      </c>
      <c r="F12" s="230">
        <f t="shared" si="9"/>
        <v>4.0988153552970408</v>
      </c>
      <c r="H12" s="105" t="s">
        <v>269</v>
      </c>
      <c r="I12" s="229">
        <v>0</v>
      </c>
      <c r="J12" s="229">
        <v>0</v>
      </c>
      <c r="K12" s="229">
        <f t="shared" si="10"/>
        <v>0</v>
      </c>
      <c r="L12" s="230">
        <f t="shared" si="11"/>
        <v>0</v>
      </c>
      <c r="N12" s="105" t="s">
        <v>38</v>
      </c>
      <c r="O12" s="229">
        <v>18247661</v>
      </c>
      <c r="P12" s="229">
        <v>8475780.1293385122</v>
      </c>
      <c r="Q12" s="229">
        <f>O12-P12</f>
        <v>9771880.8706614878</v>
      </c>
      <c r="R12" s="230">
        <f t="shared" si="0"/>
        <v>2.1529181646461764</v>
      </c>
      <c r="T12" s="105" t="s">
        <v>38</v>
      </c>
      <c r="U12" s="229">
        <v>31026904.789999999</v>
      </c>
      <c r="V12" s="229">
        <v>13374625.225593608</v>
      </c>
      <c r="W12" s="229">
        <f>U12-V12</f>
        <v>17652279.564406391</v>
      </c>
      <c r="X12" s="230">
        <f t="shared" si="1"/>
        <v>2.3198335853648508</v>
      </c>
      <c r="Y12" s="265"/>
      <c r="Z12" s="105" t="s">
        <v>38</v>
      </c>
      <c r="AA12" s="229">
        <v>8288812</v>
      </c>
      <c r="AB12" s="229">
        <v>8198818.5278333249</v>
      </c>
      <c r="AC12" s="229">
        <f>AA12-AB12</f>
        <v>89993.472166675143</v>
      </c>
      <c r="AD12" s="230">
        <f t="shared" si="2"/>
        <v>1.0109763951795208</v>
      </c>
      <c r="AF12" s="105" t="s">
        <v>38</v>
      </c>
      <c r="AG12" s="229">
        <v>6010519.0846461002</v>
      </c>
      <c r="AH12" s="229">
        <v>6641865.258133471</v>
      </c>
      <c r="AI12" s="229">
        <f>AG12-AH12</f>
        <v>-631346.17348737083</v>
      </c>
      <c r="AJ12" s="230">
        <f t="shared" si="3"/>
        <v>0.90494444723728185</v>
      </c>
      <c r="AL12" s="105" t="s">
        <v>85</v>
      </c>
      <c r="AM12" s="229">
        <v>0</v>
      </c>
      <c r="AN12" s="229">
        <v>2573738</v>
      </c>
      <c r="AO12" s="229">
        <f t="shared" si="12"/>
        <v>-2573738</v>
      </c>
      <c r="AP12" s="244">
        <f t="shared" si="4"/>
        <v>0</v>
      </c>
      <c r="AR12" s="105" t="s">
        <v>85</v>
      </c>
      <c r="AS12" s="229">
        <v>0</v>
      </c>
      <c r="AT12" s="229">
        <v>2618006</v>
      </c>
      <c r="AU12" s="229">
        <f t="shared" si="13"/>
        <v>-2618006</v>
      </c>
      <c r="AV12" s="244">
        <f t="shared" si="5"/>
        <v>0</v>
      </c>
      <c r="AX12" s="105" t="s">
        <v>85</v>
      </c>
      <c r="AY12" s="229">
        <v>0</v>
      </c>
      <c r="AZ12" s="229">
        <v>2663036</v>
      </c>
      <c r="BA12" s="229">
        <f t="shared" si="14"/>
        <v>-2663036</v>
      </c>
      <c r="BB12" s="244">
        <f t="shared" si="6"/>
        <v>0</v>
      </c>
      <c r="BD12" s="105" t="s">
        <v>85</v>
      </c>
      <c r="BE12" s="229">
        <v>0</v>
      </c>
      <c r="BF12" s="229">
        <v>2708841</v>
      </c>
      <c r="BG12" s="229">
        <f t="shared" si="15"/>
        <v>-2708841</v>
      </c>
      <c r="BH12" s="244">
        <f t="shared" si="7"/>
        <v>0</v>
      </c>
    </row>
    <row r="13" spans="2:60" x14ac:dyDescent="0.25">
      <c r="B13" s="105" t="s">
        <v>270</v>
      </c>
      <c r="C13" s="229">
        <v>111940676.80468771</v>
      </c>
      <c r="D13" s="229">
        <v>26865257.017439649</v>
      </c>
      <c r="E13" s="229">
        <f t="shared" si="8"/>
        <v>85075419.78724806</v>
      </c>
      <c r="F13" s="230">
        <f t="shared" si="9"/>
        <v>4.1667450541054247</v>
      </c>
      <c r="H13" s="105" t="s">
        <v>270</v>
      </c>
      <c r="I13" s="229">
        <v>94933176.734975174</v>
      </c>
      <c r="J13" s="229">
        <v>22806965.862168759</v>
      </c>
      <c r="K13" s="229">
        <f t="shared" si="10"/>
        <v>72126210.872806415</v>
      </c>
      <c r="L13" s="230">
        <f t="shared" si="11"/>
        <v>4.162464104550021</v>
      </c>
      <c r="N13" s="105" t="s">
        <v>85</v>
      </c>
      <c r="O13" s="229"/>
      <c r="P13" s="229">
        <v>1168390.29</v>
      </c>
      <c r="Q13" s="229">
        <f>O13-P13</f>
        <v>-1168390.29</v>
      </c>
      <c r="R13" s="244">
        <f t="shared" si="0"/>
        <v>0</v>
      </c>
      <c r="T13" s="105" t="s">
        <v>85</v>
      </c>
      <c r="U13" s="229"/>
      <c r="V13" s="229">
        <v>1385537</v>
      </c>
      <c r="W13" s="229">
        <f>U13-V13</f>
        <v>-1385537</v>
      </c>
      <c r="X13" s="244">
        <f t="shared" si="1"/>
        <v>0</v>
      </c>
      <c r="Z13" s="105" t="s">
        <v>85</v>
      </c>
      <c r="AA13" s="229"/>
      <c r="AB13" s="229">
        <v>1470402.44</v>
      </c>
      <c r="AC13" s="229">
        <f>AA13-AB13</f>
        <v>-1470402.44</v>
      </c>
      <c r="AD13" s="244">
        <f t="shared" si="2"/>
        <v>0</v>
      </c>
      <c r="AF13" s="105" t="s">
        <v>85</v>
      </c>
      <c r="AG13" s="229">
        <v>0</v>
      </c>
      <c r="AH13" s="229">
        <v>1542825</v>
      </c>
      <c r="AI13" s="229">
        <f>AG13-AH13</f>
        <v>-1542825</v>
      </c>
      <c r="AJ13" s="244">
        <f t="shared" si="3"/>
        <v>0</v>
      </c>
      <c r="AL13" s="106" t="s">
        <v>2</v>
      </c>
      <c r="AM13" s="223">
        <f>SUM(AM14:AM16)</f>
        <v>26205203.405143637</v>
      </c>
      <c r="AN13" s="223">
        <f>SUM(AN14:AN16)</f>
        <v>27996293.14979966</v>
      </c>
      <c r="AO13" s="223">
        <f t="shared" si="12"/>
        <v>-1791089.7446560226</v>
      </c>
      <c r="AP13" s="243">
        <f t="shared" si="4"/>
        <v>0.93602403950149948</v>
      </c>
      <c r="AR13" s="106" t="s">
        <v>2</v>
      </c>
      <c r="AS13" s="223">
        <f>SUM(AS14:AS16)</f>
        <v>28499332.006444246</v>
      </c>
      <c r="AT13" s="223">
        <f>SUM(AT14:AT16)</f>
        <v>30013385.761081509</v>
      </c>
      <c r="AU13" s="223">
        <f t="shared" si="13"/>
        <v>-1514053.7546372637</v>
      </c>
      <c r="AV13" s="243">
        <f t="shared" si="5"/>
        <v>0.9495540500931906</v>
      </c>
      <c r="AX13" s="106" t="s">
        <v>2</v>
      </c>
      <c r="AY13" s="223">
        <f>SUM(AY14:AY16)</f>
        <v>30860516.206469059</v>
      </c>
      <c r="AZ13" s="223">
        <f>SUM(AZ14:AZ16)</f>
        <v>32086229.715728544</v>
      </c>
      <c r="BA13" s="223">
        <f t="shared" si="14"/>
        <v>-1225713.5092594847</v>
      </c>
      <c r="BB13" s="243">
        <f t="shared" si="6"/>
        <v>0.96179939119931424</v>
      </c>
      <c r="BD13" s="106" t="s">
        <v>2</v>
      </c>
      <c r="BE13" s="223">
        <f>SUM(BE14:BE16)</f>
        <v>33223098.854784034</v>
      </c>
      <c r="BF13" s="223">
        <f>SUM(BF14:BF16)</f>
        <v>34327023.043628298</v>
      </c>
      <c r="BG13" s="223">
        <f t="shared" si="15"/>
        <v>-1103924.1888442636</v>
      </c>
      <c r="BH13" s="243">
        <f t="shared" si="7"/>
        <v>0.96784095761985478</v>
      </c>
    </row>
    <row r="14" spans="2:60" x14ac:dyDescent="0.25">
      <c r="B14" s="105" t="s">
        <v>271</v>
      </c>
      <c r="C14" s="229">
        <v>11602777.883954769</v>
      </c>
      <c r="D14" s="229">
        <v>3409954.7300181407</v>
      </c>
      <c r="E14" s="229">
        <f t="shared" si="8"/>
        <v>8192823.1539366283</v>
      </c>
      <c r="F14" s="230">
        <f t="shared" si="9"/>
        <v>3.4026193315161821</v>
      </c>
      <c r="H14" s="105" t="s">
        <v>271</v>
      </c>
      <c r="I14" s="229">
        <v>8994223.4573217407</v>
      </c>
      <c r="J14" s="229">
        <v>2569249.6478345641</v>
      </c>
      <c r="K14" s="229">
        <f t="shared" si="10"/>
        <v>6424973.8094871771</v>
      </c>
      <c r="L14" s="230">
        <f t="shared" si="11"/>
        <v>3.500719933892888</v>
      </c>
      <c r="N14" s="106" t="s">
        <v>3</v>
      </c>
      <c r="O14" s="224">
        <f>SUM(O15:O19)</f>
        <v>123088896.51000001</v>
      </c>
      <c r="P14" s="224">
        <f>SUM(P15:P19)</f>
        <v>103712334.64797403</v>
      </c>
      <c r="Q14" s="224">
        <f>SUM(Q15:Q19)</f>
        <v>19376561.862025965</v>
      </c>
      <c r="R14" s="243">
        <f t="shared" si="0"/>
        <v>1.1868298686727567</v>
      </c>
      <c r="T14" s="106" t="s">
        <v>3</v>
      </c>
      <c r="U14" s="224">
        <f>SUM(U15:U19)</f>
        <v>170447272.22999999</v>
      </c>
      <c r="V14" s="224">
        <f>SUM(V15:V19)</f>
        <v>76500596.737809911</v>
      </c>
      <c r="W14" s="224">
        <f>SUM(W15:W19)</f>
        <v>93946675.492190093</v>
      </c>
      <c r="X14" s="243">
        <f t="shared" si="1"/>
        <v>2.2280515381360098</v>
      </c>
      <c r="Z14" s="106" t="s">
        <v>3</v>
      </c>
      <c r="AA14" s="224">
        <f>SUM(AA15:AA19)</f>
        <v>89025375</v>
      </c>
      <c r="AB14" s="224">
        <f>SUM(AB15:AB19)</f>
        <v>59150724.675314479</v>
      </c>
      <c r="AC14" s="224">
        <f>SUM(AC15:AC19)</f>
        <v>29874650.324685521</v>
      </c>
      <c r="AD14" s="243">
        <f t="shared" si="2"/>
        <v>1.5050597518233482</v>
      </c>
      <c r="AF14" s="106" t="s">
        <v>3</v>
      </c>
      <c r="AG14" s="224">
        <f>SUM(AG15:AG19)</f>
        <v>74867019.609125763</v>
      </c>
      <c r="AH14" s="224">
        <f>SUM(AH15:AH19)</f>
        <v>49378951.060803108</v>
      </c>
      <c r="AI14" s="224">
        <f>SUM(AI15:AI19)</f>
        <v>25488068.548322655</v>
      </c>
      <c r="AJ14" s="243">
        <f t="shared" si="3"/>
        <v>1.5161727416392006</v>
      </c>
      <c r="AL14" s="105" t="s">
        <v>36</v>
      </c>
      <c r="AM14" s="229">
        <v>12822904.532909317</v>
      </c>
      <c r="AN14" s="229">
        <v>15815027.380000001</v>
      </c>
      <c r="AO14" s="229">
        <f t="shared" si="12"/>
        <v>-2992122.8470906839</v>
      </c>
      <c r="AP14" s="230">
        <f t="shared" si="4"/>
        <v>0.81080507954892433</v>
      </c>
      <c r="AR14" s="105" t="s">
        <v>36</v>
      </c>
      <c r="AS14" s="229">
        <v>14450131.97827106</v>
      </c>
      <c r="AT14" s="229">
        <v>17288937.519999996</v>
      </c>
      <c r="AU14" s="229">
        <f t="shared" si="13"/>
        <v>-2838805.5417289361</v>
      </c>
      <c r="AV14" s="230">
        <f t="shared" si="5"/>
        <v>0.83580219788260668</v>
      </c>
      <c r="AX14" s="105" t="s">
        <v>36</v>
      </c>
      <c r="AY14" s="229">
        <v>16012173.111566063</v>
      </c>
      <c r="AZ14" s="229">
        <v>18733180.159999996</v>
      </c>
      <c r="BA14" s="229">
        <f t="shared" si="14"/>
        <v>-2721007.0484339334</v>
      </c>
      <c r="BB14" s="230">
        <f t="shared" si="6"/>
        <v>0.85474932578484664</v>
      </c>
      <c r="BD14" s="105" t="s">
        <v>36</v>
      </c>
      <c r="BE14" s="229">
        <v>17782583.769019566</v>
      </c>
      <c r="BF14" s="229">
        <v>20442720.749999996</v>
      </c>
      <c r="BG14" s="229">
        <f t="shared" si="15"/>
        <v>-2660136.9809804298</v>
      </c>
      <c r="BH14" s="230">
        <f t="shared" si="7"/>
        <v>0.8698736330886665</v>
      </c>
    </row>
    <row r="15" spans="2:60" ht="14.25" x14ac:dyDescent="0.25">
      <c r="B15" s="105" t="s">
        <v>403</v>
      </c>
      <c r="C15" s="229">
        <v>13280113.977789056</v>
      </c>
      <c r="D15" s="229">
        <v>5729047.6436144179</v>
      </c>
      <c r="E15" s="229">
        <f t="shared" si="8"/>
        <v>7551066.3341746377</v>
      </c>
      <c r="F15" s="230">
        <f t="shared" si="9"/>
        <v>2.318031687621072</v>
      </c>
      <c r="H15" s="105" t="s">
        <v>403</v>
      </c>
      <c r="I15" s="229">
        <v>15472717.732499152</v>
      </c>
      <c r="J15" s="229">
        <v>5353763.8482476063</v>
      </c>
      <c r="K15" s="229">
        <f t="shared" si="10"/>
        <v>10118953.884251546</v>
      </c>
      <c r="L15" s="230">
        <f t="shared" si="11"/>
        <v>2.8900635461468256</v>
      </c>
      <c r="N15" s="105" t="s">
        <v>39</v>
      </c>
      <c r="O15" s="229">
        <v>88576181.030000001</v>
      </c>
      <c r="P15" s="229">
        <v>88241735.158292264</v>
      </c>
      <c r="Q15" s="229">
        <f>O15-P15</f>
        <v>334445.87170773745</v>
      </c>
      <c r="R15" s="230">
        <f t="shared" si="0"/>
        <v>1.0037901098738347</v>
      </c>
      <c r="T15" s="105" t="s">
        <v>39</v>
      </c>
      <c r="U15" s="229">
        <v>114528519.73</v>
      </c>
      <c r="V15" s="229">
        <v>56976297.087809876</v>
      </c>
      <c r="W15" s="229">
        <f>U15-V15</f>
        <v>57552222.642190129</v>
      </c>
      <c r="X15" s="230">
        <f t="shared" si="1"/>
        <v>2.0101081604775519</v>
      </c>
      <c r="Y15" s="265"/>
      <c r="Z15" s="105" t="s">
        <v>39</v>
      </c>
      <c r="AA15" s="229">
        <v>49689566</v>
      </c>
      <c r="AB15" s="229">
        <v>35993332.742266469</v>
      </c>
      <c r="AC15" s="229">
        <f>AA15-AB15</f>
        <v>13696233.257733531</v>
      </c>
      <c r="AD15" s="230">
        <f t="shared" si="2"/>
        <v>1.3805213969989012</v>
      </c>
      <c r="AF15" s="105" t="s">
        <v>39</v>
      </c>
      <c r="AG15" s="229">
        <v>37138910.263707183</v>
      </c>
      <c r="AH15" s="229">
        <v>23026264.106233802</v>
      </c>
      <c r="AI15" s="229">
        <f>AG15-AH15</f>
        <v>14112646.157473382</v>
      </c>
      <c r="AJ15" s="230">
        <f t="shared" si="3"/>
        <v>1.6128934373532493</v>
      </c>
      <c r="AL15" s="105" t="s">
        <v>38</v>
      </c>
      <c r="AM15" s="229">
        <v>13382298.87223432</v>
      </c>
      <c r="AN15" s="229">
        <v>10342924.769799657</v>
      </c>
      <c r="AO15" s="229">
        <f t="shared" si="12"/>
        <v>3039374.1024346631</v>
      </c>
      <c r="AP15" s="230">
        <f t="shared" si="4"/>
        <v>1.2938602155658467</v>
      </c>
      <c r="AR15" s="105" t="s">
        <v>38</v>
      </c>
      <c r="AS15" s="229">
        <v>14049200.028173188</v>
      </c>
      <c r="AT15" s="229">
        <v>10854487.241081513</v>
      </c>
      <c r="AU15" s="229">
        <f t="shared" si="13"/>
        <v>3194712.7870916743</v>
      </c>
      <c r="AV15" s="230">
        <f t="shared" si="5"/>
        <v>1.2943218519803024</v>
      </c>
      <c r="AX15" s="105" t="s">
        <v>38</v>
      </c>
      <c r="AY15" s="229">
        <v>14848343.094902996</v>
      </c>
      <c r="AZ15" s="229">
        <v>11450924.555728547</v>
      </c>
      <c r="BA15" s="229">
        <f t="shared" si="14"/>
        <v>3397418.5391744487</v>
      </c>
      <c r="BB15" s="230">
        <f t="shared" si="6"/>
        <v>1.2966938191444832</v>
      </c>
      <c r="BD15" s="105" t="s">
        <v>38</v>
      </c>
      <c r="BE15" s="229">
        <v>15440515.08576447</v>
      </c>
      <c r="BF15" s="229">
        <v>11949461.293628301</v>
      </c>
      <c r="BG15" s="229">
        <f t="shared" si="15"/>
        <v>3491053.7921361681</v>
      </c>
      <c r="BH15" s="230">
        <f t="shared" si="7"/>
        <v>1.2921515628489186</v>
      </c>
    </row>
    <row r="16" spans="2:60" x14ac:dyDescent="0.25">
      <c r="B16" s="105" t="s">
        <v>272</v>
      </c>
      <c r="C16" s="229">
        <v>270361.47843417525</v>
      </c>
      <c r="D16" s="229">
        <v>316671.31000088563</v>
      </c>
      <c r="E16" s="229">
        <f t="shared" si="8"/>
        <v>-46309.831566710374</v>
      </c>
      <c r="F16" s="230">
        <f t="shared" si="9"/>
        <v>0.85376057096368829</v>
      </c>
      <c r="H16" s="105" t="s">
        <v>272</v>
      </c>
      <c r="I16" s="229">
        <v>1745316.6100503108</v>
      </c>
      <c r="J16" s="229">
        <v>3714646.0656354893</v>
      </c>
      <c r="K16" s="229">
        <f t="shared" si="10"/>
        <v>-1969329.4555851785</v>
      </c>
      <c r="L16" s="230">
        <f t="shared" si="11"/>
        <v>0.46984734997941935</v>
      </c>
      <c r="N16" s="105" t="s">
        <v>41</v>
      </c>
      <c r="O16" s="229">
        <v>13162362.220000001</v>
      </c>
      <c r="P16" s="229">
        <v>4460407.6011508796</v>
      </c>
      <c r="Q16" s="229">
        <f>O16-P16</f>
        <v>8701954.618849121</v>
      </c>
      <c r="R16" s="230">
        <f t="shared" si="0"/>
        <v>2.9509326045906281</v>
      </c>
      <c r="T16" s="105" t="s">
        <v>41</v>
      </c>
      <c r="U16" s="229">
        <v>14939409.199999999</v>
      </c>
      <c r="V16" s="229">
        <v>4839792</v>
      </c>
      <c r="W16" s="229">
        <f>U16-V16</f>
        <v>10099617.199999999</v>
      </c>
      <c r="X16" s="230">
        <f t="shared" si="1"/>
        <v>3.0867874487168043</v>
      </c>
      <c r="Y16" s="265"/>
      <c r="Z16" s="105" t="s">
        <v>41</v>
      </c>
      <c r="AA16" s="229">
        <v>10329570</v>
      </c>
      <c r="AB16" s="229">
        <v>6779381.2567015644</v>
      </c>
      <c r="AC16" s="229">
        <f>AA16-AB16</f>
        <v>3550188.7432984356</v>
      </c>
      <c r="AD16" s="230">
        <f t="shared" si="2"/>
        <v>1.5236744488723064</v>
      </c>
      <c r="AF16" s="105" t="s">
        <v>45</v>
      </c>
      <c r="AG16" s="229">
        <v>12453792.52598808</v>
      </c>
      <c r="AH16" s="229">
        <v>7679508.133310183</v>
      </c>
      <c r="AI16" s="229">
        <f>AG16-AH16</f>
        <v>4774284.3926778967</v>
      </c>
      <c r="AJ16" s="230">
        <f t="shared" si="3"/>
        <v>1.6216914299457854</v>
      </c>
      <c r="AL16" s="105" t="s">
        <v>85</v>
      </c>
      <c r="AM16" s="229">
        <v>0</v>
      </c>
      <c r="AN16" s="229">
        <v>1838341</v>
      </c>
      <c r="AO16" s="229">
        <f t="shared" si="12"/>
        <v>-1838341</v>
      </c>
      <c r="AP16" s="244">
        <f t="shared" si="4"/>
        <v>0</v>
      </c>
      <c r="AR16" s="105" t="s">
        <v>85</v>
      </c>
      <c r="AS16" s="229">
        <v>0</v>
      </c>
      <c r="AT16" s="229">
        <v>1869961</v>
      </c>
      <c r="AU16" s="229">
        <f t="shared" si="13"/>
        <v>-1869961</v>
      </c>
      <c r="AV16" s="244">
        <f t="shared" si="5"/>
        <v>0</v>
      </c>
      <c r="AX16" s="105" t="s">
        <v>85</v>
      </c>
      <c r="AY16" s="229">
        <v>0</v>
      </c>
      <c r="AZ16" s="229">
        <v>1902125</v>
      </c>
      <c r="BA16" s="229">
        <f t="shared" si="14"/>
        <v>-1902125</v>
      </c>
      <c r="BB16" s="244">
        <f t="shared" si="6"/>
        <v>0</v>
      </c>
      <c r="BD16" s="105" t="s">
        <v>85</v>
      </c>
      <c r="BE16" s="229">
        <v>0</v>
      </c>
      <c r="BF16" s="229">
        <v>1934841</v>
      </c>
      <c r="BG16" s="229">
        <f t="shared" si="15"/>
        <v>-1934841</v>
      </c>
      <c r="BH16" s="244">
        <f t="shared" si="7"/>
        <v>0</v>
      </c>
    </row>
    <row r="17" spans="2:60" x14ac:dyDescent="0.25">
      <c r="B17" s="106" t="s">
        <v>34</v>
      </c>
      <c r="C17" s="224">
        <f>SUM(C18:C19)</f>
        <v>34230322.945373863</v>
      </c>
      <c r="D17" s="224">
        <f>SUM(D18:D19)</f>
        <v>22494505.426061191</v>
      </c>
      <c r="E17" s="224">
        <f t="shared" si="8"/>
        <v>11735817.519312672</v>
      </c>
      <c r="F17" s="243">
        <f t="shared" si="9"/>
        <v>1.5217192953136034</v>
      </c>
      <c r="H17" s="106" t="s">
        <v>34</v>
      </c>
      <c r="I17" s="224">
        <f>SUM(I18:I19)</f>
        <v>33477085.186557524</v>
      </c>
      <c r="J17" s="224">
        <f>SUM(J18:J19)</f>
        <v>20830535.924826857</v>
      </c>
      <c r="K17" s="224">
        <f t="shared" si="10"/>
        <v>12646549.261730667</v>
      </c>
      <c r="L17" s="243">
        <f t="shared" si="11"/>
        <v>1.6071158854179017</v>
      </c>
      <c r="N17" s="105" t="s">
        <v>43</v>
      </c>
      <c r="O17" s="229">
        <v>14143588.970000001</v>
      </c>
      <c r="P17" s="229">
        <v>3209078.0685308944</v>
      </c>
      <c r="Q17" s="229">
        <f>O17-P17</f>
        <v>10934510.901469106</v>
      </c>
      <c r="R17" s="230">
        <f t="shared" si="0"/>
        <v>4.407368305774777</v>
      </c>
      <c r="T17" s="105" t="s">
        <v>43</v>
      </c>
      <c r="U17" s="229">
        <v>27379340.879999999</v>
      </c>
      <c r="V17" s="229">
        <v>5596728</v>
      </c>
      <c r="W17" s="229">
        <f>U17-V17</f>
        <v>21782612.879999999</v>
      </c>
      <c r="X17" s="230">
        <f t="shared" si="1"/>
        <v>4.892026355399083</v>
      </c>
      <c r="Y17" s="265"/>
      <c r="Z17" s="105" t="s">
        <v>43</v>
      </c>
      <c r="AA17" s="229">
        <v>19884658</v>
      </c>
      <c r="AB17" s="229">
        <v>7085757.1263464112</v>
      </c>
      <c r="AC17" s="229">
        <f>AA17-AB17</f>
        <v>12798900.873653589</v>
      </c>
      <c r="AD17" s="230">
        <f t="shared" si="2"/>
        <v>2.806285573360177</v>
      </c>
      <c r="AF17" s="105" t="s">
        <v>47</v>
      </c>
      <c r="AG17" s="229">
        <v>18235293.937165067</v>
      </c>
      <c r="AH17" s="229">
        <v>8345215.2517221915</v>
      </c>
      <c r="AI17" s="229">
        <f>AG17-AH17</f>
        <v>9890078.6854428761</v>
      </c>
      <c r="AJ17" s="230">
        <f t="shared" si="3"/>
        <v>2.1851196628393583</v>
      </c>
      <c r="AL17" s="106" t="s">
        <v>3</v>
      </c>
      <c r="AM17" s="224">
        <f>SUM(AM18:AM24)</f>
        <v>126166665.80634306</v>
      </c>
      <c r="AN17" s="224">
        <f>SUM(AN18:AN24)</f>
        <v>80274862.421114385</v>
      </c>
      <c r="AO17" s="224">
        <f t="shared" si="12"/>
        <v>45891803.385228679</v>
      </c>
      <c r="AP17" s="243">
        <f t="shared" si="4"/>
        <v>1.571683363896466</v>
      </c>
      <c r="AR17" s="106" t="s">
        <v>3</v>
      </c>
      <c r="AS17" s="224">
        <f>SUM(AS18:AS24)</f>
        <v>148827358.67384455</v>
      </c>
      <c r="AT17" s="224">
        <f>SUM(AT18:AT24)</f>
        <v>91565098.612652645</v>
      </c>
      <c r="AU17" s="224">
        <f t="shared" si="13"/>
        <v>57262260.061191902</v>
      </c>
      <c r="AV17" s="243">
        <f t="shared" si="5"/>
        <v>1.6253721224440345</v>
      </c>
      <c r="AX17" s="106" t="s">
        <v>3</v>
      </c>
      <c r="AY17" s="224">
        <f>SUM(AY18:AY24)</f>
        <v>166773690.8390713</v>
      </c>
      <c r="AZ17" s="224">
        <f>SUM(AZ18:AZ24)</f>
        <v>99896737.912945256</v>
      </c>
      <c r="BA17" s="224">
        <f t="shared" si="14"/>
        <v>66876952.926126048</v>
      </c>
      <c r="BB17" s="243">
        <f t="shared" si="6"/>
        <v>1.6694608284847678</v>
      </c>
      <c r="BD17" s="106" t="s">
        <v>3</v>
      </c>
      <c r="BE17" s="224">
        <f>SUM(BE18:BE24)</f>
        <v>180689562.69557053</v>
      </c>
      <c r="BF17" s="224">
        <f>SUM(BF18:BF24)</f>
        <v>108825466.63906689</v>
      </c>
      <c r="BG17" s="224">
        <f t="shared" si="15"/>
        <v>71864096.056503639</v>
      </c>
      <c r="BH17" s="243">
        <f t="shared" si="7"/>
        <v>1.6603610191247771</v>
      </c>
    </row>
    <row r="18" spans="2:60" x14ac:dyDescent="0.25">
      <c r="B18" s="105" t="s">
        <v>36</v>
      </c>
      <c r="C18" s="229">
        <v>9445019.5960462652</v>
      </c>
      <c r="D18" s="229">
        <v>6139538.3436260633</v>
      </c>
      <c r="E18" s="229">
        <f t="shared" si="8"/>
        <v>3305481.2524202019</v>
      </c>
      <c r="F18" s="230">
        <f t="shared" si="9"/>
        <v>1.5383924763417891</v>
      </c>
      <c r="H18" s="105" t="s">
        <v>36</v>
      </c>
      <c r="I18" s="229">
        <v>11951045.230062928</v>
      </c>
      <c r="J18" s="229">
        <v>7437365.1310419664</v>
      </c>
      <c r="K18" s="229">
        <f t="shared" si="10"/>
        <v>4513680.0990209617</v>
      </c>
      <c r="L18" s="230">
        <f t="shared" si="11"/>
        <v>1.6068923630200471</v>
      </c>
      <c r="N18" s="105" t="s">
        <v>44</v>
      </c>
      <c r="O18" s="229">
        <v>7206764.29</v>
      </c>
      <c r="P18" s="229">
        <v>4035764.9800000051</v>
      </c>
      <c r="Q18" s="229">
        <f>O18-P18</f>
        <v>3170999.3099999949</v>
      </c>
      <c r="R18" s="230">
        <f t="shared" si="0"/>
        <v>1.785724472488978</v>
      </c>
      <c r="T18" s="105" t="s">
        <v>44</v>
      </c>
      <c r="U18" s="229">
        <v>13600002.42</v>
      </c>
      <c r="V18" s="229">
        <v>4877939.5200000238</v>
      </c>
      <c r="W18" s="229">
        <f>U18-V18</f>
        <v>8722062.8999999762</v>
      </c>
      <c r="X18" s="230">
        <f t="shared" si="1"/>
        <v>2.7880629442490368</v>
      </c>
      <c r="Y18" s="265"/>
      <c r="Z18" s="105" t="s">
        <v>44</v>
      </c>
      <c r="AA18" s="229">
        <v>9121581</v>
      </c>
      <c r="AB18" s="229">
        <v>5102615.2800000291</v>
      </c>
      <c r="AC18" s="229">
        <f>AA18-AB18</f>
        <v>4018965.7199999709</v>
      </c>
      <c r="AD18" s="230">
        <f t="shared" si="2"/>
        <v>1.787628598172494</v>
      </c>
      <c r="AF18" s="105" t="s">
        <v>48</v>
      </c>
      <c r="AG18" s="229">
        <v>7039022.8822654355</v>
      </c>
      <c r="AH18" s="229">
        <v>6006852.5695369318</v>
      </c>
      <c r="AI18" s="229">
        <f>AG18-AH18</f>
        <v>1032170.3127285037</v>
      </c>
      <c r="AJ18" s="230">
        <f t="shared" si="3"/>
        <v>1.1718321368436837</v>
      </c>
      <c r="AL18" s="105" t="s">
        <v>39</v>
      </c>
      <c r="AM18" s="229">
        <v>74684001.149741635</v>
      </c>
      <c r="AN18" s="229">
        <v>47292591.271112211</v>
      </c>
      <c r="AO18" s="229">
        <f t="shared" si="12"/>
        <v>27391409.878629424</v>
      </c>
      <c r="AP18" s="230">
        <f t="shared" si="4"/>
        <v>1.5791902947673953</v>
      </c>
      <c r="AR18" s="105" t="s">
        <v>39</v>
      </c>
      <c r="AS18" s="229">
        <v>88711474.759880185</v>
      </c>
      <c r="AT18" s="229">
        <v>55203877.627355739</v>
      </c>
      <c r="AU18" s="229">
        <f t="shared" si="13"/>
        <v>33507597.132524446</v>
      </c>
      <c r="AV18" s="230">
        <f t="shared" si="5"/>
        <v>1.6069790488036313</v>
      </c>
      <c r="AX18" s="105" t="s">
        <v>39</v>
      </c>
      <c r="AY18" s="229">
        <v>99657230.131238624</v>
      </c>
      <c r="AZ18" s="229">
        <v>60531961.253840178</v>
      </c>
      <c r="BA18" s="229">
        <f t="shared" si="14"/>
        <v>39125268.877398446</v>
      </c>
      <c r="BB18" s="230">
        <f t="shared" si="6"/>
        <v>1.6463571981969496</v>
      </c>
      <c r="BD18" s="105" t="s">
        <v>39</v>
      </c>
      <c r="BE18" s="229">
        <v>108725689.20934197</v>
      </c>
      <c r="BF18" s="229">
        <v>67365809.466370806</v>
      </c>
      <c r="BG18" s="229">
        <f t="shared" si="15"/>
        <v>41359879.742971167</v>
      </c>
      <c r="BH18" s="230">
        <f t="shared" si="7"/>
        <v>1.6139595155257227</v>
      </c>
    </row>
    <row r="19" spans="2:60" x14ac:dyDescent="0.25">
      <c r="B19" s="105" t="s">
        <v>275</v>
      </c>
      <c r="C19" s="229">
        <v>24785303.349327594</v>
      </c>
      <c r="D19" s="229">
        <v>16354967.082435127</v>
      </c>
      <c r="E19" s="229">
        <f t="shared" si="8"/>
        <v>8430336.2668924667</v>
      </c>
      <c r="F19" s="230">
        <f t="shared" si="9"/>
        <v>1.5154603017175412</v>
      </c>
      <c r="H19" s="105" t="s">
        <v>275</v>
      </c>
      <c r="I19" s="229">
        <v>21526039.956494596</v>
      </c>
      <c r="J19" s="229">
        <v>13393170.79378489</v>
      </c>
      <c r="K19" s="229">
        <f t="shared" si="10"/>
        <v>8132869.1627097055</v>
      </c>
      <c r="L19" s="230">
        <f t="shared" si="11"/>
        <v>1.6072400096983583</v>
      </c>
      <c r="N19" s="105" t="s">
        <v>85</v>
      </c>
      <c r="O19" s="229"/>
      <c r="P19" s="229">
        <v>3765348.8399999929</v>
      </c>
      <c r="Q19" s="229">
        <f>O19-P19</f>
        <v>-3765348.8399999929</v>
      </c>
      <c r="R19" s="230">
        <f t="shared" si="0"/>
        <v>0</v>
      </c>
      <c r="T19" s="105" t="s">
        <v>85</v>
      </c>
      <c r="U19" s="229"/>
      <c r="V19" s="229">
        <v>4209840.1300000101</v>
      </c>
      <c r="W19" s="229">
        <f>U19-V19</f>
        <v>-4209840.1300000101</v>
      </c>
      <c r="X19" s="230">
        <f t="shared" si="1"/>
        <v>0</v>
      </c>
      <c r="Y19" s="265"/>
      <c r="Z19" s="105" t="s">
        <v>85</v>
      </c>
      <c r="AA19" s="229"/>
      <c r="AB19" s="229">
        <v>4189638.2700000014</v>
      </c>
      <c r="AC19" s="229">
        <f>AA19-AB19</f>
        <v>-4189638.2700000014</v>
      </c>
      <c r="AD19" s="230">
        <f t="shared" si="2"/>
        <v>0</v>
      </c>
      <c r="AF19" s="105" t="s">
        <v>85</v>
      </c>
      <c r="AG19" s="229">
        <v>0</v>
      </c>
      <c r="AH19" s="229">
        <v>4321111</v>
      </c>
      <c r="AI19" s="229">
        <f>AG19-AH19</f>
        <v>-4321111</v>
      </c>
      <c r="AJ19" s="230">
        <f t="shared" si="3"/>
        <v>0</v>
      </c>
      <c r="AL19" s="105" t="s">
        <v>45</v>
      </c>
      <c r="AM19" s="229">
        <v>14060383.27489916</v>
      </c>
      <c r="AN19" s="229">
        <v>10577466.331375513</v>
      </c>
      <c r="AO19" s="229">
        <f t="shared" si="12"/>
        <v>3482916.9435236473</v>
      </c>
      <c r="AP19" s="230">
        <f t="shared" si="4"/>
        <v>1.3292770531627609</v>
      </c>
      <c r="AR19" s="105" t="s">
        <v>45</v>
      </c>
      <c r="AS19" s="229">
        <v>16142135.292667147</v>
      </c>
      <c r="AT19" s="229">
        <v>11801787.646106105</v>
      </c>
      <c r="AU19" s="229">
        <f t="shared" si="13"/>
        <v>4340347.6465610415</v>
      </c>
      <c r="AV19" s="230">
        <f t="shared" si="5"/>
        <v>1.3677703562132046</v>
      </c>
      <c r="AX19" s="105" t="s">
        <v>45</v>
      </c>
      <c r="AY19" s="229">
        <v>18386981.653981198</v>
      </c>
      <c r="AZ19" s="229">
        <v>13080371.715248831</v>
      </c>
      <c r="BA19" s="229">
        <f t="shared" si="14"/>
        <v>5306609.938732367</v>
      </c>
      <c r="BB19" s="230">
        <f t="shared" si="6"/>
        <v>1.4056925945419447</v>
      </c>
      <c r="BD19" s="105" t="s">
        <v>45</v>
      </c>
      <c r="BE19" s="229">
        <v>19897981.887751155</v>
      </c>
      <c r="BF19" s="229">
        <v>13718660.997699466</v>
      </c>
      <c r="BG19" s="229">
        <f t="shared" si="15"/>
        <v>6179320.890051689</v>
      </c>
      <c r="BH19" s="230">
        <f t="shared" si="7"/>
        <v>1.4504317798280695</v>
      </c>
    </row>
    <row r="20" spans="2:60" x14ac:dyDescent="0.25">
      <c r="B20" s="245" t="s">
        <v>326</v>
      </c>
      <c r="C20" s="246">
        <f>SUM(C6,C17)</f>
        <v>267387094.28560248</v>
      </c>
      <c r="D20" s="246">
        <f>SUM(D6,D17)</f>
        <v>109608588.98188865</v>
      </c>
      <c r="E20" s="246">
        <f t="shared" si="8"/>
        <v>157778505.30371383</v>
      </c>
      <c r="F20" s="247">
        <f t="shared" si="9"/>
        <v>2.4394720958389913</v>
      </c>
      <c r="H20" s="245" t="s">
        <v>326</v>
      </c>
      <c r="I20" s="246">
        <f>SUM(I6,I17)</f>
        <v>243874604.19751495</v>
      </c>
      <c r="J20" s="246">
        <f>SUM(J6,J17)</f>
        <v>101074577.76370218</v>
      </c>
      <c r="K20" s="246">
        <f t="shared" si="10"/>
        <v>142800026.43381277</v>
      </c>
      <c r="L20" s="247">
        <f t="shared" si="11"/>
        <v>2.4128184316303423</v>
      </c>
      <c r="N20" s="106" t="s">
        <v>4</v>
      </c>
      <c r="O20" s="224">
        <f>SUM(O21:O22)</f>
        <v>154094216.99000001</v>
      </c>
      <c r="P20" s="224">
        <f>SUM(P21:P22)</f>
        <v>53058741.099839568</v>
      </c>
      <c r="Q20" s="224">
        <f>SUM(Q21:Q22)</f>
        <v>101035475.89016044</v>
      </c>
      <c r="R20" s="243">
        <f t="shared" si="0"/>
        <v>2.904219244479322</v>
      </c>
      <c r="T20" s="106" t="s">
        <v>4</v>
      </c>
      <c r="U20" s="224">
        <f>SUM(U21:U22)</f>
        <v>225986570.96000001</v>
      </c>
      <c r="V20" s="224">
        <f>SUM(V21:V22)</f>
        <v>53379046.900664918</v>
      </c>
      <c r="W20" s="224">
        <f>SUM(W21:W22)</f>
        <v>172607524.05933508</v>
      </c>
      <c r="X20" s="243">
        <f t="shared" si="1"/>
        <v>4.2336194458576033</v>
      </c>
      <c r="Z20" s="106" t="s">
        <v>4</v>
      </c>
      <c r="AA20" s="224">
        <f>SUM(AA21:AA22)</f>
        <v>159557253.28</v>
      </c>
      <c r="AB20" s="224">
        <f>SUM(AB21:AB22)</f>
        <v>54852951.357399493</v>
      </c>
      <c r="AC20" s="224">
        <f>SUM(AC21:AC22)</f>
        <v>104704301.92260051</v>
      </c>
      <c r="AD20" s="243">
        <f t="shared" si="2"/>
        <v>2.9088180185673131</v>
      </c>
      <c r="AF20" s="106" t="s">
        <v>4</v>
      </c>
      <c r="AG20" s="224">
        <f>SUM(AG21:AG22)</f>
        <v>164465734.79719052</v>
      </c>
      <c r="AH20" s="224">
        <f>SUM(AH21:AH22)</f>
        <v>89280211.221081287</v>
      </c>
      <c r="AI20" s="224">
        <f>SUM(AI21:AI22)</f>
        <v>75185523.576109231</v>
      </c>
      <c r="AJ20" s="243">
        <f t="shared" si="3"/>
        <v>1.8421297681513107</v>
      </c>
      <c r="AL20" s="105" t="s">
        <v>47</v>
      </c>
      <c r="AM20" s="229">
        <v>27232805.050035156</v>
      </c>
      <c r="AN20" s="229">
        <v>10406819.966302657</v>
      </c>
      <c r="AO20" s="229">
        <f t="shared" si="12"/>
        <v>16825985.083732501</v>
      </c>
      <c r="AP20" s="230">
        <f t="shared" si="4"/>
        <v>2.6168229236419132</v>
      </c>
      <c r="AR20" s="105" t="s">
        <v>47</v>
      </c>
      <c r="AS20" s="229">
        <v>31653437.563660283</v>
      </c>
      <c r="AT20" s="229">
        <v>11482419.594430307</v>
      </c>
      <c r="AU20" s="229">
        <f t="shared" si="13"/>
        <v>20171017.969229974</v>
      </c>
      <c r="AV20" s="230">
        <f t="shared" si="5"/>
        <v>2.7566870643722323</v>
      </c>
      <c r="AX20" s="105" t="s">
        <v>47</v>
      </c>
      <c r="AY20" s="229">
        <v>34533303.895102501</v>
      </c>
      <c r="AZ20" s="229">
        <v>12091604.712189002</v>
      </c>
      <c r="BA20" s="229">
        <f t="shared" si="14"/>
        <v>22441699.182913497</v>
      </c>
      <c r="BB20" s="230">
        <f t="shared" si="6"/>
        <v>2.8559736045862492</v>
      </c>
      <c r="BD20" s="105" t="s">
        <v>47</v>
      </c>
      <c r="BE20" s="229">
        <v>36368867.543558016</v>
      </c>
      <c r="BF20" s="229">
        <v>12443092.629905287</v>
      </c>
      <c r="BG20" s="229">
        <f t="shared" si="15"/>
        <v>23925774.913652729</v>
      </c>
      <c r="BH20" s="230">
        <f t="shared" si="7"/>
        <v>2.9228157842488747</v>
      </c>
    </row>
    <row r="21" spans="2:60" x14ac:dyDescent="0.25">
      <c r="B21" s="492" t="s">
        <v>327</v>
      </c>
      <c r="C21" s="493"/>
      <c r="D21" s="493"/>
      <c r="E21" s="493"/>
      <c r="F21" s="494"/>
      <c r="H21" s="492" t="s">
        <v>327</v>
      </c>
      <c r="I21" s="493"/>
      <c r="J21" s="493"/>
      <c r="K21" s="493"/>
      <c r="L21" s="494"/>
      <c r="N21" s="105" t="s">
        <v>52</v>
      </c>
      <c r="O21" s="229">
        <v>154094216.99000001</v>
      </c>
      <c r="P21" s="229">
        <v>49407016.549839556</v>
      </c>
      <c r="Q21" s="229">
        <f>O21-P21</f>
        <v>104687200.44016045</v>
      </c>
      <c r="R21" s="230">
        <f t="shared" si="0"/>
        <v>3.1188731429382455</v>
      </c>
      <c r="T21" s="105" t="s">
        <v>52</v>
      </c>
      <c r="U21" s="229">
        <v>225986570.96000001</v>
      </c>
      <c r="V21" s="229">
        <v>49661497.800664917</v>
      </c>
      <c r="W21" s="229">
        <f>U21-V21</f>
        <v>176325073.15933508</v>
      </c>
      <c r="X21" s="230">
        <f t="shared" si="1"/>
        <v>4.5505387668145261</v>
      </c>
      <c r="Y21" s="265"/>
      <c r="Z21" s="105" t="s">
        <v>52</v>
      </c>
      <c r="AA21" s="229">
        <v>159557253.28</v>
      </c>
      <c r="AB21" s="229">
        <v>51044096.417399488</v>
      </c>
      <c r="AC21" s="229">
        <f>AA21-AB21</f>
        <v>108513156.86260051</v>
      </c>
      <c r="AD21" s="230">
        <f t="shared" si="2"/>
        <v>3.1258708543934857</v>
      </c>
      <c r="AF21" s="105" t="s">
        <v>52</v>
      </c>
      <c r="AG21" s="229">
        <v>164465734.79719052</v>
      </c>
      <c r="AH21" s="229">
        <v>85268517.221081287</v>
      </c>
      <c r="AI21" s="229">
        <f>AG21-AH21</f>
        <v>79197217.576109231</v>
      </c>
      <c r="AJ21" s="230">
        <f t="shared" si="3"/>
        <v>1.9287978747275434</v>
      </c>
      <c r="AL21" s="105" t="s">
        <v>48</v>
      </c>
      <c r="AM21" s="229">
        <v>9734448.0674892962</v>
      </c>
      <c r="AN21" s="229">
        <v>5219776.4090909092</v>
      </c>
      <c r="AO21" s="229">
        <f t="shared" si="12"/>
        <v>4514671.658398387</v>
      </c>
      <c r="AP21" s="230">
        <f t="shared" si="4"/>
        <v>1.8649166754605635</v>
      </c>
      <c r="AR21" s="105" t="s">
        <v>48</v>
      </c>
      <c r="AS21" s="229">
        <v>11608464.254716717</v>
      </c>
      <c r="AT21" s="229">
        <v>6004044.345676275</v>
      </c>
      <c r="AU21" s="229">
        <f t="shared" si="13"/>
        <v>5604419.9090404417</v>
      </c>
      <c r="AV21" s="230">
        <f t="shared" si="5"/>
        <v>1.933440791968231</v>
      </c>
      <c r="AX21" s="105" t="s">
        <v>48</v>
      </c>
      <c r="AY21" s="229">
        <v>13162696.975528659</v>
      </c>
      <c r="AZ21" s="229">
        <v>6570572.2084257212</v>
      </c>
      <c r="BA21" s="229">
        <f t="shared" si="14"/>
        <v>6592124.7671029381</v>
      </c>
      <c r="BB21" s="230">
        <f t="shared" si="6"/>
        <v>2.0032801646483054</v>
      </c>
      <c r="BD21" s="105" t="s">
        <v>48</v>
      </c>
      <c r="BE21" s="229">
        <v>14167073.246289888</v>
      </c>
      <c r="BF21" s="229">
        <v>6910367.1831485592</v>
      </c>
      <c r="BG21" s="229">
        <f t="shared" si="15"/>
        <v>7256706.0631413292</v>
      </c>
      <c r="BH21" s="230">
        <f t="shared" si="7"/>
        <v>2.0501187376609078</v>
      </c>
    </row>
    <row r="22" spans="2:60" x14ac:dyDescent="0.25">
      <c r="B22" s="106" t="s">
        <v>267</v>
      </c>
      <c r="C22" s="224">
        <f>SUM(C23,C26)</f>
        <v>153109215.49821359</v>
      </c>
      <c r="D22" s="224">
        <f>SUM(D23,D26)</f>
        <v>85105994.930000082</v>
      </c>
      <c r="E22" s="224">
        <f t="shared" ref="E22:E38" si="16">C22-D22</f>
        <v>68003220.568213508</v>
      </c>
      <c r="F22" s="243">
        <f t="shared" ref="F22:F38" si="17">IFERROR(C22/D22,0)</f>
        <v>1.7990414849640892</v>
      </c>
      <c r="H22" s="106" t="s">
        <v>267</v>
      </c>
      <c r="I22" s="224">
        <f>SUM(I23,I26)</f>
        <v>112717495.50087076</v>
      </c>
      <c r="J22" s="224">
        <f>SUM(J23,J26)</f>
        <v>65531740.199999928</v>
      </c>
      <c r="K22" s="224">
        <f t="shared" ref="K22:K38" si="18">I22-J22</f>
        <v>47185755.300870836</v>
      </c>
      <c r="L22" s="243">
        <f t="shared" ref="L22:L38" si="19">IFERROR(I22/J22,0)</f>
        <v>1.7200442893300565</v>
      </c>
      <c r="N22" s="105" t="s">
        <v>85</v>
      </c>
      <c r="O22" s="229"/>
      <c r="P22" s="229">
        <v>3651724.5500000101</v>
      </c>
      <c r="Q22" s="229">
        <f>O22-P22</f>
        <v>-3651724.5500000101</v>
      </c>
      <c r="R22" s="244">
        <f t="shared" si="0"/>
        <v>0</v>
      </c>
      <c r="T22" s="105" t="s">
        <v>85</v>
      </c>
      <c r="U22" s="229"/>
      <c r="V22" s="229">
        <v>3717549.1000000047</v>
      </c>
      <c r="W22" s="229">
        <f>U22-V22</f>
        <v>-3717549.1000000047</v>
      </c>
      <c r="X22" s="244">
        <f t="shared" si="1"/>
        <v>0</v>
      </c>
      <c r="Z22" s="105" t="s">
        <v>85</v>
      </c>
      <c r="AA22" s="229"/>
      <c r="AB22" s="229">
        <v>3808854.9400000051</v>
      </c>
      <c r="AC22" s="229">
        <f>AA22-AB22</f>
        <v>-3808854.9400000051</v>
      </c>
      <c r="AD22" s="244">
        <f t="shared" si="2"/>
        <v>0</v>
      </c>
      <c r="AF22" s="105" t="s">
        <v>85</v>
      </c>
      <c r="AG22" s="229">
        <v>0</v>
      </c>
      <c r="AH22" s="229">
        <v>4011694</v>
      </c>
      <c r="AI22" s="229">
        <f>AG22-AH22</f>
        <v>-4011694</v>
      </c>
      <c r="AJ22" s="244">
        <f t="shared" si="3"/>
        <v>0</v>
      </c>
      <c r="AL22" s="105" t="s">
        <v>49</v>
      </c>
      <c r="AM22" s="229">
        <v>287138.21302399482</v>
      </c>
      <c r="AN22" s="229">
        <v>375147.61376882985</v>
      </c>
      <c r="AO22" s="229">
        <f t="shared" si="12"/>
        <v>-88009.400744835031</v>
      </c>
      <c r="AP22" s="230">
        <f t="shared" si="4"/>
        <v>0.7654006116134664</v>
      </c>
      <c r="AR22" s="105" t="s">
        <v>49</v>
      </c>
      <c r="AS22" s="229">
        <v>458584.00003833271</v>
      </c>
      <c r="AT22" s="229">
        <v>422524.79205843748</v>
      </c>
      <c r="AU22" s="229">
        <f t="shared" si="13"/>
        <v>36059.207979895233</v>
      </c>
      <c r="AV22" s="230">
        <f t="shared" si="5"/>
        <v>1.0853422299889754</v>
      </c>
      <c r="AX22" s="105" t="s">
        <v>49</v>
      </c>
      <c r="AY22" s="229">
        <v>509841.56191915635</v>
      </c>
      <c r="AZ22" s="229">
        <v>420508.62377791316</v>
      </c>
      <c r="BA22" s="229">
        <f t="shared" si="14"/>
        <v>89332.938141243183</v>
      </c>
      <c r="BB22" s="230">
        <f t="shared" si="6"/>
        <v>1.2124402047659868</v>
      </c>
      <c r="BD22" s="105" t="s">
        <v>49</v>
      </c>
      <c r="BE22" s="229">
        <v>580779.75107387302</v>
      </c>
      <c r="BF22" s="229">
        <v>429298.98615570448</v>
      </c>
      <c r="BG22" s="229">
        <f t="shared" si="15"/>
        <v>151480.76491816854</v>
      </c>
      <c r="BH22" s="230">
        <f t="shared" si="7"/>
        <v>1.3528560975059636</v>
      </c>
    </row>
    <row r="23" spans="2:60" x14ac:dyDescent="0.25">
      <c r="B23" s="248" t="s">
        <v>260</v>
      </c>
      <c r="C23" s="272">
        <f>SUM(C24:C25)</f>
        <v>41152520.95909813</v>
      </c>
      <c r="D23" s="272">
        <f>SUM(D24:D25)</f>
        <v>26189683.770000029</v>
      </c>
      <c r="E23" s="273">
        <f t="shared" si="16"/>
        <v>14962837.189098101</v>
      </c>
      <c r="F23" s="274">
        <f t="shared" si="17"/>
        <v>1.5713256150972641</v>
      </c>
      <c r="H23" s="248" t="s">
        <v>260</v>
      </c>
      <c r="I23" s="272">
        <f>SUM(I24:I25)</f>
        <v>42251944.391655505</v>
      </c>
      <c r="J23" s="272">
        <f>SUM(J24:J25)</f>
        <v>28862987.259999897</v>
      </c>
      <c r="K23" s="273">
        <f t="shared" si="18"/>
        <v>13388957.131655607</v>
      </c>
      <c r="L23" s="274">
        <f t="shared" si="19"/>
        <v>1.4638798129606927</v>
      </c>
      <c r="N23" s="106" t="s">
        <v>5</v>
      </c>
      <c r="O23" s="224">
        <f>SUM(O24:O25)</f>
        <v>13485377.007896464</v>
      </c>
      <c r="P23" s="224">
        <f>SUM(P24:P25)</f>
        <v>4116464.6394885788</v>
      </c>
      <c r="Q23" s="224">
        <f>SUM(Q24:Q25)</f>
        <v>9368912.3684078865</v>
      </c>
      <c r="R23" s="252">
        <f t="shared" si="0"/>
        <v>3.2759608520703485</v>
      </c>
      <c r="T23" s="106" t="s">
        <v>5</v>
      </c>
      <c r="U23" s="224">
        <f>SUM(U24:U25)</f>
        <v>5666764.5599999996</v>
      </c>
      <c r="V23" s="224">
        <f>SUM(V24:V25)</f>
        <v>2202755.2796423766</v>
      </c>
      <c r="W23" s="224">
        <f>SUM(W24:W25)</f>
        <v>3464009.280357623</v>
      </c>
      <c r="X23" s="252">
        <f t="shared" si="1"/>
        <v>2.5725801737358744</v>
      </c>
      <c r="Z23" s="106" t="s">
        <v>5</v>
      </c>
      <c r="AA23" s="224">
        <f>SUM(AA24:AA25)</f>
        <v>7450848.3099999996</v>
      </c>
      <c r="AB23" s="224">
        <f>SUM(AB24:AB25)</f>
        <v>1373274.0420480007</v>
      </c>
      <c r="AC23" s="224">
        <f>SUM(AC24:AC25)</f>
        <v>6077574.2679519989</v>
      </c>
      <c r="AD23" s="252">
        <f t="shared" si="2"/>
        <v>5.4256092242800626</v>
      </c>
      <c r="AF23" s="106" t="s">
        <v>5</v>
      </c>
      <c r="AG23" s="224">
        <f>SUM(AG24:AG25)</f>
        <v>12604816.770832272</v>
      </c>
      <c r="AH23" s="224">
        <f>SUM(AH24:AH25)</f>
        <v>2026784.6667893326</v>
      </c>
      <c r="AI23" s="224">
        <f>SUM(AI24:AI25)</f>
        <v>10578032.10404294</v>
      </c>
      <c r="AJ23" s="252">
        <f t="shared" si="3"/>
        <v>6.2191198588450929</v>
      </c>
      <c r="AL23" s="105" t="s">
        <v>50</v>
      </c>
      <c r="AM23" s="229">
        <v>167890.05115382961</v>
      </c>
      <c r="AN23" s="229">
        <v>395911.82946425863</v>
      </c>
      <c r="AO23" s="229">
        <f t="shared" si="12"/>
        <v>-228021.77831042901</v>
      </c>
      <c r="AP23" s="230">
        <f t="shared" si="4"/>
        <v>0.42405919363666317</v>
      </c>
      <c r="AR23" s="105" t="s">
        <v>50</v>
      </c>
      <c r="AS23" s="229">
        <v>253262.80288185558</v>
      </c>
      <c r="AT23" s="229">
        <v>539973.60702576942</v>
      </c>
      <c r="AU23" s="229">
        <f t="shared" si="13"/>
        <v>-286710.80414391385</v>
      </c>
      <c r="AV23" s="230">
        <f t="shared" si="5"/>
        <v>0.46902811468296263</v>
      </c>
      <c r="AX23" s="105" t="s">
        <v>50</v>
      </c>
      <c r="AY23" s="229">
        <v>523636.62130118447</v>
      </c>
      <c r="AZ23" s="229">
        <v>986147.39946362819</v>
      </c>
      <c r="BA23" s="229">
        <f t="shared" si="14"/>
        <v>-462510.77816244372</v>
      </c>
      <c r="BB23" s="230">
        <f t="shared" si="6"/>
        <v>0.53099224475569651</v>
      </c>
      <c r="BD23" s="105" t="s">
        <v>50</v>
      </c>
      <c r="BE23" s="229">
        <v>949171.0575556173</v>
      </c>
      <c r="BF23" s="229">
        <v>1635757.3757870691</v>
      </c>
      <c r="BG23" s="229">
        <f t="shared" si="15"/>
        <v>-686586.31823145179</v>
      </c>
      <c r="BH23" s="230">
        <f t="shared" si="7"/>
        <v>0.58026396310694273</v>
      </c>
    </row>
    <row r="24" spans="2:60" x14ac:dyDescent="0.25">
      <c r="B24" s="105" t="s">
        <v>145</v>
      </c>
      <c r="C24" s="229">
        <v>30486682.57935708</v>
      </c>
      <c r="D24" s="229">
        <v>22538219.250290588</v>
      </c>
      <c r="E24" s="229">
        <f t="shared" si="16"/>
        <v>7948463.3290664926</v>
      </c>
      <c r="F24" s="230">
        <f t="shared" si="17"/>
        <v>1.3526659866424013</v>
      </c>
      <c r="H24" s="105" t="s">
        <v>145</v>
      </c>
      <c r="I24" s="229">
        <v>29267157.114400819</v>
      </c>
      <c r="J24" s="229">
        <v>24176632.322525501</v>
      </c>
      <c r="K24" s="229">
        <f t="shared" si="18"/>
        <v>5090524.7918753177</v>
      </c>
      <c r="L24" s="230">
        <f t="shared" si="19"/>
        <v>1.2105555779632902</v>
      </c>
      <c r="N24" s="105" t="s">
        <v>56</v>
      </c>
      <c r="O24" s="229">
        <v>13485377.007896464</v>
      </c>
      <c r="P24" s="229">
        <v>3924597.1894885786</v>
      </c>
      <c r="Q24" s="229">
        <f>O24-P24</f>
        <v>9560779.8184078857</v>
      </c>
      <c r="R24" s="230">
        <f t="shared" si="0"/>
        <v>3.4361174807990342</v>
      </c>
      <c r="T24" s="105" t="s">
        <v>56</v>
      </c>
      <c r="U24" s="229">
        <v>5666764.5599999996</v>
      </c>
      <c r="V24" s="229">
        <v>1972514.7196423765</v>
      </c>
      <c r="W24" s="229">
        <f>U24-V24</f>
        <v>3694249.8403576231</v>
      </c>
      <c r="X24" s="230">
        <f t="shared" si="1"/>
        <v>2.8728630025267456</v>
      </c>
      <c r="Y24" s="265"/>
      <c r="Z24" s="105" t="s">
        <v>56</v>
      </c>
      <c r="AA24" s="229">
        <v>7450848.3099999996</v>
      </c>
      <c r="AB24" s="229">
        <v>1120028.8020480007</v>
      </c>
      <c r="AC24" s="229">
        <f>AA24-AB24</f>
        <v>6330819.5079519991</v>
      </c>
      <c r="AD24" s="230">
        <f t="shared" si="2"/>
        <v>6.6523720607683812</v>
      </c>
      <c r="AF24" s="105" t="s">
        <v>57</v>
      </c>
      <c r="AG24" s="229">
        <v>12604816.770832272</v>
      </c>
      <c r="AH24" s="229">
        <v>1785468.6667893326</v>
      </c>
      <c r="AI24" s="229">
        <f>AG24-AH24</f>
        <v>10819348.10404294</v>
      </c>
      <c r="AJ24" s="230">
        <f t="shared" si="3"/>
        <v>7.0596684250407593</v>
      </c>
      <c r="AL24" s="105" t="s">
        <v>85</v>
      </c>
      <c r="AM24" s="229">
        <v>0</v>
      </c>
      <c r="AN24" s="229">
        <v>6007149</v>
      </c>
      <c r="AO24" s="229">
        <f t="shared" si="12"/>
        <v>-6007149</v>
      </c>
      <c r="AP24" s="244">
        <f t="shared" si="4"/>
        <v>0</v>
      </c>
      <c r="AR24" s="105" t="s">
        <v>85</v>
      </c>
      <c r="AS24" s="229">
        <v>0</v>
      </c>
      <c r="AT24" s="229">
        <v>6110471</v>
      </c>
      <c r="AU24" s="229">
        <f t="shared" si="13"/>
        <v>-6110471</v>
      </c>
      <c r="AV24" s="244">
        <f t="shared" si="5"/>
        <v>0</v>
      </c>
      <c r="AX24" s="105" t="s">
        <v>85</v>
      </c>
      <c r="AY24" s="229">
        <v>0</v>
      </c>
      <c r="AZ24" s="229">
        <v>6215572</v>
      </c>
      <c r="BA24" s="229">
        <f t="shared" si="14"/>
        <v>-6215572</v>
      </c>
      <c r="BB24" s="244">
        <f t="shared" si="6"/>
        <v>0</v>
      </c>
      <c r="BD24" s="105" t="s">
        <v>85</v>
      </c>
      <c r="BE24" s="229">
        <v>0</v>
      </c>
      <c r="BF24" s="229">
        <v>6322480</v>
      </c>
      <c r="BG24" s="229">
        <f t="shared" si="15"/>
        <v>-6322480</v>
      </c>
      <c r="BH24" s="244">
        <f t="shared" si="7"/>
        <v>0</v>
      </c>
    </row>
    <row r="25" spans="2:60" x14ac:dyDescent="0.25">
      <c r="B25" s="105" t="s">
        <v>147</v>
      </c>
      <c r="C25" s="229">
        <v>10665838.37974105</v>
      </c>
      <c r="D25" s="229">
        <v>3651464.5197094427</v>
      </c>
      <c r="E25" s="229">
        <f t="shared" si="16"/>
        <v>7014373.8600316076</v>
      </c>
      <c r="F25" s="230">
        <f t="shared" si="17"/>
        <v>2.9209754941257819</v>
      </c>
      <c r="H25" s="105" t="s">
        <v>147</v>
      </c>
      <c r="I25" s="229">
        <v>12984787.277254682</v>
      </c>
      <c r="J25" s="229">
        <v>4686354.9374743951</v>
      </c>
      <c r="K25" s="229">
        <f t="shared" si="18"/>
        <v>8298432.3397802869</v>
      </c>
      <c r="L25" s="230">
        <f t="shared" si="19"/>
        <v>2.770764794920237</v>
      </c>
      <c r="N25" s="105" t="s">
        <v>85</v>
      </c>
      <c r="O25" s="229"/>
      <c r="P25" s="229">
        <v>191867.45000000004</v>
      </c>
      <c r="Q25" s="229">
        <f>O25-P25</f>
        <v>-191867.45000000004</v>
      </c>
      <c r="R25" s="244">
        <f t="shared" si="0"/>
        <v>0</v>
      </c>
      <c r="T25" s="105" t="s">
        <v>85</v>
      </c>
      <c r="U25" s="229"/>
      <c r="V25" s="229">
        <v>230240.56000000017</v>
      </c>
      <c r="W25" s="229">
        <f>U25-V25</f>
        <v>-230240.56000000017</v>
      </c>
      <c r="X25" s="244">
        <f t="shared" si="1"/>
        <v>0</v>
      </c>
      <c r="Z25" s="105" t="s">
        <v>85</v>
      </c>
      <c r="AA25" s="229"/>
      <c r="AB25" s="229">
        <v>253245.23999999996</v>
      </c>
      <c r="AC25" s="229">
        <f>AA25-AB25</f>
        <v>-253245.23999999996</v>
      </c>
      <c r="AD25" s="244">
        <f t="shared" si="2"/>
        <v>0</v>
      </c>
      <c r="AF25" s="105" t="s">
        <v>85</v>
      </c>
      <c r="AG25" s="229">
        <v>0</v>
      </c>
      <c r="AH25" s="229">
        <v>241316</v>
      </c>
      <c r="AI25" s="229">
        <f>AG25-AH25</f>
        <v>-241316</v>
      </c>
      <c r="AJ25" s="244">
        <f t="shared" si="3"/>
        <v>0</v>
      </c>
      <c r="AL25" s="106" t="s">
        <v>4</v>
      </c>
      <c r="AM25" s="224">
        <f>SUM(AM26:AM27)</f>
        <v>206982533.34288839</v>
      </c>
      <c r="AN25" s="224">
        <f>SUM(AN26:AN27)</f>
        <v>53125543.655199915</v>
      </c>
      <c r="AO25" s="224">
        <f t="shared" si="12"/>
        <v>153856989.68768847</v>
      </c>
      <c r="AP25" s="243">
        <f t="shared" si="4"/>
        <v>3.8961019333047142</v>
      </c>
      <c r="AR25" s="106" t="s">
        <v>4</v>
      </c>
      <c r="AS25" s="224">
        <f>SUM(AS26:AS27)</f>
        <v>232236944.71772915</v>
      </c>
      <c r="AT25" s="224">
        <f>SUM(AT26:AT27)</f>
        <v>55733737.187199913</v>
      </c>
      <c r="AU25" s="224">
        <f t="shared" si="13"/>
        <v>176503207.53052923</v>
      </c>
      <c r="AV25" s="243">
        <f t="shared" si="5"/>
        <v>4.1669006321554525</v>
      </c>
      <c r="AX25" s="106" t="s">
        <v>4</v>
      </c>
      <c r="AY25" s="224">
        <f>SUM(AY26:AY27)</f>
        <v>250890019.94819432</v>
      </c>
      <c r="AZ25" s="224">
        <f>SUM(AZ26:AZ27)</f>
        <v>57594932.35119991</v>
      </c>
      <c r="BA25" s="224">
        <f t="shared" si="14"/>
        <v>193295087.5969944</v>
      </c>
      <c r="BB25" s="243">
        <f t="shared" si="6"/>
        <v>4.3561127638509571</v>
      </c>
      <c r="BD25" s="106" t="s">
        <v>4</v>
      </c>
      <c r="BE25" s="224">
        <f>SUM(BE26:BE27)</f>
        <v>270245186.33537608</v>
      </c>
      <c r="BF25" s="224">
        <f>SUM(BF26:BF27)</f>
        <v>59551621.811199911</v>
      </c>
      <c r="BG25" s="224">
        <f t="shared" si="15"/>
        <v>210693564.52417618</v>
      </c>
      <c r="BH25" s="243">
        <f t="shared" si="7"/>
        <v>4.5379987667195811</v>
      </c>
    </row>
    <row r="26" spans="2:60" x14ac:dyDescent="0.25">
      <c r="B26" s="234" t="s">
        <v>261</v>
      </c>
      <c r="C26" s="268">
        <f>SUM(C27:C29)</f>
        <v>111956694.53911546</v>
      </c>
      <c r="D26" s="268">
        <f>SUM(D27:D29)</f>
        <v>58916311.160000049</v>
      </c>
      <c r="E26" s="268">
        <f t="shared" si="16"/>
        <v>53040383.37911541</v>
      </c>
      <c r="F26" s="270">
        <f t="shared" si="17"/>
        <v>1.9002665362920079</v>
      </c>
      <c r="H26" s="234" t="s">
        <v>261</v>
      </c>
      <c r="I26" s="268">
        <f>SUM(I27:I29)</f>
        <v>70465551.10921526</v>
      </c>
      <c r="J26" s="268">
        <f>SUM(J27:J29)</f>
        <v>36668752.940000027</v>
      </c>
      <c r="K26" s="268">
        <f t="shared" si="18"/>
        <v>33796798.169215232</v>
      </c>
      <c r="L26" s="270">
        <f t="shared" si="19"/>
        <v>1.921678417166679</v>
      </c>
      <c r="N26" s="106" t="s">
        <v>111</v>
      </c>
      <c r="O26" s="224">
        <f>SUM(O27:O28)</f>
        <v>0</v>
      </c>
      <c r="P26" s="224">
        <f>SUM(P27:P28)</f>
        <v>800589.14</v>
      </c>
      <c r="Q26" s="224">
        <f>SUM(Q27:Q28)</f>
        <v>-800589.14</v>
      </c>
      <c r="R26" s="252">
        <f t="shared" si="0"/>
        <v>0</v>
      </c>
      <c r="T26" s="106" t="s">
        <v>111</v>
      </c>
      <c r="U26" s="224">
        <f>SUM(U27:U28)</f>
        <v>1258513.49</v>
      </c>
      <c r="V26" s="224">
        <f>SUM(V27:V28)</f>
        <v>752765.32000000007</v>
      </c>
      <c r="W26" s="224">
        <f>SUM(W27:W28)</f>
        <v>505748.16999999993</v>
      </c>
      <c r="X26" s="252">
        <f t="shared" si="1"/>
        <v>1.6718537060129177</v>
      </c>
      <c r="Z26" s="106" t="s">
        <v>111</v>
      </c>
      <c r="AA26" s="224">
        <f>SUM(AA27:AA28)</f>
        <v>921635</v>
      </c>
      <c r="AB26" s="224">
        <f>SUM(AB27:AB28)</f>
        <v>802544.19</v>
      </c>
      <c r="AC26" s="224">
        <f>SUM(AC27:AC28)</f>
        <v>119090.81000000008</v>
      </c>
      <c r="AD26" s="252">
        <f t="shared" si="2"/>
        <v>1.1483915919944545</v>
      </c>
      <c r="AF26" s="106" t="s">
        <v>111</v>
      </c>
      <c r="AG26" s="224">
        <f>SUM(AG27:AG28)</f>
        <v>315918.14340431406</v>
      </c>
      <c r="AH26" s="224">
        <f>SUM(AH27:AH28)</f>
        <v>568026</v>
      </c>
      <c r="AI26" s="224">
        <f>SUM(AI27:AI28)</f>
        <v>-252107.85659568594</v>
      </c>
      <c r="AJ26" s="252">
        <f t="shared" si="3"/>
        <v>0.55616845602897413</v>
      </c>
      <c r="AL26" s="105" t="s">
        <v>52</v>
      </c>
      <c r="AM26" s="229">
        <v>206982533.34288839</v>
      </c>
      <c r="AN26" s="229">
        <v>47831381.655199915</v>
      </c>
      <c r="AO26" s="229">
        <f t="shared" si="12"/>
        <v>159151151.68768847</v>
      </c>
      <c r="AP26" s="230">
        <f t="shared" si="4"/>
        <v>4.3273375382495685</v>
      </c>
      <c r="AR26" s="105" t="s">
        <v>52</v>
      </c>
      <c r="AS26" s="229">
        <v>232236944.71772915</v>
      </c>
      <c r="AT26" s="229">
        <v>50348515.187199913</v>
      </c>
      <c r="AU26" s="229">
        <f t="shared" si="13"/>
        <v>181888429.53052923</v>
      </c>
      <c r="AV26" s="230">
        <f t="shared" si="5"/>
        <v>4.6125877566449205</v>
      </c>
      <c r="AX26" s="105" t="s">
        <v>52</v>
      </c>
      <c r="AY26" s="229">
        <v>250890019.94819432</v>
      </c>
      <c r="AZ26" s="229">
        <v>52117085.35119991</v>
      </c>
      <c r="BA26" s="229">
        <f t="shared" si="14"/>
        <v>198772934.5969944</v>
      </c>
      <c r="BB26" s="230">
        <f t="shared" si="6"/>
        <v>4.8139687447509569</v>
      </c>
      <c r="BD26" s="105" t="s">
        <v>52</v>
      </c>
      <c r="BE26" s="229">
        <v>270245186.33537608</v>
      </c>
      <c r="BF26" s="229">
        <v>53979554.811199911</v>
      </c>
      <c r="BG26" s="229">
        <f t="shared" si="15"/>
        <v>216265631.52417618</v>
      </c>
      <c r="BH26" s="230">
        <f t="shared" si="7"/>
        <v>5.0064359974918586</v>
      </c>
    </row>
    <row r="27" spans="2:60" x14ac:dyDescent="0.25">
      <c r="B27" s="105" t="s">
        <v>262</v>
      </c>
      <c r="C27" s="229">
        <v>95030655.537056386</v>
      </c>
      <c r="D27" s="229">
        <v>52048253.085902452</v>
      </c>
      <c r="E27" s="229">
        <f t="shared" si="16"/>
        <v>42982402.451153934</v>
      </c>
      <c r="F27" s="230">
        <f t="shared" si="17"/>
        <v>1.8258183493731117</v>
      </c>
      <c r="H27" s="105" t="s">
        <v>262</v>
      </c>
      <c r="I27" s="229">
        <v>56264868.584894665</v>
      </c>
      <c r="J27" s="229">
        <v>30821807.737748031</v>
      </c>
      <c r="K27" s="229">
        <f t="shared" si="18"/>
        <v>25443060.847146634</v>
      </c>
      <c r="L27" s="230">
        <f t="shared" si="19"/>
        <v>1.8254889221175061</v>
      </c>
      <c r="N27" s="105" t="s">
        <v>46</v>
      </c>
      <c r="O27" s="229"/>
      <c r="P27" s="229">
        <v>763161.28</v>
      </c>
      <c r="Q27" s="229">
        <f>O27-P27</f>
        <v>-763161.28</v>
      </c>
      <c r="R27" s="230">
        <f t="shared" si="0"/>
        <v>0</v>
      </c>
      <c r="T27" s="105" t="s">
        <v>46</v>
      </c>
      <c r="U27" s="229">
        <v>1258513.49</v>
      </c>
      <c r="V27" s="229">
        <v>705039.68</v>
      </c>
      <c r="W27" s="229">
        <f>U27-V27</f>
        <v>553473.80999999994</v>
      </c>
      <c r="X27" s="230">
        <f t="shared" si="1"/>
        <v>1.7850250499376148</v>
      </c>
      <c r="Z27" s="105" t="s">
        <v>46</v>
      </c>
      <c r="AA27" s="229">
        <v>921635</v>
      </c>
      <c r="AB27" s="229">
        <v>757784.19</v>
      </c>
      <c r="AC27" s="229">
        <f>AA27-AB27</f>
        <v>163850.81000000006</v>
      </c>
      <c r="AD27" s="230">
        <f t="shared" si="2"/>
        <v>1.2162235794336116</v>
      </c>
      <c r="AF27" s="105" t="s">
        <v>112</v>
      </c>
      <c r="AG27" s="229">
        <v>315918.14340431406</v>
      </c>
      <c r="AH27" s="229">
        <v>522683</v>
      </c>
      <c r="AI27" s="229">
        <f>AG27-AH27</f>
        <v>-206764.85659568594</v>
      </c>
      <c r="AJ27" s="230">
        <f t="shared" si="3"/>
        <v>0.60441633533961137</v>
      </c>
      <c r="AL27" s="105" t="s">
        <v>85</v>
      </c>
      <c r="AM27" s="229">
        <v>0</v>
      </c>
      <c r="AN27" s="229">
        <v>5294162</v>
      </c>
      <c r="AO27" s="229">
        <f t="shared" si="12"/>
        <v>-5294162</v>
      </c>
      <c r="AP27" s="244">
        <f t="shared" si="4"/>
        <v>0</v>
      </c>
      <c r="AR27" s="105" t="s">
        <v>85</v>
      </c>
      <c r="AS27" s="229">
        <v>0</v>
      </c>
      <c r="AT27" s="229">
        <v>5385222</v>
      </c>
      <c r="AU27" s="229">
        <f t="shared" si="13"/>
        <v>-5385222</v>
      </c>
      <c r="AV27" s="244">
        <f t="shared" si="5"/>
        <v>0</v>
      </c>
      <c r="AX27" s="105" t="s">
        <v>85</v>
      </c>
      <c r="AY27" s="229">
        <v>0</v>
      </c>
      <c r="AZ27" s="229">
        <v>5477847</v>
      </c>
      <c r="BA27" s="229">
        <f t="shared" si="14"/>
        <v>-5477847</v>
      </c>
      <c r="BB27" s="244">
        <f t="shared" si="6"/>
        <v>0</v>
      </c>
      <c r="BD27" s="105" t="s">
        <v>85</v>
      </c>
      <c r="BE27" s="229">
        <v>0</v>
      </c>
      <c r="BF27" s="229">
        <v>5572067</v>
      </c>
      <c r="BG27" s="229">
        <f t="shared" si="15"/>
        <v>-5572067</v>
      </c>
      <c r="BH27" s="244">
        <f t="shared" si="7"/>
        <v>0</v>
      </c>
    </row>
    <row r="28" spans="2:60" x14ac:dyDescent="0.25">
      <c r="B28" s="105" t="s">
        <v>263</v>
      </c>
      <c r="C28" s="229">
        <v>6577219.3464410305</v>
      </c>
      <c r="D28" s="229">
        <v>2400682.8151136846</v>
      </c>
      <c r="E28" s="229">
        <f t="shared" si="16"/>
        <v>4176536.5313273459</v>
      </c>
      <c r="F28" s="230">
        <f t="shared" si="17"/>
        <v>2.7397285909798814</v>
      </c>
      <c r="H28" s="105" t="s">
        <v>263</v>
      </c>
      <c r="I28" s="229">
        <v>6985963.9923730846</v>
      </c>
      <c r="J28" s="229">
        <v>2269704.2051004488</v>
      </c>
      <c r="K28" s="229">
        <f t="shared" si="18"/>
        <v>4716259.7872726358</v>
      </c>
      <c r="L28" s="230">
        <f t="shared" si="19"/>
        <v>3.0779182488512467</v>
      </c>
      <c r="N28" s="105" t="s">
        <v>85</v>
      </c>
      <c r="O28" s="229"/>
      <c r="P28" s="229">
        <v>37427.86</v>
      </c>
      <c r="Q28" s="229">
        <f>O28-P28</f>
        <v>-37427.86</v>
      </c>
      <c r="R28" s="244">
        <f t="shared" si="0"/>
        <v>0</v>
      </c>
      <c r="T28" s="105" t="s">
        <v>85</v>
      </c>
      <c r="U28" s="229"/>
      <c r="V28" s="229">
        <v>47725.640000000029</v>
      </c>
      <c r="W28" s="229">
        <f>U28-V28</f>
        <v>-47725.640000000029</v>
      </c>
      <c r="X28" s="244">
        <f t="shared" si="1"/>
        <v>0</v>
      </c>
      <c r="Z28" s="105" t="s">
        <v>85</v>
      </c>
      <c r="AA28" s="229"/>
      <c r="AB28" s="229">
        <v>44759.999999999971</v>
      </c>
      <c r="AC28" s="229">
        <f>AA28-AB28</f>
        <v>-44759.999999999971</v>
      </c>
      <c r="AD28" s="244">
        <f t="shared" si="2"/>
        <v>0</v>
      </c>
      <c r="AF28" s="105" t="s">
        <v>85</v>
      </c>
      <c r="AG28" s="229">
        <v>0</v>
      </c>
      <c r="AH28" s="229">
        <v>45343</v>
      </c>
      <c r="AI28" s="229">
        <f>AG28-AH28</f>
        <v>-45343</v>
      </c>
      <c r="AJ28" s="244">
        <f t="shared" si="3"/>
        <v>0</v>
      </c>
      <c r="AL28" s="106" t="s">
        <v>5</v>
      </c>
      <c r="AM28" s="224">
        <f>SUM(AM29:AM30)</f>
        <v>50051503.187286846</v>
      </c>
      <c r="AN28" s="224">
        <f>SUM(AN29:AN30)</f>
        <v>9173027.5453613047</v>
      </c>
      <c r="AO28" s="224">
        <f t="shared" si="12"/>
        <v>40878475.641925544</v>
      </c>
      <c r="AP28" s="252">
        <f t="shared" si="4"/>
        <v>5.4563777269585678</v>
      </c>
      <c r="AR28" s="106" t="s">
        <v>5</v>
      </c>
      <c r="AS28" s="224">
        <f>SUM(AS29:AS30)</f>
        <v>57982945.300117433</v>
      </c>
      <c r="AT28" s="224">
        <f>SUM(AT29:AT30)</f>
        <v>10105137.542637859</v>
      </c>
      <c r="AU28" s="224">
        <f t="shared" si="13"/>
        <v>47877807.757479578</v>
      </c>
      <c r="AV28" s="252">
        <f t="shared" si="5"/>
        <v>5.7379669554682273</v>
      </c>
      <c r="AX28" s="106" t="s">
        <v>5</v>
      </c>
      <c r="AY28" s="224">
        <f>SUM(AY29:AY30)</f>
        <v>63482386.804961801</v>
      </c>
      <c r="AZ28" s="224">
        <f>SUM(AZ29:AZ30)</f>
        <v>10640079.112510175</v>
      </c>
      <c r="BA28" s="224">
        <f t="shared" si="14"/>
        <v>52842307.692451626</v>
      </c>
      <c r="BB28" s="252">
        <f t="shared" si="6"/>
        <v>5.9663453752258082</v>
      </c>
      <c r="BD28" s="106" t="s">
        <v>5</v>
      </c>
      <c r="BE28" s="224">
        <f>SUM(BE29:BE30)</f>
        <v>66302727.738610707</v>
      </c>
      <c r="BF28" s="224">
        <f>SUM(BF29:BF30)</f>
        <v>10777854.254978254</v>
      </c>
      <c r="BG28" s="224">
        <f t="shared" si="15"/>
        <v>55524873.483632453</v>
      </c>
      <c r="BH28" s="252">
        <f t="shared" si="7"/>
        <v>6.1517558291332159</v>
      </c>
    </row>
    <row r="29" spans="2:60" ht="14.25" x14ac:dyDescent="0.25">
      <c r="B29" s="105" t="s">
        <v>412</v>
      </c>
      <c r="C29" s="229">
        <v>10348819.655618049</v>
      </c>
      <c r="D29" s="229">
        <v>4467375.2589839119</v>
      </c>
      <c r="E29" s="229">
        <f t="shared" si="16"/>
        <v>5881444.3966341373</v>
      </c>
      <c r="F29" s="230">
        <f t="shared" si="17"/>
        <v>2.3165324280306487</v>
      </c>
      <c r="H29" s="105" t="s">
        <v>412</v>
      </c>
      <c r="I29" s="229">
        <v>7214718.5319475122</v>
      </c>
      <c r="J29" s="229">
        <v>3577240.9971515457</v>
      </c>
      <c r="K29" s="229">
        <f t="shared" si="18"/>
        <v>3637477.5347959665</v>
      </c>
      <c r="L29" s="230">
        <f t="shared" si="19"/>
        <v>2.0168388257018148</v>
      </c>
      <c r="N29" s="253" t="s">
        <v>6</v>
      </c>
      <c r="O29" s="246">
        <f>SUM(O5,O10,O14,O20,O23,O26)</f>
        <v>505286224.50789648</v>
      </c>
      <c r="P29" s="246">
        <f>SUM(P5,P10,P14,P20,P23,P26)</f>
        <v>528791308.22800112</v>
      </c>
      <c r="Q29" s="246">
        <f>SUM(Q5,Q10,Q14,Q20,Q23,Q26)</f>
        <v>-23505083.720104683</v>
      </c>
      <c r="R29" s="247">
        <f t="shared" si="0"/>
        <v>0.95554941362619783</v>
      </c>
      <c r="T29" s="253" t="s">
        <v>6</v>
      </c>
      <c r="U29" s="246">
        <f>SUM(U5,U10,U14,U20,U23,U26)</f>
        <v>1031954478.76</v>
      </c>
      <c r="V29" s="246">
        <f>SUM(V5,V10,V14,V20,V23,V26)</f>
        <v>1594727343.3560364</v>
      </c>
      <c r="W29" s="246">
        <f>SUM(W5,W10,W14,W20,W23,W26)</f>
        <v>-562772864.59603667</v>
      </c>
      <c r="X29" s="247">
        <f t="shared" si="1"/>
        <v>0.64710402255240407</v>
      </c>
      <c r="Z29" s="253" t="s">
        <v>6</v>
      </c>
      <c r="AA29" s="246">
        <f>SUM(AA5,AA10,AA14,AA20,AA23,AA26)</f>
        <v>406498542.58999997</v>
      </c>
      <c r="AB29" s="246">
        <f>SUM(AB5,AB10,AB14,AB20,AB23,AB26)</f>
        <v>352308902.92161828</v>
      </c>
      <c r="AC29" s="246">
        <f>SUM(AC5,AC10,AC14,AC20,AC23,AC26)</f>
        <v>54189639.668381661</v>
      </c>
      <c r="AD29" s="247">
        <f t="shared" si="2"/>
        <v>1.1538128591670527</v>
      </c>
      <c r="AF29" s="253" t="s">
        <v>6</v>
      </c>
      <c r="AG29" s="246">
        <f>SUM(AG5,AG10,AG14,AG20,AG23,AG26)</f>
        <v>364374357.22545111</v>
      </c>
      <c r="AH29" s="246">
        <f>SUM(AH5,AH10,AH14,AH20,AH23,AH26)</f>
        <v>287229314.20893246</v>
      </c>
      <c r="AI29" s="246">
        <f>SUM(AI5,AI10,AI14,AI20,AI23,AI26)</f>
        <v>77145043.016518667</v>
      </c>
      <c r="AJ29" s="247">
        <f t="shared" si="3"/>
        <v>1.2685834599751293</v>
      </c>
      <c r="AL29" s="105" t="s">
        <v>487</v>
      </c>
      <c r="AM29" s="229">
        <v>50051503.187286846</v>
      </c>
      <c r="AN29" s="229">
        <v>8897082.5453613047</v>
      </c>
      <c r="AO29" s="229">
        <f t="shared" si="12"/>
        <v>41154420.641925544</v>
      </c>
      <c r="AP29" s="230">
        <f t="shared" si="4"/>
        <v>5.6256084994268525</v>
      </c>
      <c r="AR29" s="105" t="s">
        <v>487</v>
      </c>
      <c r="AS29" s="229">
        <v>57982945.300117433</v>
      </c>
      <c r="AT29" s="229">
        <v>9824446.5426378585</v>
      </c>
      <c r="AU29" s="229">
        <f t="shared" si="13"/>
        <v>48158498.757479578</v>
      </c>
      <c r="AV29" s="230">
        <f t="shared" si="5"/>
        <v>5.9019045040830402</v>
      </c>
      <c r="AX29" s="105" t="s">
        <v>487</v>
      </c>
      <c r="AY29" s="229">
        <v>63482386.804961801</v>
      </c>
      <c r="AZ29" s="229">
        <v>10354560.112510175</v>
      </c>
      <c r="BA29" s="229">
        <f t="shared" si="14"/>
        <v>53127826.692451626</v>
      </c>
      <c r="BB29" s="230">
        <f t="shared" si="6"/>
        <v>6.1308627421326802</v>
      </c>
      <c r="BD29" s="105" t="s">
        <v>487</v>
      </c>
      <c r="BE29" s="229">
        <v>66302727.738610707</v>
      </c>
      <c r="BF29" s="229">
        <v>10487424.254978254</v>
      </c>
      <c r="BG29" s="229">
        <f t="shared" si="15"/>
        <v>55815303.483632453</v>
      </c>
      <c r="BH29" s="230">
        <f t="shared" si="7"/>
        <v>6.3221174357600338</v>
      </c>
    </row>
    <row r="30" spans="2:60" x14ac:dyDescent="0.25">
      <c r="B30" s="106" t="s">
        <v>34</v>
      </c>
      <c r="C30" s="224">
        <f>SUM(C31:C34)</f>
        <v>20188616.551901303</v>
      </c>
      <c r="D30" s="224">
        <f>SUM(D31:D34)</f>
        <v>12534807.580000021</v>
      </c>
      <c r="E30" s="224">
        <f t="shared" si="16"/>
        <v>7653808.9719012827</v>
      </c>
      <c r="F30" s="243">
        <f t="shared" si="17"/>
        <v>1.6106044247630382</v>
      </c>
      <c r="H30" s="106" t="s">
        <v>34</v>
      </c>
      <c r="I30" s="224">
        <f>SUM(I31:I34)</f>
        <v>11261674.188539146</v>
      </c>
      <c r="J30" s="224">
        <f>SUM(J31:J34)</f>
        <v>9030345.8900000136</v>
      </c>
      <c r="K30" s="224">
        <f t="shared" si="18"/>
        <v>2231328.2985391319</v>
      </c>
      <c r="L30" s="243">
        <f t="shared" si="19"/>
        <v>1.2470922294360895</v>
      </c>
      <c r="N30" s="254" t="s">
        <v>114</v>
      </c>
      <c r="O30" s="229"/>
      <c r="P30" s="229">
        <v>4474309.8600000003</v>
      </c>
      <c r="Q30" s="229">
        <f>O30-P30</f>
        <v>-4474309.8600000003</v>
      </c>
      <c r="R30" s="230">
        <f t="shared" si="0"/>
        <v>0</v>
      </c>
      <c r="T30" s="254" t="s">
        <v>114</v>
      </c>
      <c r="U30" s="229"/>
      <c r="V30" s="229">
        <v>5025789.1000000006</v>
      </c>
      <c r="W30" s="229">
        <f>U30-V30</f>
        <v>-5025789.1000000006</v>
      </c>
      <c r="X30" s="230">
        <f t="shared" si="1"/>
        <v>0</v>
      </c>
      <c r="Z30" s="254" t="s">
        <v>114</v>
      </c>
      <c r="AA30" s="229"/>
      <c r="AB30" s="229">
        <v>4831701.9800000004</v>
      </c>
      <c r="AC30" s="229">
        <f>AA30-AB30</f>
        <v>-4831701.9800000004</v>
      </c>
      <c r="AD30" s="230">
        <f t="shared" si="2"/>
        <v>0</v>
      </c>
      <c r="AF30" s="254" t="s">
        <v>114</v>
      </c>
      <c r="AG30" s="229"/>
      <c r="AH30" s="229">
        <v>5467210</v>
      </c>
      <c r="AI30" s="229">
        <f>AG30-AH30</f>
        <v>-5467210</v>
      </c>
      <c r="AJ30" s="230">
        <f t="shared" si="3"/>
        <v>0</v>
      </c>
      <c r="AL30" s="105" t="s">
        <v>85</v>
      </c>
      <c r="AM30" s="229">
        <v>0</v>
      </c>
      <c r="AN30" s="229">
        <v>275945</v>
      </c>
      <c r="AO30" s="229">
        <f t="shared" si="12"/>
        <v>-275945</v>
      </c>
      <c r="AP30" s="244">
        <f t="shared" si="4"/>
        <v>0</v>
      </c>
      <c r="AR30" s="105" t="s">
        <v>85</v>
      </c>
      <c r="AS30" s="229">
        <v>0</v>
      </c>
      <c r="AT30" s="229">
        <v>280691</v>
      </c>
      <c r="AU30" s="229">
        <f t="shared" si="13"/>
        <v>-280691</v>
      </c>
      <c r="AV30" s="244">
        <f t="shared" si="5"/>
        <v>0</v>
      </c>
      <c r="AX30" s="105" t="s">
        <v>85</v>
      </c>
      <c r="AY30" s="229">
        <v>0</v>
      </c>
      <c r="AZ30" s="229">
        <v>285519</v>
      </c>
      <c r="BA30" s="229">
        <f t="shared" si="14"/>
        <v>-285519</v>
      </c>
      <c r="BB30" s="244">
        <f t="shared" si="6"/>
        <v>0</v>
      </c>
      <c r="BD30" s="105" t="s">
        <v>85</v>
      </c>
      <c r="BE30" s="229">
        <v>0</v>
      </c>
      <c r="BF30" s="229">
        <v>290430</v>
      </c>
      <c r="BG30" s="229">
        <f t="shared" si="15"/>
        <v>-290430</v>
      </c>
      <c r="BH30" s="244">
        <f t="shared" si="7"/>
        <v>0</v>
      </c>
    </row>
    <row r="31" spans="2:60" ht="13.5" thickBot="1" x14ac:dyDescent="0.3">
      <c r="B31" s="105" t="s">
        <v>264</v>
      </c>
      <c r="C31" s="229">
        <v>4608982.8180914111</v>
      </c>
      <c r="D31" s="229">
        <v>3952813.45846863</v>
      </c>
      <c r="E31" s="229">
        <f t="shared" si="16"/>
        <v>656169.35962278116</v>
      </c>
      <c r="F31" s="230">
        <f t="shared" si="17"/>
        <v>1.1660005883194371</v>
      </c>
      <c r="H31" s="105" t="s">
        <v>264</v>
      </c>
      <c r="I31" s="229">
        <v>1555926.2594771481</v>
      </c>
      <c r="J31" s="229">
        <v>1305920.1242227976</v>
      </c>
      <c r="K31" s="229">
        <f t="shared" si="18"/>
        <v>250006.13525435049</v>
      </c>
      <c r="L31" s="230">
        <f t="shared" si="19"/>
        <v>1.1914406023899344</v>
      </c>
      <c r="N31" s="6" t="s">
        <v>115</v>
      </c>
      <c r="O31" s="224"/>
      <c r="P31" s="224">
        <v>12089820.400000034</v>
      </c>
      <c r="Q31" s="224">
        <f>O31-P31</f>
        <v>-12089820.400000034</v>
      </c>
      <c r="R31" s="252">
        <f t="shared" si="0"/>
        <v>0</v>
      </c>
      <c r="T31" s="6" t="s">
        <v>115</v>
      </c>
      <c r="U31" s="224"/>
      <c r="V31" s="224">
        <v>14588035.310000002</v>
      </c>
      <c r="W31" s="224">
        <f>U31-V31</f>
        <v>-14588035.310000002</v>
      </c>
      <c r="X31" s="252">
        <f t="shared" si="1"/>
        <v>0</v>
      </c>
      <c r="Z31" s="6" t="s">
        <v>115</v>
      </c>
      <c r="AA31" s="224"/>
      <c r="AB31" s="224">
        <v>13066020.12000002</v>
      </c>
      <c r="AC31" s="224">
        <f>AA31-AB31</f>
        <v>-13066020.12000002</v>
      </c>
      <c r="AD31" s="252">
        <f t="shared" si="2"/>
        <v>0</v>
      </c>
      <c r="AF31" s="6" t="s">
        <v>115</v>
      </c>
      <c r="AG31" s="224"/>
      <c r="AH31" s="224">
        <v>13687653</v>
      </c>
      <c r="AI31" s="224">
        <f>AG31-AH31</f>
        <v>-13687653</v>
      </c>
      <c r="AJ31" s="252">
        <f t="shared" si="3"/>
        <v>0</v>
      </c>
      <c r="AL31" s="253" t="s">
        <v>6</v>
      </c>
      <c r="AM31" s="246">
        <f>SUM(AM5,AM13,AM17,AM25,AM28)</f>
        <v>518678812.10060704</v>
      </c>
      <c r="AN31" s="246">
        <f>SUM(AN5,AN13,AN17,AN25,AN28)</f>
        <v>292691971.93125355</v>
      </c>
      <c r="AO31" s="246">
        <f t="shared" si="12"/>
        <v>225986840.16935349</v>
      </c>
      <c r="AP31" s="247">
        <f t="shared" si="4"/>
        <v>1.7720978429242074</v>
      </c>
      <c r="AR31" s="253" t="s">
        <v>6</v>
      </c>
      <c r="AS31" s="246">
        <f>SUM(AS5,AS13,AS17,AS25,AS28)</f>
        <v>586097343.74623847</v>
      </c>
      <c r="AT31" s="246">
        <f>SUM(AT5,AT13,AT17,AT25,AT28)</f>
        <v>312522059.63249493</v>
      </c>
      <c r="AU31" s="246">
        <f t="shared" si="13"/>
        <v>273575284.11374354</v>
      </c>
      <c r="AV31" s="247">
        <f t="shared" si="5"/>
        <v>1.8753791154309229</v>
      </c>
      <c r="AX31" s="253" t="s">
        <v>6</v>
      </c>
      <c r="AY31" s="246">
        <f>SUM(AY5,AY13,AY17,AY25,AY28)</f>
        <v>637730758.12940633</v>
      </c>
      <c r="AZ31" s="246">
        <f>SUM(AZ5,AZ13,AZ17,AZ25,AZ28)</f>
        <v>328101947.36432409</v>
      </c>
      <c r="BA31" s="246">
        <f t="shared" si="14"/>
        <v>309628810.76508224</v>
      </c>
      <c r="BB31" s="247">
        <f t="shared" si="6"/>
        <v>1.9436969614242208</v>
      </c>
      <c r="BD31" s="253" t="s">
        <v>6</v>
      </c>
      <c r="BE31" s="246">
        <f>SUM(BE5,BE13,BE17,BE25,BE28)</f>
        <v>682506770.94762635</v>
      </c>
      <c r="BF31" s="246">
        <f>SUM(BF5,BF13,BF17,BF25,BF28)</f>
        <v>342176263.74651361</v>
      </c>
      <c r="BG31" s="246">
        <f t="shared" si="15"/>
        <v>340330507.20111275</v>
      </c>
      <c r="BH31" s="247">
        <f t="shared" si="7"/>
        <v>1.9946058311433075</v>
      </c>
    </row>
    <row r="32" spans="2:60" ht="14.25" thickTop="1" thickBot="1" x14ac:dyDescent="0.3">
      <c r="B32" s="105" t="s">
        <v>265</v>
      </c>
      <c r="C32" s="229">
        <v>0</v>
      </c>
      <c r="D32" s="229">
        <v>0</v>
      </c>
      <c r="E32" s="229">
        <f t="shared" si="16"/>
        <v>0</v>
      </c>
      <c r="F32" s="230">
        <f t="shared" si="17"/>
        <v>0</v>
      </c>
      <c r="H32" s="105" t="s">
        <v>265</v>
      </c>
      <c r="I32" s="229">
        <v>0</v>
      </c>
      <c r="J32" s="229">
        <v>0</v>
      </c>
      <c r="K32" s="229">
        <f t="shared" si="18"/>
        <v>0</v>
      </c>
      <c r="L32" s="230">
        <f t="shared" si="19"/>
        <v>0</v>
      </c>
      <c r="N32" s="7" t="s">
        <v>274</v>
      </c>
      <c r="O32" s="255">
        <f>SUM(O31,O29,O30)</f>
        <v>505286224.50789648</v>
      </c>
      <c r="P32" s="255">
        <f>SUM(P31,P29,P30)</f>
        <v>545355438.48800111</v>
      </c>
      <c r="Q32" s="255">
        <f>SUM(Q31,Q29,Q30)</f>
        <v>-40069213.980104715</v>
      </c>
      <c r="R32" s="256">
        <f>IFERROR(O32/P32,0)</f>
        <v>0.92652642450729639</v>
      </c>
      <c r="T32" s="7" t="s">
        <v>274</v>
      </c>
      <c r="U32" s="255">
        <f>SUM(U31,U29,U30)</f>
        <v>1031954478.76</v>
      </c>
      <c r="V32" s="255">
        <f>SUM(V31,V29,V30)</f>
        <v>1614341167.7660363</v>
      </c>
      <c r="W32" s="255">
        <f>SUM(W31,W29,W30)</f>
        <v>-582386689.00603664</v>
      </c>
      <c r="X32" s="256">
        <f t="shared" si="1"/>
        <v>0.63924187734618898</v>
      </c>
      <c r="Z32" s="7" t="s">
        <v>274</v>
      </c>
      <c r="AA32" s="255">
        <f>SUM(AA31,AA29,AA30)</f>
        <v>406498542.58999997</v>
      </c>
      <c r="AB32" s="255">
        <f>SUM(AB31,AB29,AB30)</f>
        <v>370206625.02161831</v>
      </c>
      <c r="AC32" s="255">
        <f>SUM(AC31,AC29,AC30)</f>
        <v>36291917.568381637</v>
      </c>
      <c r="AD32" s="256">
        <f t="shared" si="2"/>
        <v>1.098031518388582</v>
      </c>
      <c r="AF32" s="7" t="s">
        <v>274</v>
      </c>
      <c r="AG32" s="255">
        <f>SUM(AG31,AG29,AG30)</f>
        <v>364374357.22545111</v>
      </c>
      <c r="AH32" s="255">
        <f>SUM(AH31,AH29,AH30)</f>
        <v>306384177.20893246</v>
      </c>
      <c r="AI32" s="255">
        <f>SUM(AI31,AI29,AI30)</f>
        <v>57990180.016518667</v>
      </c>
      <c r="AJ32" s="256">
        <f t="shared" si="3"/>
        <v>1.1892727638378449</v>
      </c>
      <c r="AL32" s="6" t="s">
        <v>115</v>
      </c>
      <c r="AM32" s="224">
        <v>0</v>
      </c>
      <c r="AN32" s="224">
        <v>17637852</v>
      </c>
      <c r="AO32" s="224">
        <f t="shared" si="12"/>
        <v>-17637852</v>
      </c>
      <c r="AP32" s="243">
        <f t="shared" si="4"/>
        <v>0</v>
      </c>
      <c r="AR32" s="6" t="s">
        <v>115</v>
      </c>
      <c r="AS32" s="224">
        <v>0</v>
      </c>
      <c r="AT32" s="224">
        <v>17737784</v>
      </c>
      <c r="AU32" s="224">
        <f t="shared" si="13"/>
        <v>-17737784</v>
      </c>
      <c r="AV32" s="243">
        <f t="shared" si="5"/>
        <v>0</v>
      </c>
      <c r="AX32" s="6" t="s">
        <v>115</v>
      </c>
      <c r="AY32" s="224">
        <v>0</v>
      </c>
      <c r="AZ32" s="224">
        <v>18042873</v>
      </c>
      <c r="BA32" s="224">
        <f t="shared" si="14"/>
        <v>-18042873</v>
      </c>
      <c r="BB32" s="243">
        <f t="shared" si="6"/>
        <v>0</v>
      </c>
      <c r="BD32" s="6" t="s">
        <v>115</v>
      </c>
      <c r="BE32" s="224">
        <v>0</v>
      </c>
      <c r="BF32" s="224">
        <v>18353209</v>
      </c>
      <c r="BG32" s="224">
        <f t="shared" si="15"/>
        <v>-18353209</v>
      </c>
      <c r="BH32" s="243">
        <f t="shared" si="7"/>
        <v>0</v>
      </c>
    </row>
    <row r="33" spans="1:60" ht="13.5" thickTop="1" x14ac:dyDescent="0.25">
      <c r="B33" s="105" t="s">
        <v>249</v>
      </c>
      <c r="C33" s="229">
        <v>0</v>
      </c>
      <c r="D33" s="229">
        <v>69650</v>
      </c>
      <c r="E33" s="229">
        <f t="shared" si="16"/>
        <v>-69650</v>
      </c>
      <c r="F33" s="230">
        <f t="shared" si="17"/>
        <v>0</v>
      </c>
      <c r="H33" s="105" t="s">
        <v>249</v>
      </c>
      <c r="I33" s="229">
        <v>62695.886789831828</v>
      </c>
      <c r="J33" s="229">
        <v>136359.09447581763</v>
      </c>
      <c r="K33" s="229">
        <f t="shared" si="18"/>
        <v>-73663.207685985806</v>
      </c>
      <c r="L33" s="230">
        <f t="shared" si="19"/>
        <v>0.45978515060431502</v>
      </c>
      <c r="AL33" s="7" t="s">
        <v>274</v>
      </c>
      <c r="AM33" s="255">
        <f>SUM(AM31:AM32)</f>
        <v>518678812.10060704</v>
      </c>
      <c r="AN33" s="255">
        <f t="shared" ref="AN33" si="20">SUM(AN31:AN32)</f>
        <v>310329823.93125355</v>
      </c>
      <c r="AO33" s="255">
        <f t="shared" si="12"/>
        <v>208348988.16935349</v>
      </c>
      <c r="AP33" s="256">
        <f t="shared" si="4"/>
        <v>1.6713791975582355</v>
      </c>
      <c r="AR33" s="7" t="s">
        <v>274</v>
      </c>
      <c r="AS33" s="255">
        <f>SUM(AS31:AS32)</f>
        <v>586097343.74623847</v>
      </c>
      <c r="AT33" s="255">
        <f t="shared" ref="AT33" si="21">SUM(AT31:AT32)</f>
        <v>330259843.63249493</v>
      </c>
      <c r="AU33" s="255">
        <f t="shared" si="13"/>
        <v>255837500.11374354</v>
      </c>
      <c r="AV33" s="256">
        <f t="shared" si="5"/>
        <v>1.774655184535342</v>
      </c>
      <c r="AX33" s="7" t="s">
        <v>274</v>
      </c>
      <c r="AY33" s="255">
        <f>SUM(AY31:AY32)</f>
        <v>637730758.12940633</v>
      </c>
      <c r="AZ33" s="255">
        <f t="shared" ref="AZ33" si="22">SUM(AZ31:AZ32)</f>
        <v>346144820.36432409</v>
      </c>
      <c r="BA33" s="255">
        <f t="shared" si="14"/>
        <v>291585937.76508224</v>
      </c>
      <c r="BB33" s="256">
        <f t="shared" si="6"/>
        <v>1.8423813404406353</v>
      </c>
      <c r="BD33" s="7" t="s">
        <v>274</v>
      </c>
      <c r="BE33" s="255">
        <f>SUM(BE31:BE32)</f>
        <v>682506770.94762635</v>
      </c>
      <c r="BF33" s="255">
        <f t="shared" ref="BF33" si="23">SUM(BF31:BF32)</f>
        <v>360529472.74651361</v>
      </c>
      <c r="BG33" s="255">
        <f t="shared" si="15"/>
        <v>321977298.20111275</v>
      </c>
      <c r="BH33" s="256">
        <f t="shared" si="7"/>
        <v>1.8930678974683806</v>
      </c>
    </row>
    <row r="34" spans="1:60" s="275" customFormat="1" ht="15" customHeight="1" x14ac:dyDescent="0.25">
      <c r="A34" s="15"/>
      <c r="B34" s="105" t="s">
        <v>266</v>
      </c>
      <c r="C34" s="229">
        <v>15579633.733809892</v>
      </c>
      <c r="D34" s="229">
        <v>8512344.1215313897</v>
      </c>
      <c r="E34" s="229">
        <f t="shared" si="16"/>
        <v>7067289.6122785024</v>
      </c>
      <c r="F34" s="230">
        <f t="shared" si="17"/>
        <v>1.8302401208619232</v>
      </c>
      <c r="G34" s="15"/>
      <c r="H34" s="105" t="s">
        <v>266</v>
      </c>
      <c r="I34" s="229">
        <v>9643052.0422721654</v>
      </c>
      <c r="J34" s="229">
        <v>7588066.6713013984</v>
      </c>
      <c r="K34" s="229">
        <f t="shared" si="18"/>
        <v>2054985.370970767</v>
      </c>
      <c r="L34" s="230">
        <f t="shared" si="19"/>
        <v>1.2708180436451444</v>
      </c>
      <c r="M34" s="15"/>
      <c r="N34" s="15"/>
      <c r="O34" s="265"/>
      <c r="P34" s="265"/>
      <c r="Q34" s="265"/>
      <c r="R34" s="15"/>
      <c r="S34" s="15"/>
      <c r="T34" s="15"/>
      <c r="U34" s="15"/>
      <c r="V34" s="15"/>
      <c r="W34" s="15"/>
      <c r="X34" s="15"/>
      <c r="Y34" s="15"/>
      <c r="Z34" s="15"/>
      <c r="AA34" s="15"/>
      <c r="AB34" s="15"/>
      <c r="AC34" s="15"/>
      <c r="AD34" s="15"/>
      <c r="AE34" s="15"/>
      <c r="AK34" s="15"/>
      <c r="AL34" s="487" t="s">
        <v>481</v>
      </c>
      <c r="AM34" s="487"/>
      <c r="AN34" s="487"/>
      <c r="AO34" s="487"/>
      <c r="AP34" s="487"/>
      <c r="AQ34" s="15"/>
      <c r="AR34" s="487" t="s">
        <v>481</v>
      </c>
      <c r="AS34" s="487"/>
      <c r="AT34" s="487"/>
      <c r="AU34" s="487"/>
      <c r="AV34" s="487"/>
      <c r="AW34" s="15"/>
      <c r="AX34" s="487" t="s">
        <v>481</v>
      </c>
      <c r="AY34" s="487"/>
      <c r="AZ34" s="487"/>
      <c r="BA34" s="487"/>
      <c r="BB34" s="487"/>
      <c r="BC34" s="15"/>
      <c r="BD34" s="487" t="s">
        <v>481</v>
      </c>
      <c r="BE34" s="487"/>
      <c r="BF34" s="487"/>
      <c r="BG34" s="487"/>
      <c r="BH34" s="487"/>
    </row>
    <row r="35" spans="1:60" s="275" customFormat="1" ht="24.95" customHeight="1" x14ac:dyDescent="0.25">
      <c r="A35" s="15"/>
      <c r="B35" s="106" t="s">
        <v>5</v>
      </c>
      <c r="C35" s="224">
        <v>19453953.000936352</v>
      </c>
      <c r="D35" s="224">
        <v>3717316.6199999996</v>
      </c>
      <c r="E35" s="224">
        <f t="shared" si="16"/>
        <v>15736636.380936353</v>
      </c>
      <c r="F35" s="252">
        <f t="shared" si="17"/>
        <v>5.2333322634584603</v>
      </c>
      <c r="G35" s="15"/>
      <c r="H35" s="106" t="s">
        <v>5</v>
      </c>
      <c r="I35" s="224">
        <v>12621209.357546337</v>
      </c>
      <c r="J35" s="224">
        <v>3606454.5100000007</v>
      </c>
      <c r="K35" s="224">
        <f t="shared" si="18"/>
        <v>9014754.8475463353</v>
      </c>
      <c r="L35" s="252">
        <f t="shared" si="19"/>
        <v>3.4996169569171509</v>
      </c>
      <c r="M35" s="15"/>
      <c r="N35" s="15"/>
      <c r="O35" s="15"/>
      <c r="P35" s="15"/>
      <c r="Q35" s="15"/>
      <c r="R35" s="15"/>
      <c r="S35" s="15"/>
      <c r="T35" s="15"/>
      <c r="U35" s="15"/>
      <c r="V35" s="15"/>
      <c r="W35" s="15"/>
      <c r="X35" s="15"/>
      <c r="Y35" s="15"/>
      <c r="Z35" s="15"/>
      <c r="AA35" s="15"/>
      <c r="AB35" s="15"/>
      <c r="AC35" s="15"/>
      <c r="AD35" s="15"/>
      <c r="AE35" s="15"/>
      <c r="AK35" s="15"/>
      <c r="AL35" s="488" t="s">
        <v>482</v>
      </c>
      <c r="AM35" s="488"/>
      <c r="AN35" s="488"/>
      <c r="AO35" s="488"/>
      <c r="AP35" s="488"/>
      <c r="AQ35" s="15"/>
      <c r="AR35" s="489" t="s">
        <v>482</v>
      </c>
      <c r="AS35" s="490"/>
      <c r="AT35" s="490"/>
      <c r="AU35" s="490"/>
      <c r="AV35" s="490"/>
      <c r="AW35" s="15"/>
      <c r="AX35" s="489" t="s">
        <v>482</v>
      </c>
      <c r="AY35" s="490"/>
      <c r="AZ35" s="490"/>
      <c r="BA35" s="490"/>
      <c r="BB35" s="490"/>
      <c r="BC35" s="15"/>
      <c r="BD35" s="489" t="s">
        <v>482</v>
      </c>
      <c r="BE35" s="490"/>
      <c r="BF35" s="490"/>
      <c r="BG35" s="490"/>
      <c r="BH35" s="490"/>
    </row>
    <row r="36" spans="1:60" s="275" customFormat="1" ht="24.95" customHeight="1" x14ac:dyDescent="0.25">
      <c r="A36" s="15"/>
      <c r="B36" s="106" t="s">
        <v>273</v>
      </c>
      <c r="C36" s="224">
        <v>999685.37479392998</v>
      </c>
      <c r="D36" s="224">
        <v>151435.78999999998</v>
      </c>
      <c r="E36" s="224">
        <f t="shared" si="16"/>
        <v>848249.58479392994</v>
      </c>
      <c r="F36" s="252">
        <f t="shared" si="17"/>
        <v>6.60138118468514</v>
      </c>
      <c r="G36" s="15"/>
      <c r="H36" s="106" t="s">
        <v>273</v>
      </c>
      <c r="I36" s="224">
        <v>1077149.8490387858</v>
      </c>
      <c r="J36" s="224">
        <v>121845.32</v>
      </c>
      <c r="K36" s="224">
        <f t="shared" si="18"/>
        <v>955304.52903878572</v>
      </c>
      <c r="L36" s="252">
        <f t="shared" si="19"/>
        <v>8.8403054712219209</v>
      </c>
      <c r="M36" s="15"/>
      <c r="N36" s="15"/>
      <c r="O36" s="15"/>
      <c r="P36" s="15"/>
      <c r="Q36" s="15"/>
      <c r="R36" s="15"/>
      <c r="S36" s="15"/>
      <c r="T36" s="15"/>
      <c r="U36" s="15"/>
      <c r="V36" s="15"/>
      <c r="W36" s="15"/>
      <c r="X36" s="15"/>
      <c r="Y36" s="15"/>
      <c r="Z36" s="15"/>
      <c r="AA36" s="15"/>
      <c r="AB36" s="15"/>
      <c r="AC36" s="15"/>
      <c r="AD36" s="15"/>
      <c r="AE36" s="15"/>
      <c r="AK36" s="15"/>
      <c r="AL36" s="488" t="s">
        <v>486</v>
      </c>
      <c r="AM36" s="488"/>
      <c r="AN36" s="488"/>
      <c r="AO36" s="488"/>
      <c r="AP36" s="488"/>
      <c r="AQ36" s="15"/>
      <c r="AR36" s="489" t="s">
        <v>486</v>
      </c>
      <c r="AS36" s="490"/>
      <c r="AT36" s="490"/>
      <c r="AU36" s="490"/>
      <c r="AV36" s="490"/>
      <c r="AW36" s="15"/>
      <c r="AX36" s="489" t="s">
        <v>486</v>
      </c>
      <c r="AY36" s="490"/>
      <c r="AZ36" s="490"/>
      <c r="BA36" s="490"/>
      <c r="BB36" s="490"/>
      <c r="BC36" s="15"/>
      <c r="BD36" s="489" t="s">
        <v>486</v>
      </c>
      <c r="BE36" s="490"/>
      <c r="BF36" s="490"/>
      <c r="BG36" s="490"/>
      <c r="BH36" s="490"/>
    </row>
    <row r="37" spans="1:60" ht="15.75" customHeight="1" thickBot="1" x14ac:dyDescent="0.3">
      <c r="B37" s="245" t="s">
        <v>324</v>
      </c>
      <c r="C37" s="246">
        <f>SUM(C22,C30,C35,C36)</f>
        <v>193751470.42584518</v>
      </c>
      <c r="D37" s="246">
        <f>SUM(D22,D30,D35,D36)</f>
        <v>101509554.92000012</v>
      </c>
      <c r="E37" s="246">
        <f t="shared" si="16"/>
        <v>92241915.505845055</v>
      </c>
      <c r="F37" s="247">
        <f t="shared" si="17"/>
        <v>1.9087018022937947</v>
      </c>
      <c r="H37" s="245" t="s">
        <v>324</v>
      </c>
      <c r="I37" s="246">
        <f>SUM(I22,I30,I35,I36)</f>
        <v>137677528.89599502</v>
      </c>
      <c r="J37" s="246">
        <f>SUM(J22,J30,J35,J36)</f>
        <v>78290385.919999942</v>
      </c>
      <c r="K37" s="246">
        <f t="shared" si="18"/>
        <v>59387142.975995079</v>
      </c>
      <c r="L37" s="247">
        <f t="shared" si="19"/>
        <v>1.7585496262169291</v>
      </c>
      <c r="AR37" s="491"/>
      <c r="AS37" s="486"/>
      <c r="AT37" s="486"/>
      <c r="AU37" s="486"/>
      <c r="AV37" s="486"/>
      <c r="AX37" s="491"/>
      <c r="AY37" s="486"/>
      <c r="AZ37" s="486"/>
      <c r="BA37" s="486"/>
      <c r="BB37" s="486"/>
      <c r="BD37" s="491"/>
      <c r="BE37" s="486"/>
      <c r="BF37" s="486"/>
      <c r="BG37" s="486"/>
      <c r="BH37" s="486"/>
    </row>
    <row r="38" spans="1:60" ht="13.5" thickTop="1" x14ac:dyDescent="0.25">
      <c r="B38" s="7" t="s">
        <v>274</v>
      </c>
      <c r="C38" s="255">
        <f>SUM(C37,C20)</f>
        <v>461138564.71144766</v>
      </c>
      <c r="D38" s="255">
        <f>SUM(D37,D20)</f>
        <v>211118143.90188879</v>
      </c>
      <c r="E38" s="255">
        <f t="shared" si="16"/>
        <v>250020420.80955887</v>
      </c>
      <c r="F38" s="256">
        <f t="shared" si="17"/>
        <v>2.1842678046930386</v>
      </c>
      <c r="H38" s="7" t="s">
        <v>274</v>
      </c>
      <c r="I38" s="255">
        <f>SUM(I37,I20)</f>
        <v>381552133.09350997</v>
      </c>
      <c r="J38" s="255">
        <f>SUM(J37,J20)</f>
        <v>179364963.68370211</v>
      </c>
      <c r="K38" s="255">
        <f t="shared" si="18"/>
        <v>202187169.40980786</v>
      </c>
      <c r="L38" s="256">
        <f t="shared" si="19"/>
        <v>2.1272389281462525</v>
      </c>
    </row>
    <row r="39" spans="1:60" x14ac:dyDescent="0.25">
      <c r="B39" s="385" t="s">
        <v>501</v>
      </c>
      <c r="H39" s="261"/>
      <c r="AF39" s="486"/>
      <c r="AG39" s="486"/>
      <c r="AH39" s="486"/>
      <c r="AI39" s="486"/>
      <c r="AJ39" s="486"/>
    </row>
    <row r="40" spans="1:60" x14ac:dyDescent="0.25">
      <c r="B40" s="261" t="s">
        <v>375</v>
      </c>
      <c r="AO40" s="278"/>
    </row>
    <row r="41" spans="1:60" x14ac:dyDescent="0.25">
      <c r="B41" s="15" t="s">
        <v>402</v>
      </c>
      <c r="C41" s="279"/>
      <c r="D41" s="279"/>
      <c r="E41" s="279"/>
      <c r="F41" s="279"/>
      <c r="AO41" s="260"/>
    </row>
    <row r="42" spans="1:60" x14ac:dyDescent="0.25">
      <c r="B42" s="15" t="s">
        <v>362</v>
      </c>
    </row>
    <row r="43" spans="1:60" x14ac:dyDescent="0.25">
      <c r="B43" s="15" t="s">
        <v>363</v>
      </c>
      <c r="AM43" s="278"/>
    </row>
    <row r="44" spans="1:60" x14ac:dyDescent="0.25">
      <c r="A44" s="279"/>
      <c r="B44" s="263" t="s">
        <v>410</v>
      </c>
      <c r="AM44" s="278"/>
    </row>
    <row r="45" spans="1:60" ht="12.75" customHeight="1" x14ac:dyDescent="0.25">
      <c r="C45" s="115"/>
      <c r="D45" s="115"/>
      <c r="E45" s="115"/>
      <c r="F45" s="115"/>
    </row>
  </sheetData>
  <mergeCells count="40">
    <mergeCell ref="BD1:BH1"/>
    <mergeCell ref="BD2:BH2"/>
    <mergeCell ref="AL1:AP1"/>
    <mergeCell ref="AL2:AP2"/>
    <mergeCell ref="AR1:AV1"/>
    <mergeCell ref="AR2:AV2"/>
    <mergeCell ref="AX1:BB1"/>
    <mergeCell ref="AX2:BB2"/>
    <mergeCell ref="T1:X1"/>
    <mergeCell ref="T2:X2"/>
    <mergeCell ref="Z1:AD1"/>
    <mergeCell ref="Z2:AD2"/>
    <mergeCell ref="AF1:AJ1"/>
    <mergeCell ref="AF2:AJ2"/>
    <mergeCell ref="B1:F1"/>
    <mergeCell ref="B2:F2"/>
    <mergeCell ref="H1:L1"/>
    <mergeCell ref="H2:L2"/>
    <mergeCell ref="N1:R1"/>
    <mergeCell ref="N2:R2"/>
    <mergeCell ref="B21:F21"/>
    <mergeCell ref="B5:F5"/>
    <mergeCell ref="H5:L5"/>
    <mergeCell ref="H21:L21"/>
    <mergeCell ref="AL36:AP36"/>
    <mergeCell ref="AL34:AP34"/>
    <mergeCell ref="AF39:AJ39"/>
    <mergeCell ref="AR34:AV34"/>
    <mergeCell ref="AX34:BB34"/>
    <mergeCell ref="BD34:BH34"/>
    <mergeCell ref="AL35:AP35"/>
    <mergeCell ref="AR35:AV35"/>
    <mergeCell ref="AX35:BB35"/>
    <mergeCell ref="BD35:BH35"/>
    <mergeCell ref="AR37:AV37"/>
    <mergeCell ref="AX37:BB37"/>
    <mergeCell ref="BD37:BH37"/>
    <mergeCell ref="BD36:BH36"/>
    <mergeCell ref="AR36:AV36"/>
    <mergeCell ref="AX36:BB3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6A835-694C-413E-98EA-9E2521EBA37B}">
  <sheetPr codeName="Sheet9"/>
  <dimension ref="B1:BI46"/>
  <sheetViews>
    <sheetView showGridLines="0" zoomScaleNormal="100" workbookViewId="0"/>
  </sheetViews>
  <sheetFormatPr defaultColWidth="9.140625" defaultRowHeight="12.75" x14ac:dyDescent="0.25"/>
  <cols>
    <col min="1" max="1" width="5.7109375" style="15" customWidth="1"/>
    <col min="2" max="2" width="40" style="15" bestFit="1" customWidth="1"/>
    <col min="3" max="3" width="15.28515625" style="15" bestFit="1" customWidth="1"/>
    <col min="4" max="4" width="14.28515625" style="15" bestFit="1" customWidth="1"/>
    <col min="5" max="5" width="15.28515625" style="15" bestFit="1" customWidth="1"/>
    <col min="6" max="6" width="11.28515625" style="15" customWidth="1"/>
    <col min="7" max="7" width="5.7109375" style="15" customWidth="1"/>
    <col min="8" max="8" width="40" style="15" bestFit="1" customWidth="1"/>
    <col min="9" max="9" width="14.28515625" style="15" bestFit="1" customWidth="1"/>
    <col min="10" max="10" width="11.5703125" style="15" bestFit="1" customWidth="1"/>
    <col min="11" max="11" width="14.28515625" style="15" bestFit="1" customWidth="1"/>
    <col min="12" max="12" width="12.140625" style="15" customWidth="1"/>
    <col min="13" max="13" width="5.7109375" style="15" customWidth="1"/>
    <col min="14" max="14" width="35.7109375" style="15" customWidth="1"/>
    <col min="15" max="17" width="15.7109375" style="15" customWidth="1"/>
    <col min="18" max="18" width="10.7109375" style="15" customWidth="1"/>
    <col min="19" max="19" width="5.7109375" style="15" customWidth="1"/>
    <col min="20" max="20" width="35.7109375" style="15" customWidth="1"/>
    <col min="21" max="23" width="15.7109375" style="15" customWidth="1"/>
    <col min="24" max="24" width="10.7109375" style="15" customWidth="1"/>
    <col min="25" max="25" width="5.7109375" style="15" customWidth="1"/>
    <col min="26" max="26" width="35.7109375" style="15" customWidth="1"/>
    <col min="27" max="29" width="15.7109375" style="15" customWidth="1"/>
    <col min="30" max="30" width="10.7109375" style="15" customWidth="1"/>
    <col min="31" max="31" width="5.7109375" style="15" customWidth="1"/>
    <col min="32" max="32" width="35.7109375" style="15" customWidth="1"/>
    <col min="33" max="35" width="15.7109375" style="15" customWidth="1"/>
    <col min="36" max="36" width="10.7109375" style="15" customWidth="1"/>
    <col min="37" max="37" width="5.7109375" style="15" customWidth="1"/>
    <col min="38" max="38" width="35.7109375" style="15" customWidth="1" collapsed="1"/>
    <col min="39" max="41" width="15.7109375" style="15" customWidth="1"/>
    <col min="42" max="42" width="10.7109375" style="15" customWidth="1"/>
    <col min="43" max="43" width="5.7109375" style="15" customWidth="1"/>
    <col min="44" max="44" width="35.7109375" style="15" customWidth="1"/>
    <col min="45" max="47" width="15.7109375" style="15" customWidth="1"/>
    <col min="48" max="48" width="10.7109375" style="15" customWidth="1"/>
    <col min="49" max="49" width="5.7109375" style="15" customWidth="1"/>
    <col min="50" max="50" width="35.7109375" style="15" customWidth="1"/>
    <col min="51" max="53" width="15.7109375" style="15" customWidth="1"/>
    <col min="54" max="54" width="10.7109375" style="15" customWidth="1"/>
    <col min="55" max="55" width="5.7109375" style="15" customWidth="1"/>
    <col min="56" max="56" width="35.7109375" style="15" customWidth="1"/>
    <col min="57" max="59" width="15.7109375" style="15" customWidth="1"/>
    <col min="60" max="60" width="10.7109375" style="15" customWidth="1"/>
    <col min="61" max="61" width="5.7109375" style="15" customWidth="1"/>
    <col min="62" max="16384" width="9.140625" style="15"/>
  </cols>
  <sheetData>
    <row r="1" spans="2:60" x14ac:dyDescent="0.2">
      <c r="B1" s="484" t="s">
        <v>466</v>
      </c>
      <c r="C1" s="484"/>
      <c r="D1" s="484"/>
      <c r="E1" s="484"/>
      <c r="F1" s="484"/>
      <c r="H1" s="484" t="s">
        <v>468</v>
      </c>
      <c r="I1" s="484"/>
      <c r="J1" s="484"/>
      <c r="K1" s="484"/>
      <c r="L1" s="484"/>
      <c r="N1" s="484" t="s">
        <v>518</v>
      </c>
      <c r="O1" s="484"/>
      <c r="P1" s="484"/>
      <c r="Q1" s="484"/>
      <c r="R1" s="484"/>
      <c r="T1" s="484" t="s">
        <v>519</v>
      </c>
      <c r="U1" s="484"/>
      <c r="V1" s="484"/>
      <c r="W1" s="484"/>
      <c r="X1" s="484"/>
      <c r="Z1" s="484" t="s">
        <v>520</v>
      </c>
      <c r="AA1" s="484"/>
      <c r="AB1" s="484"/>
      <c r="AC1" s="484"/>
      <c r="AD1" s="484"/>
      <c r="AF1" s="484" t="s">
        <v>521</v>
      </c>
      <c r="AG1" s="484"/>
      <c r="AH1" s="484"/>
      <c r="AI1" s="484"/>
      <c r="AJ1" s="484"/>
      <c r="AL1" s="484" t="s">
        <v>522</v>
      </c>
      <c r="AM1" s="484"/>
      <c r="AN1" s="484"/>
      <c r="AO1" s="484"/>
      <c r="AP1" s="484"/>
      <c r="AR1" s="484" t="s">
        <v>523</v>
      </c>
      <c r="AS1" s="484"/>
      <c r="AT1" s="484"/>
      <c r="AU1" s="484"/>
      <c r="AV1" s="484"/>
      <c r="AX1" s="484" t="s">
        <v>524</v>
      </c>
      <c r="AY1" s="484"/>
      <c r="AZ1" s="484"/>
      <c r="BA1" s="484"/>
      <c r="BB1" s="484"/>
      <c r="BD1" s="484" t="s">
        <v>525</v>
      </c>
      <c r="BE1" s="484"/>
      <c r="BF1" s="484"/>
      <c r="BG1" s="484"/>
      <c r="BH1" s="484"/>
    </row>
    <row r="2" spans="2:60" x14ac:dyDescent="0.2">
      <c r="B2" s="484" t="s">
        <v>555</v>
      </c>
      <c r="C2" s="484"/>
      <c r="D2" s="484"/>
      <c r="E2" s="484"/>
      <c r="F2" s="484"/>
      <c r="H2" s="484" t="s">
        <v>556</v>
      </c>
      <c r="I2" s="484"/>
      <c r="J2" s="484"/>
      <c r="K2" s="484"/>
      <c r="L2" s="484"/>
      <c r="N2" s="484" t="s">
        <v>557</v>
      </c>
      <c r="O2" s="484"/>
      <c r="P2" s="484"/>
      <c r="Q2" s="484"/>
      <c r="R2" s="484"/>
      <c r="T2" s="484" t="s">
        <v>558</v>
      </c>
      <c r="U2" s="484"/>
      <c r="V2" s="484"/>
      <c r="W2" s="484"/>
      <c r="X2" s="484"/>
      <c r="Z2" s="484" t="s">
        <v>559</v>
      </c>
      <c r="AA2" s="484"/>
      <c r="AB2" s="484"/>
      <c r="AC2" s="484"/>
      <c r="AD2" s="484"/>
      <c r="AF2" s="484" t="s">
        <v>560</v>
      </c>
      <c r="AG2" s="484"/>
      <c r="AH2" s="484"/>
      <c r="AI2" s="484"/>
      <c r="AJ2" s="484"/>
      <c r="AL2" s="484" t="s">
        <v>561</v>
      </c>
      <c r="AM2" s="484"/>
      <c r="AN2" s="484"/>
      <c r="AO2" s="484"/>
      <c r="AP2" s="484"/>
      <c r="AR2" s="484" t="s">
        <v>562</v>
      </c>
      <c r="AS2" s="484"/>
      <c r="AT2" s="484"/>
      <c r="AU2" s="484"/>
      <c r="AV2" s="484"/>
      <c r="AX2" s="484" t="s">
        <v>563</v>
      </c>
      <c r="AY2" s="484"/>
      <c r="AZ2" s="484"/>
      <c r="BA2" s="484"/>
      <c r="BB2" s="484"/>
      <c r="BD2" s="484" t="s">
        <v>564</v>
      </c>
      <c r="BE2" s="484"/>
      <c r="BF2" s="484"/>
      <c r="BG2" s="484"/>
      <c r="BH2" s="484"/>
    </row>
    <row r="3" spans="2:60" x14ac:dyDescent="0.25">
      <c r="B3" s="220"/>
      <c r="C3" s="220"/>
      <c r="D3" s="220"/>
      <c r="E3" s="220"/>
      <c r="F3" s="220"/>
      <c r="G3" s="220"/>
      <c r="H3" s="220"/>
      <c r="I3" s="220"/>
      <c r="J3" s="220"/>
      <c r="K3" s="220"/>
      <c r="L3" s="220"/>
      <c r="M3" s="220"/>
      <c r="N3" s="220"/>
      <c r="S3" s="220"/>
      <c r="T3" s="220"/>
      <c r="Y3" s="220"/>
      <c r="Z3" s="220"/>
    </row>
    <row r="4" spans="2:60" ht="15" x14ac:dyDescent="0.25">
      <c r="B4" s="2" t="s">
        <v>413</v>
      </c>
      <c r="C4" s="102" t="s">
        <v>116</v>
      </c>
      <c r="D4" s="103" t="s">
        <v>117</v>
      </c>
      <c r="E4" s="12" t="s">
        <v>404</v>
      </c>
      <c r="F4" s="104" t="s">
        <v>118</v>
      </c>
      <c r="G4" s="89"/>
      <c r="H4" s="2" t="s">
        <v>414</v>
      </c>
      <c r="I4" s="102" t="s">
        <v>116</v>
      </c>
      <c r="J4" s="103" t="s">
        <v>117</v>
      </c>
      <c r="K4" s="12" t="s">
        <v>404</v>
      </c>
      <c r="L4" s="104" t="s">
        <v>118</v>
      </c>
      <c r="M4" s="221"/>
      <c r="N4" s="2" t="s">
        <v>415</v>
      </c>
      <c r="O4" s="11" t="s">
        <v>116</v>
      </c>
      <c r="P4" s="3" t="s">
        <v>117</v>
      </c>
      <c r="Q4" s="12" t="s">
        <v>404</v>
      </c>
      <c r="R4" s="4" t="s">
        <v>118</v>
      </c>
      <c r="S4" s="89"/>
      <c r="T4" s="2" t="s">
        <v>416</v>
      </c>
      <c r="U4" s="11" t="s">
        <v>116</v>
      </c>
      <c r="V4" s="3" t="s">
        <v>117</v>
      </c>
      <c r="W4" s="12" t="s">
        <v>404</v>
      </c>
      <c r="X4" s="4" t="s">
        <v>118</v>
      </c>
      <c r="Y4" s="221"/>
      <c r="Z4" s="2" t="s">
        <v>417</v>
      </c>
      <c r="AA4" s="11" t="s">
        <v>116</v>
      </c>
      <c r="AB4" s="3" t="s">
        <v>117</v>
      </c>
      <c r="AC4" s="12" t="s">
        <v>404</v>
      </c>
      <c r="AD4" s="4" t="s">
        <v>118</v>
      </c>
      <c r="AF4" s="2" t="s">
        <v>418</v>
      </c>
      <c r="AG4" s="11" t="s">
        <v>116</v>
      </c>
      <c r="AH4" s="3" t="s">
        <v>117</v>
      </c>
      <c r="AI4" s="12" t="s">
        <v>404</v>
      </c>
      <c r="AJ4" s="4" t="s">
        <v>118</v>
      </c>
      <c r="AL4" s="2" t="s">
        <v>119</v>
      </c>
      <c r="AM4" s="11" t="s">
        <v>484</v>
      </c>
      <c r="AN4" s="3" t="s">
        <v>117</v>
      </c>
      <c r="AO4" s="12" t="s">
        <v>485</v>
      </c>
      <c r="AP4" s="4" t="s">
        <v>118</v>
      </c>
      <c r="AR4" s="2" t="s">
        <v>120</v>
      </c>
      <c r="AS4" s="11" t="s">
        <v>484</v>
      </c>
      <c r="AT4" s="3" t="s">
        <v>117</v>
      </c>
      <c r="AU4" s="12" t="s">
        <v>485</v>
      </c>
      <c r="AV4" s="4" t="s">
        <v>118</v>
      </c>
      <c r="AX4" s="2" t="s">
        <v>121</v>
      </c>
      <c r="AY4" s="11" t="s">
        <v>484</v>
      </c>
      <c r="AZ4" s="3" t="s">
        <v>117</v>
      </c>
      <c r="BA4" s="12" t="s">
        <v>485</v>
      </c>
      <c r="BB4" s="4" t="s">
        <v>118</v>
      </c>
      <c r="BD4" s="2" t="s">
        <v>122</v>
      </c>
      <c r="BE4" s="11" t="s">
        <v>484</v>
      </c>
      <c r="BF4" s="3" t="s">
        <v>117</v>
      </c>
      <c r="BG4" s="12" t="s">
        <v>485</v>
      </c>
      <c r="BH4" s="4" t="s">
        <v>118</v>
      </c>
    </row>
    <row r="5" spans="2:60" ht="15" x14ac:dyDescent="0.25">
      <c r="B5" s="492" t="s">
        <v>325</v>
      </c>
      <c r="C5" s="493"/>
      <c r="D5" s="493"/>
      <c r="E5" s="493"/>
      <c r="F5" s="494"/>
      <c r="G5" s="89"/>
      <c r="H5" s="492" t="s">
        <v>325</v>
      </c>
      <c r="I5" s="493"/>
      <c r="J5" s="493"/>
      <c r="K5" s="493"/>
      <c r="L5" s="494"/>
      <c r="M5" s="89"/>
      <c r="N5" s="222" t="s">
        <v>1</v>
      </c>
      <c r="O5" s="223">
        <f>SUM(O6:O9)</f>
        <v>142443907.90204269</v>
      </c>
      <c r="P5" s="223">
        <f>SUM(P6:P9)</f>
        <v>64103929.390000001</v>
      </c>
      <c r="Q5" s="224">
        <f>SUM(Q6:Q9)</f>
        <v>78339978.512042671</v>
      </c>
      <c r="R5" s="225">
        <f t="shared" ref="R5:R32" si="0">IFERROR(O5/P5,0)</f>
        <v>2.2220776363868806</v>
      </c>
      <c r="S5" s="89"/>
      <c r="T5" s="222" t="s">
        <v>1</v>
      </c>
      <c r="U5" s="223">
        <f>SUM(U6:U9)</f>
        <v>506749911.62301171</v>
      </c>
      <c r="V5" s="223">
        <f>SUM(V6:V9)</f>
        <v>203014219.63</v>
      </c>
      <c r="W5" s="224">
        <f>SUM(W6:W9)</f>
        <v>303735691.99301171</v>
      </c>
      <c r="X5" s="225">
        <f t="shared" ref="X5:X32" si="1">IFERROR(U5/V5,0)</f>
        <v>2.496130135842602</v>
      </c>
      <c r="Y5" s="89"/>
      <c r="Z5" s="222" t="s">
        <v>1</v>
      </c>
      <c r="AA5" s="223">
        <f>SUM(AA6:AA9)</f>
        <v>84071694.109746277</v>
      </c>
      <c r="AB5" s="223">
        <f>SUM(AB6:AB9)</f>
        <v>65366912.719999969</v>
      </c>
      <c r="AC5" s="224">
        <f>SUM(AC6:AC9)</f>
        <v>18704781.389746316</v>
      </c>
      <c r="AD5" s="225">
        <f t="shared" ref="AD5:AD32" si="2">IFERROR(AA5/AB5,0)</f>
        <v>1.2861506014498265</v>
      </c>
      <c r="AF5" s="222" t="s">
        <v>1</v>
      </c>
      <c r="AG5" s="223">
        <f>SUM(AG6:AG9)</f>
        <v>66927486.277020894</v>
      </c>
      <c r="AH5" s="223">
        <f>SUM(AH6:AH9)</f>
        <v>59540304.524999999</v>
      </c>
      <c r="AI5" s="224">
        <f>SUM(AI6:AI9)</f>
        <v>7387181.7520208955</v>
      </c>
      <c r="AJ5" s="225">
        <f t="shared" ref="AJ5:AJ32" si="3">IFERROR(AG5/AH5,0)</f>
        <v>1.124070271574092</v>
      </c>
      <c r="AL5" s="222" t="s">
        <v>1</v>
      </c>
      <c r="AM5" s="226">
        <f>SUM(AM6:AM12)</f>
        <v>74651804.810003355</v>
      </c>
      <c r="AN5" s="226">
        <f>SUM(AN6:AN12)</f>
        <v>72787256</v>
      </c>
      <c r="AO5" s="226">
        <f>AM5-AN5</f>
        <v>1864548.8100033551</v>
      </c>
      <c r="AP5" s="225">
        <f t="shared" ref="AP5:AP33" si="4">IFERROR(AM5/AN5,0)</f>
        <v>1.025616418484073</v>
      </c>
      <c r="AR5" s="222" t="s">
        <v>1</v>
      </c>
      <c r="AS5" s="226">
        <f>SUM(AS6:AS12)</f>
        <v>80955153.690365806</v>
      </c>
      <c r="AT5" s="226">
        <f>SUM(AT6:AT12)</f>
        <v>75691912</v>
      </c>
      <c r="AU5" s="226">
        <f>AS5-AT5</f>
        <v>5263241.6903658062</v>
      </c>
      <c r="AV5" s="225">
        <f t="shared" ref="AV5:AV33" si="5">IFERROR(AS5/AT5,0)</f>
        <v>1.0695350606332392</v>
      </c>
      <c r="AX5" s="222" t="s">
        <v>1</v>
      </c>
      <c r="AY5" s="226">
        <f>SUM(AY6:AY12)</f>
        <v>85755174.684830591</v>
      </c>
      <c r="AZ5" s="226">
        <f>SUM(AZ6:AZ12)</f>
        <v>78555425</v>
      </c>
      <c r="BA5" s="226">
        <f>AY5-AZ5</f>
        <v>7199749.6848305911</v>
      </c>
      <c r="BB5" s="225">
        <f t="shared" ref="BB5:BB33" si="6">IFERROR(AY5/AZ5,0)</f>
        <v>1.0916518456214908</v>
      </c>
      <c r="BD5" s="222" t="s">
        <v>1</v>
      </c>
      <c r="BE5" s="226">
        <f>SUM(BE6:BE12)</f>
        <v>90192547.378600195</v>
      </c>
      <c r="BF5" s="226">
        <f>SUM(BF6:BF12)</f>
        <v>81536209</v>
      </c>
      <c r="BG5" s="226">
        <f>BE5-BF5</f>
        <v>8656338.3786001951</v>
      </c>
      <c r="BH5" s="225">
        <f t="shared" ref="BH5:BH33" si="7">IFERROR(BE5/BF5,0)</f>
        <v>1.1061655733663089</v>
      </c>
    </row>
    <row r="6" spans="2:60" ht="15" x14ac:dyDescent="0.25">
      <c r="B6" s="106" t="s">
        <v>267</v>
      </c>
      <c r="C6" s="227">
        <f>SUM(C7,C10)</f>
        <v>197507815.47146714</v>
      </c>
      <c r="D6" s="227">
        <f>SUM(D7,D10)</f>
        <v>49775654.8805665</v>
      </c>
      <c r="E6" s="227">
        <f t="shared" ref="E6:E20" si="8">C6-D6</f>
        <v>147732160.59090063</v>
      </c>
      <c r="F6" s="228">
        <f t="shared" ref="F6:F20" si="9">IFERROR(C6/D6,0)</f>
        <v>3.967960159346462</v>
      </c>
      <c r="G6" s="89"/>
      <c r="H6" s="106" t="s">
        <v>267</v>
      </c>
      <c r="I6" s="227">
        <f>SUM(I7,I10)</f>
        <v>181849810.87612003</v>
      </c>
      <c r="J6" s="227">
        <f>SUM(J7,J10)</f>
        <v>51987696.065031305</v>
      </c>
      <c r="K6" s="227">
        <f t="shared" ref="K6:K20" si="10">I6-J6</f>
        <v>129862114.81108873</v>
      </c>
      <c r="L6" s="228">
        <f t="shared" ref="L6:L20" si="11">IFERROR(I6/J6,0)</f>
        <v>3.4979394095219081</v>
      </c>
      <c r="M6" s="89"/>
      <c r="N6" s="105" t="s">
        <v>25</v>
      </c>
      <c r="O6" s="229">
        <v>105010827.07271117</v>
      </c>
      <c r="P6" s="229">
        <v>55316707.580000006</v>
      </c>
      <c r="Q6" s="229">
        <f>O6-P6</f>
        <v>49694119.492711164</v>
      </c>
      <c r="R6" s="230">
        <f t="shared" si="0"/>
        <v>1.8983564218973561</v>
      </c>
      <c r="S6" s="89"/>
      <c r="T6" s="105" t="s">
        <v>25</v>
      </c>
      <c r="U6" s="229">
        <v>482990433.39852917</v>
      </c>
      <c r="V6" s="229">
        <v>197439979.38999924</v>
      </c>
      <c r="W6" s="229">
        <f>U6-V6</f>
        <v>285550454.0085299</v>
      </c>
      <c r="X6" s="230">
        <f t="shared" si="1"/>
        <v>2.4462646060375026</v>
      </c>
      <c r="Y6" s="89"/>
      <c r="Z6" s="105" t="s">
        <v>25</v>
      </c>
      <c r="AA6" s="229">
        <v>53796878.348408468</v>
      </c>
      <c r="AB6" s="229">
        <v>47436458.489999972</v>
      </c>
      <c r="AC6" s="229">
        <f>AA6-AB6</f>
        <v>6360419.8584084958</v>
      </c>
      <c r="AD6" s="230">
        <f t="shared" si="2"/>
        <v>1.1340829408618127</v>
      </c>
      <c r="AF6" s="231" t="s">
        <v>105</v>
      </c>
      <c r="AG6" s="232">
        <v>41957340.593312956</v>
      </c>
      <c r="AH6" s="232">
        <v>41572837.818749994</v>
      </c>
      <c r="AI6" s="232">
        <f>AG6-AH6</f>
        <v>384502.77456296235</v>
      </c>
      <c r="AJ6" s="233">
        <f t="shared" si="3"/>
        <v>1.0092488941033886</v>
      </c>
      <c r="AL6" s="105" t="s">
        <v>26</v>
      </c>
      <c r="AM6" s="229">
        <v>23167100.34279196</v>
      </c>
      <c r="AN6" s="229">
        <v>25929400</v>
      </c>
      <c r="AO6" s="229">
        <f t="shared" ref="AO6:AO33" si="12">AM6-AN6</f>
        <v>-2762299.6572080404</v>
      </c>
      <c r="AP6" s="230">
        <f t="shared" si="4"/>
        <v>0.89346843130932296</v>
      </c>
      <c r="AR6" s="105" t="s">
        <v>26</v>
      </c>
      <c r="AS6" s="229">
        <v>21660233.062400419</v>
      </c>
      <c r="AT6" s="229">
        <v>23708569</v>
      </c>
      <c r="AU6" s="229">
        <f t="shared" ref="AU6:AU33" si="13">AS6-AT6</f>
        <v>-2048335.9375995807</v>
      </c>
      <c r="AV6" s="230">
        <f t="shared" si="5"/>
        <v>0.91360356090662487</v>
      </c>
      <c r="AX6" s="105" t="s">
        <v>26</v>
      </c>
      <c r="AY6" s="229">
        <v>20441402.890021086</v>
      </c>
      <c r="AZ6" s="229">
        <v>21967357</v>
      </c>
      <c r="BA6" s="229">
        <f t="shared" ref="BA6:BA33" si="14">AY6-AZ6</f>
        <v>-1525954.1099789143</v>
      </c>
      <c r="BB6" s="230">
        <f t="shared" si="6"/>
        <v>0.93053537983750556</v>
      </c>
      <c r="BD6" s="105" t="s">
        <v>26</v>
      </c>
      <c r="BE6" s="229">
        <v>19624543.797047898</v>
      </c>
      <c r="BF6" s="229">
        <v>20759542</v>
      </c>
      <c r="BG6" s="229">
        <f t="shared" ref="BG6:BG33" si="15">BE6-BF6</f>
        <v>-1134998.2029521018</v>
      </c>
      <c r="BH6" s="230">
        <f t="shared" si="7"/>
        <v>0.94532643336003741</v>
      </c>
    </row>
    <row r="7" spans="2:60" ht="15" x14ac:dyDescent="0.25">
      <c r="B7" s="234" t="s">
        <v>260</v>
      </c>
      <c r="C7" s="235">
        <f>SUM(C8:C9)</f>
        <v>75211347.277860522</v>
      </c>
      <c r="D7" s="235">
        <f>SUM(D8:D9)</f>
        <v>33654348.878693961</v>
      </c>
      <c r="E7" s="236">
        <f t="shared" si="8"/>
        <v>41556998.399166562</v>
      </c>
      <c r="F7" s="237">
        <f t="shared" si="9"/>
        <v>2.2348180780129621</v>
      </c>
      <c r="G7" s="89"/>
      <c r="H7" s="234" t="s">
        <v>260</v>
      </c>
      <c r="I7" s="235">
        <f>SUM(I8:I9)</f>
        <v>72844155.394474834</v>
      </c>
      <c r="J7" s="235">
        <f>SUM(J8:J9)</f>
        <v>37831141.761345416</v>
      </c>
      <c r="K7" s="236">
        <f t="shared" si="10"/>
        <v>35013013.633129418</v>
      </c>
      <c r="L7" s="237">
        <f t="shared" si="11"/>
        <v>1.9255077167378685</v>
      </c>
      <c r="M7" s="89"/>
      <c r="N7" s="105" t="s">
        <v>27</v>
      </c>
      <c r="O7" s="229">
        <v>0</v>
      </c>
      <c r="P7" s="229">
        <v>14600</v>
      </c>
      <c r="Q7" s="229">
        <f>O7-P7</f>
        <v>-14600</v>
      </c>
      <c r="R7" s="230">
        <f t="shared" si="0"/>
        <v>0</v>
      </c>
      <c r="S7" s="89"/>
      <c r="T7" s="105" t="s">
        <v>27</v>
      </c>
      <c r="U7" s="229">
        <v>0</v>
      </c>
      <c r="V7" s="229">
        <v>73669.570000000007</v>
      </c>
      <c r="W7" s="229">
        <f>U7-V7</f>
        <v>-73669.570000000007</v>
      </c>
      <c r="X7" s="230">
        <f t="shared" si="1"/>
        <v>0</v>
      </c>
      <c r="Y7" s="89"/>
      <c r="Z7" s="105" t="s">
        <v>27</v>
      </c>
      <c r="AA7" s="229">
        <v>15780418.033715427</v>
      </c>
      <c r="AB7" s="229">
        <v>10635311.359999999</v>
      </c>
      <c r="AC7" s="229">
        <f>AA7-AB7</f>
        <v>5145106.6737154275</v>
      </c>
      <c r="AD7" s="230">
        <f t="shared" si="2"/>
        <v>1.4837758387654227</v>
      </c>
      <c r="AF7" s="105" t="s">
        <v>27</v>
      </c>
      <c r="AG7" s="229">
        <v>6394178.5120669054</v>
      </c>
      <c r="AH7" s="229">
        <v>9780767.7162500005</v>
      </c>
      <c r="AI7" s="229">
        <f>AG7-AH7</f>
        <v>-3386589.2041830951</v>
      </c>
      <c r="AJ7" s="230">
        <f t="shared" si="3"/>
        <v>0.65375016538256658</v>
      </c>
      <c r="AL7" s="105" t="s">
        <v>28</v>
      </c>
      <c r="AM7" s="229">
        <v>17992696.357929666</v>
      </c>
      <c r="AN7" s="229">
        <v>15560525</v>
      </c>
      <c r="AO7" s="229">
        <f t="shared" si="12"/>
        <v>2432171.3579296656</v>
      </c>
      <c r="AP7" s="230">
        <f t="shared" si="4"/>
        <v>1.1563039394833827</v>
      </c>
      <c r="AR7" s="105" t="s">
        <v>28</v>
      </c>
      <c r="AS7" s="229">
        <v>22676241.22029946</v>
      </c>
      <c r="AT7" s="229">
        <v>18836467</v>
      </c>
      <c r="AU7" s="229">
        <f t="shared" si="13"/>
        <v>3839774.22029946</v>
      </c>
      <c r="AV7" s="230">
        <f t="shared" si="5"/>
        <v>1.2038478988814336</v>
      </c>
      <c r="AX7" s="105" t="s">
        <v>28</v>
      </c>
      <c r="AY7" s="229">
        <v>25717865.911425184</v>
      </c>
      <c r="AZ7" s="229">
        <v>20917872</v>
      </c>
      <c r="BA7" s="229">
        <f t="shared" si="14"/>
        <v>4799993.9114251845</v>
      </c>
      <c r="BB7" s="230">
        <f t="shared" si="6"/>
        <v>1.2294685573860087</v>
      </c>
      <c r="BD7" s="105" t="s">
        <v>28</v>
      </c>
      <c r="BE7" s="229">
        <v>28072004.253775027</v>
      </c>
      <c r="BF7" s="229">
        <v>22520648</v>
      </c>
      <c r="BG7" s="229">
        <f t="shared" si="15"/>
        <v>5551356.2537750266</v>
      </c>
      <c r="BH7" s="230">
        <f t="shared" si="7"/>
        <v>1.2465007336278702</v>
      </c>
    </row>
    <row r="8" spans="2:60" ht="15" x14ac:dyDescent="0.25">
      <c r="B8" s="238" t="s">
        <v>145</v>
      </c>
      <c r="C8" s="239">
        <v>58496115.74983874</v>
      </c>
      <c r="D8" s="239">
        <v>30970729.18606459</v>
      </c>
      <c r="E8" s="239">
        <f t="shared" si="8"/>
        <v>27525386.56377415</v>
      </c>
      <c r="F8" s="240">
        <f t="shared" si="9"/>
        <v>1.8887548755603505</v>
      </c>
      <c r="G8" s="89"/>
      <c r="H8" s="238" t="s">
        <v>145</v>
      </c>
      <c r="I8" s="239">
        <v>54528063.11161831</v>
      </c>
      <c r="J8" s="239">
        <v>34673186.606758863</v>
      </c>
      <c r="K8" s="239">
        <f t="shared" si="10"/>
        <v>19854876.504859447</v>
      </c>
      <c r="L8" s="240">
        <f t="shared" si="11"/>
        <v>1.5726291249212476</v>
      </c>
      <c r="M8" s="89"/>
      <c r="N8" s="105" t="s">
        <v>29</v>
      </c>
      <c r="O8" s="229">
        <v>37433080.82933151</v>
      </c>
      <c r="P8" s="229">
        <v>7563752.4800000004</v>
      </c>
      <c r="Q8" s="229">
        <f>O8-P8</f>
        <v>29869328.349331509</v>
      </c>
      <c r="R8" s="230">
        <f t="shared" si="0"/>
        <v>4.9490092289920504</v>
      </c>
      <c r="S8" s="89"/>
      <c r="T8" s="105" t="s">
        <v>29</v>
      </c>
      <c r="U8" s="229">
        <v>23759478.224482559</v>
      </c>
      <c r="V8" s="229">
        <v>3525791.4699999997</v>
      </c>
      <c r="W8" s="229">
        <f>U8-V8</f>
        <v>20233686.75448256</v>
      </c>
      <c r="X8" s="230">
        <f t="shared" si="1"/>
        <v>6.7387644523635313</v>
      </c>
      <c r="Y8" s="89"/>
      <c r="Z8" s="105" t="s">
        <v>29</v>
      </c>
      <c r="AA8" s="229">
        <v>14494397.72762239</v>
      </c>
      <c r="AB8" s="229">
        <v>5146930.2300000004</v>
      </c>
      <c r="AC8" s="229">
        <f>AA8-AB8</f>
        <v>9347467.4976223893</v>
      </c>
      <c r="AD8" s="230">
        <f t="shared" si="2"/>
        <v>2.8161247733918455</v>
      </c>
      <c r="AF8" s="105" t="s">
        <v>29</v>
      </c>
      <c r="AG8" s="229">
        <v>18575967.171641029</v>
      </c>
      <c r="AH8" s="229">
        <v>5967108.9900000002</v>
      </c>
      <c r="AI8" s="229">
        <f>AG8-AH8</f>
        <v>12608858.181641029</v>
      </c>
      <c r="AJ8" s="230">
        <f t="shared" si="3"/>
        <v>3.1130598088239427</v>
      </c>
      <c r="AL8" s="105" t="s">
        <v>31</v>
      </c>
      <c r="AM8" s="229">
        <v>16728402.279871453</v>
      </c>
      <c r="AN8" s="229">
        <v>9304600</v>
      </c>
      <c r="AO8" s="229">
        <f t="shared" si="12"/>
        <v>7423802.2798714526</v>
      </c>
      <c r="AP8" s="230">
        <f t="shared" si="4"/>
        <v>1.797863667419497</v>
      </c>
      <c r="AR8" s="105" t="s">
        <v>31</v>
      </c>
      <c r="AS8" s="229">
        <v>17422795.888164021</v>
      </c>
      <c r="AT8" s="229">
        <v>8998279</v>
      </c>
      <c r="AU8" s="229">
        <f t="shared" si="13"/>
        <v>8424516.8881640211</v>
      </c>
      <c r="AV8" s="230">
        <f t="shared" si="5"/>
        <v>1.9362364612348673</v>
      </c>
      <c r="AX8" s="105" t="s">
        <v>31</v>
      </c>
      <c r="AY8" s="229">
        <v>18079065.54655562</v>
      </c>
      <c r="AZ8" s="229">
        <v>9225360</v>
      </c>
      <c r="BA8" s="229">
        <f t="shared" si="14"/>
        <v>8853705.5465556197</v>
      </c>
      <c r="BB8" s="230">
        <f t="shared" si="6"/>
        <v>1.9597138265125285</v>
      </c>
      <c r="BD8" s="105" t="s">
        <v>31</v>
      </c>
      <c r="BE8" s="229">
        <v>18678369.60780165</v>
      </c>
      <c r="BF8" s="229">
        <v>9453610</v>
      </c>
      <c r="BG8" s="229">
        <f t="shared" si="15"/>
        <v>9224759.6078016497</v>
      </c>
      <c r="BH8" s="230">
        <f t="shared" si="7"/>
        <v>1.9757922748877572</v>
      </c>
    </row>
    <row r="9" spans="2:60" ht="15" x14ac:dyDescent="0.25">
      <c r="B9" s="238" t="s">
        <v>147</v>
      </c>
      <c r="C9" s="239">
        <v>16715231.528021784</v>
      </c>
      <c r="D9" s="239">
        <v>2683619.6926293732</v>
      </c>
      <c r="E9" s="239">
        <f t="shared" si="8"/>
        <v>14031611.835392412</v>
      </c>
      <c r="F9" s="240">
        <f t="shared" si="9"/>
        <v>6.2286141266329853</v>
      </c>
      <c r="G9" s="89"/>
      <c r="H9" s="238" t="s">
        <v>147</v>
      </c>
      <c r="I9" s="239">
        <v>18316092.282856524</v>
      </c>
      <c r="J9" s="239">
        <v>3157955.1545865498</v>
      </c>
      <c r="K9" s="239">
        <f t="shared" si="10"/>
        <v>15158137.128269974</v>
      </c>
      <c r="L9" s="240">
        <f t="shared" si="11"/>
        <v>5.7999849226024009</v>
      </c>
      <c r="M9" s="89"/>
      <c r="N9" s="105" t="s">
        <v>106</v>
      </c>
      <c r="O9" s="229"/>
      <c r="P9" s="229">
        <v>1208869.3299999975</v>
      </c>
      <c r="Q9" s="229">
        <f>O9-P9</f>
        <v>-1208869.3299999975</v>
      </c>
      <c r="R9" s="230">
        <f t="shared" si="0"/>
        <v>0</v>
      </c>
      <c r="S9" s="89"/>
      <c r="T9" s="105" t="s">
        <v>106</v>
      </c>
      <c r="U9" s="229"/>
      <c r="V9" s="229">
        <v>1974779.2000007678</v>
      </c>
      <c r="W9" s="229">
        <f>U9-V9</f>
        <v>-1974779.2000007678</v>
      </c>
      <c r="X9" s="230">
        <f t="shared" si="1"/>
        <v>0</v>
      </c>
      <c r="Y9" s="89"/>
      <c r="Z9" s="105" t="s">
        <v>106</v>
      </c>
      <c r="AA9" s="229"/>
      <c r="AB9" s="229">
        <v>2148212.6399999987</v>
      </c>
      <c r="AC9" s="229">
        <f>AA9-AB9</f>
        <v>-2148212.6399999987</v>
      </c>
      <c r="AD9" s="230">
        <f t="shared" si="2"/>
        <v>0</v>
      </c>
      <c r="AF9" s="105" t="s">
        <v>106</v>
      </c>
      <c r="AG9" s="229">
        <v>0</v>
      </c>
      <c r="AH9" s="229">
        <v>2219590</v>
      </c>
      <c r="AI9" s="229">
        <f>AG9-AH9</f>
        <v>-2219590</v>
      </c>
      <c r="AJ9" s="230">
        <f t="shared" si="3"/>
        <v>0</v>
      </c>
      <c r="AL9" s="105" t="s">
        <v>30</v>
      </c>
      <c r="AM9" s="229">
        <v>7730608.3769144714</v>
      </c>
      <c r="AN9" s="229">
        <v>6083993</v>
      </c>
      <c r="AO9" s="229">
        <f t="shared" si="12"/>
        <v>1646615.3769144714</v>
      </c>
      <c r="AP9" s="230">
        <f t="shared" si="4"/>
        <v>1.2706471517824678</v>
      </c>
      <c r="AR9" s="105" t="s">
        <v>30</v>
      </c>
      <c r="AS9" s="229">
        <v>8061584.6432832414</v>
      </c>
      <c r="AT9" s="229">
        <v>6123301</v>
      </c>
      <c r="AU9" s="229">
        <f t="shared" si="13"/>
        <v>1938283.6432832414</v>
      </c>
      <c r="AV9" s="230">
        <f t="shared" si="5"/>
        <v>1.3165422773244759</v>
      </c>
      <c r="AX9" s="105" t="s">
        <v>30</v>
      </c>
      <c r="AY9" s="229">
        <v>8356732.9362097494</v>
      </c>
      <c r="AZ9" s="229">
        <v>6268247</v>
      </c>
      <c r="BA9" s="229">
        <f t="shared" si="14"/>
        <v>2088485.9362097494</v>
      </c>
      <c r="BB9" s="230">
        <f t="shared" si="6"/>
        <v>1.33318500949464</v>
      </c>
      <c r="BD9" s="105" t="s">
        <v>30</v>
      </c>
      <c r="BE9" s="229">
        <v>8610544.0798373707</v>
      </c>
      <c r="BF9" s="229">
        <v>6397663</v>
      </c>
      <c r="BG9" s="229">
        <f t="shared" si="15"/>
        <v>2212881.0798373707</v>
      </c>
      <c r="BH9" s="230">
        <f t="shared" si="7"/>
        <v>1.3458889722446103</v>
      </c>
    </row>
    <row r="10" spans="2:60" ht="15" x14ac:dyDescent="0.25">
      <c r="B10" s="241" t="s">
        <v>261</v>
      </c>
      <c r="C10" s="236">
        <f>SUM(C11:C16)</f>
        <v>122296468.19360663</v>
      </c>
      <c r="D10" s="236">
        <f>SUM(D11:D16)</f>
        <v>16121306.001872538</v>
      </c>
      <c r="E10" s="236">
        <f t="shared" si="8"/>
        <v>106175162.19173409</v>
      </c>
      <c r="F10" s="242">
        <f t="shared" si="9"/>
        <v>7.5860149406879032</v>
      </c>
      <c r="G10" s="89"/>
      <c r="H10" s="241" t="s">
        <v>261</v>
      </c>
      <c r="I10" s="236">
        <f>SUM(I11:I16)</f>
        <v>109005655.48164521</v>
      </c>
      <c r="J10" s="236">
        <f>SUM(J11:J16)</f>
        <v>14156554.303685892</v>
      </c>
      <c r="K10" s="236">
        <f t="shared" si="10"/>
        <v>94849101.177959323</v>
      </c>
      <c r="L10" s="242">
        <f t="shared" si="11"/>
        <v>7.7000132336767706</v>
      </c>
      <c r="M10" s="89"/>
      <c r="N10" s="106" t="s">
        <v>34</v>
      </c>
      <c r="O10" s="223">
        <f>SUM(O11:O13)</f>
        <v>36602654.533993363</v>
      </c>
      <c r="P10" s="223">
        <f>SUM(P11:P13)</f>
        <v>23844020.93</v>
      </c>
      <c r="Q10" s="223">
        <f>SUM(Q11:Q13)</f>
        <v>12758633.603993367</v>
      </c>
      <c r="R10" s="243">
        <f t="shared" si="0"/>
        <v>1.5350873345334446</v>
      </c>
      <c r="S10" s="89"/>
      <c r="T10" s="106" t="s">
        <v>34</v>
      </c>
      <c r="U10" s="223">
        <f>SUM(U11:U13)</f>
        <v>60660293.067592278</v>
      </c>
      <c r="V10" s="223">
        <f>SUM(V11:V13)</f>
        <v>32646728.129999999</v>
      </c>
      <c r="W10" s="223">
        <f>SUM(W11:W13)</f>
        <v>28013564.937592283</v>
      </c>
      <c r="X10" s="243">
        <f t="shared" si="1"/>
        <v>1.8580818520631421</v>
      </c>
      <c r="Y10" s="89"/>
      <c r="Z10" s="106" t="s">
        <v>34</v>
      </c>
      <c r="AA10" s="223">
        <f>SUM(AA11:AA13)</f>
        <v>21320704.099661559</v>
      </c>
      <c r="AB10" s="223">
        <f>SUM(AB11:AB13)</f>
        <v>29402168.859999999</v>
      </c>
      <c r="AC10" s="223">
        <f>SUM(AC11:AC13)</f>
        <v>-8081464.7603384368</v>
      </c>
      <c r="AD10" s="243">
        <f t="shared" si="2"/>
        <v>0.72514052283629937</v>
      </c>
      <c r="AF10" s="106" t="s">
        <v>34</v>
      </c>
      <c r="AG10" s="223">
        <f>SUM(AG11:AG13)</f>
        <v>19362182.890003599</v>
      </c>
      <c r="AH10" s="223">
        <f>SUM(AH11:AH13)</f>
        <v>31062904</v>
      </c>
      <c r="AI10" s="223">
        <f>SUM(AI11:AI13)</f>
        <v>-11700721.109996401</v>
      </c>
      <c r="AJ10" s="243">
        <f t="shared" si="3"/>
        <v>0.62332172452400458</v>
      </c>
      <c r="AL10" s="105" t="s">
        <v>32</v>
      </c>
      <c r="AM10" s="229">
        <v>8410796.2090371083</v>
      </c>
      <c r="AN10" s="229">
        <v>10875000</v>
      </c>
      <c r="AO10" s="229">
        <f t="shared" si="12"/>
        <v>-2464203.7909628917</v>
      </c>
      <c r="AP10" s="230">
        <f t="shared" si="4"/>
        <v>0.77340654795743524</v>
      </c>
      <c r="AR10" s="105" t="s">
        <v>32</v>
      </c>
      <c r="AS10" s="229">
        <v>9904451.6873665825</v>
      </c>
      <c r="AT10" s="229">
        <v>12762570</v>
      </c>
      <c r="AU10" s="229">
        <f t="shared" si="13"/>
        <v>-2858118.3126334175</v>
      </c>
      <c r="AV10" s="230">
        <f t="shared" si="5"/>
        <v>0.77605464160953341</v>
      </c>
      <c r="AX10" s="105" t="s">
        <v>32</v>
      </c>
      <c r="AY10" s="229">
        <v>11459977.218302742</v>
      </c>
      <c r="AZ10" s="229">
        <v>14512935</v>
      </c>
      <c r="BA10" s="229">
        <f t="shared" si="14"/>
        <v>-3052957.7816972584</v>
      </c>
      <c r="BB10" s="230">
        <f t="shared" si="6"/>
        <v>0.78963884412785845</v>
      </c>
      <c r="BD10" s="105" t="s">
        <v>32</v>
      </c>
      <c r="BE10" s="229">
        <v>13062873.607427072</v>
      </c>
      <c r="BF10" s="229">
        <v>16327928</v>
      </c>
      <c r="BG10" s="229">
        <f t="shared" si="15"/>
        <v>-3265054.3925729282</v>
      </c>
      <c r="BH10" s="230">
        <f t="shared" si="7"/>
        <v>0.80003253367035132</v>
      </c>
    </row>
    <row r="11" spans="2:60" ht="15" x14ac:dyDescent="0.25">
      <c r="B11" s="238" t="s">
        <v>268</v>
      </c>
      <c r="C11" s="239">
        <v>61934.707664156274</v>
      </c>
      <c r="D11" s="239">
        <v>470919.97566352144</v>
      </c>
      <c r="E11" s="239">
        <f t="shared" si="8"/>
        <v>-408985.26799936517</v>
      </c>
      <c r="F11" s="240">
        <f t="shared" si="9"/>
        <v>0.13151854001710356</v>
      </c>
      <c r="G11" s="89"/>
      <c r="H11" s="238" t="s">
        <v>268</v>
      </c>
      <c r="I11" s="239">
        <v>43100.165744308004</v>
      </c>
      <c r="J11" s="239">
        <v>175155.33288345678</v>
      </c>
      <c r="K11" s="239">
        <f t="shared" si="10"/>
        <v>-132055.16713914878</v>
      </c>
      <c r="L11" s="240">
        <f t="shared" si="11"/>
        <v>0.24606824716542081</v>
      </c>
      <c r="M11" s="89"/>
      <c r="N11" s="105" t="s">
        <v>36</v>
      </c>
      <c r="O11" s="229">
        <v>20064666.231655803</v>
      </c>
      <c r="P11" s="229">
        <v>17551494.5</v>
      </c>
      <c r="Q11" s="229">
        <f>O11-P11</f>
        <v>2513171.7316558026</v>
      </c>
      <c r="R11" s="230">
        <f t="shared" si="0"/>
        <v>1.1431884750130994</v>
      </c>
      <c r="S11" s="89"/>
      <c r="T11" s="105" t="s">
        <v>36</v>
      </c>
      <c r="U11" s="229">
        <v>32347922.961734425</v>
      </c>
      <c r="V11" s="229">
        <v>21866466.810000002</v>
      </c>
      <c r="W11" s="229">
        <f>U11-V11</f>
        <v>10481456.151734423</v>
      </c>
      <c r="X11" s="230">
        <f t="shared" si="1"/>
        <v>1.4793392660464484</v>
      </c>
      <c r="Y11" s="89"/>
      <c r="Z11" s="105" t="s">
        <v>36</v>
      </c>
      <c r="AA11" s="229">
        <v>15481645.810612684</v>
      </c>
      <c r="AB11" s="229">
        <v>21502779.389999997</v>
      </c>
      <c r="AC11" s="229">
        <f>AA11-AB11</f>
        <v>-6021133.5793873128</v>
      </c>
      <c r="AD11" s="230">
        <f t="shared" si="2"/>
        <v>0.71998347422066378</v>
      </c>
      <c r="AF11" s="105" t="s">
        <v>36</v>
      </c>
      <c r="AG11" s="229">
        <v>14426388.171764253</v>
      </c>
      <c r="AH11" s="229">
        <v>22274256</v>
      </c>
      <c r="AI11" s="229">
        <f>AG11-AH11</f>
        <v>-7847867.8282357473</v>
      </c>
      <c r="AJ11" s="230">
        <f t="shared" si="3"/>
        <v>0.64767093328568426</v>
      </c>
      <c r="AL11" s="105" t="s">
        <v>33</v>
      </c>
      <c r="AM11" s="229">
        <v>622201.24345870281</v>
      </c>
      <c r="AN11" s="229">
        <v>2460000</v>
      </c>
      <c r="AO11" s="229">
        <f t="shared" si="12"/>
        <v>-1837798.7565412973</v>
      </c>
      <c r="AP11" s="230">
        <f t="shared" si="4"/>
        <v>0.25292733473931006</v>
      </c>
      <c r="AR11" s="105" t="s">
        <v>33</v>
      </c>
      <c r="AS11" s="229">
        <v>1229847.1888520925</v>
      </c>
      <c r="AT11" s="229">
        <v>2644720</v>
      </c>
      <c r="AU11" s="229">
        <f t="shared" si="13"/>
        <v>-1414872.8111479075</v>
      </c>
      <c r="AV11" s="230">
        <f t="shared" si="5"/>
        <v>0.46501980884634003</v>
      </c>
      <c r="AX11" s="105" t="s">
        <v>33</v>
      </c>
      <c r="AY11" s="229">
        <v>1700130.1823161936</v>
      </c>
      <c r="AZ11" s="229">
        <v>3000618</v>
      </c>
      <c r="BA11" s="229">
        <f t="shared" si="14"/>
        <v>-1300487.8176838064</v>
      </c>
      <c r="BB11" s="230">
        <f t="shared" si="6"/>
        <v>0.56659334254350058</v>
      </c>
      <c r="BD11" s="105" t="s">
        <v>33</v>
      </c>
      <c r="BE11" s="229">
        <v>2144212.0327111711</v>
      </c>
      <c r="BF11" s="229">
        <v>3367977</v>
      </c>
      <c r="BG11" s="229">
        <f t="shared" si="15"/>
        <v>-1223764.9672888289</v>
      </c>
      <c r="BH11" s="230">
        <f t="shared" si="7"/>
        <v>0.63664687517497032</v>
      </c>
    </row>
    <row r="12" spans="2:60" ht="15" x14ac:dyDescent="0.25">
      <c r="B12" s="238" t="s">
        <v>269</v>
      </c>
      <c r="C12" s="239">
        <v>786045.0926181036</v>
      </c>
      <c r="D12" s="239">
        <v>141258.91281793054</v>
      </c>
      <c r="E12" s="239">
        <f t="shared" si="8"/>
        <v>644786.17980017303</v>
      </c>
      <c r="F12" s="240">
        <f t="shared" si="9"/>
        <v>5.564569887574045</v>
      </c>
      <c r="G12" s="89"/>
      <c r="H12" s="238" t="s">
        <v>269</v>
      </c>
      <c r="I12" s="239">
        <v>0</v>
      </c>
      <c r="J12" s="239">
        <v>23818.400000000001</v>
      </c>
      <c r="K12" s="239">
        <f t="shared" si="10"/>
        <v>-23818.400000000001</v>
      </c>
      <c r="L12" s="240">
        <f t="shared" si="11"/>
        <v>0</v>
      </c>
      <c r="M12" s="89"/>
      <c r="N12" s="105" t="s">
        <v>38</v>
      </c>
      <c r="O12" s="229">
        <v>16537988.302337565</v>
      </c>
      <c r="P12" s="229">
        <v>5124136.1400000006</v>
      </c>
      <c r="Q12" s="229">
        <f>O12-P12</f>
        <v>11413852.162337564</v>
      </c>
      <c r="R12" s="230">
        <f t="shared" si="0"/>
        <v>3.2274685626009854</v>
      </c>
      <c r="S12" s="89"/>
      <c r="T12" s="105" t="s">
        <v>38</v>
      </c>
      <c r="U12" s="229">
        <v>28312370.105857857</v>
      </c>
      <c r="V12" s="229">
        <v>9394724.8099999968</v>
      </c>
      <c r="W12" s="229">
        <f>U12-V12</f>
        <v>18917645.295857862</v>
      </c>
      <c r="X12" s="230">
        <f t="shared" si="1"/>
        <v>3.01364549557869</v>
      </c>
      <c r="Y12" s="89"/>
      <c r="Z12" s="105" t="s">
        <v>38</v>
      </c>
      <c r="AA12" s="229">
        <v>5839058.2890488766</v>
      </c>
      <c r="AB12" s="229">
        <v>6428987.0300000003</v>
      </c>
      <c r="AC12" s="229">
        <f>AA12-AB12</f>
        <v>-589928.74095112365</v>
      </c>
      <c r="AD12" s="230">
        <f t="shared" si="2"/>
        <v>0.90823923921477823</v>
      </c>
      <c r="AF12" s="105" t="s">
        <v>38</v>
      </c>
      <c r="AG12" s="229">
        <v>4935794.7182393465</v>
      </c>
      <c r="AH12" s="229">
        <v>7245823</v>
      </c>
      <c r="AI12" s="229">
        <f>AG12-AH12</f>
        <v>-2310028.2817606535</v>
      </c>
      <c r="AJ12" s="230">
        <f t="shared" si="3"/>
        <v>0.6811917318763302</v>
      </c>
      <c r="AL12" s="105" t="s">
        <v>85</v>
      </c>
      <c r="AM12" s="229">
        <v>0</v>
      </c>
      <c r="AN12" s="229">
        <v>2573738</v>
      </c>
      <c r="AO12" s="229">
        <f t="shared" si="12"/>
        <v>-2573738</v>
      </c>
      <c r="AP12" s="244">
        <f t="shared" si="4"/>
        <v>0</v>
      </c>
      <c r="AR12" s="105" t="s">
        <v>85</v>
      </c>
      <c r="AS12" s="229">
        <v>0</v>
      </c>
      <c r="AT12" s="229">
        <v>2618006</v>
      </c>
      <c r="AU12" s="229">
        <f t="shared" si="13"/>
        <v>-2618006</v>
      </c>
      <c r="AV12" s="244">
        <f t="shared" si="5"/>
        <v>0</v>
      </c>
      <c r="AX12" s="105" t="s">
        <v>85</v>
      </c>
      <c r="AY12" s="229">
        <v>0</v>
      </c>
      <c r="AZ12" s="229">
        <v>2663036</v>
      </c>
      <c r="BA12" s="229">
        <f t="shared" si="14"/>
        <v>-2663036</v>
      </c>
      <c r="BB12" s="244">
        <f t="shared" si="6"/>
        <v>0</v>
      </c>
      <c r="BD12" s="105" t="s">
        <v>85</v>
      </c>
      <c r="BE12" s="229">
        <v>0</v>
      </c>
      <c r="BF12" s="229">
        <v>2708841</v>
      </c>
      <c r="BG12" s="229">
        <f t="shared" si="15"/>
        <v>-2708841</v>
      </c>
      <c r="BH12" s="244">
        <f t="shared" si="7"/>
        <v>0</v>
      </c>
    </row>
    <row r="13" spans="2:60" ht="15" x14ac:dyDescent="0.25">
      <c r="B13" s="238" t="s">
        <v>270</v>
      </c>
      <c r="C13" s="239">
        <v>100040605.66618024</v>
      </c>
      <c r="D13" s="239">
        <v>9416275.9377576541</v>
      </c>
      <c r="E13" s="239">
        <f t="shared" si="8"/>
        <v>90624329.728422582</v>
      </c>
      <c r="F13" s="240">
        <f t="shared" si="9"/>
        <v>10.624221967097899</v>
      </c>
      <c r="G13" s="89"/>
      <c r="H13" s="238" t="s">
        <v>270</v>
      </c>
      <c r="I13" s="239">
        <v>86710278.7794469</v>
      </c>
      <c r="J13" s="239">
        <v>8550282.3800847586</v>
      </c>
      <c r="K13" s="239">
        <f t="shared" si="10"/>
        <v>78159996.399362147</v>
      </c>
      <c r="L13" s="240">
        <f t="shared" si="11"/>
        <v>10.141218140515653</v>
      </c>
      <c r="M13" s="89"/>
      <c r="N13" s="105" t="s">
        <v>107</v>
      </c>
      <c r="O13" s="229"/>
      <c r="P13" s="229">
        <v>1168390.29</v>
      </c>
      <c r="Q13" s="229">
        <f>O13-P13</f>
        <v>-1168390.29</v>
      </c>
      <c r="R13" s="244">
        <f t="shared" si="0"/>
        <v>0</v>
      </c>
      <c r="S13" s="89"/>
      <c r="T13" s="105" t="s">
        <v>107</v>
      </c>
      <c r="U13" s="229"/>
      <c r="V13" s="229">
        <v>1385536.5100000007</v>
      </c>
      <c r="W13" s="229">
        <f>U13-V13</f>
        <v>-1385536.5100000007</v>
      </c>
      <c r="X13" s="244">
        <f t="shared" si="1"/>
        <v>0</v>
      </c>
      <c r="Y13" s="89"/>
      <c r="Z13" s="105" t="s">
        <v>107</v>
      </c>
      <c r="AA13" s="229"/>
      <c r="AB13" s="229">
        <v>1470402.44</v>
      </c>
      <c r="AC13" s="229">
        <f>AA13-AB13</f>
        <v>-1470402.44</v>
      </c>
      <c r="AD13" s="244">
        <f t="shared" si="2"/>
        <v>0</v>
      </c>
      <c r="AF13" s="105" t="s">
        <v>107</v>
      </c>
      <c r="AG13" s="229">
        <v>0</v>
      </c>
      <c r="AH13" s="229">
        <v>1542825</v>
      </c>
      <c r="AI13" s="229">
        <f>AG13-AH13</f>
        <v>-1542825</v>
      </c>
      <c r="AJ13" s="244">
        <f t="shared" si="3"/>
        <v>0</v>
      </c>
      <c r="AL13" s="106" t="s">
        <v>2</v>
      </c>
      <c r="AM13" s="223">
        <f>SUM(AM14:AM16)</f>
        <v>19399639.99532437</v>
      </c>
      <c r="AN13" s="223">
        <f>SUM(AN14:AN16)</f>
        <v>27336368</v>
      </c>
      <c r="AO13" s="223">
        <f t="shared" si="12"/>
        <v>-7936728.0046756305</v>
      </c>
      <c r="AP13" s="243">
        <f t="shared" si="4"/>
        <v>0.70966413663016126</v>
      </c>
      <c r="AR13" s="106" t="s">
        <v>2</v>
      </c>
      <c r="AS13" s="223">
        <f>SUM(AS14:AS16)</f>
        <v>21023292.675820019</v>
      </c>
      <c r="AT13" s="223">
        <f>SUM(AT14:AT16)</f>
        <v>29790341</v>
      </c>
      <c r="AU13" s="223">
        <f t="shared" si="13"/>
        <v>-8767048.3241799809</v>
      </c>
      <c r="AV13" s="243">
        <f t="shared" si="5"/>
        <v>0.70570835949209243</v>
      </c>
      <c r="AX13" s="106" t="s">
        <v>2</v>
      </c>
      <c r="AY13" s="223">
        <f>SUM(AY14:AY16)</f>
        <v>22666191.768520165</v>
      </c>
      <c r="AZ13" s="223">
        <f>SUM(AZ14:AZ16)</f>
        <v>32879507</v>
      </c>
      <c r="BA13" s="223">
        <f t="shared" si="14"/>
        <v>-10213315.231479835</v>
      </c>
      <c r="BB13" s="243">
        <f t="shared" si="6"/>
        <v>0.68937139989721152</v>
      </c>
      <c r="BD13" s="106" t="s">
        <v>2</v>
      </c>
      <c r="BE13" s="223">
        <f>SUM(BE14:BE16)</f>
        <v>24307566.685361199</v>
      </c>
      <c r="BF13" s="223">
        <f>SUM(BF14:BF16)</f>
        <v>35656823</v>
      </c>
      <c r="BG13" s="223">
        <f t="shared" si="15"/>
        <v>-11349256.314638801</v>
      </c>
      <c r="BH13" s="243">
        <f t="shared" si="7"/>
        <v>0.68170870650369497</v>
      </c>
    </row>
    <row r="14" spans="2:60" ht="15" x14ac:dyDescent="0.25">
      <c r="B14" s="238" t="s">
        <v>271</v>
      </c>
      <c r="C14" s="239">
        <v>9760628.4441819172</v>
      </c>
      <c r="D14" s="239">
        <v>3130998.1700181416</v>
      </c>
      <c r="E14" s="239">
        <f t="shared" si="8"/>
        <v>6629630.2741637751</v>
      </c>
      <c r="F14" s="240">
        <f t="shared" si="9"/>
        <v>3.1174174861064712</v>
      </c>
      <c r="G14" s="89"/>
      <c r="H14" s="238" t="s">
        <v>271</v>
      </c>
      <c r="I14" s="239">
        <v>7429125.1854251549</v>
      </c>
      <c r="J14" s="239">
        <v>2661602.7778345756</v>
      </c>
      <c r="K14" s="239">
        <f t="shared" si="10"/>
        <v>4767522.4075905792</v>
      </c>
      <c r="L14" s="240">
        <f t="shared" si="11"/>
        <v>2.7912223594346171</v>
      </c>
      <c r="M14" s="89"/>
      <c r="N14" s="106" t="s">
        <v>3</v>
      </c>
      <c r="O14" s="224">
        <f>SUM(O15:O19)</f>
        <v>105016827.73851967</v>
      </c>
      <c r="P14" s="224">
        <f>SUM(P15:P19)</f>
        <v>20859882.719999991</v>
      </c>
      <c r="Q14" s="224">
        <f>SUM(Q15:Q19)</f>
        <v>84156945.018519685</v>
      </c>
      <c r="R14" s="243">
        <f t="shared" si="0"/>
        <v>5.0343920504323769</v>
      </c>
      <c r="S14" s="89"/>
      <c r="T14" s="106" t="s">
        <v>3</v>
      </c>
      <c r="U14" s="224">
        <f>SUM(U15:U19)</f>
        <v>145574040.88460514</v>
      </c>
      <c r="V14" s="224">
        <f>SUM(V15:V19)</f>
        <v>25352080.300000001</v>
      </c>
      <c r="W14" s="224">
        <f>SUM(W15:W19)</f>
        <v>120221960.58460511</v>
      </c>
      <c r="X14" s="243">
        <f t="shared" si="1"/>
        <v>5.7420945011997748</v>
      </c>
      <c r="Y14" s="89"/>
      <c r="Z14" s="106" t="s">
        <v>3</v>
      </c>
      <c r="AA14" s="224">
        <f>SUM(AA15:AA19)</f>
        <v>57307383.83314006</v>
      </c>
      <c r="AB14" s="224">
        <f>SUM(AB15:AB19)</f>
        <v>27760751.289999999</v>
      </c>
      <c r="AC14" s="224">
        <f>SUM(AC15:AC19)</f>
        <v>29546632.543140054</v>
      </c>
      <c r="AD14" s="243">
        <f t="shared" si="2"/>
        <v>2.0643311571248208</v>
      </c>
      <c r="AF14" s="106" t="s">
        <v>3</v>
      </c>
      <c r="AG14" s="224">
        <f>SUM(AG15:AG19)</f>
        <v>58766982.527407341</v>
      </c>
      <c r="AH14" s="224">
        <f>SUM(AH15:AH19)</f>
        <v>26438969.463551149</v>
      </c>
      <c r="AI14" s="224">
        <f>SUM(AI15:AI19)</f>
        <v>32328013.063856192</v>
      </c>
      <c r="AJ14" s="243">
        <f t="shared" si="3"/>
        <v>2.2227410417196367</v>
      </c>
      <c r="AL14" s="105" t="s">
        <v>36</v>
      </c>
      <c r="AM14" s="229">
        <v>10224699.591821622</v>
      </c>
      <c r="AN14" s="229">
        <v>16775338</v>
      </c>
      <c r="AO14" s="229">
        <f t="shared" si="12"/>
        <v>-6550638.4081783779</v>
      </c>
      <c r="AP14" s="230">
        <f t="shared" si="4"/>
        <v>0.60950781390047837</v>
      </c>
      <c r="AR14" s="105" t="s">
        <v>36</v>
      </c>
      <c r="AS14" s="229">
        <v>11406395.341048393</v>
      </c>
      <c r="AT14" s="229">
        <v>18591203</v>
      </c>
      <c r="AU14" s="229">
        <f t="shared" si="13"/>
        <v>-7184807.6589516066</v>
      </c>
      <c r="AV14" s="230">
        <f t="shared" si="5"/>
        <v>0.61353723807159732</v>
      </c>
      <c r="AX14" s="105" t="s">
        <v>36</v>
      </c>
      <c r="AY14" s="229">
        <v>12569637.663536292</v>
      </c>
      <c r="AZ14" s="229">
        <v>20703369</v>
      </c>
      <c r="BA14" s="229">
        <f t="shared" si="14"/>
        <v>-8133731.3364637084</v>
      </c>
      <c r="BB14" s="230">
        <f t="shared" si="6"/>
        <v>0.60713006001758896</v>
      </c>
      <c r="BD14" s="105" t="s">
        <v>36</v>
      </c>
      <c r="BE14" s="229">
        <v>13871281.337383885</v>
      </c>
      <c r="BF14" s="229">
        <v>22903803</v>
      </c>
      <c r="BG14" s="229">
        <f t="shared" si="15"/>
        <v>-9032521.6626161151</v>
      </c>
      <c r="BH14" s="230">
        <f t="shared" si="7"/>
        <v>0.60563223222728058</v>
      </c>
    </row>
    <row r="15" spans="2:60" ht="15" x14ac:dyDescent="0.25">
      <c r="B15" s="105" t="s">
        <v>403</v>
      </c>
      <c r="C15" s="239">
        <v>11394761.456034556</v>
      </c>
      <c r="D15" s="239">
        <v>2704381.6956144054</v>
      </c>
      <c r="E15" s="239">
        <f t="shared" si="8"/>
        <v>8690379.7604201511</v>
      </c>
      <c r="F15" s="240">
        <f t="shared" si="9"/>
        <v>4.2134442318231242</v>
      </c>
      <c r="G15" s="89"/>
      <c r="H15" s="105" t="s">
        <v>403</v>
      </c>
      <c r="I15" s="239">
        <v>13133602.641391087</v>
      </c>
      <c r="J15" s="239">
        <v>2557136.6972476114</v>
      </c>
      <c r="K15" s="239">
        <f t="shared" si="10"/>
        <v>10576465.944143476</v>
      </c>
      <c r="L15" s="240">
        <f t="shared" si="11"/>
        <v>5.1360580979215991</v>
      </c>
      <c r="M15" s="89"/>
      <c r="N15" s="105" t="s">
        <v>39</v>
      </c>
      <c r="O15" s="229">
        <v>78087242.829066798</v>
      </c>
      <c r="P15" s="229">
        <v>8393867.6099999994</v>
      </c>
      <c r="Q15" s="229">
        <f>O15-P15</f>
        <v>69693375.219066799</v>
      </c>
      <c r="R15" s="230">
        <f t="shared" si="0"/>
        <v>9.302891879785891</v>
      </c>
      <c r="S15" s="89"/>
      <c r="T15" s="105" t="s">
        <v>39</v>
      </c>
      <c r="U15" s="229">
        <v>101260778.28548414</v>
      </c>
      <c r="V15" s="229">
        <v>10340226.029999992</v>
      </c>
      <c r="W15" s="229">
        <f>U15-V15</f>
        <v>90920552.255484149</v>
      </c>
      <c r="X15" s="230">
        <f t="shared" si="1"/>
        <v>9.792897949396588</v>
      </c>
      <c r="Y15" s="89"/>
      <c r="Z15" s="105" t="s">
        <v>39</v>
      </c>
      <c r="AA15" s="229">
        <v>32627592.409315396</v>
      </c>
      <c r="AB15" s="229">
        <v>9660113.4999999981</v>
      </c>
      <c r="AC15" s="229">
        <f>AA15-AB15</f>
        <v>22967478.9093154</v>
      </c>
      <c r="AD15" s="230">
        <f t="shared" si="2"/>
        <v>3.3775578733433518</v>
      </c>
      <c r="AF15" s="105" t="s">
        <v>39</v>
      </c>
      <c r="AG15" s="229">
        <v>31870164.987325147</v>
      </c>
      <c r="AH15" s="229">
        <v>7896613.3616303932</v>
      </c>
      <c r="AI15" s="229">
        <f>AG15-AH15</f>
        <v>23973551.625694752</v>
      </c>
      <c r="AJ15" s="230">
        <f t="shared" si="3"/>
        <v>4.0359282552925952</v>
      </c>
      <c r="AL15" s="105" t="s">
        <v>38</v>
      </c>
      <c r="AM15" s="229">
        <v>9174940.4035027474</v>
      </c>
      <c r="AN15" s="229">
        <v>8722689</v>
      </c>
      <c r="AO15" s="229">
        <f t="shared" si="12"/>
        <v>452251.40350274742</v>
      </c>
      <c r="AP15" s="230">
        <f t="shared" si="4"/>
        <v>1.0518477047046786</v>
      </c>
      <c r="AR15" s="105" t="s">
        <v>38</v>
      </c>
      <c r="AS15" s="229">
        <v>9616897.3347716257</v>
      </c>
      <c r="AT15" s="229">
        <v>9329177</v>
      </c>
      <c r="AU15" s="229">
        <f t="shared" si="13"/>
        <v>287720.3347716257</v>
      </c>
      <c r="AV15" s="230">
        <f t="shared" si="5"/>
        <v>1.0308409128448979</v>
      </c>
      <c r="AX15" s="105" t="s">
        <v>38</v>
      </c>
      <c r="AY15" s="229">
        <v>10096554.104983874</v>
      </c>
      <c r="AZ15" s="229">
        <v>10274013</v>
      </c>
      <c r="BA15" s="229">
        <f t="shared" si="14"/>
        <v>-177458.89501612633</v>
      </c>
      <c r="BB15" s="230">
        <f t="shared" si="6"/>
        <v>0.98272740213428522</v>
      </c>
      <c r="BD15" s="105" t="s">
        <v>38</v>
      </c>
      <c r="BE15" s="229">
        <v>10436285.347977316</v>
      </c>
      <c r="BF15" s="229">
        <v>10818179</v>
      </c>
      <c r="BG15" s="229">
        <f t="shared" si="15"/>
        <v>-381893.65202268399</v>
      </c>
      <c r="BH15" s="230">
        <f t="shared" si="7"/>
        <v>0.96469889691946453</v>
      </c>
    </row>
    <row r="16" spans="2:60" ht="15" x14ac:dyDescent="0.25">
      <c r="B16" s="238" t="s">
        <v>272</v>
      </c>
      <c r="C16" s="239">
        <v>252492.82692765628</v>
      </c>
      <c r="D16" s="239">
        <v>257471.3100008856</v>
      </c>
      <c r="E16" s="239">
        <f t="shared" si="8"/>
        <v>-4978.4830732293194</v>
      </c>
      <c r="F16" s="240">
        <f t="shared" si="9"/>
        <v>0.98066393077655056</v>
      </c>
      <c r="G16" s="89"/>
      <c r="H16" s="238" t="s">
        <v>272</v>
      </c>
      <c r="I16" s="239">
        <v>1689548.7096377567</v>
      </c>
      <c r="J16" s="239">
        <v>188558.71563548982</v>
      </c>
      <c r="K16" s="239">
        <f t="shared" si="10"/>
        <v>1500989.9940022668</v>
      </c>
      <c r="L16" s="240">
        <f t="shared" si="11"/>
        <v>8.9603320851203136</v>
      </c>
      <c r="M16" s="89"/>
      <c r="N16" s="105" t="s">
        <v>45</v>
      </c>
      <c r="O16" s="229">
        <v>10638397.727930989</v>
      </c>
      <c r="P16" s="229">
        <v>3066057.01</v>
      </c>
      <c r="Q16" s="229">
        <f>O16-P16</f>
        <v>7572340.7179309893</v>
      </c>
      <c r="R16" s="230">
        <f t="shared" si="0"/>
        <v>3.4697325239660137</v>
      </c>
      <c r="S16" s="89"/>
      <c r="T16" s="105" t="s">
        <v>45</v>
      </c>
      <c r="U16" s="229">
        <v>12311213.214721434</v>
      </c>
      <c r="V16" s="229">
        <v>2496648.85</v>
      </c>
      <c r="W16" s="229">
        <f>U16-V16</f>
        <v>9814564.3647214342</v>
      </c>
      <c r="X16" s="230">
        <f t="shared" si="1"/>
        <v>4.9310952217895734</v>
      </c>
      <c r="Y16" s="89"/>
      <c r="Z16" s="105" t="s">
        <v>45</v>
      </c>
      <c r="AA16" s="229">
        <v>6212410.0095412359</v>
      </c>
      <c r="AB16" s="229">
        <v>3255505.8499999996</v>
      </c>
      <c r="AC16" s="229">
        <f>AA16-AB16</f>
        <v>2956904.1595412362</v>
      </c>
      <c r="AD16" s="230">
        <f t="shared" si="2"/>
        <v>1.908277943822843</v>
      </c>
      <c r="AF16" s="105" t="s">
        <v>45</v>
      </c>
      <c r="AG16" s="229">
        <v>8454089.2298227269</v>
      </c>
      <c r="AH16" s="229">
        <v>4338908.344495343</v>
      </c>
      <c r="AI16" s="229">
        <f>AG16-AH16</f>
        <v>4115180.8853273839</v>
      </c>
      <c r="AJ16" s="230">
        <f t="shared" si="3"/>
        <v>1.9484369243586821</v>
      </c>
      <c r="AL16" s="105" t="s">
        <v>85</v>
      </c>
      <c r="AM16" s="229">
        <v>0</v>
      </c>
      <c r="AN16" s="229">
        <v>1838341</v>
      </c>
      <c r="AO16" s="229">
        <f t="shared" si="12"/>
        <v>-1838341</v>
      </c>
      <c r="AP16" s="244">
        <f t="shared" si="4"/>
        <v>0</v>
      </c>
      <c r="AR16" s="105" t="s">
        <v>85</v>
      </c>
      <c r="AS16" s="229">
        <v>0</v>
      </c>
      <c r="AT16" s="229">
        <v>1869961</v>
      </c>
      <c r="AU16" s="229">
        <f t="shared" si="13"/>
        <v>-1869961</v>
      </c>
      <c r="AV16" s="244">
        <f t="shared" si="5"/>
        <v>0</v>
      </c>
      <c r="AX16" s="105" t="s">
        <v>85</v>
      </c>
      <c r="AY16" s="229">
        <v>0</v>
      </c>
      <c r="AZ16" s="229">
        <v>1902125</v>
      </c>
      <c r="BA16" s="229">
        <f t="shared" si="14"/>
        <v>-1902125</v>
      </c>
      <c r="BB16" s="244">
        <f t="shared" si="6"/>
        <v>0</v>
      </c>
      <c r="BD16" s="105" t="s">
        <v>85</v>
      </c>
      <c r="BE16" s="229">
        <v>0</v>
      </c>
      <c r="BF16" s="229">
        <v>1934841</v>
      </c>
      <c r="BG16" s="229">
        <f t="shared" si="15"/>
        <v>-1934841</v>
      </c>
      <c r="BH16" s="244">
        <f t="shared" si="7"/>
        <v>0</v>
      </c>
    </row>
    <row r="17" spans="2:60" ht="15" x14ac:dyDescent="0.25">
      <c r="B17" s="106" t="s">
        <v>34</v>
      </c>
      <c r="C17" s="227">
        <f>SUM(C18:C19)</f>
        <v>29838244.921310931</v>
      </c>
      <c r="D17" s="227">
        <f>SUM(D18:D19)</f>
        <v>11886686.206061188</v>
      </c>
      <c r="E17" s="227">
        <f t="shared" si="8"/>
        <v>17951558.715249743</v>
      </c>
      <c r="F17" s="228">
        <f t="shared" si="9"/>
        <v>2.5102239938071209</v>
      </c>
      <c r="G17" s="89"/>
      <c r="H17" s="106" t="s">
        <v>34</v>
      </c>
      <c r="I17" s="227">
        <f>SUM(I18:I19)</f>
        <v>29690274.442529008</v>
      </c>
      <c r="J17" s="227">
        <f>SUM(J18:J19)</f>
        <v>12237060.634826858</v>
      </c>
      <c r="K17" s="227">
        <f t="shared" si="10"/>
        <v>17453213.80770215</v>
      </c>
      <c r="L17" s="228">
        <f t="shared" si="11"/>
        <v>2.4262586685261689</v>
      </c>
      <c r="M17" s="89"/>
      <c r="N17" s="105" t="s">
        <v>47</v>
      </c>
      <c r="O17" s="229">
        <v>11670998.224498298</v>
      </c>
      <c r="P17" s="229">
        <v>3745019.8000000003</v>
      </c>
      <c r="Q17" s="229">
        <f>O17-P17</f>
        <v>7925978.4244982973</v>
      </c>
      <c r="R17" s="230">
        <f t="shared" si="0"/>
        <v>3.116404945175002</v>
      </c>
      <c r="S17" s="89"/>
      <c r="T17" s="105" t="s">
        <v>47</v>
      </c>
      <c r="U17" s="229">
        <v>23358511.218037531</v>
      </c>
      <c r="V17" s="229">
        <v>6149253.3700000001</v>
      </c>
      <c r="W17" s="229">
        <f>U17-V17</f>
        <v>17209257.84803753</v>
      </c>
      <c r="X17" s="230">
        <f t="shared" si="1"/>
        <v>3.7985930669234289</v>
      </c>
      <c r="Y17" s="89"/>
      <c r="Z17" s="105" t="s">
        <v>47</v>
      </c>
      <c r="AA17" s="229">
        <v>14100288.86884021</v>
      </c>
      <c r="AB17" s="229">
        <v>8310335.6900000004</v>
      </c>
      <c r="AC17" s="229">
        <f>AA17-AB17</f>
        <v>5789953.1788402097</v>
      </c>
      <c r="AD17" s="230">
        <f t="shared" si="2"/>
        <v>1.6967171236906087</v>
      </c>
      <c r="AF17" s="105" t="s">
        <v>47</v>
      </c>
      <c r="AG17" s="229">
        <v>14364173.963441642</v>
      </c>
      <c r="AH17" s="229">
        <v>7479084.0946270805</v>
      </c>
      <c r="AI17" s="229">
        <f>AG17-AH17</f>
        <v>6885089.8688145615</v>
      </c>
      <c r="AJ17" s="230">
        <f t="shared" si="3"/>
        <v>1.920579282396458</v>
      </c>
      <c r="AL17" s="106" t="s">
        <v>3</v>
      </c>
      <c r="AM17" s="224">
        <f>SUM(AM18:AM24)</f>
        <v>93416735.564344049</v>
      </c>
      <c r="AN17" s="224">
        <f>SUM(AN18:AN24)</f>
        <v>43048033</v>
      </c>
      <c r="AO17" s="224">
        <f t="shared" si="12"/>
        <v>50368702.564344049</v>
      </c>
      <c r="AP17" s="243">
        <f t="shared" si="4"/>
        <v>2.1700581665216632</v>
      </c>
      <c r="AR17" s="106" t="s">
        <v>3</v>
      </c>
      <c r="AS17" s="224">
        <f>SUM(AS18:AS24)</f>
        <v>109973922.37024722</v>
      </c>
      <c r="AT17" s="224">
        <f>SUM(AT18:AT24)</f>
        <v>48468329</v>
      </c>
      <c r="AU17" s="224">
        <f t="shared" si="13"/>
        <v>61505593.370247215</v>
      </c>
      <c r="AV17" s="243">
        <f t="shared" si="5"/>
        <v>2.2689852247690903</v>
      </c>
      <c r="AX17" s="106" t="s">
        <v>3</v>
      </c>
      <c r="AY17" s="224">
        <f>SUM(AY18:AY24)</f>
        <v>123257557.83257194</v>
      </c>
      <c r="AZ17" s="224">
        <f>SUM(AZ18:AZ24)</f>
        <v>52453915</v>
      </c>
      <c r="BA17" s="224">
        <f t="shared" si="14"/>
        <v>70803642.832571939</v>
      </c>
      <c r="BB17" s="243">
        <f t="shared" si="6"/>
        <v>2.3498257057184757</v>
      </c>
      <c r="BD17" s="106" t="s">
        <v>3</v>
      </c>
      <c r="BE17" s="224">
        <f>SUM(BE18:BE24)</f>
        <v>133898258.79545242</v>
      </c>
      <c r="BF17" s="224">
        <f>SUM(BF18:BF24)</f>
        <v>55837414</v>
      </c>
      <c r="BG17" s="224">
        <f t="shared" si="15"/>
        <v>78060844.795452416</v>
      </c>
      <c r="BH17" s="243">
        <f t="shared" si="7"/>
        <v>2.3980025076994509</v>
      </c>
    </row>
    <row r="18" spans="2:60" ht="15" x14ac:dyDescent="0.25">
      <c r="B18" s="238" t="s">
        <v>36</v>
      </c>
      <c r="C18" s="239">
        <v>7736858.5256766686</v>
      </c>
      <c r="D18" s="239">
        <v>7220547.7836260628</v>
      </c>
      <c r="E18" s="239">
        <f t="shared" si="8"/>
        <v>516310.74205060583</v>
      </c>
      <c r="F18" s="240">
        <f t="shared" si="9"/>
        <v>1.0715057579456002</v>
      </c>
      <c r="G18" s="89"/>
      <c r="H18" s="238" t="s">
        <v>36</v>
      </c>
      <c r="I18" s="239">
        <v>9722265.4741248637</v>
      </c>
      <c r="J18" s="239">
        <v>8361380.3310419628</v>
      </c>
      <c r="K18" s="239">
        <f t="shared" si="10"/>
        <v>1360885.1430829009</v>
      </c>
      <c r="L18" s="240">
        <f t="shared" si="11"/>
        <v>1.1627584309292283</v>
      </c>
      <c r="M18" s="89"/>
      <c r="N18" s="105" t="s">
        <v>48</v>
      </c>
      <c r="O18" s="229">
        <v>4620188.9570235815</v>
      </c>
      <c r="P18" s="229">
        <v>1889589.4599999997</v>
      </c>
      <c r="Q18" s="229">
        <f>O18-P18</f>
        <v>2730599.4970235815</v>
      </c>
      <c r="R18" s="230">
        <f t="shared" si="0"/>
        <v>2.4450755335095815</v>
      </c>
      <c r="S18" s="89"/>
      <c r="T18" s="105" t="s">
        <v>48</v>
      </c>
      <c r="U18" s="229">
        <v>8643538.1663620081</v>
      </c>
      <c r="V18" s="229">
        <v>2156111.9200000004</v>
      </c>
      <c r="W18" s="229">
        <f>U18-V18</f>
        <v>6487426.2463620082</v>
      </c>
      <c r="X18" s="230">
        <f t="shared" si="1"/>
        <v>4.0088541258850823</v>
      </c>
      <c r="Y18" s="89"/>
      <c r="Z18" s="105" t="s">
        <v>48</v>
      </c>
      <c r="AA18" s="229">
        <v>4367092.5454432154</v>
      </c>
      <c r="AB18" s="229">
        <v>2345157.98</v>
      </c>
      <c r="AC18" s="229">
        <f>AA18-AB18</f>
        <v>2021934.5654432154</v>
      </c>
      <c r="AD18" s="230">
        <f t="shared" si="2"/>
        <v>1.8621741403720766</v>
      </c>
      <c r="AF18" s="105" t="s">
        <v>48</v>
      </c>
      <c r="AG18" s="229">
        <v>4078554.346817832</v>
      </c>
      <c r="AH18" s="229">
        <v>2403252.6627983311</v>
      </c>
      <c r="AI18" s="229">
        <f>AG18-AH18</f>
        <v>1675301.6840195009</v>
      </c>
      <c r="AJ18" s="230">
        <f t="shared" si="3"/>
        <v>1.697097608567212</v>
      </c>
      <c r="AL18" s="105" t="s">
        <v>39</v>
      </c>
      <c r="AM18" s="229">
        <v>60395906.102622338</v>
      </c>
      <c r="AN18" s="229">
        <v>14799782</v>
      </c>
      <c r="AO18" s="229">
        <f t="shared" si="12"/>
        <v>45596124.102622338</v>
      </c>
      <c r="AP18" s="230">
        <f t="shared" si="4"/>
        <v>4.0808645764256752</v>
      </c>
      <c r="AR18" s="105" t="s">
        <v>39</v>
      </c>
      <c r="AS18" s="229">
        <v>71484430.08941032</v>
      </c>
      <c r="AT18" s="229">
        <v>17352222</v>
      </c>
      <c r="AU18" s="229">
        <f t="shared" si="13"/>
        <v>54132208.08941032</v>
      </c>
      <c r="AV18" s="230">
        <f t="shared" si="5"/>
        <v>4.1196124674644157</v>
      </c>
      <c r="AX18" s="105" t="s">
        <v>39</v>
      </c>
      <c r="AY18" s="229">
        <v>80208654.307352334</v>
      </c>
      <c r="AZ18" s="229">
        <v>19123676</v>
      </c>
      <c r="BA18" s="229">
        <f t="shared" si="14"/>
        <v>61084978.307352334</v>
      </c>
      <c r="BB18" s="230">
        <f t="shared" si="6"/>
        <v>4.194206924827232</v>
      </c>
      <c r="BD18" s="105" t="s">
        <v>39</v>
      </c>
      <c r="BE18" s="229">
        <v>87484369.144144341</v>
      </c>
      <c r="BF18" s="229">
        <v>20784287</v>
      </c>
      <c r="BG18" s="229">
        <f t="shared" si="15"/>
        <v>66700082.144144341</v>
      </c>
      <c r="BH18" s="230">
        <f t="shared" si="7"/>
        <v>4.2091590221085928</v>
      </c>
    </row>
    <row r="19" spans="2:60" ht="15" x14ac:dyDescent="0.25">
      <c r="B19" s="238" t="s">
        <v>275</v>
      </c>
      <c r="C19" s="239">
        <v>22101386.395634264</v>
      </c>
      <c r="D19" s="239">
        <v>4666138.4224351244</v>
      </c>
      <c r="E19" s="239">
        <f t="shared" si="8"/>
        <v>17435247.97319914</v>
      </c>
      <c r="F19" s="240">
        <f t="shared" si="9"/>
        <v>4.7365475249017965</v>
      </c>
      <c r="G19" s="89"/>
      <c r="H19" s="238" t="s">
        <v>275</v>
      </c>
      <c r="I19" s="239">
        <v>19968008.968404144</v>
      </c>
      <c r="J19" s="239">
        <v>3875680.3037848957</v>
      </c>
      <c r="K19" s="239">
        <f t="shared" si="10"/>
        <v>16092328.664619248</v>
      </c>
      <c r="L19" s="240">
        <f t="shared" si="11"/>
        <v>5.1521300528590732</v>
      </c>
      <c r="M19" s="89"/>
      <c r="N19" s="105" t="s">
        <v>108</v>
      </c>
      <c r="O19" s="229"/>
      <c r="P19" s="229">
        <v>3765348.8399999929</v>
      </c>
      <c r="Q19" s="229">
        <f>O19-P19</f>
        <v>-3765348.8399999929</v>
      </c>
      <c r="R19" s="230">
        <f t="shared" si="0"/>
        <v>0</v>
      </c>
      <c r="S19" s="89"/>
      <c r="T19" s="105" t="s">
        <v>108</v>
      </c>
      <c r="U19" s="229"/>
      <c r="V19" s="229">
        <v>4209840.1300000055</v>
      </c>
      <c r="W19" s="229">
        <f>U19-V19</f>
        <v>-4209840.1300000055</v>
      </c>
      <c r="X19" s="230">
        <f t="shared" si="1"/>
        <v>0</v>
      </c>
      <c r="Y19" s="89"/>
      <c r="Z19" s="105" t="s">
        <v>108</v>
      </c>
      <c r="AA19" s="229"/>
      <c r="AB19" s="229">
        <v>4189638.2700000014</v>
      </c>
      <c r="AC19" s="229">
        <f>AA19-AB19</f>
        <v>-4189638.2700000014</v>
      </c>
      <c r="AD19" s="230">
        <f t="shared" si="2"/>
        <v>0</v>
      </c>
      <c r="AF19" s="105" t="s">
        <v>108</v>
      </c>
      <c r="AG19" s="229">
        <v>0</v>
      </c>
      <c r="AH19" s="229">
        <v>4321111</v>
      </c>
      <c r="AI19" s="229">
        <f>AG19-AH19</f>
        <v>-4321111</v>
      </c>
      <c r="AJ19" s="230">
        <f t="shared" si="3"/>
        <v>0</v>
      </c>
      <c r="AL19" s="105" t="s">
        <v>45</v>
      </c>
      <c r="AM19" s="229">
        <v>9822566.6655540653</v>
      </c>
      <c r="AN19" s="229">
        <v>4853186</v>
      </c>
      <c r="AO19" s="229">
        <f t="shared" si="12"/>
        <v>4969380.6655540653</v>
      </c>
      <c r="AP19" s="230">
        <f t="shared" si="4"/>
        <v>2.0239419353707162</v>
      </c>
      <c r="AR19" s="105" t="s">
        <v>45</v>
      </c>
      <c r="AS19" s="229">
        <v>11307567.974344835</v>
      </c>
      <c r="AT19" s="229">
        <v>5418064</v>
      </c>
      <c r="AU19" s="229">
        <f t="shared" si="13"/>
        <v>5889503.9743448347</v>
      </c>
      <c r="AV19" s="230">
        <f t="shared" si="5"/>
        <v>2.0870126256066439</v>
      </c>
      <c r="AX19" s="105" t="s">
        <v>45</v>
      </c>
      <c r="AY19" s="229">
        <v>12884387.740530813</v>
      </c>
      <c r="AZ19" s="229">
        <v>6024069</v>
      </c>
      <c r="BA19" s="229">
        <f t="shared" si="14"/>
        <v>6860318.7405308131</v>
      </c>
      <c r="BB19" s="230">
        <f t="shared" si="6"/>
        <v>2.1388180879951428</v>
      </c>
      <c r="BD19" s="105" t="s">
        <v>45</v>
      </c>
      <c r="BE19" s="229">
        <v>13973611.054878596</v>
      </c>
      <c r="BF19" s="229">
        <v>6422701</v>
      </c>
      <c r="BG19" s="229">
        <f t="shared" si="15"/>
        <v>7550910.0548785962</v>
      </c>
      <c r="BH19" s="230">
        <f t="shared" si="7"/>
        <v>2.1756595947528301</v>
      </c>
    </row>
    <row r="20" spans="2:60" ht="15" x14ac:dyDescent="0.25">
      <c r="B20" s="245" t="s">
        <v>326</v>
      </c>
      <c r="C20" s="246">
        <f>SUM(C6,C17)</f>
        <v>227346060.39277807</v>
      </c>
      <c r="D20" s="246">
        <f>SUM(D6,D17)</f>
        <v>61662341.086627692</v>
      </c>
      <c r="E20" s="246">
        <f t="shared" si="8"/>
        <v>165683719.30615038</v>
      </c>
      <c r="F20" s="247">
        <f t="shared" si="9"/>
        <v>3.6869514907548835</v>
      </c>
      <c r="G20" s="89"/>
      <c r="H20" s="245" t="s">
        <v>326</v>
      </c>
      <c r="I20" s="246">
        <f>SUM(I6,I17)</f>
        <v>211540085.31864905</v>
      </c>
      <c r="J20" s="246">
        <f>SUM(J6,J17)</f>
        <v>64224756.699858159</v>
      </c>
      <c r="K20" s="246">
        <f t="shared" si="10"/>
        <v>147315328.61879089</v>
      </c>
      <c r="L20" s="247">
        <f t="shared" si="11"/>
        <v>3.2937467759860932</v>
      </c>
      <c r="M20" s="89"/>
      <c r="N20" s="106" t="s">
        <v>4</v>
      </c>
      <c r="O20" s="224">
        <f>SUM(O21:O22)</f>
        <v>138259927.94897699</v>
      </c>
      <c r="P20" s="224">
        <f>SUM(P21:P22)</f>
        <v>13289021.200000005</v>
      </c>
      <c r="Q20" s="224">
        <f>SUM(Q21:Q22)</f>
        <v>124970906.74897699</v>
      </c>
      <c r="R20" s="243">
        <f t="shared" si="0"/>
        <v>10.404071591741982</v>
      </c>
      <c r="S20" s="89"/>
      <c r="T20" s="106" t="s">
        <v>4</v>
      </c>
      <c r="U20" s="224">
        <f>SUM(U21:U22)</f>
        <v>204819267.88957724</v>
      </c>
      <c r="V20" s="224">
        <f>SUM(V21:V22)</f>
        <v>15484831.050000003</v>
      </c>
      <c r="W20" s="224">
        <f>SUM(W21:W22)</f>
        <v>189334436.83957726</v>
      </c>
      <c r="X20" s="243">
        <f t="shared" si="1"/>
        <v>13.227090901297061</v>
      </c>
      <c r="Y20" s="89"/>
      <c r="Z20" s="106" t="s">
        <v>4</v>
      </c>
      <c r="AA20" s="224">
        <f>SUM(AA21:AA22)</f>
        <v>132946037.15421155</v>
      </c>
      <c r="AB20" s="224">
        <f>SUM(AB21:AB22)</f>
        <v>15689333.280000001</v>
      </c>
      <c r="AC20" s="224">
        <f>SUM(AC21:AC22)</f>
        <v>117256703.87421155</v>
      </c>
      <c r="AD20" s="243">
        <f t="shared" si="2"/>
        <v>8.4736575341722578</v>
      </c>
      <c r="AF20" s="106" t="s">
        <v>4</v>
      </c>
      <c r="AG20" s="224">
        <f>SUM(AG21:AG22)</f>
        <v>142861711.53677741</v>
      </c>
      <c r="AH20" s="224">
        <f>SUM(AH21:AH22)</f>
        <v>17993320.912478931</v>
      </c>
      <c r="AI20" s="224">
        <f>SUM(AI21:AI22)</f>
        <v>124868390.62429848</v>
      </c>
      <c r="AJ20" s="243">
        <f t="shared" si="3"/>
        <v>7.9397078633604723</v>
      </c>
      <c r="AL20" s="105" t="s">
        <v>47</v>
      </c>
      <c r="AM20" s="229">
        <v>17838495.776513193</v>
      </c>
      <c r="AN20" s="229">
        <v>10952133</v>
      </c>
      <c r="AO20" s="229">
        <f t="shared" si="12"/>
        <v>6886362.7765131928</v>
      </c>
      <c r="AP20" s="230">
        <f t="shared" si="4"/>
        <v>1.6287690969889785</v>
      </c>
      <c r="AR20" s="105" t="s">
        <v>47</v>
      </c>
      <c r="AS20" s="229">
        <v>20570746.04311594</v>
      </c>
      <c r="AT20" s="229">
        <v>12354268</v>
      </c>
      <c r="AU20" s="229">
        <f t="shared" si="13"/>
        <v>8216478.0431159399</v>
      </c>
      <c r="AV20" s="230">
        <f t="shared" si="5"/>
        <v>1.6650720255636302</v>
      </c>
      <c r="AX20" s="105" t="s">
        <v>47</v>
      </c>
      <c r="AY20" s="229">
        <v>22435295.747478705</v>
      </c>
      <c r="AZ20" s="229">
        <v>13247218</v>
      </c>
      <c r="BA20" s="229">
        <f t="shared" si="14"/>
        <v>9188077.7474787049</v>
      </c>
      <c r="BB20" s="230">
        <f t="shared" si="6"/>
        <v>1.6935854567712787</v>
      </c>
      <c r="BD20" s="105" t="s">
        <v>47</v>
      </c>
      <c r="BE20" s="229">
        <v>23727751.503087245</v>
      </c>
      <c r="BF20" s="229">
        <v>13880238</v>
      </c>
      <c r="BG20" s="229">
        <f t="shared" si="15"/>
        <v>9847513.5030872449</v>
      </c>
      <c r="BH20" s="230">
        <f t="shared" si="7"/>
        <v>1.7094628711040289</v>
      </c>
    </row>
    <row r="21" spans="2:60" ht="15" x14ac:dyDescent="0.25">
      <c r="B21" s="492" t="s">
        <v>327</v>
      </c>
      <c r="C21" s="493"/>
      <c r="D21" s="493"/>
      <c r="E21" s="493"/>
      <c r="F21" s="494"/>
      <c r="G21" s="89"/>
      <c r="H21" s="492" t="s">
        <v>327</v>
      </c>
      <c r="I21" s="493"/>
      <c r="J21" s="493"/>
      <c r="K21" s="493"/>
      <c r="L21" s="494"/>
      <c r="M21" s="89"/>
      <c r="N21" s="105" t="s">
        <v>52</v>
      </c>
      <c r="O21" s="229">
        <v>138259927.94897699</v>
      </c>
      <c r="P21" s="229">
        <v>9637296.6499999948</v>
      </c>
      <c r="Q21" s="229">
        <f>O21-P21</f>
        <v>128622631.298977</v>
      </c>
      <c r="R21" s="230">
        <f t="shared" si="0"/>
        <v>14.346339328361037</v>
      </c>
      <c r="S21" s="89"/>
      <c r="T21" s="105" t="s">
        <v>52</v>
      </c>
      <c r="U21" s="229">
        <v>204819267.88957724</v>
      </c>
      <c r="V21" s="229">
        <v>11767281.949999997</v>
      </c>
      <c r="W21" s="229">
        <f>U21-V21</f>
        <v>193051985.93957725</v>
      </c>
      <c r="X21" s="230">
        <f t="shared" si="1"/>
        <v>17.405826490762148</v>
      </c>
      <c r="Y21" s="89"/>
      <c r="Z21" s="105" t="s">
        <v>52</v>
      </c>
      <c r="AA21" s="229">
        <v>132946037.15421155</v>
      </c>
      <c r="AB21" s="229">
        <v>11880478.339999996</v>
      </c>
      <c r="AC21" s="229">
        <f>AA21-AB21</f>
        <v>121065558.81421155</v>
      </c>
      <c r="AD21" s="230">
        <f t="shared" si="2"/>
        <v>11.190293298763894</v>
      </c>
      <c r="AF21" s="105" t="s">
        <v>52</v>
      </c>
      <c r="AG21" s="229">
        <v>142861711.53677741</v>
      </c>
      <c r="AH21" s="229">
        <v>13981626.912478931</v>
      </c>
      <c r="AI21" s="229">
        <f>AG21-AH21</f>
        <v>128880084.62429848</v>
      </c>
      <c r="AJ21" s="230">
        <f t="shared" si="3"/>
        <v>10.217817456512874</v>
      </c>
      <c r="AL21" s="105" t="s">
        <v>48</v>
      </c>
      <c r="AM21" s="229">
        <v>4975195.7157058623</v>
      </c>
      <c r="AN21" s="229">
        <v>3357178</v>
      </c>
      <c r="AO21" s="229">
        <f t="shared" si="12"/>
        <v>1618017.7157058623</v>
      </c>
      <c r="AP21" s="230">
        <f t="shared" si="4"/>
        <v>1.4819576786532802</v>
      </c>
      <c r="AR21" s="105" t="s">
        <v>48</v>
      </c>
      <c r="AS21" s="229">
        <v>6008488.9028801387</v>
      </c>
      <c r="AT21" s="229">
        <v>3910928</v>
      </c>
      <c r="AU21" s="229">
        <f t="shared" si="13"/>
        <v>2097560.9028801387</v>
      </c>
      <c r="AV21" s="230">
        <f t="shared" si="5"/>
        <v>1.536333295545236</v>
      </c>
      <c r="AX21" s="105" t="s">
        <v>48</v>
      </c>
      <c r="AY21" s="229">
        <v>6863227.3857269874</v>
      </c>
      <c r="AZ21" s="229">
        <v>4321951</v>
      </c>
      <c r="BA21" s="229">
        <f t="shared" si="14"/>
        <v>2541276.3857269874</v>
      </c>
      <c r="BB21" s="230">
        <f t="shared" si="6"/>
        <v>1.5879928730628801</v>
      </c>
      <c r="BD21" s="105" t="s">
        <v>48</v>
      </c>
      <c r="BE21" s="229">
        <v>7441145.3419403937</v>
      </c>
      <c r="BF21" s="229">
        <v>4608494</v>
      </c>
      <c r="BG21" s="229">
        <f t="shared" si="15"/>
        <v>2832651.3419403937</v>
      </c>
      <c r="BH21" s="230">
        <f t="shared" si="7"/>
        <v>1.6146587891706907</v>
      </c>
    </row>
    <row r="22" spans="2:60" ht="15" x14ac:dyDescent="0.25">
      <c r="B22" s="106" t="s">
        <v>267</v>
      </c>
      <c r="C22" s="227">
        <f>SUM(C23,C26)</f>
        <v>133054071.66911836</v>
      </c>
      <c r="D22" s="227">
        <f>SUM(D23,D26)</f>
        <v>31447735.619999997</v>
      </c>
      <c r="E22" s="227">
        <f t="shared" ref="E22:E38" si="16">C22-D22</f>
        <v>101606336.04911837</v>
      </c>
      <c r="F22" s="228">
        <f t="shared" ref="F22:F38" si="17">IFERROR(C22/D22,0)</f>
        <v>4.2309587334643961</v>
      </c>
      <c r="G22" s="89"/>
      <c r="H22" s="106" t="s">
        <v>267</v>
      </c>
      <c r="I22" s="227">
        <f>SUM(I23,I26)</f>
        <v>94816290.910319</v>
      </c>
      <c r="J22" s="227">
        <f>SUM(J23,J26)</f>
        <v>31813078.800000001</v>
      </c>
      <c r="K22" s="227">
        <f t="shared" ref="K22:K38" si="18">I22-J22</f>
        <v>63003212.110319003</v>
      </c>
      <c r="L22" s="228">
        <f t="shared" ref="L22:L38" si="19">IFERROR(I22/J22,0)</f>
        <v>2.9804185727009544</v>
      </c>
      <c r="M22" s="89"/>
      <c r="N22" s="105" t="s">
        <v>109</v>
      </c>
      <c r="O22" s="229"/>
      <c r="P22" s="229">
        <v>3651724.5500000101</v>
      </c>
      <c r="Q22" s="229">
        <f>O22-P22</f>
        <v>-3651724.5500000101</v>
      </c>
      <c r="R22" s="244">
        <f t="shared" si="0"/>
        <v>0</v>
      </c>
      <c r="S22" s="89"/>
      <c r="T22" s="105" t="s">
        <v>109</v>
      </c>
      <c r="U22" s="229"/>
      <c r="V22" s="229">
        <v>3717549.1000000047</v>
      </c>
      <c r="W22" s="229">
        <f>U22-V22</f>
        <v>-3717549.1000000047</v>
      </c>
      <c r="X22" s="244">
        <f t="shared" si="1"/>
        <v>0</v>
      </c>
      <c r="Y22" s="89"/>
      <c r="Z22" s="105" t="s">
        <v>109</v>
      </c>
      <c r="AA22" s="229"/>
      <c r="AB22" s="229">
        <v>3808854.9400000051</v>
      </c>
      <c r="AC22" s="229">
        <f>AA22-AB22</f>
        <v>-3808854.9400000051</v>
      </c>
      <c r="AD22" s="244">
        <f t="shared" si="2"/>
        <v>0</v>
      </c>
      <c r="AF22" s="105" t="s">
        <v>109</v>
      </c>
      <c r="AG22" s="229">
        <v>0</v>
      </c>
      <c r="AH22" s="229">
        <v>4011694</v>
      </c>
      <c r="AI22" s="229">
        <f>AG22-AH22</f>
        <v>-4011694</v>
      </c>
      <c r="AJ22" s="244">
        <f t="shared" si="3"/>
        <v>0</v>
      </c>
      <c r="AL22" s="105" t="s">
        <v>49</v>
      </c>
      <c r="AM22" s="229">
        <v>249685.4026295607</v>
      </c>
      <c r="AN22" s="229">
        <v>572930</v>
      </c>
      <c r="AO22" s="229">
        <f t="shared" si="12"/>
        <v>-323244.59737043933</v>
      </c>
      <c r="AP22" s="230">
        <f t="shared" si="4"/>
        <v>0.43580437859696769</v>
      </c>
      <c r="AR22" s="105" t="s">
        <v>49</v>
      </c>
      <c r="AS22" s="229">
        <v>398768.69568550674</v>
      </c>
      <c r="AT22" s="229">
        <v>723154</v>
      </c>
      <c r="AU22" s="229">
        <f t="shared" si="13"/>
        <v>-324385.30431449326</v>
      </c>
      <c r="AV22" s="230">
        <f t="shared" si="5"/>
        <v>0.55142984161811559</v>
      </c>
      <c r="AX22" s="105" t="s">
        <v>49</v>
      </c>
      <c r="AY22" s="229">
        <v>443340.48862535344</v>
      </c>
      <c r="AZ22" s="229">
        <v>746073</v>
      </c>
      <c r="BA22" s="229">
        <f t="shared" si="14"/>
        <v>-302732.51137464656</v>
      </c>
      <c r="BB22" s="230">
        <f t="shared" si="6"/>
        <v>0.59423205051697814</v>
      </c>
      <c r="BD22" s="105" t="s">
        <v>49</v>
      </c>
      <c r="BE22" s="229">
        <v>505025.87049902009</v>
      </c>
      <c r="BF22" s="229">
        <v>796291</v>
      </c>
      <c r="BG22" s="229">
        <f t="shared" si="15"/>
        <v>-291265.12950097991</v>
      </c>
      <c r="BH22" s="230">
        <f t="shared" si="7"/>
        <v>0.6342227533640592</v>
      </c>
    </row>
    <row r="23" spans="2:60" ht="15" x14ac:dyDescent="0.25">
      <c r="B23" s="248" t="s">
        <v>260</v>
      </c>
      <c r="C23" s="249">
        <f>SUM(C24:C25)</f>
        <v>33509905.057923567</v>
      </c>
      <c r="D23" s="249">
        <f>SUM(D24:D25)</f>
        <v>14252979.07</v>
      </c>
      <c r="E23" s="250">
        <f t="shared" si="16"/>
        <v>19256925.987923566</v>
      </c>
      <c r="F23" s="251">
        <f t="shared" si="17"/>
        <v>2.3510807735946226</v>
      </c>
      <c r="G23" s="89"/>
      <c r="H23" s="248" t="s">
        <v>260</v>
      </c>
      <c r="I23" s="249">
        <f>SUM(I24:I25)</f>
        <v>34994429.572677121</v>
      </c>
      <c r="J23" s="249">
        <f>SUM(J24:J25)</f>
        <v>17940968.460000001</v>
      </c>
      <c r="K23" s="250">
        <f t="shared" si="18"/>
        <v>17053461.11267712</v>
      </c>
      <c r="L23" s="251">
        <f t="shared" si="19"/>
        <v>1.950531803826443</v>
      </c>
      <c r="M23" s="89"/>
      <c r="N23" s="106" t="s">
        <v>5</v>
      </c>
      <c r="O23" s="224">
        <f>SUM(O24:O25)</f>
        <v>11755861.008879155</v>
      </c>
      <c r="P23" s="224">
        <f>SUM(P24:P25)</f>
        <v>2684891.1900000004</v>
      </c>
      <c r="Q23" s="224">
        <f>SUM(Q24:Q25)</f>
        <v>9070969.8188791554</v>
      </c>
      <c r="R23" s="252">
        <f t="shared" si="0"/>
        <v>4.3785241847656229</v>
      </c>
      <c r="S23" s="89"/>
      <c r="T23" s="106" t="s">
        <v>5</v>
      </c>
      <c r="U23" s="224">
        <f>SUM(U24:U25)</f>
        <v>4907107.5848645335</v>
      </c>
      <c r="V23" s="224">
        <f>SUM(V24:V25)</f>
        <v>2475139.17</v>
      </c>
      <c r="W23" s="224">
        <f>SUM(W24:W25)</f>
        <v>2431968.4148645336</v>
      </c>
      <c r="X23" s="252">
        <f t="shared" si="1"/>
        <v>1.9825582514071456</v>
      </c>
      <c r="Y23" s="89"/>
      <c r="Z23" s="106" t="s">
        <v>5</v>
      </c>
      <c r="AA23" s="224">
        <f>SUM(AA24:AA25)</f>
        <v>6361405.324378429</v>
      </c>
      <c r="AB23" s="224">
        <f>SUM(AB24:AB25)</f>
        <v>2764581.3000000003</v>
      </c>
      <c r="AC23" s="224">
        <f>SUM(AC24:AC25)</f>
        <v>3596824.0243784287</v>
      </c>
      <c r="AD23" s="252">
        <f t="shared" si="2"/>
        <v>2.3010375294003573</v>
      </c>
      <c r="AF23" s="106" t="s">
        <v>5</v>
      </c>
      <c r="AG23" s="224">
        <f>SUM(AG24:AG25)</f>
        <v>10833644.852291534</v>
      </c>
      <c r="AH23" s="224">
        <f>SUM(AH24:AH25)</f>
        <v>2847762.6357948165</v>
      </c>
      <c r="AI23" s="224">
        <f>SUM(AI24:AI25)</f>
        <v>7985882.2164967172</v>
      </c>
      <c r="AJ23" s="252">
        <f t="shared" si="3"/>
        <v>3.8042653963215023</v>
      </c>
      <c r="AL23" s="105" t="s">
        <v>50</v>
      </c>
      <c r="AM23" s="229">
        <v>134885.90131904421</v>
      </c>
      <c r="AN23" s="229">
        <v>205675</v>
      </c>
      <c r="AO23" s="229">
        <f t="shared" si="12"/>
        <v>-70789.098680955794</v>
      </c>
      <c r="AP23" s="230">
        <f t="shared" si="4"/>
        <v>0.65582059715105967</v>
      </c>
      <c r="AR23" s="105" t="s">
        <v>50</v>
      </c>
      <c r="AS23" s="229">
        <v>203920.66481047962</v>
      </c>
      <c r="AT23" s="229">
        <v>253222</v>
      </c>
      <c r="AU23" s="229">
        <f t="shared" si="13"/>
        <v>-49301.335189520381</v>
      </c>
      <c r="AV23" s="230">
        <f t="shared" si="5"/>
        <v>0.80530390254590678</v>
      </c>
      <c r="AX23" s="105" t="s">
        <v>50</v>
      </c>
      <c r="AY23" s="229">
        <v>422652.1628577438</v>
      </c>
      <c r="AZ23" s="229">
        <v>382436</v>
      </c>
      <c r="BA23" s="229">
        <f t="shared" si="14"/>
        <v>40216.162857743795</v>
      </c>
      <c r="BB23" s="230">
        <f t="shared" si="6"/>
        <v>1.1051578900985886</v>
      </c>
      <c r="BD23" s="105" t="s">
        <v>50</v>
      </c>
      <c r="BE23" s="229">
        <v>766355.88090283773</v>
      </c>
      <c r="BF23" s="229">
        <v>582145</v>
      </c>
      <c r="BG23" s="229">
        <f t="shared" si="15"/>
        <v>184210.88090283773</v>
      </c>
      <c r="BH23" s="230">
        <f t="shared" si="7"/>
        <v>1.3164347042452271</v>
      </c>
    </row>
    <row r="24" spans="2:60" ht="15" x14ac:dyDescent="0.25">
      <c r="B24" s="238" t="s">
        <v>145</v>
      </c>
      <c r="C24" s="239">
        <v>26329881.461073719</v>
      </c>
      <c r="D24" s="239">
        <v>12764906.550290558</v>
      </c>
      <c r="E24" s="239">
        <f t="shared" si="16"/>
        <v>13564974.91078316</v>
      </c>
      <c r="F24" s="240">
        <f t="shared" si="17"/>
        <v>2.0626771811717175</v>
      </c>
      <c r="G24" s="89"/>
      <c r="H24" s="238" t="s">
        <v>145</v>
      </c>
      <c r="I24" s="239">
        <v>25769387.326486502</v>
      </c>
      <c r="J24" s="239">
        <v>16070591.522525605</v>
      </c>
      <c r="K24" s="239">
        <f t="shared" si="18"/>
        <v>9698795.803960897</v>
      </c>
      <c r="L24" s="240">
        <f t="shared" si="19"/>
        <v>1.6035120605465221</v>
      </c>
      <c r="M24" s="89"/>
      <c r="N24" s="105" t="s">
        <v>57</v>
      </c>
      <c r="O24" s="229">
        <v>11755861.008879155</v>
      </c>
      <c r="P24" s="229">
        <v>2493023.7400000002</v>
      </c>
      <c r="Q24" s="229">
        <f>O24-P24</f>
        <v>9262837.2688791547</v>
      </c>
      <c r="R24" s="230">
        <f t="shared" si="0"/>
        <v>4.7155030336290151</v>
      </c>
      <c r="S24" s="89"/>
      <c r="T24" s="105" t="s">
        <v>57</v>
      </c>
      <c r="U24" s="229">
        <v>4907107.5848645335</v>
      </c>
      <c r="V24" s="229">
        <v>2244898.61</v>
      </c>
      <c r="W24" s="229">
        <f>U24-V24</f>
        <v>2662208.9748645336</v>
      </c>
      <c r="X24" s="230">
        <f t="shared" si="1"/>
        <v>2.1858927450022048</v>
      </c>
      <c r="Y24" s="89"/>
      <c r="Z24" s="105" t="s">
        <v>57</v>
      </c>
      <c r="AA24" s="229">
        <v>6361405.324378429</v>
      </c>
      <c r="AB24" s="229">
        <v>2511336.0600000005</v>
      </c>
      <c r="AC24" s="229">
        <f>AA24-AB24</f>
        <v>3850069.2643784285</v>
      </c>
      <c r="AD24" s="230">
        <f t="shared" si="2"/>
        <v>2.5330760887407586</v>
      </c>
      <c r="AF24" s="105" t="s">
        <v>57</v>
      </c>
      <c r="AG24" s="229">
        <v>10833644.852291534</v>
      </c>
      <c r="AH24" s="229">
        <v>2606446.6357948165</v>
      </c>
      <c r="AI24" s="229">
        <f>AG24-AH24</f>
        <v>8227198.2164967172</v>
      </c>
      <c r="AJ24" s="230">
        <f t="shared" si="3"/>
        <v>4.1564805906674138</v>
      </c>
      <c r="AL24" s="105" t="s">
        <v>85</v>
      </c>
      <c r="AM24" s="229">
        <v>0</v>
      </c>
      <c r="AN24" s="229">
        <v>8307149</v>
      </c>
      <c r="AO24" s="229">
        <f t="shared" si="12"/>
        <v>-8307149</v>
      </c>
      <c r="AP24" s="244">
        <f t="shared" si="4"/>
        <v>0</v>
      </c>
      <c r="AR24" s="105" t="s">
        <v>85</v>
      </c>
      <c r="AS24" s="229">
        <v>0</v>
      </c>
      <c r="AT24" s="229">
        <v>8456471</v>
      </c>
      <c r="AU24" s="229">
        <f t="shared" si="13"/>
        <v>-8456471</v>
      </c>
      <c r="AV24" s="244">
        <f t="shared" si="5"/>
        <v>0</v>
      </c>
      <c r="AX24" s="105" t="s">
        <v>85</v>
      </c>
      <c r="AY24" s="229">
        <v>0</v>
      </c>
      <c r="AZ24" s="229">
        <v>8608492</v>
      </c>
      <c r="BA24" s="229">
        <f t="shared" si="14"/>
        <v>-8608492</v>
      </c>
      <c r="BB24" s="244">
        <f t="shared" si="6"/>
        <v>0</v>
      </c>
      <c r="BD24" s="105" t="s">
        <v>85</v>
      </c>
      <c r="BE24" s="229">
        <v>0</v>
      </c>
      <c r="BF24" s="229">
        <v>8763258</v>
      </c>
      <c r="BG24" s="229">
        <f t="shared" si="15"/>
        <v>-8763258</v>
      </c>
      <c r="BH24" s="244">
        <f t="shared" si="7"/>
        <v>0</v>
      </c>
    </row>
    <row r="25" spans="2:60" ht="15" x14ac:dyDescent="0.25">
      <c r="B25" s="238" t="s">
        <v>147</v>
      </c>
      <c r="C25" s="239">
        <v>7180023.5968498476</v>
      </c>
      <c r="D25" s="239">
        <v>1488072.5197094425</v>
      </c>
      <c r="E25" s="239">
        <f t="shared" si="16"/>
        <v>5691951.0771404048</v>
      </c>
      <c r="F25" s="240">
        <f t="shared" si="17"/>
        <v>4.8250495199332102</v>
      </c>
      <c r="G25" s="89"/>
      <c r="H25" s="238" t="s">
        <v>147</v>
      </c>
      <c r="I25" s="239">
        <v>9225042.2461906187</v>
      </c>
      <c r="J25" s="239">
        <v>1870376.9374743956</v>
      </c>
      <c r="K25" s="239">
        <f t="shared" si="18"/>
        <v>7354665.3087162226</v>
      </c>
      <c r="L25" s="240">
        <f t="shared" si="19"/>
        <v>4.9321834873816197</v>
      </c>
      <c r="M25" s="89"/>
      <c r="N25" s="105" t="s">
        <v>110</v>
      </c>
      <c r="O25" s="229"/>
      <c r="P25" s="229">
        <v>191867.45000000004</v>
      </c>
      <c r="Q25" s="229">
        <f>O25-P25</f>
        <v>-191867.45000000004</v>
      </c>
      <c r="R25" s="244">
        <f t="shared" si="0"/>
        <v>0</v>
      </c>
      <c r="S25" s="89"/>
      <c r="T25" s="105" t="s">
        <v>110</v>
      </c>
      <c r="U25" s="229"/>
      <c r="V25" s="229">
        <v>230240.56000000017</v>
      </c>
      <c r="W25" s="229">
        <f>U25-V25</f>
        <v>-230240.56000000017</v>
      </c>
      <c r="X25" s="244">
        <f t="shared" si="1"/>
        <v>0</v>
      </c>
      <c r="Y25" s="89"/>
      <c r="Z25" s="105" t="s">
        <v>110</v>
      </c>
      <c r="AA25" s="229"/>
      <c r="AB25" s="229">
        <v>253245.23999999996</v>
      </c>
      <c r="AC25" s="229">
        <f>AA25-AB25</f>
        <v>-253245.23999999996</v>
      </c>
      <c r="AD25" s="244">
        <f t="shared" si="2"/>
        <v>0</v>
      </c>
      <c r="AF25" s="105" t="s">
        <v>110</v>
      </c>
      <c r="AG25" s="229">
        <v>0</v>
      </c>
      <c r="AH25" s="229">
        <v>241316</v>
      </c>
      <c r="AI25" s="229">
        <f>AG25-AH25</f>
        <v>-241316</v>
      </c>
      <c r="AJ25" s="244">
        <f t="shared" si="3"/>
        <v>0</v>
      </c>
      <c r="AL25" s="106" t="s">
        <v>4</v>
      </c>
      <c r="AM25" s="224">
        <f>SUM(AM26:AM27)</f>
        <v>179787963.18922186</v>
      </c>
      <c r="AN25" s="224">
        <f>SUM(AN26:AN27)</f>
        <v>26885759</v>
      </c>
      <c r="AO25" s="224">
        <f t="shared" si="12"/>
        <v>152902204.18922186</v>
      </c>
      <c r="AP25" s="243">
        <f t="shared" si="4"/>
        <v>6.6871075943670348</v>
      </c>
      <c r="AR25" s="106" t="s">
        <v>4</v>
      </c>
      <c r="AS25" s="224">
        <f>SUM(AS26:AS27)</f>
        <v>201728575.57856742</v>
      </c>
      <c r="AT25" s="224">
        <f>SUM(AT26:AT27)</f>
        <v>28709693</v>
      </c>
      <c r="AU25" s="224">
        <f t="shared" si="13"/>
        <v>173018882.57856742</v>
      </c>
      <c r="AV25" s="243">
        <f t="shared" si="5"/>
        <v>7.026497133862331</v>
      </c>
      <c r="AX25" s="106" t="s">
        <v>4</v>
      </c>
      <c r="AY25" s="224">
        <f>SUM(AY26:AY27)</f>
        <v>217933343.63692361</v>
      </c>
      <c r="AZ25" s="224">
        <f>SUM(AZ26:AZ27)</f>
        <v>29971421</v>
      </c>
      <c r="BA25" s="224">
        <f t="shared" si="14"/>
        <v>187961922.63692361</v>
      </c>
      <c r="BB25" s="243">
        <f t="shared" si="6"/>
        <v>7.2713717389950787</v>
      </c>
      <c r="BD25" s="106" t="s">
        <v>4</v>
      </c>
      <c r="BE25" s="224">
        <f>SUM(BE26:BE27)</f>
        <v>234748949.15275893</v>
      </c>
      <c r="BF25" s="224">
        <f>SUM(BF26:BF27)</f>
        <v>31444661</v>
      </c>
      <c r="BG25" s="224">
        <f t="shared" si="15"/>
        <v>203304288.15275893</v>
      </c>
      <c r="BH25" s="243">
        <f t="shared" si="7"/>
        <v>7.4654628699211907</v>
      </c>
    </row>
    <row r="26" spans="2:60" ht="15" x14ac:dyDescent="0.25">
      <c r="B26" s="241" t="s">
        <v>261</v>
      </c>
      <c r="C26" s="236">
        <f>SUM(C27:C29)</f>
        <v>99544166.611194789</v>
      </c>
      <c r="D26" s="236">
        <f>SUM(D27:D29)</f>
        <v>17194756.549999997</v>
      </c>
      <c r="E26" s="236">
        <f t="shared" si="16"/>
        <v>82349410.061194792</v>
      </c>
      <c r="F26" s="242">
        <f t="shared" si="17"/>
        <v>5.7892163998794626</v>
      </c>
      <c r="G26" s="89"/>
      <c r="H26" s="241" t="s">
        <v>261</v>
      </c>
      <c r="I26" s="236">
        <f>SUM(I27:I29)</f>
        <v>59821861.337641887</v>
      </c>
      <c r="J26" s="236">
        <f>SUM(J27:J29)</f>
        <v>13872110.34</v>
      </c>
      <c r="K26" s="236">
        <f t="shared" si="18"/>
        <v>45949750.997641891</v>
      </c>
      <c r="L26" s="242">
        <f t="shared" si="19"/>
        <v>4.3123836151408446</v>
      </c>
      <c r="M26" s="89"/>
      <c r="N26" s="106" t="s">
        <v>111</v>
      </c>
      <c r="O26" s="224">
        <f>SUM(O27:O28)</f>
        <v>0</v>
      </c>
      <c r="P26" s="224">
        <f>SUM(P27:P28)</f>
        <v>1464037.1400000001</v>
      </c>
      <c r="Q26" s="224">
        <f>SUM(Q27:Q28)</f>
        <v>-1464037.1400000001</v>
      </c>
      <c r="R26" s="252">
        <f t="shared" si="0"/>
        <v>0</v>
      </c>
      <c r="S26" s="89"/>
      <c r="T26" s="106" t="s">
        <v>111</v>
      </c>
      <c r="U26" s="224">
        <f>SUM(U27:U28)</f>
        <v>1172171.9006533343</v>
      </c>
      <c r="V26" s="224">
        <f>SUM(V27:V28)</f>
        <v>1081464.92</v>
      </c>
      <c r="W26" s="224">
        <f>SUM(W27:W28)</f>
        <v>90706.980653334293</v>
      </c>
      <c r="X26" s="252">
        <f t="shared" si="1"/>
        <v>1.083874177493741</v>
      </c>
      <c r="Y26" s="89"/>
      <c r="Z26" s="106" t="s">
        <v>111</v>
      </c>
      <c r="AA26" s="224">
        <f>SUM(AA27:AA28)</f>
        <v>801421.42243444256</v>
      </c>
      <c r="AB26" s="224">
        <f>SUM(AB27:AB28)</f>
        <v>1148435.19</v>
      </c>
      <c r="AC26" s="224">
        <f>SUM(AC27:AC28)</f>
        <v>-347013.76756555738</v>
      </c>
      <c r="AD26" s="252">
        <f t="shared" si="2"/>
        <v>0.69783774427396517</v>
      </c>
      <c r="AF26" s="106" t="s">
        <v>111</v>
      </c>
      <c r="AG26" s="224">
        <f>SUM(AG27:AG28)</f>
        <v>274711.42904722964</v>
      </c>
      <c r="AH26" s="224">
        <f>SUM(AH27:AH28)</f>
        <v>1262157</v>
      </c>
      <c r="AI26" s="224">
        <f>SUM(AI27:AI28)</f>
        <v>-987445.5709527703</v>
      </c>
      <c r="AJ26" s="252">
        <f t="shared" si="3"/>
        <v>0.21765234360482066</v>
      </c>
      <c r="AL26" s="105" t="s">
        <v>52</v>
      </c>
      <c r="AM26" s="229">
        <v>179787963.18922186</v>
      </c>
      <c r="AN26" s="229">
        <v>19291597</v>
      </c>
      <c r="AO26" s="229">
        <f t="shared" si="12"/>
        <v>160496366.18922186</v>
      </c>
      <c r="AP26" s="230">
        <f t="shared" si="4"/>
        <v>9.3194961095870834</v>
      </c>
      <c r="AR26" s="105" t="s">
        <v>52</v>
      </c>
      <c r="AS26" s="229">
        <v>201728575.57856742</v>
      </c>
      <c r="AT26" s="229">
        <v>20978471</v>
      </c>
      <c r="AU26" s="229">
        <f t="shared" si="13"/>
        <v>180750104.57856742</v>
      </c>
      <c r="AV26" s="230">
        <f t="shared" si="5"/>
        <v>9.6159808585939093</v>
      </c>
      <c r="AX26" s="105" t="s">
        <v>52</v>
      </c>
      <c r="AY26" s="229">
        <v>217933343.63692361</v>
      </c>
      <c r="AZ26" s="229">
        <v>22100654</v>
      </c>
      <c r="BA26" s="229">
        <f t="shared" si="14"/>
        <v>195832689.63692361</v>
      </c>
      <c r="BB26" s="230">
        <f t="shared" si="6"/>
        <v>9.8609454560450391</v>
      </c>
      <c r="BD26" s="105" t="s">
        <v>52</v>
      </c>
      <c r="BE26" s="229">
        <v>234748949.15275893</v>
      </c>
      <c r="BF26" s="229">
        <v>23431816</v>
      </c>
      <c r="BG26" s="229">
        <f t="shared" si="15"/>
        <v>211317133.15275893</v>
      </c>
      <c r="BH26" s="230">
        <f t="shared" si="7"/>
        <v>10.018384795816036</v>
      </c>
    </row>
    <row r="27" spans="2:60" ht="15" x14ac:dyDescent="0.25">
      <c r="B27" s="238" t="s">
        <v>262</v>
      </c>
      <c r="C27" s="239">
        <v>85204567.453013331</v>
      </c>
      <c r="D27" s="239">
        <v>12673698.075902414</v>
      </c>
      <c r="E27" s="239">
        <f t="shared" si="16"/>
        <v>72530869.377110913</v>
      </c>
      <c r="F27" s="240">
        <f t="shared" si="17"/>
        <v>6.7229443957655945</v>
      </c>
      <c r="G27" s="89"/>
      <c r="H27" s="238" t="s">
        <v>262</v>
      </c>
      <c r="I27" s="239">
        <v>47522598.631094754</v>
      </c>
      <c r="J27" s="239">
        <v>9228858.7177480012</v>
      </c>
      <c r="K27" s="239">
        <f t="shared" si="18"/>
        <v>38293739.913346753</v>
      </c>
      <c r="L27" s="240">
        <f t="shared" si="19"/>
        <v>5.1493472903322415</v>
      </c>
      <c r="M27" s="89"/>
      <c r="N27" s="105" t="s">
        <v>112</v>
      </c>
      <c r="O27" s="229"/>
      <c r="P27" s="229">
        <v>1426609.28</v>
      </c>
      <c r="Q27" s="229">
        <f>O27-P27</f>
        <v>-1426609.28</v>
      </c>
      <c r="R27" s="230">
        <f t="shared" si="0"/>
        <v>0</v>
      </c>
      <c r="S27" s="89"/>
      <c r="T27" s="105" t="s">
        <v>112</v>
      </c>
      <c r="U27" s="229">
        <v>1172171.9006533343</v>
      </c>
      <c r="V27" s="229">
        <v>1033739.28</v>
      </c>
      <c r="W27" s="229">
        <f>U27-V27</f>
        <v>138432.62065333431</v>
      </c>
      <c r="X27" s="230">
        <f t="shared" si="1"/>
        <v>1.133914443739948</v>
      </c>
      <c r="Y27" s="89"/>
      <c r="Z27" s="105" t="s">
        <v>112</v>
      </c>
      <c r="AA27" s="229">
        <v>801421.42243444256</v>
      </c>
      <c r="AB27" s="229">
        <v>1103675.19</v>
      </c>
      <c r="AC27" s="229">
        <f>AA27-AB27</f>
        <v>-302253.76756555738</v>
      </c>
      <c r="AD27" s="230">
        <f t="shared" si="2"/>
        <v>0.72613884020935782</v>
      </c>
      <c r="AF27" s="105" t="s">
        <v>112</v>
      </c>
      <c r="AG27" s="229">
        <v>274711.42904722964</v>
      </c>
      <c r="AH27" s="229">
        <v>1216814</v>
      </c>
      <c r="AI27" s="229">
        <f>AG27-AH27</f>
        <v>-942102.5709527703</v>
      </c>
      <c r="AJ27" s="230">
        <f t="shared" si="3"/>
        <v>0.22576287669868167</v>
      </c>
      <c r="AL27" s="105" t="s">
        <v>85</v>
      </c>
      <c r="AM27" s="229">
        <v>0</v>
      </c>
      <c r="AN27" s="229">
        <v>7594162</v>
      </c>
      <c r="AO27" s="229">
        <f t="shared" si="12"/>
        <v>-7594162</v>
      </c>
      <c r="AP27" s="244">
        <f t="shared" si="4"/>
        <v>0</v>
      </c>
      <c r="AR27" s="105" t="s">
        <v>85</v>
      </c>
      <c r="AS27" s="229">
        <v>0</v>
      </c>
      <c r="AT27" s="229">
        <v>7731222</v>
      </c>
      <c r="AU27" s="229">
        <f t="shared" si="13"/>
        <v>-7731222</v>
      </c>
      <c r="AV27" s="244">
        <f t="shared" si="5"/>
        <v>0</v>
      </c>
      <c r="AX27" s="105" t="s">
        <v>85</v>
      </c>
      <c r="AY27" s="229">
        <v>0</v>
      </c>
      <c r="AZ27" s="229">
        <v>7870767</v>
      </c>
      <c r="BA27" s="229">
        <f t="shared" si="14"/>
        <v>-7870767</v>
      </c>
      <c r="BB27" s="244">
        <f t="shared" si="6"/>
        <v>0</v>
      </c>
      <c r="BD27" s="105" t="s">
        <v>85</v>
      </c>
      <c r="BE27" s="229">
        <v>0</v>
      </c>
      <c r="BF27" s="229">
        <v>8012845</v>
      </c>
      <c r="BG27" s="229">
        <f t="shared" si="15"/>
        <v>-8012845</v>
      </c>
      <c r="BH27" s="244">
        <f t="shared" si="7"/>
        <v>0</v>
      </c>
    </row>
    <row r="28" spans="2:60" ht="15" x14ac:dyDescent="0.25">
      <c r="B28" s="238" t="s">
        <v>263</v>
      </c>
      <c r="C28" s="239">
        <v>5570194.7118825223</v>
      </c>
      <c r="D28" s="239">
        <v>2033635.7951136837</v>
      </c>
      <c r="E28" s="239">
        <f t="shared" si="16"/>
        <v>3536558.9167688387</v>
      </c>
      <c r="F28" s="240">
        <f t="shared" si="17"/>
        <v>2.739032586496708</v>
      </c>
      <c r="G28" s="89"/>
      <c r="H28" s="238" t="s">
        <v>263</v>
      </c>
      <c r="I28" s="239">
        <v>5939733.4903848181</v>
      </c>
      <c r="J28" s="239">
        <v>2437325.9051004481</v>
      </c>
      <c r="K28" s="239">
        <f t="shared" si="18"/>
        <v>3502407.58528437</v>
      </c>
      <c r="L28" s="240">
        <f t="shared" si="19"/>
        <v>2.4369877979613181</v>
      </c>
      <c r="M28" s="89"/>
      <c r="N28" s="105" t="s">
        <v>113</v>
      </c>
      <c r="O28" s="229"/>
      <c r="P28" s="229">
        <v>37427.86</v>
      </c>
      <c r="Q28" s="229">
        <f>O28-P28</f>
        <v>-37427.86</v>
      </c>
      <c r="R28" s="244">
        <f t="shared" si="0"/>
        <v>0</v>
      </c>
      <c r="S28" s="89"/>
      <c r="T28" s="105" t="s">
        <v>113</v>
      </c>
      <c r="U28" s="229"/>
      <c r="V28" s="229">
        <v>47725.640000000007</v>
      </c>
      <c r="W28" s="229">
        <f>U28-V28</f>
        <v>-47725.640000000007</v>
      </c>
      <c r="X28" s="244">
        <f t="shared" si="1"/>
        <v>0</v>
      </c>
      <c r="Y28" s="89"/>
      <c r="Z28" s="105" t="s">
        <v>113</v>
      </c>
      <c r="AA28" s="229"/>
      <c r="AB28" s="229">
        <v>44759.999999999971</v>
      </c>
      <c r="AC28" s="229">
        <f>AA28-AB28</f>
        <v>-44759.999999999971</v>
      </c>
      <c r="AD28" s="244">
        <f t="shared" si="2"/>
        <v>0</v>
      </c>
      <c r="AF28" s="105" t="s">
        <v>113</v>
      </c>
      <c r="AG28" s="229">
        <v>0</v>
      </c>
      <c r="AH28" s="229">
        <v>45343</v>
      </c>
      <c r="AI28" s="229">
        <f>AG28-AH28</f>
        <v>-45343</v>
      </c>
      <c r="AJ28" s="244">
        <f t="shared" si="3"/>
        <v>0</v>
      </c>
      <c r="AL28" s="106" t="s">
        <v>5</v>
      </c>
      <c r="AM28" s="224">
        <f>SUM(AM29:AM30)</f>
        <v>42876201.012221739</v>
      </c>
      <c r="AN28" s="224">
        <f>SUM(AN29:AN30)</f>
        <v>3479654</v>
      </c>
      <c r="AO28" s="224">
        <f t="shared" si="12"/>
        <v>39396547.012221739</v>
      </c>
      <c r="AP28" s="252">
        <f t="shared" si="4"/>
        <v>12.321972532964985</v>
      </c>
      <c r="AR28" s="106" t="s">
        <v>5</v>
      </c>
      <c r="AS28" s="224">
        <f>SUM(AS29:AS30)</f>
        <v>49697176.530351378</v>
      </c>
      <c r="AT28" s="224">
        <f>SUM(AT29:AT30)</f>
        <v>3613250</v>
      </c>
      <c r="AU28" s="224">
        <f t="shared" si="13"/>
        <v>46083926.530351378</v>
      </c>
      <c r="AV28" s="252">
        <f t="shared" si="5"/>
        <v>13.754148351304609</v>
      </c>
      <c r="AX28" s="106" t="s">
        <v>5</v>
      </c>
      <c r="AY28" s="224">
        <f>SUM(AY29:AY30)</f>
        <v>54428693.50859265</v>
      </c>
      <c r="AZ28" s="224">
        <f>SUM(AZ29:AZ30)</f>
        <v>3752123</v>
      </c>
      <c r="BA28" s="224">
        <f t="shared" si="14"/>
        <v>50676570.50859265</v>
      </c>
      <c r="BB28" s="252">
        <f t="shared" si="6"/>
        <v>14.506105878883142</v>
      </c>
      <c r="BD28" s="106" t="s">
        <v>5</v>
      </c>
      <c r="BE28" s="224">
        <f>SUM(BE29:BE30)</f>
        <v>56864910.938045777</v>
      </c>
      <c r="BF28" s="224">
        <f>SUM(BF29:BF30)</f>
        <v>3896485</v>
      </c>
      <c r="BG28" s="224">
        <f t="shared" si="15"/>
        <v>52968425.938045777</v>
      </c>
      <c r="BH28" s="252">
        <f t="shared" si="7"/>
        <v>14.593899614151159</v>
      </c>
    </row>
    <row r="29" spans="2:60" ht="15" x14ac:dyDescent="0.25">
      <c r="B29" s="105" t="s">
        <v>412</v>
      </c>
      <c r="C29" s="239">
        <v>8769404.4462989457</v>
      </c>
      <c r="D29" s="239">
        <v>2487422.6789839016</v>
      </c>
      <c r="E29" s="239">
        <f t="shared" si="16"/>
        <v>6281981.7673150441</v>
      </c>
      <c r="F29" s="240">
        <f t="shared" si="17"/>
        <v>3.5254983081046758</v>
      </c>
      <c r="G29" s="89"/>
      <c r="H29" s="105" t="s">
        <v>412</v>
      </c>
      <c r="I29" s="239">
        <v>6359529.2161623184</v>
      </c>
      <c r="J29" s="239">
        <v>2205925.717151551</v>
      </c>
      <c r="K29" s="239">
        <f t="shared" si="18"/>
        <v>4153603.4990107673</v>
      </c>
      <c r="L29" s="240">
        <f t="shared" si="19"/>
        <v>2.8829299040831695</v>
      </c>
      <c r="M29" s="89"/>
      <c r="N29" s="253" t="s">
        <v>6</v>
      </c>
      <c r="O29" s="246">
        <f>SUM(O5,O10,O14,O20,O23,O26)</f>
        <v>434079179.13241184</v>
      </c>
      <c r="P29" s="246">
        <f>SUM(P5,P10,P14,P20,P23,P26)</f>
        <v>126245782.56999999</v>
      </c>
      <c r="Q29" s="246">
        <f>SUM(Q5,Q10,Q14,Q20,Q23,Q26)</f>
        <v>307833396.56241184</v>
      </c>
      <c r="R29" s="247">
        <f t="shared" si="0"/>
        <v>3.4383657837577761</v>
      </c>
      <c r="S29" s="89"/>
      <c r="T29" s="253" t="s">
        <v>6</v>
      </c>
      <c r="U29" s="246">
        <f>SUM(U5,U10,U14,U20,U23,U26)</f>
        <v>923882792.95030427</v>
      </c>
      <c r="V29" s="246">
        <f>SUM(V5,V10,V14,V20,V23,V26)</f>
        <v>280054463.20000005</v>
      </c>
      <c r="W29" s="246">
        <f>SUM(W5,W10,W14,W20,W23,W26)</f>
        <v>643828329.75030422</v>
      </c>
      <c r="X29" s="247">
        <f t="shared" si="1"/>
        <v>3.2989397219158625</v>
      </c>
      <c r="Y29" s="89"/>
      <c r="Z29" s="253" t="s">
        <v>6</v>
      </c>
      <c r="AA29" s="246">
        <f>SUM(AA5,AA10,AA14,AA20,AA23,AA26)</f>
        <v>302808645.94357234</v>
      </c>
      <c r="AB29" s="246">
        <f>SUM(AB5,AB10,AB14,AB20,AB23,AB26)</f>
        <v>142132182.63999999</v>
      </c>
      <c r="AC29" s="246">
        <f>SUM(AC5,AC10,AC14,AC20,AC23,AC26)</f>
        <v>160676463.30357236</v>
      </c>
      <c r="AD29" s="247">
        <f t="shared" si="2"/>
        <v>2.1304720740871357</v>
      </c>
      <c r="AF29" s="253" t="s">
        <v>6</v>
      </c>
      <c r="AG29" s="246">
        <f>SUM(AG5,AG10,AG14,AG20,AG23,AG26)</f>
        <v>299026719.51254803</v>
      </c>
      <c r="AH29" s="246">
        <f>SUM(AH5,AH10,AH14,AH20,AH23,AH26)</f>
        <v>139145418.53682491</v>
      </c>
      <c r="AI29" s="246">
        <f>SUM(AI5,AI10,AI14,AI20,AI23,AI26)</f>
        <v>159881300.97572309</v>
      </c>
      <c r="AJ29" s="247">
        <f t="shared" si="3"/>
        <v>2.1490231058768954</v>
      </c>
      <c r="AL29" s="105" t="s">
        <v>487</v>
      </c>
      <c r="AM29" s="229">
        <v>42876201.012221739</v>
      </c>
      <c r="AN29" s="229">
        <v>3203709</v>
      </c>
      <c r="AO29" s="229">
        <f t="shared" si="12"/>
        <v>39672492.012221739</v>
      </c>
      <c r="AP29" s="230">
        <f t="shared" si="4"/>
        <v>13.383300734311931</v>
      </c>
      <c r="AR29" s="105" t="s">
        <v>487</v>
      </c>
      <c r="AS29" s="229">
        <v>49697176.530351378</v>
      </c>
      <c r="AT29" s="229">
        <v>3332559</v>
      </c>
      <c r="AU29" s="229">
        <f t="shared" si="13"/>
        <v>46364617.530351378</v>
      </c>
      <c r="AV29" s="230">
        <f t="shared" si="5"/>
        <v>14.912617160071697</v>
      </c>
      <c r="AX29" s="105" t="s">
        <v>487</v>
      </c>
      <c r="AY29" s="229">
        <v>54428693.50859265</v>
      </c>
      <c r="AZ29" s="229">
        <v>3466604</v>
      </c>
      <c r="BA29" s="229">
        <f t="shared" si="14"/>
        <v>50962089.50859265</v>
      </c>
      <c r="BB29" s="230">
        <f t="shared" si="6"/>
        <v>15.700868489332111</v>
      </c>
      <c r="BD29" s="105" t="s">
        <v>487</v>
      </c>
      <c r="BE29" s="229">
        <v>56864910.938045777</v>
      </c>
      <c r="BF29" s="229">
        <v>3606055</v>
      </c>
      <c r="BG29" s="229">
        <f t="shared" si="15"/>
        <v>53258855.938045777</v>
      </c>
      <c r="BH29" s="230">
        <f t="shared" si="7"/>
        <v>15.76928553170869</v>
      </c>
    </row>
    <row r="30" spans="2:60" ht="15" x14ac:dyDescent="0.25">
      <c r="B30" s="106" t="s">
        <v>34</v>
      </c>
      <c r="C30" s="227">
        <f>SUM(C31:C34)</f>
        <v>17711926.469544593</v>
      </c>
      <c r="D30" s="227">
        <f>SUM(D31:D34)</f>
        <v>11966433.99</v>
      </c>
      <c r="E30" s="227">
        <f t="shared" si="16"/>
        <v>5745492.479544593</v>
      </c>
      <c r="F30" s="228">
        <f t="shared" si="17"/>
        <v>1.4801340553372822</v>
      </c>
      <c r="G30" s="89"/>
      <c r="H30" s="106" t="s">
        <v>34</v>
      </c>
      <c r="I30" s="227">
        <f>SUM(I31:I34)</f>
        <v>9712318.7536404561</v>
      </c>
      <c r="J30" s="227">
        <f>SUM(J31:J34)</f>
        <v>9473939.8899999987</v>
      </c>
      <c r="K30" s="227">
        <f t="shared" si="18"/>
        <v>238378.86364045739</v>
      </c>
      <c r="L30" s="228">
        <f t="shared" si="19"/>
        <v>1.0251615343149973</v>
      </c>
      <c r="M30" s="89"/>
      <c r="N30" s="254" t="s">
        <v>114</v>
      </c>
      <c r="O30" s="229"/>
      <c r="P30" s="229">
        <v>6385859.8600000003</v>
      </c>
      <c r="Q30" s="229">
        <f>O30-P30</f>
        <v>-6385859.8600000003</v>
      </c>
      <c r="R30" s="230">
        <f t="shared" si="0"/>
        <v>0</v>
      </c>
      <c r="S30" s="89"/>
      <c r="T30" s="254" t="s">
        <v>114</v>
      </c>
      <c r="U30" s="229"/>
      <c r="V30" s="229">
        <v>7467313.8900000006</v>
      </c>
      <c r="W30" s="229">
        <f>U30-V30</f>
        <v>-7467313.8900000006</v>
      </c>
      <c r="X30" s="230">
        <f t="shared" si="1"/>
        <v>0</v>
      </c>
      <c r="Y30" s="89"/>
      <c r="Z30" s="254" t="s">
        <v>114</v>
      </c>
      <c r="AA30" s="229"/>
      <c r="AB30" s="229">
        <v>7044824.0600000005</v>
      </c>
      <c r="AC30" s="229">
        <f>AA30-AB30</f>
        <v>-7044824.0600000005</v>
      </c>
      <c r="AD30" s="230">
        <f t="shared" si="2"/>
        <v>0</v>
      </c>
      <c r="AF30" s="254" t="s">
        <v>114</v>
      </c>
      <c r="AG30" s="229"/>
      <c r="AH30" s="229">
        <v>8561210</v>
      </c>
      <c r="AI30" s="229">
        <f>AG30-AH30</f>
        <v>-8561210</v>
      </c>
      <c r="AJ30" s="230">
        <f t="shared" si="3"/>
        <v>0</v>
      </c>
      <c r="AL30" s="105" t="s">
        <v>85</v>
      </c>
      <c r="AM30" s="229">
        <v>0</v>
      </c>
      <c r="AN30" s="229">
        <v>275945</v>
      </c>
      <c r="AO30" s="229">
        <f t="shared" si="12"/>
        <v>-275945</v>
      </c>
      <c r="AP30" s="244">
        <f t="shared" si="4"/>
        <v>0</v>
      </c>
      <c r="AR30" s="105" t="s">
        <v>85</v>
      </c>
      <c r="AS30" s="229">
        <v>0</v>
      </c>
      <c r="AT30" s="229">
        <v>280691</v>
      </c>
      <c r="AU30" s="229">
        <f t="shared" si="13"/>
        <v>-280691</v>
      </c>
      <c r="AV30" s="244">
        <f t="shared" si="5"/>
        <v>0</v>
      </c>
      <c r="AX30" s="105" t="s">
        <v>85</v>
      </c>
      <c r="AY30" s="229">
        <v>0</v>
      </c>
      <c r="AZ30" s="229">
        <v>285519</v>
      </c>
      <c r="BA30" s="229">
        <f t="shared" si="14"/>
        <v>-285519</v>
      </c>
      <c r="BB30" s="244">
        <f t="shared" si="6"/>
        <v>0</v>
      </c>
      <c r="BD30" s="105" t="s">
        <v>85</v>
      </c>
      <c r="BE30" s="229">
        <v>0</v>
      </c>
      <c r="BF30" s="229">
        <v>290430</v>
      </c>
      <c r="BG30" s="229">
        <f t="shared" si="15"/>
        <v>-290430</v>
      </c>
      <c r="BH30" s="244">
        <f t="shared" si="7"/>
        <v>0</v>
      </c>
    </row>
    <row r="31" spans="2:60" ht="15.75" thickBot="1" x14ac:dyDescent="0.3">
      <c r="B31" s="238" t="s">
        <v>264</v>
      </c>
      <c r="C31" s="239">
        <v>4470767.7770139482</v>
      </c>
      <c r="D31" s="239">
        <v>2804833.4984686296</v>
      </c>
      <c r="E31" s="239">
        <f t="shared" si="16"/>
        <v>1665934.2785453186</v>
      </c>
      <c r="F31" s="240">
        <f t="shared" si="17"/>
        <v>1.5939512200830737</v>
      </c>
      <c r="G31" s="89"/>
      <c r="H31" s="238" t="s">
        <v>264</v>
      </c>
      <c r="I31" s="239">
        <v>1439688.462497452</v>
      </c>
      <c r="J31" s="239">
        <v>1398318.2042227974</v>
      </c>
      <c r="K31" s="239">
        <f t="shared" si="18"/>
        <v>41370.258274654625</v>
      </c>
      <c r="L31" s="240">
        <f t="shared" si="19"/>
        <v>1.029585725301809</v>
      </c>
      <c r="M31" s="89"/>
      <c r="N31" s="6" t="s">
        <v>115</v>
      </c>
      <c r="O31" s="224"/>
      <c r="P31" s="224">
        <v>12089820.400000034</v>
      </c>
      <c r="Q31" s="224">
        <f>O31-P31</f>
        <v>-12089820.400000034</v>
      </c>
      <c r="R31" s="252">
        <f t="shared" si="0"/>
        <v>0</v>
      </c>
      <c r="S31" s="89"/>
      <c r="T31" s="6" t="s">
        <v>115</v>
      </c>
      <c r="U31" s="224"/>
      <c r="V31" s="224">
        <v>14588035.310000002</v>
      </c>
      <c r="W31" s="224">
        <f>U31-V31</f>
        <v>-14588035.310000002</v>
      </c>
      <c r="X31" s="252">
        <f t="shared" si="1"/>
        <v>0</v>
      </c>
      <c r="Y31" s="89"/>
      <c r="Z31" s="6" t="s">
        <v>115</v>
      </c>
      <c r="AA31" s="224"/>
      <c r="AB31" s="224">
        <v>13066020.12000002</v>
      </c>
      <c r="AC31" s="224">
        <f>AA31-AB31</f>
        <v>-13066020.12000002</v>
      </c>
      <c r="AD31" s="252">
        <f t="shared" si="2"/>
        <v>0</v>
      </c>
      <c r="AF31" s="6" t="s">
        <v>115</v>
      </c>
      <c r="AG31" s="224"/>
      <c r="AH31" s="224">
        <v>13687653</v>
      </c>
      <c r="AI31" s="224">
        <f>AG31-AH31</f>
        <v>-13687653</v>
      </c>
      <c r="AJ31" s="252">
        <f t="shared" si="3"/>
        <v>0</v>
      </c>
      <c r="AL31" s="253" t="s">
        <v>6</v>
      </c>
      <c r="AM31" s="246">
        <f>SUM(AM5,AM13,AM17,AM25,AM28)</f>
        <v>410132344.57111537</v>
      </c>
      <c r="AN31" s="246">
        <f>SUM(AN5,AN13,AN17,AN25,AN28)</f>
        <v>173537070</v>
      </c>
      <c r="AO31" s="246">
        <f t="shared" si="12"/>
        <v>236595274.57111537</v>
      </c>
      <c r="AP31" s="247">
        <f t="shared" si="4"/>
        <v>2.3633702273013792</v>
      </c>
      <c r="AR31" s="253" t="s">
        <v>6</v>
      </c>
      <c r="AS31" s="246">
        <f>SUM(AS5,AS13,AS17,AS25,AS28)</f>
        <v>463378120.84535182</v>
      </c>
      <c r="AT31" s="246">
        <f>SUM(AT5,AT13,AT17,AT25,AT28)</f>
        <v>186273525</v>
      </c>
      <c r="AU31" s="246">
        <f t="shared" si="13"/>
        <v>277104595.84535182</v>
      </c>
      <c r="AV31" s="247">
        <f t="shared" si="5"/>
        <v>2.4876220109398361</v>
      </c>
      <c r="AX31" s="253" t="s">
        <v>6</v>
      </c>
      <c r="AY31" s="246">
        <f>SUM(AY5,AY13,AY17,AY25,AY28)</f>
        <v>504040961.43143898</v>
      </c>
      <c r="AZ31" s="246">
        <f>SUM(AZ5,AZ13,AZ17,AZ25,AZ28)</f>
        <v>197612391</v>
      </c>
      <c r="BA31" s="246">
        <f t="shared" si="14"/>
        <v>306428570.43143898</v>
      </c>
      <c r="BB31" s="247">
        <f t="shared" si="6"/>
        <v>2.5506546369930772</v>
      </c>
      <c r="BD31" s="253" t="s">
        <v>6</v>
      </c>
      <c r="BE31" s="246">
        <f>SUM(BE5,BE13,BE17,BE25,BE28)</f>
        <v>540012232.95021844</v>
      </c>
      <c r="BF31" s="246">
        <f>SUM(BF5,BF13,BF17,BF25,BF28)</f>
        <v>208371592</v>
      </c>
      <c r="BG31" s="246">
        <f t="shared" si="15"/>
        <v>331640640.95021844</v>
      </c>
      <c r="BH31" s="247">
        <f t="shared" si="7"/>
        <v>2.5915827957499045</v>
      </c>
    </row>
    <row r="32" spans="2:60" ht="16.5" thickTop="1" thickBot="1" x14ac:dyDescent="0.3">
      <c r="B32" s="238" t="s">
        <v>265</v>
      </c>
      <c r="C32" s="239">
        <v>0</v>
      </c>
      <c r="D32" s="239">
        <v>0</v>
      </c>
      <c r="E32" s="239">
        <f t="shared" si="16"/>
        <v>0</v>
      </c>
      <c r="F32" s="240">
        <f t="shared" si="17"/>
        <v>0</v>
      </c>
      <c r="G32" s="89"/>
      <c r="H32" s="238" t="s">
        <v>265</v>
      </c>
      <c r="I32" s="239">
        <v>0</v>
      </c>
      <c r="J32" s="239">
        <v>0</v>
      </c>
      <c r="K32" s="239">
        <f t="shared" si="18"/>
        <v>0</v>
      </c>
      <c r="L32" s="240">
        <f t="shared" si="19"/>
        <v>0</v>
      </c>
      <c r="M32" s="89"/>
      <c r="N32" s="7" t="s">
        <v>276</v>
      </c>
      <c r="O32" s="255">
        <f>SUM(O31,O29,O30)</f>
        <v>434079179.13241184</v>
      </c>
      <c r="P32" s="255">
        <f>SUM(P31,P29,P30)</f>
        <v>144721462.83000004</v>
      </c>
      <c r="Q32" s="255">
        <f>SUM(Q31,Q29,Q30)</f>
        <v>289357716.30241179</v>
      </c>
      <c r="R32" s="256">
        <f t="shared" si="0"/>
        <v>2.999411218240045</v>
      </c>
      <c r="S32" s="89"/>
      <c r="T32" s="7" t="s">
        <v>276</v>
      </c>
      <c r="U32" s="255">
        <f>SUM(U31,U29,U30)</f>
        <v>923882792.95030427</v>
      </c>
      <c r="V32" s="255">
        <f>SUM(V31,V29,V30)</f>
        <v>302109812.40000004</v>
      </c>
      <c r="W32" s="255">
        <f>SUM(W31,W29,W30)</f>
        <v>621772980.55030429</v>
      </c>
      <c r="X32" s="256">
        <f t="shared" si="1"/>
        <v>3.0581025674434672</v>
      </c>
      <c r="Y32" s="89"/>
      <c r="Z32" s="7" t="s">
        <v>276</v>
      </c>
      <c r="AA32" s="255">
        <f>SUM(AA31,AA29,AA30)</f>
        <v>302808645.94357234</v>
      </c>
      <c r="AB32" s="255">
        <f>SUM(AB31,AB29,AB30)</f>
        <v>162243026.81999999</v>
      </c>
      <c r="AC32" s="255">
        <f>SUM(AC31,AC29,AC30)</f>
        <v>140565619.12357235</v>
      </c>
      <c r="AD32" s="256">
        <f t="shared" si="2"/>
        <v>1.8663892795807022</v>
      </c>
      <c r="AF32" s="7" t="s">
        <v>274</v>
      </c>
      <c r="AG32" s="255">
        <f>SUM(AG31,AG29,AG30)</f>
        <v>299026719.51254803</v>
      </c>
      <c r="AH32" s="255">
        <f>SUM(AH31,AH29,AH30)</f>
        <v>161394281.53682491</v>
      </c>
      <c r="AI32" s="255">
        <f>SUM(AI31,AI29,AI30)</f>
        <v>137632437.97572309</v>
      </c>
      <c r="AJ32" s="256">
        <f t="shared" si="3"/>
        <v>1.852771465414776</v>
      </c>
      <c r="AL32" s="6" t="s">
        <v>115</v>
      </c>
      <c r="AM32" s="224">
        <v>0</v>
      </c>
      <c r="AN32" s="224">
        <v>17637852</v>
      </c>
      <c r="AO32" s="224">
        <f t="shared" si="12"/>
        <v>-17637852</v>
      </c>
      <c r="AP32" s="243">
        <f t="shared" si="4"/>
        <v>0</v>
      </c>
      <c r="AR32" s="6" t="s">
        <v>115</v>
      </c>
      <c r="AS32" s="224">
        <v>0</v>
      </c>
      <c r="AT32" s="224">
        <v>17737784</v>
      </c>
      <c r="AU32" s="224">
        <f t="shared" si="13"/>
        <v>-17737784</v>
      </c>
      <c r="AV32" s="243">
        <f t="shared" si="5"/>
        <v>0</v>
      </c>
      <c r="AX32" s="6" t="s">
        <v>115</v>
      </c>
      <c r="AY32" s="224">
        <v>0</v>
      </c>
      <c r="AZ32" s="224">
        <v>18042873</v>
      </c>
      <c r="BA32" s="224">
        <f t="shared" si="14"/>
        <v>-18042873</v>
      </c>
      <c r="BB32" s="243">
        <f t="shared" si="6"/>
        <v>0</v>
      </c>
      <c r="BD32" s="6" t="s">
        <v>115</v>
      </c>
      <c r="BE32" s="224">
        <v>0</v>
      </c>
      <c r="BF32" s="224">
        <v>18353209</v>
      </c>
      <c r="BG32" s="224">
        <f t="shared" si="15"/>
        <v>-18353209</v>
      </c>
      <c r="BH32" s="243">
        <f t="shared" si="7"/>
        <v>0</v>
      </c>
    </row>
    <row r="33" spans="2:61" ht="15.75" thickTop="1" x14ac:dyDescent="0.25">
      <c r="B33" s="238" t="s">
        <v>249</v>
      </c>
      <c r="C33" s="239">
        <v>0</v>
      </c>
      <c r="D33" s="239">
        <v>71444.100000000006</v>
      </c>
      <c r="E33" s="239">
        <f t="shared" si="16"/>
        <v>-71444.100000000006</v>
      </c>
      <c r="F33" s="240">
        <f t="shared" si="17"/>
        <v>0</v>
      </c>
      <c r="G33" s="89"/>
      <c r="H33" s="238" t="s">
        <v>249</v>
      </c>
      <c r="I33" s="239">
        <v>51617.753368267586</v>
      </c>
      <c r="J33" s="239">
        <v>155970.79447581765</v>
      </c>
      <c r="K33" s="239">
        <f t="shared" si="18"/>
        <v>-104353.04110755006</v>
      </c>
      <c r="L33" s="240">
        <f t="shared" si="19"/>
        <v>0.33094499224513868</v>
      </c>
      <c r="M33" s="89"/>
      <c r="O33" s="89"/>
      <c r="P33" s="89"/>
      <c r="Q33" s="89"/>
      <c r="R33" s="89"/>
      <c r="S33" s="89"/>
      <c r="U33" s="89"/>
      <c r="V33" s="89"/>
      <c r="W33" s="89"/>
      <c r="X33" s="89"/>
      <c r="Y33" s="89"/>
      <c r="Z33" s="89"/>
      <c r="AA33" s="89"/>
      <c r="AB33" s="89"/>
      <c r="AC33" s="89"/>
      <c r="AD33" s="89"/>
      <c r="AG33" s="89"/>
      <c r="AH33" s="89"/>
      <c r="AI33" s="89"/>
      <c r="AJ33" s="89"/>
      <c r="AL33" s="7" t="s">
        <v>274</v>
      </c>
      <c r="AM33" s="255">
        <f>SUM(AM31:AM32)</f>
        <v>410132344.57111537</v>
      </c>
      <c r="AN33" s="255">
        <f t="shared" ref="AN33" si="20">SUM(AN31:AN32)</f>
        <v>191174922</v>
      </c>
      <c r="AO33" s="255">
        <f t="shared" si="12"/>
        <v>218957422.57111537</v>
      </c>
      <c r="AP33" s="256">
        <f t="shared" si="4"/>
        <v>2.1453250263186474</v>
      </c>
      <c r="AR33" s="7" t="s">
        <v>274</v>
      </c>
      <c r="AS33" s="255">
        <f>SUM(AS31:AS32)</f>
        <v>463378120.84535182</v>
      </c>
      <c r="AT33" s="255">
        <f t="shared" ref="AT33" si="21">SUM(AT31:AT32)</f>
        <v>204011309</v>
      </c>
      <c r="AU33" s="255">
        <f t="shared" si="13"/>
        <v>259366811.84535182</v>
      </c>
      <c r="AV33" s="256">
        <f t="shared" si="5"/>
        <v>2.2713354623167081</v>
      </c>
      <c r="AX33" s="7" t="s">
        <v>274</v>
      </c>
      <c r="AY33" s="255">
        <f>SUM(AY31:AY32)</f>
        <v>504040961.43143898</v>
      </c>
      <c r="AZ33" s="255">
        <f t="shared" ref="AZ33" si="22">SUM(AZ31:AZ32)</f>
        <v>215655264</v>
      </c>
      <c r="BA33" s="255">
        <f t="shared" si="14"/>
        <v>288385697.43143898</v>
      </c>
      <c r="BB33" s="256">
        <f t="shared" si="6"/>
        <v>2.3372532257382734</v>
      </c>
      <c r="BD33" s="7" t="s">
        <v>274</v>
      </c>
      <c r="BE33" s="255">
        <f>SUM(BE31:BE32)</f>
        <v>540012232.95021844</v>
      </c>
      <c r="BF33" s="255">
        <f t="shared" ref="BF33" si="23">SUM(BF31:BF32)</f>
        <v>226724801</v>
      </c>
      <c r="BG33" s="255">
        <f t="shared" si="15"/>
        <v>313287431.95021844</v>
      </c>
      <c r="BH33" s="256">
        <f t="shared" si="7"/>
        <v>2.3817960389354074</v>
      </c>
    </row>
    <row r="34" spans="2:61" ht="15" customHeight="1" x14ac:dyDescent="0.2">
      <c r="B34" s="238" t="s">
        <v>266</v>
      </c>
      <c r="C34" s="239">
        <v>13241158.692530645</v>
      </c>
      <c r="D34" s="239">
        <v>9090156.3915313706</v>
      </c>
      <c r="E34" s="239">
        <f t="shared" si="16"/>
        <v>4151002.3009992745</v>
      </c>
      <c r="F34" s="240">
        <f t="shared" si="17"/>
        <v>1.4566480621682656</v>
      </c>
      <c r="G34" s="89"/>
      <c r="H34" s="238" t="s">
        <v>266</v>
      </c>
      <c r="I34" s="239">
        <v>8221012.5377747361</v>
      </c>
      <c r="J34" s="239">
        <v>7919650.8913013842</v>
      </c>
      <c r="K34" s="239">
        <f t="shared" si="18"/>
        <v>301361.64647335187</v>
      </c>
      <c r="L34" s="240">
        <f t="shared" si="19"/>
        <v>1.0380523902643681</v>
      </c>
      <c r="M34" s="89"/>
      <c r="O34" s="89"/>
      <c r="P34" s="89"/>
      <c r="Q34" s="89"/>
      <c r="R34" s="89"/>
      <c r="S34" s="89"/>
      <c r="U34" s="89"/>
      <c r="V34" s="89"/>
      <c r="W34" s="89"/>
      <c r="X34" s="89"/>
      <c r="Y34" s="89"/>
      <c r="Z34" s="89"/>
      <c r="AA34" s="89"/>
      <c r="AB34" s="89"/>
      <c r="AC34" s="89"/>
      <c r="AD34" s="89"/>
      <c r="AG34" s="89"/>
      <c r="AH34" s="89"/>
      <c r="AI34" s="89"/>
      <c r="AJ34" s="89"/>
      <c r="AL34" s="498" t="s">
        <v>481</v>
      </c>
      <c r="AM34" s="499"/>
      <c r="AN34" s="499"/>
      <c r="AO34" s="499"/>
      <c r="AP34" s="499"/>
      <c r="AQ34" s="89"/>
      <c r="AR34" s="498" t="s">
        <v>481</v>
      </c>
      <c r="AS34" s="499"/>
      <c r="AT34" s="499"/>
      <c r="AU34" s="499"/>
      <c r="AV34" s="499"/>
      <c r="AW34" s="89"/>
      <c r="AX34" s="498" t="s">
        <v>481</v>
      </c>
      <c r="AY34" s="499"/>
      <c r="AZ34" s="499"/>
      <c r="BA34" s="499"/>
      <c r="BB34" s="499"/>
      <c r="BC34" s="89"/>
      <c r="BD34" s="498" t="s">
        <v>481</v>
      </c>
      <c r="BE34" s="499"/>
      <c r="BF34" s="499"/>
      <c r="BG34" s="499"/>
      <c r="BH34" s="499"/>
      <c r="BI34" s="89"/>
    </row>
    <row r="35" spans="2:61" ht="15" customHeight="1" x14ac:dyDescent="0.2">
      <c r="B35" s="106" t="s">
        <v>5</v>
      </c>
      <c r="C35" s="227">
        <v>16386446.998800894</v>
      </c>
      <c r="D35" s="227">
        <v>2729313.51</v>
      </c>
      <c r="E35" s="227">
        <f t="shared" si="16"/>
        <v>13657133.488800894</v>
      </c>
      <c r="F35" s="257">
        <f t="shared" si="17"/>
        <v>6.0038712807312837</v>
      </c>
      <c r="G35" s="89"/>
      <c r="H35" s="106" t="s">
        <v>5</v>
      </c>
      <c r="I35" s="227">
        <v>10974964.658735946</v>
      </c>
      <c r="J35" s="227">
        <v>3079271.8799999994</v>
      </c>
      <c r="K35" s="227">
        <f t="shared" si="18"/>
        <v>7895692.7787359469</v>
      </c>
      <c r="L35" s="257">
        <f t="shared" si="19"/>
        <v>3.564142786487547</v>
      </c>
      <c r="M35" s="89"/>
      <c r="O35" s="89"/>
      <c r="P35" s="89"/>
      <c r="Q35" s="89"/>
      <c r="R35" s="89"/>
      <c r="S35" s="89"/>
      <c r="U35" s="89"/>
      <c r="V35" s="89"/>
      <c r="W35" s="89"/>
      <c r="X35" s="89"/>
      <c r="Y35" s="89"/>
      <c r="Z35" s="89"/>
      <c r="AA35" s="89"/>
      <c r="AB35" s="89"/>
      <c r="AC35" s="89"/>
      <c r="AD35" s="89"/>
      <c r="AG35" s="89"/>
      <c r="AH35" s="89"/>
      <c r="AI35" s="89"/>
      <c r="AJ35" s="89"/>
      <c r="AL35" s="495" t="s">
        <v>483</v>
      </c>
      <c r="AM35" s="496"/>
      <c r="AN35" s="496"/>
      <c r="AO35" s="496"/>
      <c r="AP35" s="496"/>
      <c r="AR35" s="495" t="s">
        <v>483</v>
      </c>
      <c r="AS35" s="496"/>
      <c r="AT35" s="496"/>
      <c r="AU35" s="496"/>
      <c r="AV35" s="496"/>
      <c r="AX35" s="495" t="s">
        <v>483</v>
      </c>
      <c r="AY35" s="496"/>
      <c r="AZ35" s="496"/>
      <c r="BA35" s="496"/>
      <c r="BB35" s="496"/>
      <c r="BD35" s="495" t="s">
        <v>483</v>
      </c>
      <c r="BE35" s="496"/>
      <c r="BF35" s="496"/>
      <c r="BG35" s="496"/>
      <c r="BH35" s="496"/>
    </row>
    <row r="36" spans="2:61" ht="15" customHeight="1" x14ac:dyDescent="0.25">
      <c r="B36" s="106" t="s">
        <v>273</v>
      </c>
      <c r="C36" s="227">
        <v>913288.42799658841</v>
      </c>
      <c r="D36" s="227">
        <v>166435.78999999998</v>
      </c>
      <c r="E36" s="227">
        <f t="shared" si="16"/>
        <v>746852.63799658837</v>
      </c>
      <c r="F36" s="257">
        <f t="shared" si="17"/>
        <v>5.4873319494358066</v>
      </c>
      <c r="G36" s="89"/>
      <c r="H36" s="106" t="s">
        <v>273</v>
      </c>
      <c r="I36" s="227">
        <v>988348.72261890548</v>
      </c>
      <c r="J36" s="227">
        <v>121845.32</v>
      </c>
      <c r="K36" s="227">
        <f t="shared" si="18"/>
        <v>866503.40261890553</v>
      </c>
      <c r="L36" s="257">
        <f t="shared" si="19"/>
        <v>8.1115033603170428</v>
      </c>
      <c r="M36" s="89"/>
      <c r="O36" s="89"/>
      <c r="P36" s="89"/>
      <c r="Q36" s="89"/>
      <c r="R36" s="89"/>
      <c r="S36" s="89"/>
      <c r="U36" s="89"/>
      <c r="V36" s="89"/>
      <c r="W36" s="89"/>
      <c r="X36" s="89"/>
      <c r="Y36" s="89"/>
      <c r="Z36" s="89"/>
      <c r="AA36" s="89"/>
      <c r="AB36" s="89"/>
      <c r="AC36" s="89"/>
      <c r="AD36" s="89"/>
      <c r="AG36" s="89"/>
      <c r="AH36" s="89"/>
      <c r="AI36" s="89"/>
      <c r="AJ36"/>
      <c r="AK36"/>
      <c r="AL36" s="497" t="s">
        <v>486</v>
      </c>
      <c r="AM36" s="497"/>
      <c r="AN36" s="497"/>
      <c r="AO36" s="497"/>
      <c r="AP36" s="497"/>
      <c r="AQ36"/>
      <c r="AR36" s="497" t="s">
        <v>486</v>
      </c>
      <c r="AS36" s="497"/>
      <c r="AT36" s="497"/>
      <c r="AU36" s="497"/>
      <c r="AV36" s="497"/>
      <c r="AX36" s="497" t="s">
        <v>486</v>
      </c>
      <c r="AY36" s="497"/>
      <c r="AZ36" s="497"/>
      <c r="BA36" s="497"/>
      <c r="BB36" s="497"/>
      <c r="BD36" s="497" t="s">
        <v>486</v>
      </c>
      <c r="BE36" s="497"/>
      <c r="BF36" s="497"/>
      <c r="BG36" s="497"/>
      <c r="BH36" s="497"/>
    </row>
    <row r="37" spans="2:61" ht="15.75" thickBot="1" x14ac:dyDescent="0.3">
      <c r="B37" s="245" t="s">
        <v>324</v>
      </c>
      <c r="C37" s="246">
        <f>SUM(C22,C30,C35,C36)</f>
        <v>168065733.56546044</v>
      </c>
      <c r="D37" s="246">
        <f>SUM(D22,D30,D35,D36)</f>
        <v>46309918.909999996</v>
      </c>
      <c r="E37" s="246">
        <f t="shared" si="16"/>
        <v>121755814.65546045</v>
      </c>
      <c r="F37" s="247">
        <f t="shared" si="17"/>
        <v>3.6291519726494044</v>
      </c>
      <c r="G37" s="89"/>
      <c r="H37" s="245" t="s">
        <v>324</v>
      </c>
      <c r="I37" s="246">
        <f>SUM(I22,I30,I35,I36)</f>
        <v>116491923.04531431</v>
      </c>
      <c r="J37" s="246">
        <f>SUM(J22,J30,J35,J36)</f>
        <v>44488135.890000001</v>
      </c>
      <c r="K37" s="246">
        <f t="shared" si="18"/>
        <v>72003787.155314311</v>
      </c>
      <c r="L37" s="247">
        <f t="shared" si="19"/>
        <v>2.6184941381528923</v>
      </c>
      <c r="M37" s="89"/>
      <c r="O37" s="89"/>
      <c r="P37" s="89"/>
      <c r="Q37" s="89"/>
      <c r="R37" s="89"/>
      <c r="S37" s="89"/>
      <c r="U37" s="89"/>
      <c r="V37" s="89"/>
      <c r="W37" s="89"/>
      <c r="X37" s="89"/>
      <c r="Y37" s="89"/>
      <c r="Z37" s="89"/>
      <c r="AA37" s="89"/>
      <c r="AB37" s="89"/>
      <c r="AC37" s="89"/>
      <c r="AD37" s="89"/>
      <c r="AG37" s="89"/>
      <c r="AH37" s="89"/>
      <c r="AI37" s="89"/>
      <c r="AJ37"/>
      <c r="AK37"/>
      <c r="AL37" s="497"/>
      <c r="AM37" s="497"/>
      <c r="AN37" s="497"/>
      <c r="AO37" s="497"/>
      <c r="AP37" s="497"/>
      <c r="AQ37"/>
      <c r="AR37" s="497"/>
      <c r="AS37" s="497"/>
      <c r="AT37" s="497"/>
      <c r="AU37" s="497"/>
      <c r="AV37" s="497"/>
      <c r="AX37" s="497"/>
      <c r="AY37" s="497"/>
      <c r="AZ37" s="497"/>
      <c r="BA37" s="497"/>
      <c r="BB37" s="497"/>
      <c r="BD37" s="497"/>
      <c r="BE37" s="497"/>
      <c r="BF37" s="497"/>
      <c r="BG37" s="497"/>
      <c r="BH37" s="497"/>
    </row>
    <row r="38" spans="2:61" ht="15.75" customHeight="1" thickTop="1" x14ac:dyDescent="0.25">
      <c r="B38" s="7" t="s">
        <v>274</v>
      </c>
      <c r="C38" s="258">
        <f>SUM(C37,C20)</f>
        <v>395411793.95823848</v>
      </c>
      <c r="D38" s="258">
        <f>SUM(D37,D20)</f>
        <v>107972259.99662769</v>
      </c>
      <c r="E38" s="258">
        <f t="shared" si="16"/>
        <v>287439533.96161079</v>
      </c>
      <c r="F38" s="259">
        <f t="shared" si="17"/>
        <v>3.6621609473635952</v>
      </c>
      <c r="G38" s="89"/>
      <c r="H38" s="7" t="s">
        <v>274</v>
      </c>
      <c r="I38" s="258">
        <f>SUM(I37,I20)</f>
        <v>328032008.36396337</v>
      </c>
      <c r="J38" s="258">
        <f>SUM(J37,J20)</f>
        <v>108712892.58985816</v>
      </c>
      <c r="K38" s="258">
        <f t="shared" si="18"/>
        <v>219319115.77410519</v>
      </c>
      <c r="L38" s="259">
        <f t="shared" si="19"/>
        <v>3.0174158791039796</v>
      </c>
      <c r="M38" s="89"/>
      <c r="O38" s="89"/>
      <c r="P38" s="89"/>
      <c r="Q38" s="89"/>
      <c r="R38" s="89"/>
      <c r="S38" s="89"/>
      <c r="U38" s="89"/>
      <c r="V38" s="89"/>
      <c r="W38" s="89"/>
      <c r="X38" s="89"/>
      <c r="Y38" s="89"/>
      <c r="Z38" s="89"/>
      <c r="AA38" s="89"/>
      <c r="AB38" s="89"/>
      <c r="AC38" s="89"/>
      <c r="AD38" s="89"/>
      <c r="AG38" s="89"/>
      <c r="AH38" s="89"/>
      <c r="AI38" s="89"/>
      <c r="AJ38"/>
      <c r="AK38"/>
      <c r="AL38" s="495"/>
      <c r="AM38" s="496"/>
      <c r="AN38" s="496"/>
      <c r="AO38" s="496"/>
      <c r="AP38" s="496"/>
      <c r="AQ38"/>
      <c r="AR38"/>
      <c r="AS38"/>
    </row>
    <row r="39" spans="2:61" ht="15" x14ac:dyDescent="0.25">
      <c r="B39" s="381" t="s">
        <v>501</v>
      </c>
      <c r="C39" s="89"/>
      <c r="D39" s="89"/>
      <c r="E39" s="89"/>
      <c r="F39" s="89"/>
      <c r="G39" s="89"/>
      <c r="H39" s="89"/>
      <c r="I39" s="89"/>
      <c r="J39" s="89"/>
      <c r="K39" s="89"/>
      <c r="L39" s="89"/>
      <c r="M39" s="89"/>
      <c r="O39" s="89"/>
      <c r="P39" s="89"/>
      <c r="Q39" s="89"/>
      <c r="R39" s="89"/>
      <c r="S39" s="89"/>
      <c r="U39" s="89"/>
      <c r="V39" s="89"/>
      <c r="W39" s="89"/>
      <c r="X39" s="89"/>
      <c r="Y39" s="89"/>
      <c r="Z39" s="89"/>
      <c r="AA39" s="89"/>
      <c r="AB39" s="89"/>
      <c r="AC39" s="89"/>
      <c r="AD39" s="89"/>
      <c r="AG39" s="89"/>
      <c r="AH39" s="89"/>
      <c r="AI39" s="89"/>
      <c r="AJ39"/>
      <c r="AK39"/>
      <c r="AL39"/>
      <c r="AM39"/>
      <c r="AN39"/>
      <c r="AO39"/>
      <c r="AP39"/>
      <c r="AQ39"/>
      <c r="AR39"/>
      <c r="AS39"/>
    </row>
    <row r="40" spans="2:61" ht="15" x14ac:dyDescent="0.25">
      <c r="B40" s="261" t="s">
        <v>419</v>
      </c>
      <c r="AJ40"/>
      <c r="AK40"/>
      <c r="AL40"/>
      <c r="AM40"/>
      <c r="AN40"/>
      <c r="AO40"/>
      <c r="AP40"/>
      <c r="AQ40"/>
      <c r="AR40"/>
      <c r="AS40"/>
    </row>
    <row r="41" spans="2:61" ht="15" x14ac:dyDescent="0.25">
      <c r="B41" s="15" t="s">
        <v>402</v>
      </c>
      <c r="AJ41"/>
      <c r="AK41"/>
      <c r="AL41"/>
      <c r="AM41"/>
      <c r="AN41"/>
      <c r="AO41"/>
      <c r="AP41"/>
      <c r="AQ41"/>
      <c r="AR41"/>
      <c r="AS41"/>
    </row>
    <row r="42" spans="2:61" ht="15" x14ac:dyDescent="0.25">
      <c r="B42" s="15" t="s">
        <v>411</v>
      </c>
      <c r="C42" s="262"/>
      <c r="D42" s="262"/>
      <c r="E42" s="262"/>
      <c r="F42" s="262"/>
      <c r="G42" s="262"/>
      <c r="H42" s="262"/>
      <c r="N42" s="89"/>
      <c r="S42" s="89"/>
      <c r="T42" s="89"/>
      <c r="AJ42"/>
      <c r="AK42"/>
      <c r="AL42"/>
      <c r="AM42"/>
      <c r="AN42"/>
      <c r="AO42"/>
      <c r="AP42"/>
      <c r="AQ42"/>
      <c r="AR42"/>
      <c r="AS42"/>
    </row>
    <row r="43" spans="2:61" ht="15" x14ac:dyDescent="0.25">
      <c r="B43" s="15" t="s">
        <v>421</v>
      </c>
      <c r="N43" s="89"/>
      <c r="S43" s="89"/>
      <c r="T43" s="89"/>
      <c r="AJ43"/>
      <c r="AK43"/>
      <c r="AL43"/>
      <c r="AM43"/>
      <c r="AN43"/>
      <c r="AO43"/>
      <c r="AP43"/>
      <c r="AQ43"/>
      <c r="AR43"/>
      <c r="AS43"/>
    </row>
    <row r="44" spans="2:61" ht="15" x14ac:dyDescent="0.25">
      <c r="B44" s="263" t="s">
        <v>420</v>
      </c>
      <c r="N44" s="89"/>
      <c r="S44" s="89"/>
      <c r="T44" s="89"/>
      <c r="AJ44"/>
      <c r="AK44"/>
      <c r="AL44"/>
      <c r="AM44"/>
      <c r="AN44"/>
      <c r="AO44"/>
      <c r="AP44"/>
      <c r="AQ44"/>
      <c r="AR44"/>
      <c r="AS44"/>
    </row>
    <row r="45" spans="2:61" ht="15" x14ac:dyDescent="0.25">
      <c r="B45" s="264" t="s">
        <v>374</v>
      </c>
      <c r="N45" s="89"/>
      <c r="S45" s="89"/>
      <c r="T45" s="89"/>
      <c r="AJ45"/>
      <c r="AK45"/>
      <c r="AL45"/>
      <c r="AM45"/>
      <c r="AN45"/>
      <c r="AO45"/>
      <c r="AP45"/>
      <c r="AQ45"/>
      <c r="AR45"/>
      <c r="AS45"/>
    </row>
    <row r="46" spans="2:61" ht="15" x14ac:dyDescent="0.25">
      <c r="N46" s="89"/>
      <c r="S46" s="89"/>
      <c r="T46" s="89"/>
      <c r="AJ46"/>
      <c r="AK46"/>
      <c r="AL46"/>
      <c r="AM46"/>
      <c r="AN46"/>
      <c r="AO46"/>
      <c r="AP46"/>
      <c r="AQ46"/>
      <c r="AR46"/>
      <c r="AS46"/>
    </row>
  </sheetData>
  <mergeCells count="37">
    <mergeCell ref="AX2:BB2"/>
    <mergeCell ref="BD2:BH2"/>
    <mergeCell ref="T2:X2"/>
    <mergeCell ref="Z2:AD2"/>
    <mergeCell ref="AF2:AJ2"/>
    <mergeCell ref="AL2:AP2"/>
    <mergeCell ref="AR2:AV2"/>
    <mergeCell ref="BD34:BH34"/>
    <mergeCell ref="BD35:BH35"/>
    <mergeCell ref="BD36:BH37"/>
    <mergeCell ref="B1:F1"/>
    <mergeCell ref="H1:L1"/>
    <mergeCell ref="N1:R1"/>
    <mergeCell ref="T1:X1"/>
    <mergeCell ref="Z1:AD1"/>
    <mergeCell ref="AF1:AJ1"/>
    <mergeCell ref="AL1:AP1"/>
    <mergeCell ref="AR1:AV1"/>
    <mergeCell ref="AX1:BB1"/>
    <mergeCell ref="BD1:BH1"/>
    <mergeCell ref="B2:F2"/>
    <mergeCell ref="H2:L2"/>
    <mergeCell ref="N2:R2"/>
    <mergeCell ref="AR34:AV34"/>
    <mergeCell ref="AR35:AV35"/>
    <mergeCell ref="AR36:AV37"/>
    <mergeCell ref="AX34:BB34"/>
    <mergeCell ref="AX35:BB35"/>
    <mergeCell ref="AX36:BB37"/>
    <mergeCell ref="AL38:AP38"/>
    <mergeCell ref="AL35:AP35"/>
    <mergeCell ref="AL36:AP37"/>
    <mergeCell ref="B5:F5"/>
    <mergeCell ref="B21:F21"/>
    <mergeCell ref="H5:L5"/>
    <mergeCell ref="H21:L21"/>
    <mergeCell ref="AL34:AP34"/>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0719C-FEEC-42B9-80BB-0419EAB63DE4}">
  <sheetPr codeName="Sheet10"/>
  <dimension ref="B1:DU39"/>
  <sheetViews>
    <sheetView showGridLines="0" zoomScaleNormal="100" workbookViewId="0"/>
  </sheetViews>
  <sheetFormatPr defaultColWidth="9.140625" defaultRowHeight="12.75" x14ac:dyDescent="0.2"/>
  <cols>
    <col min="1" max="1" width="5.7109375" style="14" customWidth="1"/>
    <col min="2" max="2" width="23.5703125" style="14" customWidth="1"/>
    <col min="3" max="3" width="38.140625" style="14" customWidth="1"/>
    <col min="4" max="4" width="38.28515625" style="115" customWidth="1"/>
    <col min="5" max="5" width="12.28515625" style="33" customWidth="1"/>
    <col min="6" max="8" width="13.85546875" style="14" customWidth="1"/>
    <col min="9" max="12" width="14.28515625" style="14" customWidth="1"/>
    <col min="13" max="13" width="17.140625" style="14" customWidth="1"/>
    <col min="14" max="15" width="14.28515625" style="14" customWidth="1"/>
    <col min="16" max="16" width="5.7109375" style="14" customWidth="1"/>
    <col min="17" max="17" width="23.5703125" style="14" customWidth="1"/>
    <col min="18" max="18" width="34.7109375" style="14" bestFit="1" customWidth="1"/>
    <col min="19" max="19" width="38.28515625" style="115" customWidth="1"/>
    <col min="20" max="20" width="12.28515625" style="33" customWidth="1"/>
    <col min="21" max="23" width="13.85546875" style="14" customWidth="1"/>
    <col min="24" max="27" width="14.28515625" style="14" customWidth="1"/>
    <col min="28" max="28" width="17.140625" style="14" customWidth="1"/>
    <col min="29" max="30" width="14.28515625" style="14" customWidth="1"/>
    <col min="31" max="31" width="5.7109375" style="14" customWidth="1"/>
    <col min="32" max="32" width="26" style="14" bestFit="1" customWidth="1"/>
    <col min="33" max="33" width="31.85546875" style="14" bestFit="1" customWidth="1"/>
    <col min="34" max="34" width="23.5703125" style="14" bestFit="1" customWidth="1"/>
    <col min="35" max="35" width="12.42578125" style="14" customWidth="1"/>
    <col min="36" max="36" width="14.7109375" style="14" customWidth="1"/>
    <col min="37" max="37" width="15.42578125" style="14" customWidth="1"/>
    <col min="38" max="38" width="13.7109375" style="14" customWidth="1"/>
    <col min="39" max="39" width="11.28515625" style="14" bestFit="1" customWidth="1"/>
    <col min="40" max="42" width="13.140625" style="14" customWidth="1"/>
    <col min="43" max="45" width="14.7109375" style="14" customWidth="1"/>
    <col min="46" max="46" width="5.7109375" style="14" customWidth="1"/>
    <col min="47" max="47" width="26" style="14" bestFit="1" customWidth="1"/>
    <col min="48" max="48" width="31.85546875" style="14" bestFit="1" customWidth="1"/>
    <col min="49" max="49" width="23.5703125" style="14" bestFit="1" customWidth="1"/>
    <col min="50" max="50" width="12.42578125" style="14" customWidth="1"/>
    <col min="51" max="51" width="14.7109375" style="14" customWidth="1"/>
    <col min="52" max="52" width="15.42578125" style="14" customWidth="1"/>
    <col min="53" max="53" width="13.7109375" style="14" customWidth="1"/>
    <col min="54" max="54" width="11.28515625" style="14" bestFit="1" customWidth="1"/>
    <col min="55" max="57" width="13.140625" style="14" customWidth="1"/>
    <col min="58" max="60" width="14.7109375" style="14" customWidth="1"/>
    <col min="61" max="61" width="5.7109375" style="14" customWidth="1"/>
    <col min="62" max="62" width="26" style="14" bestFit="1" customWidth="1"/>
    <col min="63" max="63" width="31.85546875" style="14" bestFit="1" customWidth="1"/>
    <col min="64" max="64" width="23.5703125" style="14" bestFit="1" customWidth="1"/>
    <col min="65" max="65" width="12.42578125" style="14" customWidth="1"/>
    <col min="66" max="66" width="14.7109375" style="14" customWidth="1"/>
    <col min="67" max="67" width="15.42578125" style="14" customWidth="1"/>
    <col min="68" max="68" width="13.7109375" style="14" customWidth="1"/>
    <col min="69" max="69" width="11.28515625" style="14" bestFit="1" customWidth="1"/>
    <col min="70" max="72" width="13.140625" style="14" customWidth="1"/>
    <col min="73" max="75" width="14.7109375" style="14" customWidth="1"/>
    <col min="76" max="76" width="5.7109375" style="14" customWidth="1"/>
    <col min="77" max="77" width="32.7109375" style="14" customWidth="1"/>
    <col min="78" max="78" width="35.7109375" style="14" customWidth="1"/>
    <col min="79" max="79" width="25.7109375" style="14" customWidth="1"/>
    <col min="80" max="80" width="12.7109375" style="14" customWidth="1"/>
    <col min="81" max="83" width="15.7109375" style="14" customWidth="1"/>
    <col min="84" max="84" width="12.7109375" style="14" customWidth="1"/>
    <col min="85" max="85" width="19.7109375" style="14" customWidth="1"/>
    <col min="86" max="86" width="5.7109375" style="14" customWidth="1"/>
    <col min="87" max="87" width="25.7109375" style="14" customWidth="1"/>
    <col min="88" max="88" width="32.7109375" style="14" customWidth="1"/>
    <col min="89" max="89" width="40.7109375" style="14" customWidth="1"/>
    <col min="90" max="90" width="12.7109375" style="14" customWidth="1"/>
    <col min="91" max="93" width="15.7109375" style="14" customWidth="1"/>
    <col min="94" max="94" width="12.7109375" style="14" customWidth="1"/>
    <col min="95" max="95" width="20.7109375" style="14" customWidth="1"/>
    <col min="96" max="96" width="5.7109375" style="14" customWidth="1"/>
    <col min="97" max="97" width="25.7109375" style="14" customWidth="1"/>
    <col min="98" max="98" width="32.7109375" style="14" customWidth="1"/>
    <col min="99" max="99" width="40.7109375" style="14" customWidth="1"/>
    <col min="100" max="100" width="12.7109375" style="14" customWidth="1"/>
    <col min="101" max="103" width="15.7109375" style="14" customWidth="1"/>
    <col min="104" max="104" width="12.7109375" style="14" customWidth="1"/>
    <col min="105" max="105" width="20.7109375" style="14" customWidth="1"/>
    <col min="106" max="106" width="5.7109375" style="14" customWidth="1"/>
    <col min="107" max="107" width="25.7109375" style="14" customWidth="1"/>
    <col min="108" max="108" width="32.7109375" style="14" customWidth="1"/>
    <col min="109" max="109" width="40.7109375" style="14" customWidth="1"/>
    <col min="110" max="110" width="12.7109375" style="14" customWidth="1"/>
    <col min="111" max="113" width="15.7109375" style="14" customWidth="1"/>
    <col min="114" max="114" width="12.7109375" style="14" customWidth="1"/>
    <col min="115" max="115" width="20.7109375" style="14" customWidth="1"/>
    <col min="116" max="116" width="5.7109375" style="14" customWidth="1"/>
    <col min="117" max="117" width="25.7109375" style="14" customWidth="1"/>
    <col min="118" max="118" width="32.7109375" style="14" customWidth="1"/>
    <col min="119" max="119" width="40.7109375" style="14" customWidth="1"/>
    <col min="120" max="120" width="12.7109375" style="14" customWidth="1"/>
    <col min="121" max="123" width="15.7109375" style="14" customWidth="1"/>
    <col min="124" max="124" width="12.7109375" style="14" customWidth="1"/>
    <col min="125" max="125" width="20.7109375" style="14" customWidth="1"/>
    <col min="126" max="126" width="5.7109375" style="14" customWidth="1"/>
    <col min="127" max="16384" width="9.140625" style="14"/>
  </cols>
  <sheetData>
    <row r="1" spans="2:125" x14ac:dyDescent="0.2">
      <c r="C1" s="53"/>
      <c r="D1" s="53"/>
      <c r="E1" s="484" t="s">
        <v>466</v>
      </c>
      <c r="F1" s="484"/>
      <c r="G1" s="484"/>
      <c r="H1" s="484"/>
      <c r="I1" s="53"/>
      <c r="J1" s="53"/>
      <c r="K1" s="53"/>
      <c r="L1" s="53"/>
      <c r="M1" s="53"/>
      <c r="N1" s="53"/>
      <c r="O1" s="53"/>
      <c r="R1" s="53"/>
      <c r="S1" s="53"/>
      <c r="T1" s="484" t="s">
        <v>468</v>
      </c>
      <c r="U1" s="484"/>
      <c r="V1" s="484"/>
      <c r="W1" s="484"/>
      <c r="X1" s="53"/>
      <c r="Y1" s="53"/>
      <c r="Z1" s="53"/>
      <c r="AA1" s="53"/>
      <c r="AB1" s="53"/>
      <c r="AC1" s="53"/>
      <c r="AD1" s="53"/>
      <c r="AG1" s="53"/>
      <c r="AH1" s="53"/>
      <c r="AI1" s="484" t="s">
        <v>518</v>
      </c>
      <c r="AJ1" s="484"/>
      <c r="AK1" s="484"/>
      <c r="AL1" s="484"/>
      <c r="AM1" s="53"/>
      <c r="AN1" s="53"/>
      <c r="AO1" s="53"/>
      <c r="AP1" s="53"/>
      <c r="AQ1" s="53"/>
      <c r="AR1" s="53"/>
      <c r="AS1" s="53"/>
      <c r="AV1" s="53"/>
      <c r="AW1" s="53"/>
      <c r="AX1" s="484" t="s">
        <v>519</v>
      </c>
      <c r="AY1" s="484"/>
      <c r="AZ1" s="484"/>
      <c r="BA1" s="484"/>
      <c r="BB1" s="53"/>
      <c r="BC1" s="53"/>
      <c r="BD1" s="53"/>
      <c r="BE1" s="53"/>
      <c r="BF1" s="53"/>
      <c r="BG1" s="53"/>
      <c r="BH1" s="53"/>
      <c r="BK1" s="53"/>
      <c r="BL1" s="53"/>
      <c r="BM1" s="484" t="s">
        <v>520</v>
      </c>
      <c r="BN1" s="484"/>
      <c r="BO1" s="484"/>
      <c r="BP1" s="484"/>
      <c r="BQ1" s="53"/>
      <c r="BR1" s="53"/>
      <c r="BS1" s="53"/>
      <c r="BT1" s="53"/>
      <c r="BU1" s="53"/>
      <c r="BV1" s="53"/>
      <c r="BW1" s="53"/>
      <c r="BZ1" s="53"/>
      <c r="CA1" s="484" t="s">
        <v>521</v>
      </c>
      <c r="CB1" s="484"/>
      <c r="CC1" s="484"/>
      <c r="CD1" s="53"/>
      <c r="CE1" s="53"/>
      <c r="CF1" s="53"/>
      <c r="CG1" s="53"/>
      <c r="CH1" s="53"/>
      <c r="CJ1" s="53"/>
      <c r="CK1" s="484" t="s">
        <v>522</v>
      </c>
      <c r="CL1" s="484"/>
      <c r="CM1" s="484"/>
      <c r="CN1" s="53"/>
      <c r="CO1" s="53"/>
      <c r="CP1" s="53"/>
      <c r="CQ1" s="53"/>
      <c r="CT1" s="53"/>
      <c r="CU1" s="484" t="s">
        <v>523</v>
      </c>
      <c r="CV1" s="484"/>
      <c r="CW1" s="484"/>
      <c r="CX1" s="53"/>
      <c r="CY1" s="53"/>
      <c r="CZ1" s="53"/>
      <c r="DA1" s="53"/>
      <c r="DD1" s="53"/>
      <c r="DE1" s="484" t="s">
        <v>524</v>
      </c>
      <c r="DF1" s="484"/>
      <c r="DG1" s="484"/>
      <c r="DH1" s="53"/>
      <c r="DI1" s="53"/>
      <c r="DJ1" s="53"/>
      <c r="DK1" s="53"/>
      <c r="DN1" s="53"/>
      <c r="DO1" s="484" t="s">
        <v>525</v>
      </c>
      <c r="DP1" s="484"/>
      <c r="DQ1" s="484"/>
      <c r="DR1" s="53"/>
      <c r="DS1" s="53"/>
      <c r="DT1" s="53"/>
      <c r="DU1" s="53"/>
    </row>
    <row r="2" spans="2:125" x14ac:dyDescent="0.2">
      <c r="C2" s="53"/>
      <c r="D2" s="53"/>
      <c r="E2" s="484" t="s">
        <v>570</v>
      </c>
      <c r="F2" s="484"/>
      <c r="G2" s="484"/>
      <c r="H2" s="484"/>
      <c r="I2" s="53"/>
      <c r="J2" s="53"/>
      <c r="K2" s="53"/>
      <c r="L2" s="53"/>
      <c r="M2" s="53"/>
      <c r="N2" s="53"/>
      <c r="O2" s="53"/>
      <c r="R2" s="53"/>
      <c r="S2" s="53"/>
      <c r="T2" s="484" t="s">
        <v>571</v>
      </c>
      <c r="U2" s="484"/>
      <c r="V2" s="484"/>
      <c r="W2" s="484"/>
      <c r="X2" s="53"/>
      <c r="Y2" s="53"/>
      <c r="Z2" s="53"/>
      <c r="AA2" s="53"/>
      <c r="AB2" s="53"/>
      <c r="AC2" s="53"/>
      <c r="AD2" s="53"/>
      <c r="AG2" s="53"/>
      <c r="AH2" s="53"/>
      <c r="AI2" s="484" t="s">
        <v>572</v>
      </c>
      <c r="AJ2" s="484"/>
      <c r="AK2" s="484"/>
      <c r="AL2" s="484"/>
      <c r="AM2" s="53"/>
      <c r="AN2" s="53"/>
      <c r="AO2" s="53"/>
      <c r="AP2" s="53"/>
      <c r="AQ2" s="53"/>
      <c r="AR2" s="53"/>
      <c r="AS2" s="53"/>
      <c r="AV2" s="53"/>
      <c r="AW2" s="53"/>
      <c r="AX2" s="484" t="s">
        <v>573</v>
      </c>
      <c r="AY2" s="484"/>
      <c r="AZ2" s="484"/>
      <c r="BA2" s="484"/>
      <c r="BB2" s="53"/>
      <c r="BC2" s="53"/>
      <c r="BD2" s="53"/>
      <c r="BE2" s="53"/>
      <c r="BF2" s="53"/>
      <c r="BG2" s="53"/>
      <c r="BH2" s="53"/>
      <c r="BK2" s="53"/>
      <c r="BL2" s="53"/>
      <c r="BM2" s="484" t="s">
        <v>574</v>
      </c>
      <c r="BN2" s="484"/>
      <c r="BO2" s="484"/>
      <c r="BP2" s="484"/>
      <c r="BQ2" s="53"/>
      <c r="BR2" s="53"/>
      <c r="BS2" s="53"/>
      <c r="BT2" s="53"/>
      <c r="BU2" s="53"/>
      <c r="BV2" s="53"/>
      <c r="BW2" s="53"/>
      <c r="BZ2" s="53"/>
      <c r="CA2" s="484" t="s">
        <v>565</v>
      </c>
      <c r="CB2" s="484"/>
      <c r="CC2" s="484"/>
      <c r="CD2" s="53"/>
      <c r="CE2" s="53"/>
      <c r="CF2" s="53"/>
      <c r="CG2" s="53"/>
      <c r="CH2" s="53"/>
      <c r="CJ2" s="53"/>
      <c r="CK2" s="484" t="s">
        <v>566</v>
      </c>
      <c r="CL2" s="484"/>
      <c r="CM2" s="484"/>
      <c r="CN2" s="53"/>
      <c r="CO2" s="53"/>
      <c r="CP2" s="53"/>
      <c r="CQ2" s="53"/>
      <c r="CT2" s="53"/>
      <c r="CU2" s="484" t="s">
        <v>567</v>
      </c>
      <c r="CV2" s="484"/>
      <c r="CW2" s="484"/>
      <c r="CX2" s="53"/>
      <c r="CY2" s="53"/>
      <c r="CZ2" s="53"/>
      <c r="DA2" s="53"/>
      <c r="DD2" s="53"/>
      <c r="DE2" s="484" t="s">
        <v>568</v>
      </c>
      <c r="DF2" s="484"/>
      <c r="DG2" s="484"/>
      <c r="DH2" s="53"/>
      <c r="DI2" s="53"/>
      <c r="DJ2" s="53"/>
      <c r="DK2" s="53"/>
      <c r="DN2" s="53"/>
      <c r="DO2" s="484" t="s">
        <v>569</v>
      </c>
      <c r="DP2" s="484"/>
      <c r="DQ2" s="484"/>
      <c r="DR2" s="53"/>
      <c r="DS2" s="53"/>
      <c r="DT2" s="53"/>
      <c r="DU2" s="53"/>
    </row>
    <row r="3" spans="2:125" ht="13.5" thickBot="1" x14ac:dyDescent="0.25">
      <c r="AO3" s="54"/>
      <c r="BD3" s="54"/>
      <c r="BS3" s="54"/>
    </row>
    <row r="4" spans="2:125" s="33" customFormat="1" ht="45" customHeight="1" thickBot="1" x14ac:dyDescent="0.3">
      <c r="B4" s="58" t="s">
        <v>426</v>
      </c>
      <c r="C4" s="59" t="s">
        <v>123</v>
      </c>
      <c r="D4" s="59" t="s">
        <v>124</v>
      </c>
      <c r="E4" s="59" t="s">
        <v>125</v>
      </c>
      <c r="F4" s="59" t="s">
        <v>436</v>
      </c>
      <c r="G4" s="59" t="s">
        <v>126</v>
      </c>
      <c r="H4" s="59" t="s">
        <v>437</v>
      </c>
      <c r="I4" s="59" t="s">
        <v>127</v>
      </c>
      <c r="J4" s="59" t="s">
        <v>128</v>
      </c>
      <c r="K4" s="59" t="s">
        <v>129</v>
      </c>
      <c r="L4" s="59" t="s">
        <v>130</v>
      </c>
      <c r="M4" s="59" t="s">
        <v>308</v>
      </c>
      <c r="N4" s="59" t="s">
        <v>132</v>
      </c>
      <c r="O4" s="139" t="s">
        <v>133</v>
      </c>
      <c r="Q4" s="58" t="s">
        <v>439</v>
      </c>
      <c r="R4" s="59" t="s">
        <v>123</v>
      </c>
      <c r="S4" s="59" t="s">
        <v>124</v>
      </c>
      <c r="T4" s="59" t="s">
        <v>125</v>
      </c>
      <c r="U4" s="59" t="s">
        <v>436</v>
      </c>
      <c r="V4" s="59" t="s">
        <v>126</v>
      </c>
      <c r="W4" s="59" t="s">
        <v>437</v>
      </c>
      <c r="X4" s="59" t="s">
        <v>127</v>
      </c>
      <c r="Y4" s="59" t="s">
        <v>128</v>
      </c>
      <c r="Z4" s="59" t="s">
        <v>129</v>
      </c>
      <c r="AA4" s="59" t="s">
        <v>130</v>
      </c>
      <c r="AB4" s="59" t="s">
        <v>308</v>
      </c>
      <c r="AC4" s="59" t="s">
        <v>132</v>
      </c>
      <c r="AD4" s="139" t="s">
        <v>133</v>
      </c>
      <c r="AF4" s="58" t="s">
        <v>441</v>
      </c>
      <c r="AG4" s="59" t="s">
        <v>123</v>
      </c>
      <c r="AH4" s="59" t="s">
        <v>124</v>
      </c>
      <c r="AI4" s="59" t="s">
        <v>125</v>
      </c>
      <c r="AJ4" s="59" t="s">
        <v>436</v>
      </c>
      <c r="AK4" s="59" t="s">
        <v>126</v>
      </c>
      <c r="AL4" s="59" t="s">
        <v>438</v>
      </c>
      <c r="AM4" s="59" t="s">
        <v>127</v>
      </c>
      <c r="AN4" s="59" t="s">
        <v>128</v>
      </c>
      <c r="AO4" s="59" t="s">
        <v>129</v>
      </c>
      <c r="AP4" s="59" t="s">
        <v>130</v>
      </c>
      <c r="AQ4" s="59" t="s">
        <v>308</v>
      </c>
      <c r="AR4" s="59" t="s">
        <v>134</v>
      </c>
      <c r="AS4" s="139" t="s">
        <v>133</v>
      </c>
      <c r="AU4" s="58" t="s">
        <v>433</v>
      </c>
      <c r="AV4" s="59" t="s">
        <v>123</v>
      </c>
      <c r="AW4" s="59" t="s">
        <v>124</v>
      </c>
      <c r="AX4" s="59" t="s">
        <v>125</v>
      </c>
      <c r="AY4" s="59" t="s">
        <v>436</v>
      </c>
      <c r="AZ4" s="59" t="s">
        <v>126</v>
      </c>
      <c r="BA4" s="59" t="s">
        <v>438</v>
      </c>
      <c r="BB4" s="59" t="s">
        <v>127</v>
      </c>
      <c r="BC4" s="59" t="s">
        <v>128</v>
      </c>
      <c r="BD4" s="59" t="s">
        <v>129</v>
      </c>
      <c r="BE4" s="59" t="s">
        <v>130</v>
      </c>
      <c r="BF4" s="59" t="s">
        <v>308</v>
      </c>
      <c r="BG4" s="59" t="s">
        <v>134</v>
      </c>
      <c r="BH4" s="139" t="s">
        <v>133</v>
      </c>
      <c r="BJ4" s="58" t="s">
        <v>432</v>
      </c>
      <c r="BK4" s="59" t="s">
        <v>123</v>
      </c>
      <c r="BL4" s="59" t="s">
        <v>124</v>
      </c>
      <c r="BM4" s="59" t="s">
        <v>125</v>
      </c>
      <c r="BN4" s="59" t="s">
        <v>436</v>
      </c>
      <c r="BO4" s="59" t="s">
        <v>126</v>
      </c>
      <c r="BP4" s="59" t="s">
        <v>438</v>
      </c>
      <c r="BQ4" s="59" t="s">
        <v>127</v>
      </c>
      <c r="BR4" s="59" t="s">
        <v>128</v>
      </c>
      <c r="BS4" s="59" t="s">
        <v>129</v>
      </c>
      <c r="BT4" s="59" t="s">
        <v>130</v>
      </c>
      <c r="BU4" s="59" t="s">
        <v>308</v>
      </c>
      <c r="BV4" s="59" t="s">
        <v>134</v>
      </c>
      <c r="BW4" s="139" t="s">
        <v>133</v>
      </c>
      <c r="BY4" s="141" t="s">
        <v>135</v>
      </c>
      <c r="BZ4" s="142" t="s">
        <v>123</v>
      </c>
      <c r="CA4" s="142" t="s">
        <v>124</v>
      </c>
      <c r="CB4" s="142" t="s">
        <v>125</v>
      </c>
      <c r="CC4" s="175" t="s">
        <v>436</v>
      </c>
      <c r="CD4" s="175" t="s">
        <v>126</v>
      </c>
      <c r="CE4" s="175" t="s">
        <v>438</v>
      </c>
      <c r="CF4" s="142" t="s">
        <v>127</v>
      </c>
      <c r="CG4" s="143" t="s">
        <v>136</v>
      </c>
      <c r="CI4" s="141" t="s">
        <v>137</v>
      </c>
      <c r="CJ4" s="142" t="s">
        <v>123</v>
      </c>
      <c r="CK4" s="142" t="s">
        <v>124</v>
      </c>
      <c r="CL4" s="142" t="s">
        <v>125</v>
      </c>
      <c r="CM4" s="142" t="s">
        <v>470</v>
      </c>
      <c r="CN4" s="142" t="s">
        <v>126</v>
      </c>
      <c r="CO4" s="142" t="s">
        <v>471</v>
      </c>
      <c r="CP4" s="142" t="s">
        <v>472</v>
      </c>
      <c r="CQ4" s="143" t="s">
        <v>136</v>
      </c>
      <c r="CS4" s="141" t="s">
        <v>138</v>
      </c>
      <c r="CT4" s="142" t="s">
        <v>123</v>
      </c>
      <c r="CU4" s="142" t="s">
        <v>124</v>
      </c>
      <c r="CV4" s="142" t="s">
        <v>125</v>
      </c>
      <c r="CW4" s="142" t="s">
        <v>470</v>
      </c>
      <c r="CX4" s="142" t="s">
        <v>126</v>
      </c>
      <c r="CY4" s="142" t="s">
        <v>471</v>
      </c>
      <c r="CZ4" s="142" t="s">
        <v>472</v>
      </c>
      <c r="DA4" s="143" t="s">
        <v>136</v>
      </c>
      <c r="DC4" s="141" t="s">
        <v>139</v>
      </c>
      <c r="DD4" s="142" t="s">
        <v>123</v>
      </c>
      <c r="DE4" s="142" t="s">
        <v>124</v>
      </c>
      <c r="DF4" s="142" t="s">
        <v>125</v>
      </c>
      <c r="DG4" s="142" t="s">
        <v>470</v>
      </c>
      <c r="DH4" s="142" t="s">
        <v>126</v>
      </c>
      <c r="DI4" s="142" t="s">
        <v>471</v>
      </c>
      <c r="DJ4" s="142" t="s">
        <v>472</v>
      </c>
      <c r="DK4" s="143" t="s">
        <v>136</v>
      </c>
      <c r="DM4" s="141" t="s">
        <v>140</v>
      </c>
      <c r="DN4" s="142" t="s">
        <v>123</v>
      </c>
      <c r="DO4" s="142" t="s">
        <v>124</v>
      </c>
      <c r="DP4" s="142" t="s">
        <v>125</v>
      </c>
      <c r="DQ4" s="142" t="s">
        <v>470</v>
      </c>
      <c r="DR4" s="142" t="s">
        <v>126</v>
      </c>
      <c r="DS4" s="142" t="s">
        <v>471</v>
      </c>
      <c r="DT4" s="142" t="s">
        <v>472</v>
      </c>
      <c r="DU4" s="143" t="s">
        <v>136</v>
      </c>
    </row>
    <row r="5" spans="2:125" ht="75" customHeight="1" thickBot="1" x14ac:dyDescent="0.25">
      <c r="B5" s="528" t="s">
        <v>209</v>
      </c>
      <c r="C5" s="548" t="s">
        <v>141</v>
      </c>
      <c r="D5" s="97" t="s">
        <v>369</v>
      </c>
      <c r="E5" s="149">
        <v>0.4</v>
      </c>
      <c r="F5" s="80">
        <v>381230911.65881902</v>
      </c>
      <c r="G5" s="80">
        <v>508307882.21175867</v>
      </c>
      <c r="H5" s="80">
        <v>762461823.31763804</v>
      </c>
      <c r="I5" s="539">
        <v>0.67100000000000004</v>
      </c>
      <c r="J5" s="513">
        <v>0</v>
      </c>
      <c r="K5" s="513">
        <v>2805115</v>
      </c>
      <c r="L5" s="513">
        <v>7012787</v>
      </c>
      <c r="M5" s="80">
        <v>398563987.73343098</v>
      </c>
      <c r="N5" s="522">
        <v>1.1435999999999999</v>
      </c>
      <c r="O5" s="525">
        <v>4013496</v>
      </c>
      <c r="Q5" s="528" t="s">
        <v>209</v>
      </c>
      <c r="R5" s="548" t="s">
        <v>141</v>
      </c>
      <c r="S5" s="97" t="s">
        <v>369</v>
      </c>
      <c r="T5" s="149">
        <v>0.4</v>
      </c>
      <c r="U5" s="80">
        <v>368523239.82009768</v>
      </c>
      <c r="V5" s="80">
        <v>491364319.76013029</v>
      </c>
      <c r="W5" s="80">
        <v>737046479.64019537</v>
      </c>
      <c r="X5" s="539">
        <v>0.67100000000000004</v>
      </c>
      <c r="Y5" s="513">
        <v>0</v>
      </c>
      <c r="Z5" s="513">
        <v>2805115</v>
      </c>
      <c r="AA5" s="513">
        <v>7012787</v>
      </c>
      <c r="AB5" s="80">
        <v>403144101.95014256</v>
      </c>
      <c r="AC5" s="522">
        <v>1.1825694544054099</v>
      </c>
      <c r="AD5" s="525">
        <v>4341500</v>
      </c>
      <c r="AF5" s="61" t="s">
        <v>1</v>
      </c>
      <c r="AG5" s="110" t="s">
        <v>142</v>
      </c>
      <c r="AH5" s="110" t="s">
        <v>373</v>
      </c>
      <c r="AI5" s="146">
        <v>1</v>
      </c>
      <c r="AJ5" s="64">
        <v>16601933.25</v>
      </c>
      <c r="AK5" s="64">
        <v>22135911</v>
      </c>
      <c r="AL5" s="64">
        <v>27669888.75</v>
      </c>
      <c r="AM5" s="146">
        <v>0.22</v>
      </c>
      <c r="AN5" s="65">
        <v>0</v>
      </c>
      <c r="AO5" s="65">
        <v>1839200</v>
      </c>
      <c r="AP5" s="65">
        <v>4598000</v>
      </c>
      <c r="AQ5" s="147">
        <v>23183758.903083101</v>
      </c>
      <c r="AR5" s="148">
        <v>1.0473370128332709</v>
      </c>
      <c r="AS5" s="68">
        <v>2361573.4040177106</v>
      </c>
      <c r="AU5" s="61" t="s">
        <v>1</v>
      </c>
      <c r="AV5" s="110" t="s">
        <v>142</v>
      </c>
      <c r="AW5" s="110" t="s">
        <v>373</v>
      </c>
      <c r="AX5" s="63">
        <v>1</v>
      </c>
      <c r="AY5" s="64">
        <v>20317469.73419616</v>
      </c>
      <c r="AZ5" s="64">
        <v>27089959.64559488</v>
      </c>
      <c r="BA5" s="64">
        <v>33862449.556993604</v>
      </c>
      <c r="BB5" s="63">
        <v>0.22</v>
      </c>
      <c r="BC5" s="65">
        <v>0</v>
      </c>
      <c r="BD5" s="65">
        <v>1964266</v>
      </c>
      <c r="BE5" s="65">
        <v>4910664</v>
      </c>
      <c r="BF5" s="66">
        <v>56482829.430014014</v>
      </c>
      <c r="BG5" s="67">
        <v>2</v>
      </c>
      <c r="BH5" s="68">
        <v>4910664</v>
      </c>
      <c r="BJ5" s="61" t="s">
        <v>1</v>
      </c>
      <c r="BK5" s="110" t="s">
        <v>142</v>
      </c>
      <c r="BL5" s="110" t="s">
        <v>373</v>
      </c>
      <c r="BM5" s="146">
        <v>1</v>
      </c>
      <c r="BN5" s="64">
        <v>17085583.595850635</v>
      </c>
      <c r="BO5" s="64">
        <v>22780778.127800848</v>
      </c>
      <c r="BP5" s="64">
        <v>28475972.659751061</v>
      </c>
      <c r="BQ5" s="146">
        <v>0.22</v>
      </c>
      <c r="BR5" s="65">
        <v>0</v>
      </c>
      <c r="BS5" s="65">
        <v>2040872</v>
      </c>
      <c r="BT5" s="65">
        <v>5102179.9400000004</v>
      </c>
      <c r="BU5" s="147">
        <v>21477483.483490869</v>
      </c>
      <c r="BV5" s="148">
        <v>0.94279999999999997</v>
      </c>
      <c r="BW5" s="68">
        <v>1573836.5655111677</v>
      </c>
      <c r="BY5" s="140" t="s">
        <v>1</v>
      </c>
      <c r="BZ5" s="123" t="s">
        <v>142</v>
      </c>
      <c r="CA5" s="110" t="s">
        <v>373</v>
      </c>
      <c r="CB5" s="82">
        <v>1</v>
      </c>
      <c r="CC5" s="83">
        <f>+CD5*0.75</f>
        <v>20036388.75</v>
      </c>
      <c r="CD5" s="83">
        <v>26715185</v>
      </c>
      <c r="CE5" s="83">
        <f>+CD5*1.25</f>
        <v>33393981.25</v>
      </c>
      <c r="CF5" s="82">
        <v>0.22</v>
      </c>
      <c r="CG5" s="124">
        <v>5224632.16</v>
      </c>
      <c r="CI5" s="545" t="s">
        <v>1</v>
      </c>
      <c r="CJ5" s="145" t="s">
        <v>144</v>
      </c>
      <c r="CK5" s="145" t="s">
        <v>143</v>
      </c>
      <c r="CL5" s="137">
        <v>1</v>
      </c>
      <c r="CM5" s="138">
        <f>CN5*0.7</f>
        <v>10684990.4</v>
      </c>
      <c r="CN5" s="138">
        <v>15264272.000000002</v>
      </c>
      <c r="CO5" s="138">
        <f>CN5*1.3</f>
        <v>19843553.600000001</v>
      </c>
      <c r="CP5" s="137">
        <v>0.21</v>
      </c>
      <c r="CQ5" s="144">
        <v>4014673.3619999997</v>
      </c>
      <c r="CS5" s="570" t="s">
        <v>1</v>
      </c>
      <c r="CT5" s="145" t="s">
        <v>144</v>
      </c>
      <c r="CU5" s="145" t="s">
        <v>143</v>
      </c>
      <c r="CV5" s="93">
        <v>1</v>
      </c>
      <c r="CW5" s="138">
        <f>CX5*0.7</f>
        <v>12424043.1</v>
      </c>
      <c r="CX5" s="138">
        <v>17748633</v>
      </c>
      <c r="CY5" s="138">
        <f>CX5*1.3</f>
        <v>23073222.900000002</v>
      </c>
      <c r="CZ5" s="93" t="s">
        <v>428</v>
      </c>
      <c r="DA5" s="144">
        <v>4284237.4890000001</v>
      </c>
      <c r="DC5" s="545" t="s">
        <v>1</v>
      </c>
      <c r="DD5" s="145" t="s">
        <v>144</v>
      </c>
      <c r="DE5" s="145" t="s">
        <v>143</v>
      </c>
      <c r="DF5" s="93">
        <v>1</v>
      </c>
      <c r="DG5" s="138">
        <f>DH5*0.7</f>
        <v>13418276.760000002</v>
      </c>
      <c r="DH5" s="138">
        <v>19168966.800000004</v>
      </c>
      <c r="DI5" s="138">
        <f>DH5*1.3</f>
        <v>24919656.840000007</v>
      </c>
      <c r="DJ5" s="93" t="s">
        <v>428</v>
      </c>
      <c r="DK5" s="144">
        <v>4528760.5440000007</v>
      </c>
      <c r="DM5" s="545" t="s">
        <v>1</v>
      </c>
      <c r="DN5" s="145" t="s">
        <v>144</v>
      </c>
      <c r="DO5" s="145" t="s">
        <v>143</v>
      </c>
      <c r="DP5" s="137">
        <v>1</v>
      </c>
      <c r="DQ5" s="138">
        <f>DR5*0.7</f>
        <v>14274010.625</v>
      </c>
      <c r="DR5" s="138">
        <v>20391443.75</v>
      </c>
      <c r="DS5" s="138">
        <f>DR5*1.3</f>
        <v>26508876.875</v>
      </c>
      <c r="DT5" s="182" t="s">
        <v>430</v>
      </c>
      <c r="DU5" s="144">
        <v>4570771.9881600002</v>
      </c>
    </row>
    <row r="6" spans="2:125" ht="41.25" customHeight="1" thickBot="1" x14ac:dyDescent="0.25">
      <c r="B6" s="529"/>
      <c r="C6" s="531"/>
      <c r="D6" s="531" t="s">
        <v>370</v>
      </c>
      <c r="E6" s="532">
        <v>0.4</v>
      </c>
      <c r="F6" s="521">
        <v>179362257.85770005</v>
      </c>
      <c r="G6" s="521">
        <v>239149677.14360008</v>
      </c>
      <c r="H6" s="521">
        <v>358724515.7154001</v>
      </c>
      <c r="I6" s="540"/>
      <c r="J6" s="514"/>
      <c r="K6" s="514"/>
      <c r="L6" s="514"/>
      <c r="M6" s="521">
        <v>313990664.12818998</v>
      </c>
      <c r="N6" s="523"/>
      <c r="O6" s="526"/>
      <c r="Q6" s="529"/>
      <c r="R6" s="531"/>
      <c r="S6" s="531" t="s">
        <v>370</v>
      </c>
      <c r="T6" s="532">
        <v>0.4</v>
      </c>
      <c r="U6" s="521">
        <v>183761746.290508</v>
      </c>
      <c r="V6" s="521">
        <v>245015661.720678</v>
      </c>
      <c r="W6" s="521">
        <v>367523492.58101702</v>
      </c>
      <c r="X6" s="540"/>
      <c r="Y6" s="514"/>
      <c r="Z6" s="514"/>
      <c r="AA6" s="514"/>
      <c r="AB6" s="521">
        <v>310193625.53479397</v>
      </c>
      <c r="AC6" s="523"/>
      <c r="AD6" s="526"/>
      <c r="AF6" s="550" t="s">
        <v>34</v>
      </c>
      <c r="AG6" s="95" t="s">
        <v>293</v>
      </c>
      <c r="AH6" s="548" t="s">
        <v>373</v>
      </c>
      <c r="AI6" s="149">
        <v>0.5</v>
      </c>
      <c r="AJ6" s="80">
        <v>2155133.61</v>
      </c>
      <c r="AK6" s="80">
        <v>2873511.48</v>
      </c>
      <c r="AL6" s="80">
        <v>3591889.35</v>
      </c>
      <c r="AM6" s="519">
        <v>0.22</v>
      </c>
      <c r="AN6" s="511">
        <v>0</v>
      </c>
      <c r="AO6" s="511">
        <v>1839200</v>
      </c>
      <c r="AP6" s="511">
        <v>4598000</v>
      </c>
      <c r="AQ6" s="150">
        <v>3247883.4340501348</v>
      </c>
      <c r="AR6" s="503">
        <v>0.86442085334796404</v>
      </c>
      <c r="AS6" s="505">
        <v>841771.33391030505</v>
      </c>
      <c r="AU6" s="550" t="s">
        <v>34</v>
      </c>
      <c r="AV6" s="95" t="s">
        <v>293</v>
      </c>
      <c r="AW6" s="548" t="s">
        <v>373</v>
      </c>
      <c r="AX6" s="79">
        <v>0.5</v>
      </c>
      <c r="AY6" s="80">
        <v>2034975</v>
      </c>
      <c r="AZ6" s="80">
        <v>2713300</v>
      </c>
      <c r="BA6" s="80">
        <v>3391624.85</v>
      </c>
      <c r="BB6" s="553">
        <v>0.22</v>
      </c>
      <c r="BC6" s="511">
        <v>0</v>
      </c>
      <c r="BD6" s="511">
        <v>1964266</v>
      </c>
      <c r="BE6" s="511">
        <v>4910664</v>
      </c>
      <c r="BF6" s="69">
        <v>3865193.8216500166</v>
      </c>
      <c r="BG6" s="503">
        <v>1.1838081532959399</v>
      </c>
      <c r="BH6" s="505">
        <v>4130553.7951124483</v>
      </c>
      <c r="BJ6" s="550" t="s">
        <v>34</v>
      </c>
      <c r="BK6" s="95" t="s">
        <v>293</v>
      </c>
      <c r="BL6" s="548" t="s">
        <v>373</v>
      </c>
      <c r="BM6" s="149">
        <v>0.5</v>
      </c>
      <c r="BN6" s="80">
        <v>2076043.0328424615</v>
      </c>
      <c r="BO6" s="80">
        <v>2768057.3771232818</v>
      </c>
      <c r="BP6" s="80">
        <v>3460071.7214041022</v>
      </c>
      <c r="BQ6" s="519">
        <v>0.22</v>
      </c>
      <c r="BR6" s="511">
        <v>0</v>
      </c>
      <c r="BS6" s="511">
        <v>2040872</v>
      </c>
      <c r="BT6" s="511">
        <v>5102179.9400000004</v>
      </c>
      <c r="BU6" s="150">
        <v>3777687.114270004</v>
      </c>
      <c r="BV6" s="503">
        <v>1.1721999999999999</v>
      </c>
      <c r="BW6" s="505">
        <v>4149732.8836783804</v>
      </c>
      <c r="BY6" s="550" t="s">
        <v>34</v>
      </c>
      <c r="BZ6" s="95" t="s">
        <v>293</v>
      </c>
      <c r="CA6" s="548" t="s">
        <v>373</v>
      </c>
      <c r="CB6" s="79">
        <v>0.5</v>
      </c>
      <c r="CC6" s="80">
        <f t="shared" ref="CC6:CC19" si="0">+CD6*0.75</f>
        <v>2072307.75</v>
      </c>
      <c r="CD6" s="80">
        <v>2763077</v>
      </c>
      <c r="CE6" s="80">
        <f t="shared" ref="CE6:CE19" si="1">+CD6*1.25</f>
        <v>3453846.25</v>
      </c>
      <c r="CF6" s="553">
        <v>0.22</v>
      </c>
      <c r="CG6" s="505">
        <v>5224632.16</v>
      </c>
      <c r="CI6" s="508"/>
      <c r="CJ6" s="81" t="s">
        <v>31</v>
      </c>
      <c r="CK6" s="81" t="s">
        <v>143</v>
      </c>
      <c r="CL6" s="82">
        <v>1</v>
      </c>
      <c r="CM6" s="83">
        <f>CN6*0.7</f>
        <v>3253129.3199999994</v>
      </c>
      <c r="CN6" s="83">
        <v>4647327.5999999996</v>
      </c>
      <c r="CO6" s="83">
        <f t="shared" ref="CO6:CO11" si="2">CN6*1.3</f>
        <v>6041525.8799999999</v>
      </c>
      <c r="CP6" s="82">
        <v>0.04</v>
      </c>
      <c r="CQ6" s="124">
        <v>764699.68799999997</v>
      </c>
      <c r="CS6" s="571"/>
      <c r="CT6" s="81" t="s">
        <v>31</v>
      </c>
      <c r="CU6" s="81" t="s">
        <v>143</v>
      </c>
      <c r="CV6" s="82">
        <v>1</v>
      </c>
      <c r="CW6" s="83">
        <f>CX6*0.7</f>
        <v>3256466.9199999995</v>
      </c>
      <c r="CX6" s="83">
        <v>4652095.5999999996</v>
      </c>
      <c r="CY6" s="83">
        <f t="shared" ref="CY6:CY11" si="3">CX6*1.3</f>
        <v>6047724.2799999993</v>
      </c>
      <c r="CZ6" s="180" t="s">
        <v>429</v>
      </c>
      <c r="DA6" s="124">
        <v>816045.23600000015</v>
      </c>
      <c r="DC6" s="508"/>
      <c r="DD6" s="81" t="s">
        <v>31</v>
      </c>
      <c r="DE6" s="81" t="s">
        <v>143</v>
      </c>
      <c r="DF6" s="82">
        <v>1</v>
      </c>
      <c r="DG6" s="83">
        <f>DH6*0.7</f>
        <v>3261473.3199999994</v>
      </c>
      <c r="DH6" s="83">
        <v>4659247.5999999996</v>
      </c>
      <c r="DI6" s="83">
        <f t="shared" ref="DI6:DI11" si="4">DH6*1.3</f>
        <v>6057021.8799999999</v>
      </c>
      <c r="DJ6" s="180" t="s">
        <v>429</v>
      </c>
      <c r="DK6" s="124">
        <v>862621.0560000001</v>
      </c>
      <c r="DM6" s="508"/>
      <c r="DN6" s="81" t="s">
        <v>31</v>
      </c>
      <c r="DO6" s="81" t="s">
        <v>143</v>
      </c>
      <c r="DP6" s="82">
        <v>1</v>
      </c>
      <c r="DQ6" s="83">
        <f>DR6*0.7</f>
        <v>3263142.1199999996</v>
      </c>
      <c r="DR6" s="83">
        <v>4661631.5999999996</v>
      </c>
      <c r="DS6" s="83">
        <f t="shared" ref="DS6:DS12" si="5">DR6*1.3</f>
        <v>6060121.0800000001</v>
      </c>
      <c r="DT6" s="179" t="s">
        <v>431</v>
      </c>
      <c r="DU6" s="124">
        <v>870623.23583999998</v>
      </c>
    </row>
    <row r="7" spans="2:125" ht="35.25" customHeight="1" thickBot="1" x14ac:dyDescent="0.25">
      <c r="B7" s="529"/>
      <c r="C7" s="116" t="s">
        <v>145</v>
      </c>
      <c r="D7" s="531"/>
      <c r="E7" s="532"/>
      <c r="F7" s="521"/>
      <c r="G7" s="521"/>
      <c r="H7" s="521"/>
      <c r="I7" s="540"/>
      <c r="J7" s="514"/>
      <c r="K7" s="514"/>
      <c r="L7" s="514"/>
      <c r="M7" s="521"/>
      <c r="N7" s="523"/>
      <c r="O7" s="526"/>
      <c r="Q7" s="529"/>
      <c r="R7" s="116" t="s">
        <v>145</v>
      </c>
      <c r="S7" s="531"/>
      <c r="T7" s="532"/>
      <c r="U7" s="521"/>
      <c r="V7" s="521"/>
      <c r="W7" s="521"/>
      <c r="X7" s="540"/>
      <c r="Y7" s="514"/>
      <c r="Z7" s="514"/>
      <c r="AA7" s="514"/>
      <c r="AB7" s="521"/>
      <c r="AC7" s="523"/>
      <c r="AD7" s="526"/>
      <c r="AF7" s="551"/>
      <c r="AG7" s="96" t="s">
        <v>38</v>
      </c>
      <c r="AH7" s="552"/>
      <c r="AI7" s="92">
        <v>0.5</v>
      </c>
      <c r="AJ7" s="73">
        <v>3761703</v>
      </c>
      <c r="AK7" s="73">
        <v>5015604</v>
      </c>
      <c r="AL7" s="73">
        <v>6269505</v>
      </c>
      <c r="AM7" s="520"/>
      <c r="AN7" s="512">
        <v>0</v>
      </c>
      <c r="AO7" s="512"/>
      <c r="AP7" s="512"/>
      <c r="AQ7" s="151">
        <v>3002129.5024588788</v>
      </c>
      <c r="AR7" s="504"/>
      <c r="AS7" s="506"/>
      <c r="AU7" s="551"/>
      <c r="AV7" s="96" t="s">
        <v>38</v>
      </c>
      <c r="AW7" s="552"/>
      <c r="AX7" s="72">
        <v>0.5</v>
      </c>
      <c r="AY7" s="73">
        <v>3199656</v>
      </c>
      <c r="AZ7" s="73">
        <v>4266207</v>
      </c>
      <c r="BA7" s="73">
        <v>5332759</v>
      </c>
      <c r="BB7" s="554"/>
      <c r="BC7" s="512"/>
      <c r="BD7" s="512"/>
      <c r="BE7" s="512"/>
      <c r="BF7" s="84">
        <v>4023375.7396087181</v>
      </c>
      <c r="BG7" s="504"/>
      <c r="BH7" s="506"/>
      <c r="BJ7" s="551"/>
      <c r="BK7" s="96" t="s">
        <v>38</v>
      </c>
      <c r="BL7" s="552"/>
      <c r="BM7" s="92">
        <v>0.5</v>
      </c>
      <c r="BN7" s="73">
        <v>1506521.7288817675</v>
      </c>
      <c r="BO7" s="73">
        <v>2008695.6385090235</v>
      </c>
      <c r="BP7" s="73">
        <v>2510869.5481362795</v>
      </c>
      <c r="BQ7" s="520"/>
      <c r="BR7" s="512"/>
      <c r="BS7" s="512"/>
      <c r="BT7" s="512"/>
      <c r="BU7" s="151">
        <v>1967908.7169270001</v>
      </c>
      <c r="BV7" s="504"/>
      <c r="BW7" s="506"/>
      <c r="BY7" s="551"/>
      <c r="BZ7" s="96" t="s">
        <v>38</v>
      </c>
      <c r="CA7" s="552"/>
      <c r="CB7" s="72">
        <v>0.5</v>
      </c>
      <c r="CC7" s="73">
        <f t="shared" si="0"/>
        <v>1854998.25</v>
      </c>
      <c r="CD7" s="73">
        <v>2473331</v>
      </c>
      <c r="CE7" s="73">
        <f t="shared" si="1"/>
        <v>3091663.75</v>
      </c>
      <c r="CF7" s="554"/>
      <c r="CG7" s="506">
        <v>0</v>
      </c>
      <c r="CI7" s="568" t="s">
        <v>2</v>
      </c>
      <c r="CJ7" s="78" t="s">
        <v>36</v>
      </c>
      <c r="CK7" s="85" t="s">
        <v>146</v>
      </c>
      <c r="CL7" s="79">
        <v>0.5</v>
      </c>
      <c r="CM7" s="80">
        <f t="shared" ref="CM7:CM11" si="6">CN7*0.7</f>
        <v>1556915.2782139974</v>
      </c>
      <c r="CN7" s="80">
        <v>2224164.6831628536</v>
      </c>
      <c r="CO7" s="80">
        <f t="shared" si="2"/>
        <v>2891414.0881117098</v>
      </c>
      <c r="CP7" s="553">
        <v>0.25</v>
      </c>
      <c r="CQ7" s="505">
        <v>4779373.05</v>
      </c>
      <c r="CS7" s="568" t="s">
        <v>2</v>
      </c>
      <c r="CT7" s="78" t="s">
        <v>36</v>
      </c>
      <c r="CU7" s="85" t="s">
        <v>146</v>
      </c>
      <c r="CV7" s="79">
        <v>0.5</v>
      </c>
      <c r="CW7" s="80">
        <f t="shared" ref="CW7:CW11" si="7">CX7*0.7</f>
        <v>1691199.2710501149</v>
      </c>
      <c r="CX7" s="80">
        <v>2415998.9586430215</v>
      </c>
      <c r="CY7" s="80">
        <f t="shared" si="3"/>
        <v>3140798.6462359279</v>
      </c>
      <c r="CZ7" s="519">
        <v>0.25</v>
      </c>
      <c r="DA7" s="505">
        <v>5100282.7250000006</v>
      </c>
      <c r="DC7" s="568" t="s">
        <v>2</v>
      </c>
      <c r="DD7" s="78" t="s">
        <v>36</v>
      </c>
      <c r="DE7" s="85" t="s">
        <v>146</v>
      </c>
      <c r="DF7" s="79">
        <v>0.5</v>
      </c>
      <c r="DG7" s="80">
        <f t="shared" ref="DG7:DG11" si="8">DH7*0.7</f>
        <v>1811106.6638862325</v>
      </c>
      <c r="DH7" s="80">
        <v>2587295.2341231895</v>
      </c>
      <c r="DI7" s="80">
        <f t="shared" si="4"/>
        <v>3363483.8043601466</v>
      </c>
      <c r="DJ7" s="519">
        <v>0.25</v>
      </c>
      <c r="DK7" s="505">
        <v>5391381.6000000006</v>
      </c>
      <c r="DM7" s="568" t="s">
        <v>2</v>
      </c>
      <c r="DN7" s="78" t="s">
        <v>36</v>
      </c>
      <c r="DO7" s="85" t="s">
        <v>146</v>
      </c>
      <c r="DP7" s="79">
        <v>0.5</v>
      </c>
      <c r="DQ7" s="80">
        <f t="shared" ref="DQ7:DQ12" si="9">DR7*0.7</f>
        <v>1961478.7567223501</v>
      </c>
      <c r="DR7" s="80">
        <v>2802112.5096033574</v>
      </c>
      <c r="DS7" s="80">
        <f t="shared" si="5"/>
        <v>3642746.2624843647</v>
      </c>
      <c r="DT7" s="553">
        <v>0.24</v>
      </c>
      <c r="DU7" s="505">
        <v>5441395.2240000004</v>
      </c>
    </row>
    <row r="8" spans="2:125" ht="36" customHeight="1" thickBot="1" x14ac:dyDescent="0.25">
      <c r="B8" s="529"/>
      <c r="C8" s="75" t="s">
        <v>213</v>
      </c>
      <c r="D8" s="531"/>
      <c r="E8" s="532"/>
      <c r="F8" s="521"/>
      <c r="G8" s="521"/>
      <c r="H8" s="521"/>
      <c r="I8" s="540"/>
      <c r="J8" s="514"/>
      <c r="K8" s="514"/>
      <c r="L8" s="514"/>
      <c r="M8" s="521"/>
      <c r="N8" s="523"/>
      <c r="O8" s="526"/>
      <c r="Q8" s="529"/>
      <c r="R8" s="75" t="s">
        <v>147</v>
      </c>
      <c r="S8" s="531"/>
      <c r="T8" s="532"/>
      <c r="U8" s="521"/>
      <c r="V8" s="521"/>
      <c r="W8" s="521"/>
      <c r="X8" s="540"/>
      <c r="Y8" s="514"/>
      <c r="Z8" s="514"/>
      <c r="AA8" s="514"/>
      <c r="AB8" s="521"/>
      <c r="AC8" s="523"/>
      <c r="AD8" s="526"/>
      <c r="AF8" s="507" t="s">
        <v>3</v>
      </c>
      <c r="AG8" s="509" t="s">
        <v>148</v>
      </c>
      <c r="AH8" s="97" t="s">
        <v>371</v>
      </c>
      <c r="AI8" s="149">
        <v>0.5</v>
      </c>
      <c r="AJ8" s="80">
        <v>11534063.6836107</v>
      </c>
      <c r="AK8" s="80">
        <v>15378751.578147599</v>
      </c>
      <c r="AL8" s="80">
        <v>19223439.472684499</v>
      </c>
      <c r="AM8" s="519">
        <v>0.22</v>
      </c>
      <c r="AN8" s="511">
        <v>0</v>
      </c>
      <c r="AO8" s="511">
        <v>1839200</v>
      </c>
      <c r="AP8" s="511">
        <v>4598000</v>
      </c>
      <c r="AQ8" s="150">
        <v>17820262.025661044</v>
      </c>
      <c r="AR8" s="500">
        <v>0.99654421258190296</v>
      </c>
      <c r="AS8" s="505">
        <v>1813776.4631225399</v>
      </c>
      <c r="AU8" s="507" t="s">
        <v>3</v>
      </c>
      <c r="AV8" s="509" t="s">
        <v>148</v>
      </c>
      <c r="AW8" s="97" t="s">
        <v>371</v>
      </c>
      <c r="AX8" s="79">
        <v>0.5</v>
      </c>
      <c r="AY8" s="80">
        <v>17991630.256427214</v>
      </c>
      <c r="AZ8" s="80">
        <v>23988840.341902953</v>
      </c>
      <c r="BA8" s="80">
        <v>29986050.427378692</v>
      </c>
      <c r="BB8" s="553">
        <v>0.22</v>
      </c>
      <c r="BC8" s="511">
        <v>0</v>
      </c>
      <c r="BD8" s="511">
        <v>1964266</v>
      </c>
      <c r="BE8" s="511">
        <v>4910664</v>
      </c>
      <c r="BF8" s="69">
        <v>19785418.171569053</v>
      </c>
      <c r="BG8" s="542">
        <v>0.8986299537106508</v>
      </c>
      <c r="BH8" s="505">
        <v>1167794.820813695</v>
      </c>
      <c r="BJ8" s="507" t="s">
        <v>3</v>
      </c>
      <c r="BK8" s="509" t="s">
        <v>148</v>
      </c>
      <c r="BL8" s="97" t="s">
        <v>371</v>
      </c>
      <c r="BM8" s="149">
        <v>0.5</v>
      </c>
      <c r="BN8" s="80">
        <v>14632481.173344014</v>
      </c>
      <c r="BO8" s="80">
        <v>19509974.897792019</v>
      </c>
      <c r="BP8" s="80">
        <v>24387468.622240022</v>
      </c>
      <c r="BQ8" s="519">
        <v>0.22</v>
      </c>
      <c r="BR8" s="511">
        <v>0</v>
      </c>
      <c r="BS8" s="511">
        <v>2040872</v>
      </c>
      <c r="BT8" s="511">
        <v>5102179.9400000004</v>
      </c>
      <c r="BU8" s="150">
        <v>13661680.922015052</v>
      </c>
      <c r="BV8" s="500">
        <v>1.0111000000000001</v>
      </c>
      <c r="BW8" s="505">
        <v>2177015.7363758944</v>
      </c>
      <c r="BY8" s="507" t="s">
        <v>3</v>
      </c>
      <c r="BZ8" s="509" t="s">
        <v>148</v>
      </c>
      <c r="CA8" s="97" t="s">
        <v>371</v>
      </c>
      <c r="CB8" s="79">
        <v>0.5</v>
      </c>
      <c r="CC8" s="80">
        <f t="shared" si="0"/>
        <v>13929945.75</v>
      </c>
      <c r="CD8" s="80">
        <v>18573261</v>
      </c>
      <c r="CE8" s="80">
        <f t="shared" si="1"/>
        <v>23216576.25</v>
      </c>
      <c r="CF8" s="553">
        <v>0.22</v>
      </c>
      <c r="CG8" s="505">
        <v>5224632.16</v>
      </c>
      <c r="CI8" s="569"/>
      <c r="CJ8" s="70" t="s">
        <v>38</v>
      </c>
      <c r="CK8" s="71" t="s">
        <v>150</v>
      </c>
      <c r="CL8" s="72">
        <v>0.5</v>
      </c>
      <c r="CM8" s="73">
        <f t="shared" si="6"/>
        <v>1717171.5815800002</v>
      </c>
      <c r="CN8" s="73">
        <v>2453102.2594000003</v>
      </c>
      <c r="CO8" s="73">
        <f t="shared" si="2"/>
        <v>3189032.9372200007</v>
      </c>
      <c r="CP8" s="554"/>
      <c r="CQ8" s="506"/>
      <c r="CS8" s="569"/>
      <c r="CT8" s="70" t="s">
        <v>38</v>
      </c>
      <c r="CU8" s="71" t="s">
        <v>150</v>
      </c>
      <c r="CV8" s="72">
        <v>0.5</v>
      </c>
      <c r="CW8" s="73">
        <f t="shared" si="7"/>
        <v>1734869.5811299996</v>
      </c>
      <c r="CX8" s="73">
        <v>2478385.1158999996</v>
      </c>
      <c r="CY8" s="73">
        <f t="shared" si="3"/>
        <v>3221900.6506699994</v>
      </c>
      <c r="CZ8" s="520"/>
      <c r="DA8" s="506"/>
      <c r="DC8" s="569"/>
      <c r="DD8" s="70" t="s">
        <v>38</v>
      </c>
      <c r="DE8" s="71" t="s">
        <v>150</v>
      </c>
      <c r="DF8" s="72">
        <v>0.5</v>
      </c>
      <c r="DG8" s="73">
        <f t="shared" si="8"/>
        <v>1755839.1374299997</v>
      </c>
      <c r="DH8" s="73">
        <v>2508341.6248999997</v>
      </c>
      <c r="DI8" s="73">
        <f t="shared" si="4"/>
        <v>3260844.1123699998</v>
      </c>
      <c r="DJ8" s="520"/>
      <c r="DK8" s="506"/>
      <c r="DM8" s="569"/>
      <c r="DN8" s="70" t="s">
        <v>38</v>
      </c>
      <c r="DO8" s="71" t="s">
        <v>150</v>
      </c>
      <c r="DP8" s="72">
        <v>0.5</v>
      </c>
      <c r="DQ8" s="73">
        <f t="shared" si="9"/>
        <v>1758171.1379399996</v>
      </c>
      <c r="DR8" s="73">
        <v>2511673.0541999997</v>
      </c>
      <c r="DS8" s="73">
        <f t="shared" si="5"/>
        <v>3265174.9704599995</v>
      </c>
      <c r="DT8" s="554"/>
      <c r="DU8" s="506"/>
    </row>
    <row r="9" spans="2:125" ht="39.4" customHeight="1" thickBot="1" x14ac:dyDescent="0.25">
      <c r="B9" s="530"/>
      <c r="C9" s="71" t="s">
        <v>151</v>
      </c>
      <c r="D9" s="98" t="s">
        <v>152</v>
      </c>
      <c r="E9" s="92">
        <v>0.2</v>
      </c>
      <c r="F9" s="73">
        <v>7541</v>
      </c>
      <c r="G9" s="73">
        <v>10054</v>
      </c>
      <c r="H9" s="73">
        <v>15081</v>
      </c>
      <c r="I9" s="541"/>
      <c r="J9" s="515"/>
      <c r="K9" s="515"/>
      <c r="L9" s="515"/>
      <c r="M9" s="73">
        <v>15321</v>
      </c>
      <c r="N9" s="524"/>
      <c r="O9" s="527"/>
      <c r="Q9" s="530"/>
      <c r="R9" s="71" t="s">
        <v>151</v>
      </c>
      <c r="S9" s="98" t="s">
        <v>152</v>
      </c>
      <c r="T9" s="92">
        <v>0.2</v>
      </c>
      <c r="U9" s="73">
        <v>7425</v>
      </c>
      <c r="V9" s="73">
        <v>9900</v>
      </c>
      <c r="W9" s="73">
        <v>14850</v>
      </c>
      <c r="X9" s="541"/>
      <c r="Y9" s="515"/>
      <c r="Z9" s="515"/>
      <c r="AA9" s="515"/>
      <c r="AB9" s="73">
        <v>17225</v>
      </c>
      <c r="AC9" s="524"/>
      <c r="AD9" s="527"/>
      <c r="AF9" s="508"/>
      <c r="AG9" s="510"/>
      <c r="AH9" s="98" t="s">
        <v>372</v>
      </c>
      <c r="AI9" s="92">
        <v>0.5</v>
      </c>
      <c r="AJ9" s="73">
        <v>6500784.7241612989</v>
      </c>
      <c r="AK9" s="73">
        <v>8667712.965548398</v>
      </c>
      <c r="AL9" s="73">
        <v>10834641.206935497</v>
      </c>
      <c r="AM9" s="520"/>
      <c r="AN9" s="512">
        <v>0</v>
      </c>
      <c r="AO9" s="512"/>
      <c r="AP9" s="512"/>
      <c r="AQ9" s="151">
        <v>7231730.6668931888</v>
      </c>
      <c r="AR9" s="502"/>
      <c r="AS9" s="506"/>
      <c r="AU9" s="508"/>
      <c r="AV9" s="510"/>
      <c r="AW9" s="98" t="s">
        <v>372</v>
      </c>
      <c r="AX9" s="72">
        <v>0.5</v>
      </c>
      <c r="AY9" s="73">
        <v>6548383</v>
      </c>
      <c r="AZ9" s="73">
        <v>8731177.0847145468</v>
      </c>
      <c r="BA9" s="73">
        <v>10913971</v>
      </c>
      <c r="BB9" s="554"/>
      <c r="BC9" s="512"/>
      <c r="BD9" s="512"/>
      <c r="BE9" s="512"/>
      <c r="BF9" s="84">
        <v>8490929.7938156668</v>
      </c>
      <c r="BG9" s="549"/>
      <c r="BH9" s="506"/>
      <c r="BJ9" s="508"/>
      <c r="BK9" s="510"/>
      <c r="BL9" s="98" t="s">
        <v>372</v>
      </c>
      <c r="BM9" s="92">
        <v>0.5</v>
      </c>
      <c r="BN9" s="73">
        <v>5677170.0531659275</v>
      </c>
      <c r="BO9" s="73">
        <v>7569560.0708879037</v>
      </c>
      <c r="BP9" s="73">
        <v>9461950.0886098798</v>
      </c>
      <c r="BQ9" s="520"/>
      <c r="BR9" s="512"/>
      <c r="BS9" s="512"/>
      <c r="BT9" s="512"/>
      <c r="BU9" s="151">
        <v>10006923.462442258</v>
      </c>
      <c r="BV9" s="502"/>
      <c r="BW9" s="506"/>
      <c r="BY9" s="508"/>
      <c r="BZ9" s="510"/>
      <c r="CA9" s="98" t="s">
        <v>372</v>
      </c>
      <c r="CB9" s="72">
        <v>0.5</v>
      </c>
      <c r="CC9" s="73">
        <f t="shared" si="0"/>
        <v>5938522.5</v>
      </c>
      <c r="CD9" s="73">
        <v>7918030</v>
      </c>
      <c r="CE9" s="73">
        <f t="shared" si="1"/>
        <v>9897537.5</v>
      </c>
      <c r="CF9" s="554"/>
      <c r="CG9" s="506">
        <v>0</v>
      </c>
      <c r="CI9" s="507" t="s">
        <v>3</v>
      </c>
      <c r="CJ9" s="509" t="s">
        <v>154</v>
      </c>
      <c r="CK9" s="97" t="s">
        <v>473</v>
      </c>
      <c r="CL9" s="79">
        <v>0.5</v>
      </c>
      <c r="CM9" s="80">
        <f t="shared" si="6"/>
        <v>12752960.843142441</v>
      </c>
      <c r="CN9" s="80">
        <v>18218515.490203489</v>
      </c>
      <c r="CO9" s="80">
        <f t="shared" si="2"/>
        <v>23684070.137264535</v>
      </c>
      <c r="CP9" s="553">
        <v>0.25</v>
      </c>
      <c r="CQ9" s="505">
        <v>4779373.05</v>
      </c>
      <c r="CS9" s="507" t="s">
        <v>3</v>
      </c>
      <c r="CT9" s="509" t="s">
        <v>154</v>
      </c>
      <c r="CU9" s="97" t="s">
        <v>473</v>
      </c>
      <c r="CV9" s="79">
        <v>0.5</v>
      </c>
      <c r="CW9" s="80">
        <f t="shared" si="7"/>
        <v>14589805.992908277</v>
      </c>
      <c r="CX9" s="80">
        <v>20842579.989868969</v>
      </c>
      <c r="CY9" s="80">
        <f t="shared" si="3"/>
        <v>27095353.986829661</v>
      </c>
      <c r="CZ9" s="519">
        <v>0.25</v>
      </c>
      <c r="DA9" s="505">
        <v>5100282.7250000006</v>
      </c>
      <c r="DC9" s="507" t="s">
        <v>3</v>
      </c>
      <c r="DD9" s="509" t="s">
        <v>154</v>
      </c>
      <c r="DE9" s="97" t="s">
        <v>473</v>
      </c>
      <c r="DF9" s="79">
        <v>0.5</v>
      </c>
      <c r="DG9" s="80">
        <f t="shared" si="8"/>
        <v>15833143.645015303</v>
      </c>
      <c r="DH9" s="80">
        <v>22618776.635736149</v>
      </c>
      <c r="DI9" s="80">
        <f t="shared" si="4"/>
        <v>29404409.626456995</v>
      </c>
      <c r="DJ9" s="519">
        <v>0.25</v>
      </c>
      <c r="DK9" s="505">
        <v>5391381.6000000006</v>
      </c>
      <c r="DM9" s="507" t="s">
        <v>3</v>
      </c>
      <c r="DN9" s="509" t="s">
        <v>154</v>
      </c>
      <c r="DO9" s="97" t="s">
        <v>473</v>
      </c>
      <c r="DP9" s="79">
        <v>0.5</v>
      </c>
      <c r="DQ9" s="80">
        <f t="shared" si="9"/>
        <v>16692218.214951959</v>
      </c>
      <c r="DR9" s="80">
        <v>23846026.021359943</v>
      </c>
      <c r="DS9" s="80">
        <f t="shared" si="5"/>
        <v>30999833.827767927</v>
      </c>
      <c r="DT9" s="553">
        <v>0.24</v>
      </c>
      <c r="DU9" s="505">
        <v>5441395.2240000004</v>
      </c>
    </row>
    <row r="10" spans="2:125" ht="54" customHeight="1" thickBot="1" x14ac:dyDescent="0.25">
      <c r="B10" s="528" t="s">
        <v>155</v>
      </c>
      <c r="C10" s="85" t="s">
        <v>156</v>
      </c>
      <c r="D10" s="97" t="s">
        <v>364</v>
      </c>
      <c r="E10" s="149">
        <v>0.45</v>
      </c>
      <c r="F10" s="80">
        <v>21577191.659946606</v>
      </c>
      <c r="G10" s="80">
        <v>28769588.879928809</v>
      </c>
      <c r="H10" s="80">
        <v>43154383.319893211</v>
      </c>
      <c r="I10" s="537">
        <v>0.217</v>
      </c>
      <c r="J10" s="511">
        <v>0</v>
      </c>
      <c r="K10" s="511">
        <v>905424</v>
      </c>
      <c r="L10" s="511">
        <v>2263561</v>
      </c>
      <c r="M10" s="80">
        <v>26443934.578000002</v>
      </c>
      <c r="N10" s="500">
        <v>0.89370000000000005</v>
      </c>
      <c r="O10" s="505">
        <v>520304</v>
      </c>
      <c r="Q10" s="528" t="s">
        <v>155</v>
      </c>
      <c r="R10" s="85" t="s">
        <v>156</v>
      </c>
      <c r="S10" s="97" t="s">
        <v>364</v>
      </c>
      <c r="T10" s="149">
        <v>0.45</v>
      </c>
      <c r="U10" s="80">
        <v>19987782.451260898</v>
      </c>
      <c r="V10" s="80">
        <v>26650376.601681199</v>
      </c>
      <c r="W10" s="80">
        <v>39975564.902521797</v>
      </c>
      <c r="X10" s="537">
        <v>0.217</v>
      </c>
      <c r="Y10" s="511">
        <v>0</v>
      </c>
      <c r="Z10" s="511">
        <v>905424</v>
      </c>
      <c r="AA10" s="511">
        <v>2263561</v>
      </c>
      <c r="AB10" s="80">
        <v>34647741.669017121</v>
      </c>
      <c r="AC10" s="500">
        <v>0.99708635623590702</v>
      </c>
      <c r="AD10" s="505">
        <v>894872.11218044895</v>
      </c>
      <c r="AF10" s="61" t="s">
        <v>4</v>
      </c>
      <c r="AG10" s="111" t="s">
        <v>52</v>
      </c>
      <c r="AH10" s="110" t="s">
        <v>373</v>
      </c>
      <c r="AI10" s="146">
        <v>1</v>
      </c>
      <c r="AJ10" s="64">
        <v>37782672.75</v>
      </c>
      <c r="AK10" s="64">
        <v>50376897</v>
      </c>
      <c r="AL10" s="64">
        <v>62971121.25</v>
      </c>
      <c r="AM10" s="146">
        <v>0.22</v>
      </c>
      <c r="AN10" s="65">
        <v>0</v>
      </c>
      <c r="AO10" s="65">
        <v>1839200</v>
      </c>
      <c r="AP10" s="65">
        <v>4598000</v>
      </c>
      <c r="AQ10" s="147">
        <v>44309314.055729583</v>
      </c>
      <c r="AR10" s="148">
        <v>0.87955623895869495</v>
      </c>
      <c r="AS10" s="68">
        <v>953119.33877132996</v>
      </c>
      <c r="AU10" s="61" t="s">
        <v>4</v>
      </c>
      <c r="AV10" s="111" t="s">
        <v>52</v>
      </c>
      <c r="AW10" s="110" t="s">
        <v>373</v>
      </c>
      <c r="AX10" s="63">
        <v>1</v>
      </c>
      <c r="AY10" s="64">
        <v>48791066.891619109</v>
      </c>
      <c r="AZ10" s="64">
        <v>65054755.855492145</v>
      </c>
      <c r="BA10" s="64">
        <v>81318444.819365174</v>
      </c>
      <c r="BB10" s="63">
        <v>0.22</v>
      </c>
      <c r="BC10" s="65">
        <v>0</v>
      </c>
      <c r="BD10" s="65">
        <v>1964266</v>
      </c>
      <c r="BE10" s="65">
        <v>4910664</v>
      </c>
      <c r="BF10" s="66">
        <v>56794944.486172192</v>
      </c>
      <c r="BG10" s="67">
        <v>0.87303293570622742</v>
      </c>
      <c r="BH10" s="68">
        <v>966677.45309901692</v>
      </c>
      <c r="BJ10" s="61" t="s">
        <v>4</v>
      </c>
      <c r="BK10" s="111" t="s">
        <v>52</v>
      </c>
      <c r="BL10" s="110" t="s">
        <v>373</v>
      </c>
      <c r="BM10" s="146">
        <v>1</v>
      </c>
      <c r="BN10" s="64">
        <v>54702261.88031666</v>
      </c>
      <c r="BO10" s="64">
        <v>72936349.173755541</v>
      </c>
      <c r="BP10" s="64">
        <v>91170436.467194423</v>
      </c>
      <c r="BQ10" s="146">
        <v>0.22</v>
      </c>
      <c r="BR10" s="65">
        <v>0</v>
      </c>
      <c r="BS10" s="65">
        <v>2040872</v>
      </c>
      <c r="BT10" s="65">
        <v>5102179.9400000004</v>
      </c>
      <c r="BU10" s="147">
        <v>59349776.125488207</v>
      </c>
      <c r="BV10" s="148">
        <v>0.81369999999999998</v>
      </c>
      <c r="BW10" s="68">
        <v>520178.57699103793</v>
      </c>
      <c r="BY10" s="61" t="s">
        <v>4</v>
      </c>
      <c r="BZ10" s="111" t="s">
        <v>52</v>
      </c>
      <c r="CA10" s="110" t="s">
        <v>373</v>
      </c>
      <c r="CB10" s="63">
        <v>1</v>
      </c>
      <c r="CC10" s="64">
        <f t="shared" si="0"/>
        <v>58826427</v>
      </c>
      <c r="CD10" s="64">
        <v>78435236</v>
      </c>
      <c r="CE10" s="64">
        <f t="shared" si="1"/>
        <v>98044045</v>
      </c>
      <c r="CF10" s="63">
        <v>0.22</v>
      </c>
      <c r="CG10" s="68">
        <v>5224632.16</v>
      </c>
      <c r="CI10" s="508"/>
      <c r="CJ10" s="510"/>
      <c r="CK10" s="98" t="s">
        <v>474</v>
      </c>
      <c r="CL10" s="72">
        <v>0.5</v>
      </c>
      <c r="CM10" s="73">
        <f t="shared" si="6"/>
        <v>7627309.6155720726</v>
      </c>
      <c r="CN10" s="73">
        <v>10896156.59367439</v>
      </c>
      <c r="CO10" s="73">
        <f t="shared" si="2"/>
        <v>14165003.571776707</v>
      </c>
      <c r="CP10" s="554"/>
      <c r="CQ10" s="506"/>
      <c r="CS10" s="508"/>
      <c r="CT10" s="510"/>
      <c r="CU10" s="98" t="s">
        <v>474</v>
      </c>
      <c r="CV10" s="72">
        <v>0.5</v>
      </c>
      <c r="CW10" s="73">
        <f t="shared" si="7"/>
        <v>8410860.3518664837</v>
      </c>
      <c r="CX10" s="73">
        <v>12015514.788380692</v>
      </c>
      <c r="CY10" s="73">
        <f t="shared" si="3"/>
        <v>15620169.2248949</v>
      </c>
      <c r="CZ10" s="520"/>
      <c r="DA10" s="506"/>
      <c r="DC10" s="508"/>
      <c r="DD10" s="510"/>
      <c r="DE10" s="98" t="s">
        <v>474</v>
      </c>
      <c r="DF10" s="72">
        <v>0.5</v>
      </c>
      <c r="DG10" s="73">
        <f t="shared" si="8"/>
        <v>8995555.6916446853</v>
      </c>
      <c r="DH10" s="73">
        <v>12850793.845206695</v>
      </c>
      <c r="DI10" s="73">
        <f t="shared" si="4"/>
        <v>16706031.998768704</v>
      </c>
      <c r="DJ10" s="520"/>
      <c r="DK10" s="506"/>
      <c r="DM10" s="508"/>
      <c r="DN10" s="510"/>
      <c r="DO10" s="98" t="s">
        <v>474</v>
      </c>
      <c r="DP10" s="72">
        <v>0.5</v>
      </c>
      <c r="DQ10" s="73">
        <f t="shared" si="9"/>
        <v>9421917.4141604919</v>
      </c>
      <c r="DR10" s="73">
        <v>13459882.020229276</v>
      </c>
      <c r="DS10" s="73">
        <f t="shared" si="5"/>
        <v>17497846.626298059</v>
      </c>
      <c r="DT10" s="554"/>
      <c r="DU10" s="506"/>
    </row>
    <row r="11" spans="2:125" ht="35.25" customHeight="1" thickBot="1" x14ac:dyDescent="0.25">
      <c r="B11" s="529"/>
      <c r="C11" s="75" t="s">
        <v>157</v>
      </c>
      <c r="D11" s="136" t="s">
        <v>364</v>
      </c>
      <c r="E11" s="90">
        <v>0.45</v>
      </c>
      <c r="F11" s="77">
        <v>69641327.089889273</v>
      </c>
      <c r="G11" s="77">
        <v>92855102.786519036</v>
      </c>
      <c r="H11" s="77">
        <v>139282654.17977855</v>
      </c>
      <c r="I11" s="538"/>
      <c r="J11" s="516"/>
      <c r="K11" s="516"/>
      <c r="L11" s="516"/>
      <c r="M11" s="77">
        <v>78419181.565758303</v>
      </c>
      <c r="N11" s="501"/>
      <c r="O11" s="536"/>
      <c r="Q11" s="529"/>
      <c r="R11" s="75" t="s">
        <v>157</v>
      </c>
      <c r="S11" s="97" t="s">
        <v>364</v>
      </c>
      <c r="T11" s="90">
        <v>0.45</v>
      </c>
      <c r="U11" s="77">
        <v>68520481.545046315</v>
      </c>
      <c r="V11" s="77">
        <v>91360642.060061753</v>
      </c>
      <c r="W11" s="77">
        <v>137040963.09009263</v>
      </c>
      <c r="X11" s="538"/>
      <c r="Y11" s="516"/>
      <c r="Z11" s="516"/>
      <c r="AA11" s="516"/>
      <c r="AB11" s="77">
        <v>71812509.142431527</v>
      </c>
      <c r="AC11" s="501"/>
      <c r="AD11" s="536"/>
      <c r="AF11" s="61" t="s">
        <v>5</v>
      </c>
      <c r="AG11" s="111" t="s">
        <v>56</v>
      </c>
      <c r="AH11" s="110" t="s">
        <v>373</v>
      </c>
      <c r="AI11" s="146">
        <v>1</v>
      </c>
      <c r="AJ11" s="64">
        <v>6975000</v>
      </c>
      <c r="AK11" s="64">
        <v>9300000</v>
      </c>
      <c r="AL11" s="64">
        <v>11625000</v>
      </c>
      <c r="AM11" s="146">
        <v>0.03</v>
      </c>
      <c r="AN11" s="65">
        <v>0</v>
      </c>
      <c r="AO11" s="65">
        <v>250800</v>
      </c>
      <c r="AP11" s="65">
        <v>627000</v>
      </c>
      <c r="AQ11" s="147">
        <v>22726894.942007769</v>
      </c>
      <c r="AR11" s="148">
        <v>2</v>
      </c>
      <c r="AS11" s="68">
        <v>627000</v>
      </c>
      <c r="AU11" s="61" t="s">
        <v>5</v>
      </c>
      <c r="AV11" s="111" t="s">
        <v>56</v>
      </c>
      <c r="AW11" s="110" t="s">
        <v>373</v>
      </c>
      <c r="AX11" s="63">
        <v>1</v>
      </c>
      <c r="AY11" s="64">
        <v>17783420.830209043</v>
      </c>
      <c r="AZ11" s="64">
        <v>23711227.773612056</v>
      </c>
      <c r="BA11" s="64">
        <v>29639034.717015069</v>
      </c>
      <c r="BB11" s="63">
        <v>0.03</v>
      </c>
      <c r="BC11" s="65">
        <v>0</v>
      </c>
      <c r="BD11" s="65">
        <v>267854</v>
      </c>
      <c r="BE11" s="65">
        <v>669636</v>
      </c>
      <c r="BF11" s="66">
        <v>11200723.4047669</v>
      </c>
      <c r="BG11" s="67">
        <v>0.47238057479385454</v>
      </c>
      <c r="BH11" s="68">
        <v>0</v>
      </c>
      <c r="BJ11" s="61" t="s">
        <v>5</v>
      </c>
      <c r="BK11" s="111" t="s">
        <v>56</v>
      </c>
      <c r="BL11" s="110" t="s">
        <v>373</v>
      </c>
      <c r="BM11" s="146">
        <v>1</v>
      </c>
      <c r="BN11" s="64">
        <v>10394945.338851945</v>
      </c>
      <c r="BO11" s="64">
        <v>13859927.118469261</v>
      </c>
      <c r="BP11" s="64">
        <v>17324908.898086578</v>
      </c>
      <c r="BQ11" s="146">
        <v>0.03</v>
      </c>
      <c r="BR11" s="65">
        <v>0</v>
      </c>
      <c r="BS11" s="65">
        <v>278301</v>
      </c>
      <c r="BT11" s="65">
        <v>695752</v>
      </c>
      <c r="BU11" s="147">
        <v>11793540.509656765</v>
      </c>
      <c r="BV11" s="148">
        <v>0.85089999999999999</v>
      </c>
      <c r="BW11" s="68">
        <v>112332.49505308301</v>
      </c>
      <c r="BY11" s="61" t="s">
        <v>5</v>
      </c>
      <c r="BZ11" s="111" t="s">
        <v>56</v>
      </c>
      <c r="CA11" s="110" t="s">
        <v>373</v>
      </c>
      <c r="CB11" s="63">
        <v>1</v>
      </c>
      <c r="CC11" s="64">
        <f t="shared" si="0"/>
        <v>10165477.5</v>
      </c>
      <c r="CD11" s="64">
        <v>13553970</v>
      </c>
      <c r="CE11" s="64">
        <f t="shared" si="1"/>
        <v>16942462.5</v>
      </c>
      <c r="CF11" s="63">
        <v>0.03</v>
      </c>
      <c r="CG11" s="68">
        <v>712449.84</v>
      </c>
      <c r="CI11" s="61" t="s">
        <v>4</v>
      </c>
      <c r="CJ11" s="86" t="s">
        <v>52</v>
      </c>
      <c r="CK11" s="62" t="s">
        <v>158</v>
      </c>
      <c r="CL11" s="63">
        <v>1</v>
      </c>
      <c r="CM11" s="64">
        <f t="shared" si="6"/>
        <v>37950428.08133132</v>
      </c>
      <c r="CN11" s="64">
        <v>54214897.259044752</v>
      </c>
      <c r="CO11" s="64">
        <f t="shared" si="2"/>
        <v>70479366.436758175</v>
      </c>
      <c r="CP11" s="63">
        <v>0.25</v>
      </c>
      <c r="CQ11" s="68">
        <v>4779373.05</v>
      </c>
      <c r="CS11" s="61" t="s">
        <v>4</v>
      </c>
      <c r="CT11" s="86" t="s">
        <v>52</v>
      </c>
      <c r="CU11" s="62" t="s">
        <v>158</v>
      </c>
      <c r="CV11" s="63">
        <v>1</v>
      </c>
      <c r="CW11" s="64">
        <f t="shared" si="7"/>
        <v>40590695.935029186</v>
      </c>
      <c r="CX11" s="64">
        <v>57986708.478613123</v>
      </c>
      <c r="CY11" s="64">
        <f t="shared" si="3"/>
        <v>75382721.022197068</v>
      </c>
      <c r="CZ11" s="63">
        <v>0.25</v>
      </c>
      <c r="DA11" s="68">
        <v>5100282.7250000006</v>
      </c>
      <c r="DC11" s="61" t="s">
        <v>4</v>
      </c>
      <c r="DD11" s="86" t="s">
        <v>52</v>
      </c>
      <c r="DE11" s="62" t="s">
        <v>158</v>
      </c>
      <c r="DF11" s="63">
        <v>1</v>
      </c>
      <c r="DG11" s="64">
        <f t="shared" si="8"/>
        <v>42202388.07036259</v>
      </c>
      <c r="DH11" s="64">
        <v>60289125.814803705</v>
      </c>
      <c r="DI11" s="64">
        <f t="shared" si="4"/>
        <v>78375863.559244812</v>
      </c>
      <c r="DJ11" s="63">
        <v>0.25</v>
      </c>
      <c r="DK11" s="68">
        <v>5391381.6000000006</v>
      </c>
      <c r="DM11" s="61" t="s">
        <v>4</v>
      </c>
      <c r="DN11" s="86" t="s">
        <v>52</v>
      </c>
      <c r="DO11" s="62" t="s">
        <v>158</v>
      </c>
      <c r="DP11" s="63">
        <v>1</v>
      </c>
      <c r="DQ11" s="64">
        <f t="shared" si="9"/>
        <v>43942652.170491554</v>
      </c>
      <c r="DR11" s="64">
        <v>62775217.38641651</v>
      </c>
      <c r="DS11" s="64">
        <f t="shared" si="5"/>
        <v>81607782.602341458</v>
      </c>
      <c r="DT11" s="63">
        <v>0.24</v>
      </c>
      <c r="DU11" s="68">
        <v>5441395.2240000004</v>
      </c>
    </row>
    <row r="12" spans="2:125" ht="42.75" customHeight="1" thickBot="1" x14ac:dyDescent="0.25">
      <c r="B12" s="529"/>
      <c r="C12" s="173" t="s">
        <v>159</v>
      </c>
      <c r="D12" s="118" t="s">
        <v>152</v>
      </c>
      <c r="E12" s="152">
        <v>0.1</v>
      </c>
      <c r="F12" s="88">
        <v>10</v>
      </c>
      <c r="G12" s="88">
        <v>13</v>
      </c>
      <c r="H12" s="88">
        <v>19</v>
      </c>
      <c r="I12" s="538"/>
      <c r="J12" s="516"/>
      <c r="K12" s="516"/>
      <c r="L12" s="516"/>
      <c r="M12" s="88">
        <v>13</v>
      </c>
      <c r="N12" s="501"/>
      <c r="O12" s="536"/>
      <c r="Q12" s="529"/>
      <c r="R12" s="173" t="s">
        <v>159</v>
      </c>
      <c r="S12" s="118" t="s">
        <v>152</v>
      </c>
      <c r="T12" s="152">
        <v>0.1</v>
      </c>
      <c r="U12" s="88">
        <v>9</v>
      </c>
      <c r="V12" s="88">
        <v>13</v>
      </c>
      <c r="W12" s="88">
        <v>19</v>
      </c>
      <c r="X12" s="538"/>
      <c r="Y12" s="516"/>
      <c r="Z12" s="516"/>
      <c r="AA12" s="516"/>
      <c r="AB12" s="88">
        <v>7</v>
      </c>
      <c r="AC12" s="501"/>
      <c r="AD12" s="536"/>
      <c r="AF12" s="507" t="s">
        <v>111</v>
      </c>
      <c r="AG12" s="566" t="s">
        <v>160</v>
      </c>
      <c r="AH12" s="113" t="s">
        <v>161</v>
      </c>
      <c r="AI12" s="149">
        <v>1</v>
      </c>
      <c r="AJ12" s="80">
        <v>18.75</v>
      </c>
      <c r="AK12" s="80">
        <v>25</v>
      </c>
      <c r="AL12" s="80">
        <v>31.25</v>
      </c>
      <c r="AM12" s="519">
        <v>0.01</v>
      </c>
      <c r="AN12" s="511">
        <v>0</v>
      </c>
      <c r="AO12" s="511">
        <v>83600</v>
      </c>
      <c r="AP12" s="511">
        <v>209000</v>
      </c>
      <c r="AQ12" s="150">
        <v>26</v>
      </c>
      <c r="AR12" s="542">
        <v>1.08</v>
      </c>
      <c r="AS12" s="505">
        <v>103664.00000000001</v>
      </c>
      <c r="AU12" s="507" t="s">
        <v>111</v>
      </c>
      <c r="AV12" s="566" t="s">
        <v>160</v>
      </c>
      <c r="AW12" s="113" t="s">
        <v>161</v>
      </c>
      <c r="AX12" s="79">
        <v>0.5</v>
      </c>
      <c r="AY12" s="80">
        <v>19</v>
      </c>
      <c r="AZ12" s="80">
        <v>25</v>
      </c>
      <c r="BA12" s="80">
        <v>31.25</v>
      </c>
      <c r="BB12" s="553">
        <v>0.01</v>
      </c>
      <c r="BC12" s="511">
        <v>0</v>
      </c>
      <c r="BD12" s="511">
        <v>89285</v>
      </c>
      <c r="BE12" s="511">
        <v>223212</v>
      </c>
      <c r="BF12" s="69">
        <v>27</v>
      </c>
      <c r="BG12" s="542">
        <v>1.54</v>
      </c>
      <c r="BH12" s="505">
        <v>223212</v>
      </c>
      <c r="BJ12" s="507" t="s">
        <v>111</v>
      </c>
      <c r="BK12" s="566" t="s">
        <v>160</v>
      </c>
      <c r="BL12" s="113" t="s">
        <v>161</v>
      </c>
      <c r="BM12" s="149">
        <v>1</v>
      </c>
      <c r="BN12" s="80">
        <v>18.75</v>
      </c>
      <c r="BO12" s="80">
        <v>25</v>
      </c>
      <c r="BP12" s="80">
        <v>31.25</v>
      </c>
      <c r="BQ12" s="519">
        <v>0.01</v>
      </c>
      <c r="BR12" s="511">
        <v>0</v>
      </c>
      <c r="BS12" s="511">
        <v>92767</v>
      </c>
      <c r="BT12" s="511">
        <v>231917.27000000002</v>
      </c>
      <c r="BU12" s="150">
        <v>31</v>
      </c>
      <c r="BV12" s="500">
        <v>1.3701000000000001</v>
      </c>
      <c r="BW12" s="505">
        <v>231917.27000000002</v>
      </c>
      <c r="BY12" s="507" t="s">
        <v>111</v>
      </c>
      <c r="BZ12" s="566" t="s">
        <v>160</v>
      </c>
      <c r="CA12" s="113" t="s">
        <v>161</v>
      </c>
      <c r="CB12" s="79">
        <v>0.5</v>
      </c>
      <c r="CC12" s="80">
        <f t="shared" si="0"/>
        <v>18.75</v>
      </c>
      <c r="CD12" s="80">
        <v>25</v>
      </c>
      <c r="CE12" s="80">
        <f t="shared" si="1"/>
        <v>31.25</v>
      </c>
      <c r="CF12" s="553">
        <v>0.01</v>
      </c>
      <c r="CG12" s="505">
        <v>237483.28</v>
      </c>
      <c r="CI12" s="579" t="s">
        <v>478</v>
      </c>
      <c r="CJ12" s="579"/>
      <c r="CK12" s="579"/>
      <c r="CL12" s="579"/>
      <c r="CM12" s="579"/>
      <c r="CN12" s="579"/>
      <c r="CO12" s="579"/>
      <c r="CP12" s="579"/>
      <c r="CQ12" s="579"/>
      <c r="CS12" s="579" t="s">
        <v>476</v>
      </c>
      <c r="CT12" s="579"/>
      <c r="CU12" s="579"/>
      <c r="CV12" s="579"/>
      <c r="CW12" s="579"/>
      <c r="CX12" s="579"/>
      <c r="CY12" s="579"/>
      <c r="CZ12" s="579"/>
      <c r="DA12" s="579"/>
      <c r="DC12" s="579" t="s">
        <v>476</v>
      </c>
      <c r="DD12" s="579"/>
      <c r="DE12" s="579"/>
      <c r="DF12" s="579"/>
      <c r="DG12" s="579"/>
      <c r="DH12" s="579"/>
      <c r="DI12" s="579"/>
      <c r="DJ12" s="579"/>
      <c r="DK12" s="579"/>
      <c r="DM12" s="61" t="s">
        <v>480</v>
      </c>
      <c r="DN12" s="86" t="s">
        <v>56</v>
      </c>
      <c r="DO12" s="62" t="s">
        <v>143</v>
      </c>
      <c r="DP12" s="63">
        <v>1</v>
      </c>
      <c r="DQ12" s="64">
        <f t="shared" si="9"/>
        <v>56818967.956688017</v>
      </c>
      <c r="DR12" s="64">
        <v>81169954.223840028</v>
      </c>
      <c r="DS12" s="64">
        <f t="shared" si="5"/>
        <v>105520940.49099204</v>
      </c>
      <c r="DT12" s="63">
        <v>0.04</v>
      </c>
      <c r="DU12" s="68">
        <v>906899.20400000003</v>
      </c>
    </row>
    <row r="13" spans="2:125" ht="27.75" thickBot="1" x14ac:dyDescent="0.25">
      <c r="B13" s="533" t="s">
        <v>162</v>
      </c>
      <c r="C13" s="548" t="s">
        <v>163</v>
      </c>
      <c r="D13" s="97" t="s">
        <v>164</v>
      </c>
      <c r="E13" s="149">
        <v>0.1</v>
      </c>
      <c r="F13" s="80">
        <v>29</v>
      </c>
      <c r="G13" s="80">
        <v>39</v>
      </c>
      <c r="H13" s="80">
        <v>59</v>
      </c>
      <c r="I13" s="539">
        <v>0.112</v>
      </c>
      <c r="J13" s="513">
        <v>0</v>
      </c>
      <c r="K13" s="513">
        <v>469461</v>
      </c>
      <c r="L13" s="513">
        <v>1173652</v>
      </c>
      <c r="M13" s="80">
        <v>24</v>
      </c>
      <c r="N13" s="522">
        <v>0.37309999999999999</v>
      </c>
      <c r="O13" s="525">
        <v>0</v>
      </c>
      <c r="Q13" s="533" t="s">
        <v>162</v>
      </c>
      <c r="R13" s="548" t="s">
        <v>163</v>
      </c>
      <c r="S13" s="97" t="s">
        <v>164</v>
      </c>
      <c r="T13" s="149">
        <v>0.1</v>
      </c>
      <c r="U13" s="80">
        <v>18</v>
      </c>
      <c r="V13" s="80">
        <v>24</v>
      </c>
      <c r="W13" s="80">
        <v>35</v>
      </c>
      <c r="X13" s="539">
        <v>0.112</v>
      </c>
      <c r="Y13" s="513">
        <v>0</v>
      </c>
      <c r="Z13" s="513">
        <v>469461</v>
      </c>
      <c r="AA13" s="513">
        <v>1173652</v>
      </c>
      <c r="AB13" s="80">
        <v>24</v>
      </c>
      <c r="AC13" s="522">
        <v>0.369001935564436</v>
      </c>
      <c r="AD13" s="525">
        <v>0</v>
      </c>
      <c r="AF13" s="545"/>
      <c r="AG13" s="567"/>
      <c r="AH13" s="118" t="s">
        <v>373</v>
      </c>
      <c r="AI13" s="152">
        <v>0</v>
      </c>
      <c r="AJ13" s="88">
        <v>0</v>
      </c>
      <c r="AK13" s="88">
        <v>0</v>
      </c>
      <c r="AL13" s="88">
        <v>0</v>
      </c>
      <c r="AM13" s="555"/>
      <c r="AN13" s="512">
        <v>0</v>
      </c>
      <c r="AO13" s="516"/>
      <c r="AP13" s="516"/>
      <c r="AQ13" s="153">
        <v>0</v>
      </c>
      <c r="AR13" s="543"/>
      <c r="AS13" s="536"/>
      <c r="AU13" s="545"/>
      <c r="AV13" s="567"/>
      <c r="AW13" s="118" t="s">
        <v>373</v>
      </c>
      <c r="AX13" s="87">
        <v>0.5</v>
      </c>
      <c r="AY13" s="88">
        <v>93750</v>
      </c>
      <c r="AZ13" s="88">
        <v>125000</v>
      </c>
      <c r="BA13" s="88">
        <v>156250</v>
      </c>
      <c r="BB13" s="572"/>
      <c r="BC13" s="512"/>
      <c r="BD13" s="516"/>
      <c r="BE13" s="516"/>
      <c r="BF13" s="119">
        <v>276138</v>
      </c>
      <c r="BG13" s="543"/>
      <c r="BH13" s="536"/>
      <c r="BJ13" s="545"/>
      <c r="BK13" s="567"/>
      <c r="BL13" s="118" t="s">
        <v>373</v>
      </c>
      <c r="BM13" s="152">
        <v>0</v>
      </c>
      <c r="BN13" s="88">
        <v>187500</v>
      </c>
      <c r="BO13" s="88">
        <v>250000</v>
      </c>
      <c r="BP13" s="88">
        <v>312500</v>
      </c>
      <c r="BQ13" s="555"/>
      <c r="BR13" s="512"/>
      <c r="BS13" s="516"/>
      <c r="BT13" s="516"/>
      <c r="BU13" s="153">
        <v>375033</v>
      </c>
      <c r="BV13" s="501"/>
      <c r="BW13" s="536"/>
      <c r="BY13" s="508"/>
      <c r="BZ13" s="518"/>
      <c r="CA13" s="118" t="s">
        <v>373</v>
      </c>
      <c r="CB13" s="72">
        <v>0.5</v>
      </c>
      <c r="CC13" s="73">
        <f t="shared" si="0"/>
        <v>281250</v>
      </c>
      <c r="CD13" s="73">
        <v>375000</v>
      </c>
      <c r="CE13" s="73">
        <f t="shared" si="1"/>
        <v>468750</v>
      </c>
      <c r="CF13" s="554"/>
      <c r="CG13" s="506">
        <v>0</v>
      </c>
      <c r="CI13" s="497" t="s">
        <v>475</v>
      </c>
      <c r="CJ13" s="580"/>
      <c r="CK13" s="580"/>
      <c r="CL13" s="580"/>
      <c r="CM13" s="580"/>
      <c r="CN13" s="580"/>
      <c r="CO13" s="580"/>
      <c r="CP13" s="580"/>
      <c r="CQ13" s="580"/>
      <c r="CS13" s="497" t="s">
        <v>475</v>
      </c>
      <c r="CT13" s="580"/>
      <c r="CU13" s="580"/>
      <c r="CV13" s="580"/>
      <c r="CW13" s="580"/>
      <c r="CX13" s="580"/>
      <c r="CY13" s="580"/>
      <c r="CZ13" s="580"/>
      <c r="DA13" s="580"/>
      <c r="DC13" s="497" t="s">
        <v>475</v>
      </c>
      <c r="DD13" s="580"/>
      <c r="DE13" s="580"/>
      <c r="DF13" s="580"/>
      <c r="DG13" s="580"/>
      <c r="DH13" s="580"/>
      <c r="DI13" s="580"/>
      <c r="DJ13" s="580"/>
      <c r="DK13" s="580"/>
      <c r="DM13" s="579" t="s">
        <v>476</v>
      </c>
      <c r="DN13" s="579"/>
      <c r="DO13" s="579"/>
      <c r="DP13" s="579"/>
      <c r="DQ13" s="579"/>
      <c r="DR13" s="579"/>
      <c r="DS13" s="579"/>
      <c r="DT13" s="579"/>
      <c r="DU13" s="579"/>
    </row>
    <row r="14" spans="2:125" ht="25.5" x14ac:dyDescent="0.2">
      <c r="B14" s="534"/>
      <c r="C14" s="531"/>
      <c r="D14" s="13" t="s">
        <v>165</v>
      </c>
      <c r="E14" s="90">
        <v>0.15</v>
      </c>
      <c r="F14" s="77">
        <v>2329</v>
      </c>
      <c r="G14" s="77">
        <v>3105</v>
      </c>
      <c r="H14" s="77">
        <v>4658</v>
      </c>
      <c r="I14" s="540"/>
      <c r="J14" s="514"/>
      <c r="K14" s="514"/>
      <c r="L14" s="514"/>
      <c r="M14" s="77">
        <v>2514</v>
      </c>
      <c r="N14" s="523"/>
      <c r="O14" s="526"/>
      <c r="Q14" s="534"/>
      <c r="R14" s="531"/>
      <c r="S14" s="13" t="s">
        <v>165</v>
      </c>
      <c r="T14" s="90">
        <v>0.15</v>
      </c>
      <c r="U14" s="77">
        <v>1847</v>
      </c>
      <c r="V14" s="77">
        <v>2462</v>
      </c>
      <c r="W14" s="77">
        <v>3694</v>
      </c>
      <c r="X14" s="540"/>
      <c r="Y14" s="514"/>
      <c r="Z14" s="514"/>
      <c r="AA14" s="514"/>
      <c r="AB14" s="77">
        <v>2831</v>
      </c>
      <c r="AC14" s="523"/>
      <c r="AD14" s="526"/>
      <c r="AF14" s="550" t="s">
        <v>114</v>
      </c>
      <c r="AG14" s="563" t="s">
        <v>163</v>
      </c>
      <c r="AH14" s="97" t="s">
        <v>166</v>
      </c>
      <c r="AI14" s="149">
        <v>0.3</v>
      </c>
      <c r="AJ14" s="80">
        <v>1087.5</v>
      </c>
      <c r="AK14" s="80">
        <v>1450</v>
      </c>
      <c r="AL14" s="80">
        <v>1812.5</v>
      </c>
      <c r="AM14" s="564">
        <v>0.08</v>
      </c>
      <c r="AN14" s="511">
        <v>0</v>
      </c>
      <c r="AO14" s="513">
        <v>668800</v>
      </c>
      <c r="AP14" s="513">
        <v>1672000</v>
      </c>
      <c r="AQ14" s="150">
        <v>698</v>
      </c>
      <c r="AR14" s="522">
        <v>0.90155665024630605</v>
      </c>
      <c r="AS14" s="525">
        <v>405444.35073891701</v>
      </c>
      <c r="AU14" s="550" t="s">
        <v>114</v>
      </c>
      <c r="AV14" s="563" t="s">
        <v>163</v>
      </c>
      <c r="AW14" s="97" t="s">
        <v>166</v>
      </c>
      <c r="AX14" s="79">
        <v>0.15</v>
      </c>
      <c r="AY14" s="80">
        <v>1500</v>
      </c>
      <c r="AZ14" s="80">
        <v>2000</v>
      </c>
      <c r="BA14" s="80">
        <v>2500</v>
      </c>
      <c r="BB14" s="573">
        <v>0.08</v>
      </c>
      <c r="BC14" s="511">
        <v>0</v>
      </c>
      <c r="BD14" s="513">
        <v>714278</v>
      </c>
      <c r="BE14" s="513">
        <v>1785696</v>
      </c>
      <c r="BF14" s="69">
        <v>747</v>
      </c>
      <c r="BG14" s="574">
        <v>1.1443045698924732</v>
      </c>
      <c r="BH14" s="525">
        <v>1332720.2237729037</v>
      </c>
      <c r="BJ14" s="550" t="s">
        <v>114</v>
      </c>
      <c r="BK14" s="563" t="s">
        <v>163</v>
      </c>
      <c r="BL14" s="97" t="s">
        <v>166</v>
      </c>
      <c r="BM14" s="149">
        <v>0.3</v>
      </c>
      <c r="BN14" s="80">
        <v>2069.25</v>
      </c>
      <c r="BO14" s="80">
        <v>2759</v>
      </c>
      <c r="BP14" s="80">
        <v>3448.75</v>
      </c>
      <c r="BQ14" s="564">
        <v>0.08</v>
      </c>
      <c r="BR14" s="511">
        <v>0</v>
      </c>
      <c r="BS14" s="513">
        <v>742135</v>
      </c>
      <c r="BT14" s="513">
        <v>1855338.1600000001</v>
      </c>
      <c r="BU14" s="150">
        <v>845</v>
      </c>
      <c r="BV14" s="522">
        <v>1.1501999999999999</v>
      </c>
      <c r="BW14" s="525">
        <v>1410747.9314324721</v>
      </c>
      <c r="BY14" s="550" t="s">
        <v>114</v>
      </c>
      <c r="BZ14" s="557" t="s">
        <v>163</v>
      </c>
      <c r="CA14" s="136" t="s">
        <v>166</v>
      </c>
      <c r="CB14" s="137">
        <v>0.15</v>
      </c>
      <c r="CC14" s="138">
        <f t="shared" si="0"/>
        <v>2069.25</v>
      </c>
      <c r="CD14" s="138">
        <v>2759</v>
      </c>
      <c r="CE14" s="138">
        <f t="shared" si="1"/>
        <v>3448.75</v>
      </c>
      <c r="CF14" s="559">
        <v>0.08</v>
      </c>
      <c r="CG14" s="562">
        <v>1899866.24</v>
      </c>
      <c r="CI14" s="578" t="s">
        <v>477</v>
      </c>
      <c r="CJ14" s="578"/>
      <c r="CK14" s="578"/>
      <c r="CL14" s="578"/>
      <c r="CM14" s="578"/>
      <c r="CN14" s="578"/>
      <c r="CO14" s="578"/>
      <c r="CP14" s="578"/>
      <c r="CQ14" s="578"/>
      <c r="CS14" s="578" t="s">
        <v>477</v>
      </c>
      <c r="CT14" s="578"/>
      <c r="CU14" s="578"/>
      <c r="CV14" s="578"/>
      <c r="CW14" s="578"/>
      <c r="CX14" s="578"/>
      <c r="CY14" s="578"/>
      <c r="CZ14" s="578"/>
      <c r="DA14" s="578"/>
      <c r="DC14" s="578" t="s">
        <v>477</v>
      </c>
      <c r="DD14" s="578"/>
      <c r="DE14" s="578"/>
      <c r="DF14" s="578"/>
      <c r="DG14" s="578"/>
      <c r="DH14" s="578"/>
      <c r="DI14" s="578"/>
      <c r="DJ14" s="578"/>
      <c r="DK14" s="578"/>
      <c r="DM14" s="497" t="s">
        <v>475</v>
      </c>
      <c r="DN14" s="580"/>
      <c r="DO14" s="580"/>
      <c r="DP14" s="580"/>
      <c r="DQ14" s="580"/>
      <c r="DR14" s="580"/>
      <c r="DS14" s="580"/>
      <c r="DT14" s="580"/>
      <c r="DU14" s="580"/>
    </row>
    <row r="15" spans="2:125" ht="43.5" customHeight="1" x14ac:dyDescent="0.2">
      <c r="B15" s="534"/>
      <c r="C15" s="75" t="s">
        <v>167</v>
      </c>
      <c r="D15" s="13" t="s">
        <v>168</v>
      </c>
      <c r="E15" s="90">
        <v>0.25</v>
      </c>
      <c r="F15" s="77">
        <v>28</v>
      </c>
      <c r="G15" s="77">
        <v>37</v>
      </c>
      <c r="H15" s="77">
        <v>56</v>
      </c>
      <c r="I15" s="540"/>
      <c r="J15" s="514"/>
      <c r="K15" s="514"/>
      <c r="L15" s="514"/>
      <c r="M15" s="77">
        <v>17</v>
      </c>
      <c r="N15" s="523"/>
      <c r="O15" s="526"/>
      <c r="Q15" s="534"/>
      <c r="R15" s="75" t="s">
        <v>167</v>
      </c>
      <c r="S15" s="13" t="s">
        <v>168</v>
      </c>
      <c r="T15" s="90">
        <v>0.25</v>
      </c>
      <c r="U15" s="77">
        <v>26</v>
      </c>
      <c r="V15" s="77">
        <v>35</v>
      </c>
      <c r="W15" s="77">
        <v>52</v>
      </c>
      <c r="X15" s="540"/>
      <c r="Y15" s="514"/>
      <c r="Z15" s="514"/>
      <c r="AA15" s="514"/>
      <c r="AB15" s="77">
        <v>12</v>
      </c>
      <c r="AC15" s="523"/>
      <c r="AD15" s="526"/>
      <c r="AF15" s="556"/>
      <c r="AG15" s="558"/>
      <c r="AH15" s="13" t="s">
        <v>169</v>
      </c>
      <c r="AI15" s="90">
        <v>0</v>
      </c>
      <c r="AJ15" s="77">
        <v>0</v>
      </c>
      <c r="AK15" s="77">
        <v>0</v>
      </c>
      <c r="AL15" s="77">
        <v>0</v>
      </c>
      <c r="AM15" s="532"/>
      <c r="AN15" s="516">
        <v>0</v>
      </c>
      <c r="AO15" s="514"/>
      <c r="AP15" s="514"/>
      <c r="AQ15" s="154">
        <v>0</v>
      </c>
      <c r="AR15" s="523"/>
      <c r="AS15" s="526"/>
      <c r="AU15" s="556"/>
      <c r="AV15" s="558"/>
      <c r="AW15" s="13" t="s">
        <v>169</v>
      </c>
      <c r="AX15" s="76">
        <v>0.15</v>
      </c>
      <c r="AY15" s="77">
        <v>8</v>
      </c>
      <c r="AZ15" s="77">
        <v>10</v>
      </c>
      <c r="BA15" s="77">
        <v>12.5</v>
      </c>
      <c r="BB15" s="560"/>
      <c r="BC15" s="516"/>
      <c r="BD15" s="514"/>
      <c r="BE15" s="514"/>
      <c r="BF15" s="74">
        <v>18</v>
      </c>
      <c r="BG15" s="575"/>
      <c r="BH15" s="526"/>
      <c r="BJ15" s="556"/>
      <c r="BK15" s="558"/>
      <c r="BL15" s="13" t="s">
        <v>169</v>
      </c>
      <c r="BM15" s="90">
        <v>0</v>
      </c>
      <c r="BN15" s="77">
        <v>9.75</v>
      </c>
      <c r="BO15" s="77">
        <v>13</v>
      </c>
      <c r="BP15" s="77">
        <v>16.25</v>
      </c>
      <c r="BQ15" s="532"/>
      <c r="BR15" s="516"/>
      <c r="BS15" s="514"/>
      <c r="BT15" s="514"/>
      <c r="BU15" s="154">
        <v>20</v>
      </c>
      <c r="BV15" s="523"/>
      <c r="BW15" s="526"/>
      <c r="BY15" s="556"/>
      <c r="BZ15" s="558"/>
      <c r="CA15" s="13" t="s">
        <v>169</v>
      </c>
      <c r="CB15" s="76">
        <v>0.15</v>
      </c>
      <c r="CC15" s="77">
        <f t="shared" si="0"/>
        <v>9.75</v>
      </c>
      <c r="CD15" s="77">
        <v>13</v>
      </c>
      <c r="CE15" s="77">
        <f t="shared" si="1"/>
        <v>16.25</v>
      </c>
      <c r="CF15" s="560"/>
      <c r="CG15" s="526"/>
      <c r="DM15" s="577" t="s">
        <v>479</v>
      </c>
      <c r="DN15" s="578"/>
      <c r="DO15" s="578"/>
      <c r="DP15" s="578"/>
      <c r="DQ15" s="578"/>
      <c r="DR15" s="578"/>
      <c r="DS15" s="578"/>
      <c r="DT15" s="578"/>
      <c r="DU15" s="578"/>
    </row>
    <row r="16" spans="2:125" x14ac:dyDescent="0.2">
      <c r="B16" s="534"/>
      <c r="C16" s="75" t="s">
        <v>170</v>
      </c>
      <c r="D16" s="13" t="s">
        <v>171</v>
      </c>
      <c r="E16" s="90">
        <v>0.1</v>
      </c>
      <c r="F16" s="77">
        <v>44</v>
      </c>
      <c r="G16" s="77">
        <v>58</v>
      </c>
      <c r="H16" s="77">
        <v>87</v>
      </c>
      <c r="I16" s="540"/>
      <c r="J16" s="514"/>
      <c r="K16" s="514"/>
      <c r="L16" s="514"/>
      <c r="M16" s="77">
        <v>0</v>
      </c>
      <c r="N16" s="523"/>
      <c r="O16" s="526"/>
      <c r="Q16" s="534"/>
      <c r="R16" s="75" t="s">
        <v>170</v>
      </c>
      <c r="S16" s="13" t="s">
        <v>171</v>
      </c>
      <c r="T16" s="90">
        <v>0.1</v>
      </c>
      <c r="U16" s="77">
        <v>44</v>
      </c>
      <c r="V16" s="77">
        <v>58</v>
      </c>
      <c r="W16" s="77">
        <v>87</v>
      </c>
      <c r="X16" s="540"/>
      <c r="Y16" s="514"/>
      <c r="Z16" s="514"/>
      <c r="AA16" s="514"/>
      <c r="AB16" s="77">
        <v>0</v>
      </c>
      <c r="AC16" s="523"/>
      <c r="AD16" s="526"/>
      <c r="AF16" s="556"/>
      <c r="AG16" s="112" t="s">
        <v>167</v>
      </c>
      <c r="AH16" s="13" t="s">
        <v>161</v>
      </c>
      <c r="AI16" s="90">
        <v>0.3</v>
      </c>
      <c r="AJ16" s="77">
        <v>21</v>
      </c>
      <c r="AK16" s="77">
        <v>28</v>
      </c>
      <c r="AL16" s="77">
        <v>35</v>
      </c>
      <c r="AM16" s="532"/>
      <c r="AN16" s="516">
        <v>0</v>
      </c>
      <c r="AO16" s="514"/>
      <c r="AP16" s="514"/>
      <c r="AQ16" s="154">
        <v>24</v>
      </c>
      <c r="AR16" s="523"/>
      <c r="AS16" s="526"/>
      <c r="AU16" s="556"/>
      <c r="AV16" s="112" t="s">
        <v>167</v>
      </c>
      <c r="AW16" s="13" t="s">
        <v>161</v>
      </c>
      <c r="AX16" s="76">
        <v>0.3</v>
      </c>
      <c r="AY16" s="77">
        <v>23</v>
      </c>
      <c r="AZ16" s="77">
        <v>31</v>
      </c>
      <c r="BA16" s="77">
        <v>38.75</v>
      </c>
      <c r="BB16" s="560"/>
      <c r="BC16" s="516"/>
      <c r="BD16" s="514"/>
      <c r="BE16" s="514"/>
      <c r="BF16" s="74">
        <v>26</v>
      </c>
      <c r="BG16" s="575"/>
      <c r="BH16" s="526"/>
      <c r="BJ16" s="556"/>
      <c r="BK16" s="112" t="s">
        <v>167</v>
      </c>
      <c r="BL16" s="13" t="s">
        <v>161</v>
      </c>
      <c r="BM16" s="90">
        <v>0.3</v>
      </c>
      <c r="BN16" s="77">
        <v>25.5</v>
      </c>
      <c r="BO16" s="77">
        <v>34</v>
      </c>
      <c r="BP16" s="77">
        <v>42.5</v>
      </c>
      <c r="BQ16" s="532"/>
      <c r="BR16" s="516"/>
      <c r="BS16" s="514"/>
      <c r="BT16" s="514"/>
      <c r="BU16" s="154">
        <v>42</v>
      </c>
      <c r="BV16" s="523"/>
      <c r="BW16" s="526"/>
      <c r="BY16" s="556"/>
      <c r="BZ16" s="112" t="s">
        <v>167</v>
      </c>
      <c r="CA16" s="13" t="s">
        <v>161</v>
      </c>
      <c r="CB16" s="76">
        <v>0.3</v>
      </c>
      <c r="CC16" s="77">
        <f t="shared" si="0"/>
        <v>25.5</v>
      </c>
      <c r="CD16" s="77">
        <v>34</v>
      </c>
      <c r="CE16" s="77">
        <f t="shared" si="1"/>
        <v>42.5</v>
      </c>
      <c r="CF16" s="560"/>
      <c r="CG16" s="526"/>
    </row>
    <row r="17" spans="2:85" x14ac:dyDescent="0.2">
      <c r="B17" s="534"/>
      <c r="C17" s="75" t="s">
        <v>172</v>
      </c>
      <c r="D17" s="13" t="s">
        <v>152</v>
      </c>
      <c r="E17" s="90">
        <v>0.2</v>
      </c>
      <c r="F17" s="77">
        <v>87</v>
      </c>
      <c r="G17" s="77">
        <v>116</v>
      </c>
      <c r="H17" s="77">
        <v>175</v>
      </c>
      <c r="I17" s="540"/>
      <c r="J17" s="514"/>
      <c r="K17" s="514"/>
      <c r="L17" s="514"/>
      <c r="M17" s="77">
        <v>36</v>
      </c>
      <c r="N17" s="523"/>
      <c r="O17" s="526"/>
      <c r="Q17" s="534"/>
      <c r="R17" s="75" t="s">
        <v>172</v>
      </c>
      <c r="S17" s="13" t="s">
        <v>152</v>
      </c>
      <c r="T17" s="90">
        <v>0.2</v>
      </c>
      <c r="U17" s="77">
        <v>40</v>
      </c>
      <c r="V17" s="77">
        <v>53</v>
      </c>
      <c r="W17" s="77">
        <v>80</v>
      </c>
      <c r="X17" s="540"/>
      <c r="Y17" s="514"/>
      <c r="Z17" s="514"/>
      <c r="AA17" s="514"/>
      <c r="AB17" s="77">
        <v>0</v>
      </c>
      <c r="AC17" s="523"/>
      <c r="AD17" s="526"/>
      <c r="AF17" s="556"/>
      <c r="AG17" s="112" t="s">
        <v>173</v>
      </c>
      <c r="AH17" s="13" t="s">
        <v>161</v>
      </c>
      <c r="AI17" s="90">
        <v>0.3</v>
      </c>
      <c r="AJ17" s="77">
        <v>13.5</v>
      </c>
      <c r="AK17" s="77">
        <v>18</v>
      </c>
      <c r="AL17" s="77">
        <v>22.5</v>
      </c>
      <c r="AM17" s="532"/>
      <c r="AN17" s="516">
        <v>0</v>
      </c>
      <c r="AO17" s="514"/>
      <c r="AP17" s="514"/>
      <c r="AQ17" s="154">
        <v>21</v>
      </c>
      <c r="AR17" s="523"/>
      <c r="AS17" s="526"/>
      <c r="AU17" s="556"/>
      <c r="AV17" s="112" t="s">
        <v>173</v>
      </c>
      <c r="AW17" s="13" t="s">
        <v>161</v>
      </c>
      <c r="AX17" s="76">
        <v>0.3</v>
      </c>
      <c r="AY17" s="77">
        <v>16</v>
      </c>
      <c r="AZ17" s="77">
        <v>21</v>
      </c>
      <c r="BA17" s="77">
        <v>26.25</v>
      </c>
      <c r="BB17" s="560"/>
      <c r="BC17" s="516"/>
      <c r="BD17" s="514"/>
      <c r="BE17" s="514"/>
      <c r="BF17" s="74">
        <v>28</v>
      </c>
      <c r="BG17" s="575"/>
      <c r="BH17" s="526"/>
      <c r="BJ17" s="556"/>
      <c r="BK17" s="112" t="s">
        <v>173</v>
      </c>
      <c r="BL17" s="13" t="s">
        <v>161</v>
      </c>
      <c r="BM17" s="90">
        <v>0.3</v>
      </c>
      <c r="BN17" s="77">
        <v>18.75</v>
      </c>
      <c r="BO17" s="77">
        <v>25</v>
      </c>
      <c r="BP17" s="77">
        <v>31.25</v>
      </c>
      <c r="BQ17" s="532"/>
      <c r="BR17" s="516"/>
      <c r="BS17" s="514"/>
      <c r="BT17" s="514"/>
      <c r="BU17" s="154">
        <v>30</v>
      </c>
      <c r="BV17" s="523"/>
      <c r="BW17" s="526"/>
      <c r="BY17" s="556"/>
      <c r="BZ17" s="112" t="s">
        <v>173</v>
      </c>
      <c r="CA17" s="13" t="s">
        <v>161</v>
      </c>
      <c r="CB17" s="76">
        <v>0.3</v>
      </c>
      <c r="CC17" s="77">
        <f t="shared" si="0"/>
        <v>18.75</v>
      </c>
      <c r="CD17" s="77">
        <v>25</v>
      </c>
      <c r="CE17" s="77">
        <f t="shared" si="1"/>
        <v>31.25</v>
      </c>
      <c r="CF17" s="560"/>
      <c r="CG17" s="526"/>
    </row>
    <row r="18" spans="2:85" ht="26.25" customHeight="1" thickBot="1" x14ac:dyDescent="0.25">
      <c r="B18" s="535"/>
      <c r="C18" s="71" t="s">
        <v>174</v>
      </c>
      <c r="D18" s="98" t="s">
        <v>152</v>
      </c>
      <c r="E18" s="92">
        <v>0.2</v>
      </c>
      <c r="F18" s="73">
        <v>22</v>
      </c>
      <c r="G18" s="73">
        <v>29</v>
      </c>
      <c r="H18" s="73">
        <v>44</v>
      </c>
      <c r="I18" s="541"/>
      <c r="J18" s="515"/>
      <c r="K18" s="515"/>
      <c r="L18" s="515"/>
      <c r="M18" s="73">
        <v>2</v>
      </c>
      <c r="N18" s="524"/>
      <c r="O18" s="527"/>
      <c r="Q18" s="535"/>
      <c r="R18" s="71" t="s">
        <v>174</v>
      </c>
      <c r="S18" s="98" t="s">
        <v>152</v>
      </c>
      <c r="T18" s="92">
        <v>0.2</v>
      </c>
      <c r="U18" s="73">
        <v>15</v>
      </c>
      <c r="V18" s="73">
        <v>21</v>
      </c>
      <c r="W18" s="73">
        <v>31</v>
      </c>
      <c r="X18" s="541"/>
      <c r="Y18" s="515"/>
      <c r="Z18" s="515"/>
      <c r="AA18" s="515"/>
      <c r="AB18" s="73">
        <v>1</v>
      </c>
      <c r="AC18" s="524"/>
      <c r="AD18" s="527"/>
      <c r="AF18" s="556"/>
      <c r="AG18" s="517" t="s">
        <v>175</v>
      </c>
      <c r="AH18" s="13" t="s">
        <v>161</v>
      </c>
      <c r="AI18" s="90">
        <v>0.05</v>
      </c>
      <c r="AJ18" s="77">
        <v>3.75</v>
      </c>
      <c r="AK18" s="77">
        <v>5</v>
      </c>
      <c r="AL18" s="77">
        <v>6.25</v>
      </c>
      <c r="AM18" s="532"/>
      <c r="AN18" s="516">
        <v>0</v>
      </c>
      <c r="AO18" s="514"/>
      <c r="AP18" s="514"/>
      <c r="AQ18" s="154">
        <v>5</v>
      </c>
      <c r="AR18" s="523"/>
      <c r="AS18" s="526"/>
      <c r="AU18" s="556"/>
      <c r="AV18" s="517" t="s">
        <v>175</v>
      </c>
      <c r="AW18" s="13" t="s">
        <v>161</v>
      </c>
      <c r="AX18" s="76">
        <v>0.05</v>
      </c>
      <c r="AY18" s="77">
        <v>5</v>
      </c>
      <c r="AZ18" s="77">
        <v>6</v>
      </c>
      <c r="BA18" s="77">
        <v>7.5</v>
      </c>
      <c r="BB18" s="560"/>
      <c r="BC18" s="516"/>
      <c r="BD18" s="514"/>
      <c r="BE18" s="514"/>
      <c r="BF18" s="74">
        <v>8</v>
      </c>
      <c r="BG18" s="575"/>
      <c r="BH18" s="526"/>
      <c r="BJ18" s="556"/>
      <c r="BK18" s="517" t="s">
        <v>175</v>
      </c>
      <c r="BL18" s="13" t="s">
        <v>161</v>
      </c>
      <c r="BM18" s="90">
        <v>0.05</v>
      </c>
      <c r="BN18" s="77">
        <v>5.25</v>
      </c>
      <c r="BO18" s="77">
        <v>7</v>
      </c>
      <c r="BP18" s="77">
        <v>8.75</v>
      </c>
      <c r="BQ18" s="532"/>
      <c r="BR18" s="516"/>
      <c r="BS18" s="514"/>
      <c r="BT18" s="514"/>
      <c r="BU18" s="154">
        <v>6</v>
      </c>
      <c r="BV18" s="523"/>
      <c r="BW18" s="526"/>
      <c r="BY18" s="556"/>
      <c r="BZ18" s="517" t="s">
        <v>175</v>
      </c>
      <c r="CA18" s="13" t="s">
        <v>161</v>
      </c>
      <c r="CB18" s="76">
        <v>0.05</v>
      </c>
      <c r="CC18" s="77">
        <f t="shared" si="0"/>
        <v>5.25</v>
      </c>
      <c r="CD18" s="77">
        <v>7</v>
      </c>
      <c r="CE18" s="77">
        <f t="shared" si="1"/>
        <v>8.75</v>
      </c>
      <c r="CF18" s="560"/>
      <c r="CG18" s="526"/>
    </row>
    <row r="19" spans="2:85" ht="13.5" thickBot="1" x14ac:dyDescent="0.25">
      <c r="L19" s="54"/>
      <c r="O19" s="54"/>
      <c r="AA19" s="54"/>
      <c r="AD19" s="54"/>
      <c r="AF19" s="551"/>
      <c r="AG19" s="518"/>
      <c r="AH19" s="96" t="s">
        <v>309</v>
      </c>
      <c r="AI19" s="92">
        <v>0.05</v>
      </c>
      <c r="AJ19" s="73">
        <v>7.5</v>
      </c>
      <c r="AK19" s="73">
        <v>10</v>
      </c>
      <c r="AL19" s="73">
        <v>12.5</v>
      </c>
      <c r="AM19" s="565"/>
      <c r="AN19" s="512">
        <v>0</v>
      </c>
      <c r="AO19" s="515"/>
      <c r="AP19" s="515"/>
      <c r="AQ19" s="151">
        <v>31</v>
      </c>
      <c r="AR19" s="524"/>
      <c r="AS19" s="527"/>
      <c r="AU19" s="551"/>
      <c r="AV19" s="518"/>
      <c r="AW19" s="96" t="s">
        <v>309</v>
      </c>
      <c r="AX19" s="72">
        <v>0.05</v>
      </c>
      <c r="AY19" s="73">
        <v>8</v>
      </c>
      <c r="AZ19" s="73">
        <v>10</v>
      </c>
      <c r="BA19" s="73">
        <v>12.5</v>
      </c>
      <c r="BB19" s="561"/>
      <c r="BC19" s="512"/>
      <c r="BD19" s="515"/>
      <c r="BE19" s="515"/>
      <c r="BF19" s="84">
        <v>24</v>
      </c>
      <c r="BG19" s="576"/>
      <c r="BH19" s="527"/>
      <c r="BJ19" s="551"/>
      <c r="BK19" s="518" t="s">
        <v>175</v>
      </c>
      <c r="BL19" s="96" t="s">
        <v>309</v>
      </c>
      <c r="BM19" s="92">
        <v>0.05</v>
      </c>
      <c r="BN19" s="73">
        <v>7.5</v>
      </c>
      <c r="BO19" s="73">
        <v>10</v>
      </c>
      <c r="BP19" s="73">
        <v>12.5</v>
      </c>
      <c r="BQ19" s="565"/>
      <c r="BR19" s="512"/>
      <c r="BS19" s="515"/>
      <c r="BT19" s="515"/>
      <c r="BU19" s="151">
        <v>21</v>
      </c>
      <c r="BV19" s="524"/>
      <c r="BW19" s="527"/>
      <c r="BY19" s="551"/>
      <c r="BZ19" s="518"/>
      <c r="CA19" s="96" t="s">
        <v>309</v>
      </c>
      <c r="CB19" s="72">
        <v>0.05</v>
      </c>
      <c r="CC19" s="73">
        <f t="shared" si="0"/>
        <v>7.5</v>
      </c>
      <c r="CD19" s="73">
        <v>10</v>
      </c>
      <c r="CE19" s="73">
        <f t="shared" si="1"/>
        <v>12.5</v>
      </c>
      <c r="CF19" s="561"/>
      <c r="CG19" s="527"/>
    </row>
    <row r="20" spans="2:85" ht="13.5" thickBot="1" x14ac:dyDescent="0.25">
      <c r="AO20" s="54"/>
      <c r="AP20" s="54"/>
      <c r="AS20" s="54"/>
      <c r="BE20" s="54"/>
      <c r="BG20" s="54"/>
      <c r="BH20" s="54"/>
      <c r="BT20" s="54"/>
      <c r="BW20" s="54"/>
      <c r="CG20" s="54"/>
    </row>
    <row r="21" spans="2:85" ht="27.75" thickBot="1" x14ac:dyDescent="0.25">
      <c r="B21" s="174" t="s">
        <v>427</v>
      </c>
      <c r="C21" s="175" t="s">
        <v>123</v>
      </c>
      <c r="D21" s="175" t="s">
        <v>124</v>
      </c>
      <c r="E21" s="175" t="s">
        <v>125</v>
      </c>
      <c r="F21" s="59" t="s">
        <v>436</v>
      </c>
      <c r="G21" s="59" t="s">
        <v>126</v>
      </c>
      <c r="H21" s="59" t="s">
        <v>437</v>
      </c>
      <c r="I21" s="175" t="s">
        <v>127</v>
      </c>
      <c r="J21" s="175" t="s">
        <v>128</v>
      </c>
      <c r="K21" s="175" t="s">
        <v>129</v>
      </c>
      <c r="L21" s="175" t="s">
        <v>130</v>
      </c>
      <c r="M21" s="175" t="s">
        <v>131</v>
      </c>
      <c r="N21" s="175" t="s">
        <v>134</v>
      </c>
      <c r="O21" s="176" t="s">
        <v>133</v>
      </c>
      <c r="Q21" s="174" t="s">
        <v>440</v>
      </c>
      <c r="R21" s="175" t="s">
        <v>123</v>
      </c>
      <c r="S21" s="175" t="s">
        <v>124</v>
      </c>
      <c r="T21" s="175" t="s">
        <v>125</v>
      </c>
      <c r="U21" s="59" t="s">
        <v>436</v>
      </c>
      <c r="V21" s="59" t="s">
        <v>126</v>
      </c>
      <c r="W21" s="59" t="s">
        <v>437</v>
      </c>
      <c r="X21" s="175" t="s">
        <v>127</v>
      </c>
      <c r="Y21" s="175" t="s">
        <v>128</v>
      </c>
      <c r="Z21" s="175" t="s">
        <v>129</v>
      </c>
      <c r="AA21" s="175" t="s">
        <v>130</v>
      </c>
      <c r="AB21" s="175" t="s">
        <v>131</v>
      </c>
      <c r="AC21" s="175" t="s">
        <v>134</v>
      </c>
      <c r="AD21" s="176" t="s">
        <v>133</v>
      </c>
      <c r="CG21" s="165"/>
    </row>
    <row r="22" spans="2:85" ht="63.75" x14ac:dyDescent="0.2">
      <c r="B22" s="507" t="s">
        <v>209</v>
      </c>
      <c r="C22" s="97" t="s">
        <v>210</v>
      </c>
      <c r="D22" s="97" t="s">
        <v>364</v>
      </c>
      <c r="E22" s="149">
        <v>0.75</v>
      </c>
      <c r="F22" s="80">
        <v>576545783.75623608</v>
      </c>
      <c r="G22" s="80">
        <v>768727711.67498136</v>
      </c>
      <c r="H22" s="80">
        <v>1153091567.5124722</v>
      </c>
      <c r="I22" s="537">
        <v>0.628</v>
      </c>
      <c r="J22" s="511">
        <v>0</v>
      </c>
      <c r="K22" s="511">
        <v>2625085</v>
      </c>
      <c r="L22" s="511">
        <v>6562712</v>
      </c>
      <c r="M22" s="80">
        <v>629199000.65759218</v>
      </c>
      <c r="N22" s="500">
        <v>0.82110515517841998</v>
      </c>
      <c r="O22" s="505">
        <v>746628.28705220099</v>
      </c>
      <c r="Q22" s="507" t="s">
        <v>209</v>
      </c>
      <c r="R22" s="97" t="s">
        <v>210</v>
      </c>
      <c r="S22" s="97" t="s">
        <v>364</v>
      </c>
      <c r="T22" s="149">
        <v>0.75</v>
      </c>
      <c r="U22" s="80">
        <v>574789855.35319066</v>
      </c>
      <c r="V22" s="80">
        <v>766386473.80425429</v>
      </c>
      <c r="W22" s="80">
        <v>1149579710.7063813</v>
      </c>
      <c r="X22" s="537">
        <v>0.628</v>
      </c>
      <c r="Y22" s="511">
        <v>0</v>
      </c>
      <c r="Z22" s="511">
        <v>2625085</v>
      </c>
      <c r="AA22" s="511">
        <v>6562712</v>
      </c>
      <c r="AB22" s="80">
        <v>430240517.45319206</v>
      </c>
      <c r="AC22" s="500">
        <v>0.72270372086538903</v>
      </c>
      <c r="AD22" s="505">
        <v>0</v>
      </c>
    </row>
    <row r="23" spans="2:85" ht="13.5" thickBot="1" x14ac:dyDescent="0.25">
      <c r="B23" s="508"/>
      <c r="C23" s="98" t="s">
        <v>145</v>
      </c>
      <c r="D23" s="98" t="s">
        <v>152</v>
      </c>
      <c r="E23" s="92">
        <v>0.25</v>
      </c>
      <c r="F23" s="73">
        <v>4553</v>
      </c>
      <c r="G23" s="73">
        <v>6070</v>
      </c>
      <c r="H23" s="73">
        <v>9105</v>
      </c>
      <c r="I23" s="544"/>
      <c r="J23" s="512"/>
      <c r="K23" s="512"/>
      <c r="L23" s="512"/>
      <c r="M23" s="73">
        <v>5032</v>
      </c>
      <c r="N23" s="502"/>
      <c r="O23" s="506"/>
      <c r="Q23" s="508"/>
      <c r="R23" s="98" t="s">
        <v>145</v>
      </c>
      <c r="S23" s="98" t="s">
        <v>152</v>
      </c>
      <c r="T23" s="92">
        <v>0.25</v>
      </c>
      <c r="U23" s="73">
        <v>4082</v>
      </c>
      <c r="V23" s="73">
        <v>5443</v>
      </c>
      <c r="W23" s="73">
        <v>8165</v>
      </c>
      <c r="X23" s="544"/>
      <c r="Y23" s="512"/>
      <c r="Z23" s="512"/>
      <c r="AA23" s="512"/>
      <c r="AB23" s="73">
        <v>6568</v>
      </c>
      <c r="AC23" s="502"/>
      <c r="AD23" s="506"/>
    </row>
    <row r="24" spans="2:85" ht="38.25" x14ac:dyDescent="0.2">
      <c r="B24" s="507" t="s">
        <v>155</v>
      </c>
      <c r="C24" s="97" t="s">
        <v>211</v>
      </c>
      <c r="D24" s="97" t="s">
        <v>365</v>
      </c>
      <c r="E24" s="149">
        <v>0.6</v>
      </c>
      <c r="F24" s="80">
        <v>39563597.812028155</v>
      </c>
      <c r="G24" s="80">
        <v>52751463.749370873</v>
      </c>
      <c r="H24" s="80">
        <v>79127195.624056309</v>
      </c>
      <c r="I24" s="537">
        <v>0.249</v>
      </c>
      <c r="J24" s="511">
        <v>0</v>
      </c>
      <c r="K24" s="511">
        <v>1041779</v>
      </c>
      <c r="L24" s="511">
        <v>2604447</v>
      </c>
      <c r="M24" s="80">
        <v>45903844.09083008</v>
      </c>
      <c r="N24" s="500">
        <v>0.72851442296695201</v>
      </c>
      <c r="O24" s="505">
        <v>0</v>
      </c>
      <c r="Q24" s="507" t="s">
        <v>155</v>
      </c>
      <c r="R24" s="97" t="s">
        <v>211</v>
      </c>
      <c r="S24" s="97" t="s">
        <v>365</v>
      </c>
      <c r="T24" s="149">
        <v>0.6</v>
      </c>
      <c r="U24" s="80">
        <v>40377531.795049012</v>
      </c>
      <c r="V24" s="80">
        <v>53836709.060065351</v>
      </c>
      <c r="W24" s="80">
        <v>80755063.590098023</v>
      </c>
      <c r="X24" s="537">
        <v>0.249</v>
      </c>
      <c r="Y24" s="511">
        <v>0</v>
      </c>
      <c r="Z24" s="511">
        <v>1041779</v>
      </c>
      <c r="AA24" s="511">
        <v>2604447</v>
      </c>
      <c r="AB24" s="80">
        <v>28837892.091311675</v>
      </c>
      <c r="AC24" s="500">
        <v>0.35990278381424601</v>
      </c>
      <c r="AD24" s="505">
        <v>0</v>
      </c>
    </row>
    <row r="25" spans="2:85" ht="27" x14ac:dyDescent="0.2">
      <c r="B25" s="545"/>
      <c r="C25" s="547" t="s">
        <v>212</v>
      </c>
      <c r="D25" s="13" t="s">
        <v>366</v>
      </c>
      <c r="E25" s="90">
        <v>0.35</v>
      </c>
      <c r="F25" s="77">
        <v>13085633.392422538</v>
      </c>
      <c r="G25" s="77">
        <v>17447511.189896718</v>
      </c>
      <c r="H25" s="77">
        <v>26171266.784845077</v>
      </c>
      <c r="I25" s="538"/>
      <c r="J25" s="516"/>
      <c r="K25" s="516"/>
      <c r="L25" s="516"/>
      <c r="M25" s="77">
        <v>8833724.3305990584</v>
      </c>
      <c r="N25" s="501"/>
      <c r="O25" s="536"/>
      <c r="Q25" s="545"/>
      <c r="R25" s="547" t="s">
        <v>212</v>
      </c>
      <c r="S25" s="13" t="s">
        <v>366</v>
      </c>
      <c r="T25" s="90">
        <v>0.35</v>
      </c>
      <c r="U25" s="77">
        <v>9407514.080528006</v>
      </c>
      <c r="V25" s="77">
        <v>12543352.107370675</v>
      </c>
      <c r="W25" s="77">
        <v>18815028.161056012</v>
      </c>
      <c r="X25" s="538"/>
      <c r="Y25" s="516"/>
      <c r="Z25" s="516"/>
      <c r="AA25" s="516"/>
      <c r="AB25" s="77">
        <v>552934.7497842341</v>
      </c>
      <c r="AC25" s="501"/>
      <c r="AD25" s="536"/>
    </row>
    <row r="26" spans="2:85" ht="27.75" thickBot="1" x14ac:dyDescent="0.25">
      <c r="B26" s="508"/>
      <c r="C26" s="510"/>
      <c r="D26" s="98" t="s">
        <v>367</v>
      </c>
      <c r="E26" s="92">
        <v>0.05</v>
      </c>
      <c r="F26" s="73">
        <v>8962524.3270971626</v>
      </c>
      <c r="G26" s="73">
        <v>11950032.43612955</v>
      </c>
      <c r="H26" s="73">
        <v>17925048.654194325</v>
      </c>
      <c r="I26" s="544"/>
      <c r="J26" s="512"/>
      <c r="K26" s="512"/>
      <c r="L26" s="512"/>
      <c r="M26" s="73">
        <v>6977358.0349029722</v>
      </c>
      <c r="N26" s="502"/>
      <c r="O26" s="506"/>
      <c r="Q26" s="508"/>
      <c r="R26" s="510"/>
      <c r="S26" s="98" t="s">
        <v>367</v>
      </c>
      <c r="T26" s="92">
        <v>0.05</v>
      </c>
      <c r="U26" s="73">
        <v>7430573.2111169491</v>
      </c>
      <c r="V26" s="73">
        <v>9907430.9481559321</v>
      </c>
      <c r="W26" s="73">
        <v>14861146.422233898</v>
      </c>
      <c r="X26" s="544"/>
      <c r="Y26" s="512"/>
      <c r="Z26" s="512"/>
      <c r="AA26" s="512"/>
      <c r="AB26" s="73">
        <v>4573514.8039126452</v>
      </c>
      <c r="AC26" s="502"/>
      <c r="AD26" s="506"/>
    </row>
    <row r="27" spans="2:85" ht="25.5" x14ac:dyDescent="0.2">
      <c r="B27" s="507" t="s">
        <v>162</v>
      </c>
      <c r="C27" s="97" t="s">
        <v>215</v>
      </c>
      <c r="D27" s="97" t="s">
        <v>216</v>
      </c>
      <c r="E27" s="149">
        <v>0.5</v>
      </c>
      <c r="F27" s="166">
        <v>0.45660000000000001</v>
      </c>
      <c r="G27" s="166">
        <v>0.60880000000000001</v>
      </c>
      <c r="H27" s="166">
        <v>0.9133</v>
      </c>
      <c r="I27" s="537">
        <v>6.6000000000000003E-2</v>
      </c>
      <c r="J27" s="511">
        <v>0</v>
      </c>
      <c r="K27" s="511">
        <v>162324</v>
      </c>
      <c r="L27" s="511">
        <v>405810</v>
      </c>
      <c r="M27" s="170">
        <v>0.73081081081081078</v>
      </c>
      <c r="N27" s="500">
        <v>1.07933974615009</v>
      </c>
      <c r="O27" s="505">
        <v>200960.311246153</v>
      </c>
      <c r="Q27" s="507" t="s">
        <v>162</v>
      </c>
      <c r="R27" s="97" t="s">
        <v>215</v>
      </c>
      <c r="S27" s="97" t="s">
        <v>216</v>
      </c>
      <c r="T27" s="149">
        <v>0.5</v>
      </c>
      <c r="U27" s="166">
        <v>1</v>
      </c>
      <c r="V27" s="166">
        <v>1</v>
      </c>
      <c r="W27" s="166">
        <v>1</v>
      </c>
      <c r="X27" s="537">
        <v>6.6000000000000003E-2</v>
      </c>
      <c r="Y27" s="511">
        <v>0</v>
      </c>
      <c r="Z27" s="511">
        <v>162324</v>
      </c>
      <c r="AA27" s="511">
        <v>405810</v>
      </c>
      <c r="AB27" s="170">
        <v>0.54222853087295952</v>
      </c>
      <c r="AC27" s="500">
        <v>0.37521069907735999</v>
      </c>
      <c r="AD27" s="505">
        <v>0</v>
      </c>
    </row>
    <row r="28" spans="2:85" ht="13.5" thickBot="1" x14ac:dyDescent="0.25">
      <c r="B28" s="508"/>
      <c r="C28" s="98" t="s">
        <v>167</v>
      </c>
      <c r="D28" s="98" t="s">
        <v>168</v>
      </c>
      <c r="E28" s="92">
        <v>0.5</v>
      </c>
      <c r="F28" s="73">
        <v>19</v>
      </c>
      <c r="G28" s="73">
        <v>25</v>
      </c>
      <c r="H28" s="73">
        <v>38</v>
      </c>
      <c r="I28" s="544"/>
      <c r="J28" s="512"/>
      <c r="K28" s="512"/>
      <c r="L28" s="512"/>
      <c r="M28" s="73">
        <v>24</v>
      </c>
      <c r="N28" s="502"/>
      <c r="O28" s="506"/>
      <c r="Q28" s="508"/>
      <c r="R28" s="98" t="s">
        <v>167</v>
      </c>
      <c r="S28" s="98" t="s">
        <v>168</v>
      </c>
      <c r="T28" s="92">
        <v>0.5</v>
      </c>
      <c r="U28" s="73">
        <v>24</v>
      </c>
      <c r="V28" s="73">
        <v>32</v>
      </c>
      <c r="W28" s="73">
        <v>49</v>
      </c>
      <c r="X28" s="544"/>
      <c r="Y28" s="512"/>
      <c r="Z28" s="512"/>
      <c r="AA28" s="512"/>
      <c r="AB28" s="73">
        <v>11</v>
      </c>
      <c r="AC28" s="502"/>
      <c r="AD28" s="506"/>
    </row>
    <row r="29" spans="2:85" x14ac:dyDescent="0.2">
      <c r="B29" s="507" t="s">
        <v>217</v>
      </c>
      <c r="C29" s="509" t="s">
        <v>218</v>
      </c>
      <c r="D29" s="97" t="s">
        <v>152</v>
      </c>
      <c r="E29" s="149">
        <v>0.1</v>
      </c>
      <c r="F29" s="80">
        <v>52</v>
      </c>
      <c r="G29" s="80">
        <v>69</v>
      </c>
      <c r="H29" s="80">
        <v>104</v>
      </c>
      <c r="I29" s="537">
        <v>3.9E-2</v>
      </c>
      <c r="J29" s="511">
        <v>0</v>
      </c>
      <c r="K29" s="511">
        <v>73106</v>
      </c>
      <c r="L29" s="511">
        <v>182765</v>
      </c>
      <c r="M29" s="80">
        <v>0</v>
      </c>
      <c r="N29" s="500">
        <v>0.22556046787880099</v>
      </c>
      <c r="O29" s="505">
        <v>0</v>
      </c>
      <c r="Q29" s="507" t="s">
        <v>217</v>
      </c>
      <c r="R29" s="509" t="s">
        <v>218</v>
      </c>
      <c r="S29" s="97" t="s">
        <v>152</v>
      </c>
      <c r="T29" s="149">
        <v>0.1</v>
      </c>
      <c r="U29" s="80">
        <v>52</v>
      </c>
      <c r="V29" s="80">
        <v>69</v>
      </c>
      <c r="W29" s="80">
        <v>104</v>
      </c>
      <c r="X29" s="537">
        <v>3.9E-2</v>
      </c>
      <c r="Y29" s="511">
        <v>0</v>
      </c>
      <c r="Z29" s="511">
        <v>73106</v>
      </c>
      <c r="AA29" s="511">
        <v>182765</v>
      </c>
      <c r="AB29" s="80">
        <v>0</v>
      </c>
      <c r="AC29" s="500">
        <v>6.0115862743850702E-2</v>
      </c>
      <c r="AD29" s="505">
        <v>0</v>
      </c>
    </row>
    <row r="30" spans="2:85" x14ac:dyDescent="0.2">
      <c r="B30" s="545"/>
      <c r="C30" s="546"/>
      <c r="D30" s="13" t="s">
        <v>219</v>
      </c>
      <c r="E30" s="90">
        <v>0.4</v>
      </c>
      <c r="F30" s="167">
        <v>3.3266921534879966E-3</v>
      </c>
      <c r="G30" s="167">
        <v>4.4355895379839952E-3</v>
      </c>
      <c r="H30" s="167">
        <v>6.6533843069759933E-3</v>
      </c>
      <c r="I30" s="538"/>
      <c r="J30" s="516"/>
      <c r="K30" s="516"/>
      <c r="L30" s="516"/>
      <c r="M30" s="171">
        <v>0</v>
      </c>
      <c r="N30" s="501"/>
      <c r="O30" s="536"/>
      <c r="Q30" s="545"/>
      <c r="R30" s="546"/>
      <c r="S30" s="13" t="s">
        <v>219</v>
      </c>
      <c r="T30" s="90">
        <v>0.4</v>
      </c>
      <c r="U30" s="167">
        <v>3.3266921534879966E-3</v>
      </c>
      <c r="V30" s="167">
        <v>4.4355895379839952E-3</v>
      </c>
      <c r="W30" s="167">
        <v>6.6533843069759933E-3</v>
      </c>
      <c r="X30" s="538"/>
      <c r="Y30" s="516"/>
      <c r="Z30" s="516"/>
      <c r="AA30" s="516"/>
      <c r="AB30" s="171">
        <v>0</v>
      </c>
      <c r="AC30" s="501"/>
      <c r="AD30" s="536"/>
    </row>
    <row r="31" spans="2:85" ht="13.5" thickBot="1" x14ac:dyDescent="0.25">
      <c r="B31" s="508"/>
      <c r="C31" s="98" t="s">
        <v>310</v>
      </c>
      <c r="D31" s="98" t="s">
        <v>219</v>
      </c>
      <c r="E31" s="92">
        <v>0.5</v>
      </c>
      <c r="F31" s="168">
        <v>5.9060380937417958E-2</v>
      </c>
      <c r="G31" s="168">
        <v>7.8747174583223944E-2</v>
      </c>
      <c r="H31" s="168">
        <v>0.11812076187483592</v>
      </c>
      <c r="I31" s="544"/>
      <c r="J31" s="512"/>
      <c r="K31" s="512"/>
      <c r="L31" s="512"/>
      <c r="M31" s="172">
        <v>3.5524499086251285E-2</v>
      </c>
      <c r="N31" s="502"/>
      <c r="O31" s="506"/>
      <c r="Q31" s="508"/>
      <c r="R31" s="98" t="s">
        <v>310</v>
      </c>
      <c r="S31" s="98" t="s">
        <v>219</v>
      </c>
      <c r="T31" s="92">
        <v>0.5</v>
      </c>
      <c r="U31" s="168">
        <v>0.21666091460065973</v>
      </c>
      <c r="V31" s="168">
        <v>0.2888812194675463</v>
      </c>
      <c r="W31" s="168">
        <v>0.43332182920131945</v>
      </c>
      <c r="X31" s="544"/>
      <c r="Y31" s="512"/>
      <c r="Z31" s="512"/>
      <c r="AA31" s="512"/>
      <c r="AB31" s="172">
        <v>3.4732687477574457E-2</v>
      </c>
      <c r="AC31" s="502"/>
      <c r="AD31" s="506"/>
    </row>
    <row r="32" spans="2:85" ht="15" thickBot="1" x14ac:dyDescent="0.25">
      <c r="B32" s="177" t="s">
        <v>214</v>
      </c>
      <c r="C32" s="110" t="s">
        <v>56</v>
      </c>
      <c r="D32" s="110" t="s">
        <v>368</v>
      </c>
      <c r="E32" s="146">
        <v>1</v>
      </c>
      <c r="F32" s="64">
        <v>87077473.952120274</v>
      </c>
      <c r="G32" s="64">
        <v>116103298.60282704</v>
      </c>
      <c r="H32" s="64">
        <v>174154947.90424055</v>
      </c>
      <c r="I32" s="178">
        <v>1.7000000000000001E-2</v>
      </c>
      <c r="J32" s="65">
        <v>0</v>
      </c>
      <c r="K32" s="65">
        <v>277706</v>
      </c>
      <c r="L32" s="65">
        <v>694265</v>
      </c>
      <c r="M32" s="64">
        <v>141733709.2545104</v>
      </c>
      <c r="N32" s="148">
        <v>1.2207552322812201</v>
      </c>
      <c r="O32" s="68">
        <v>461621.28513480001</v>
      </c>
      <c r="Q32" s="177" t="s">
        <v>214</v>
      </c>
      <c r="R32" s="110" t="s">
        <v>56</v>
      </c>
      <c r="S32" s="110" t="s">
        <v>368</v>
      </c>
      <c r="T32" s="146">
        <v>1</v>
      </c>
      <c r="U32" s="64">
        <v>105338684.8581765</v>
      </c>
      <c r="V32" s="64">
        <v>140451579.810902</v>
      </c>
      <c r="W32" s="64">
        <v>210677369.716353</v>
      </c>
      <c r="X32" s="178">
        <v>1.7000000000000001E-2</v>
      </c>
      <c r="Y32" s="65">
        <v>0</v>
      </c>
      <c r="Z32" s="65">
        <v>277706</v>
      </c>
      <c r="AA32" s="65">
        <v>694265</v>
      </c>
      <c r="AB32" s="64">
        <v>97042448.452549458</v>
      </c>
      <c r="AC32" s="148">
        <v>0.69093169748039296</v>
      </c>
      <c r="AD32" s="68">
        <v>0</v>
      </c>
    </row>
    <row r="33" spans="2:30" x14ac:dyDescent="0.2">
      <c r="B33" s="53" t="s">
        <v>501</v>
      </c>
      <c r="L33" s="54"/>
      <c r="O33" s="54"/>
      <c r="AA33" s="54"/>
      <c r="AD33" s="54"/>
    </row>
    <row r="34" spans="2:30" x14ac:dyDescent="0.2">
      <c r="B34" s="57" t="s">
        <v>422</v>
      </c>
    </row>
    <row r="35" spans="2:30" ht="14.45" customHeight="1" x14ac:dyDescent="0.2">
      <c r="B35" s="14" t="s">
        <v>435</v>
      </c>
    </row>
    <row r="36" spans="2:30" x14ac:dyDescent="0.2">
      <c r="B36" s="169" t="s">
        <v>434</v>
      </c>
    </row>
    <row r="37" spans="2:30" x14ac:dyDescent="0.2">
      <c r="B37" s="169" t="s">
        <v>423</v>
      </c>
    </row>
    <row r="38" spans="2:30" x14ac:dyDescent="0.2">
      <c r="B38" s="169" t="s">
        <v>424</v>
      </c>
    </row>
    <row r="39" spans="2:30" x14ac:dyDescent="0.2">
      <c r="B39" s="169" t="s">
        <v>425</v>
      </c>
    </row>
  </sheetData>
  <mergeCells count="298">
    <mergeCell ref="CK2:CM2"/>
    <mergeCell ref="CU1:CW1"/>
    <mergeCell ref="CU2:CW2"/>
    <mergeCell ref="DE1:DG1"/>
    <mergeCell ref="DE2:DG2"/>
    <mergeCell ref="DO1:DQ1"/>
    <mergeCell ref="DO2:DQ2"/>
    <mergeCell ref="DM13:DU13"/>
    <mergeCell ref="DM14:DU14"/>
    <mergeCell ref="DT7:DT8"/>
    <mergeCell ref="DU7:DU8"/>
    <mergeCell ref="DM9:DM10"/>
    <mergeCell ref="DN9:DN10"/>
    <mergeCell ref="DT9:DT10"/>
    <mergeCell ref="DU9:DU10"/>
    <mergeCell ref="DC5:DC6"/>
    <mergeCell ref="DC7:DC8"/>
    <mergeCell ref="DJ7:DJ8"/>
    <mergeCell ref="DK7:DK8"/>
    <mergeCell ref="DC9:DC10"/>
    <mergeCell ref="DD9:DD10"/>
    <mergeCell ref="DM15:DU15"/>
    <mergeCell ref="CI12:CQ12"/>
    <mergeCell ref="CI13:CQ13"/>
    <mergeCell ref="CI14:CQ14"/>
    <mergeCell ref="CS12:DA12"/>
    <mergeCell ref="CS13:DA13"/>
    <mergeCell ref="CS14:DA14"/>
    <mergeCell ref="DC12:DK12"/>
    <mergeCell ref="DC13:DK13"/>
    <mergeCell ref="DC14:DK14"/>
    <mergeCell ref="E1:H1"/>
    <mergeCell ref="E2:H2"/>
    <mergeCell ref="T1:W1"/>
    <mergeCell ref="T2:W2"/>
    <mergeCell ref="BM1:BP1"/>
    <mergeCell ref="BM2:BP2"/>
    <mergeCell ref="AX1:BA1"/>
    <mergeCell ref="AX2:BA2"/>
    <mergeCell ref="AI1:AL1"/>
    <mergeCell ref="AI2:AL2"/>
    <mergeCell ref="CA1:CC1"/>
    <mergeCell ref="CA2:CC2"/>
    <mergeCell ref="CK1:CM1"/>
    <mergeCell ref="BC14:BC19"/>
    <mergeCell ref="AN6:AN7"/>
    <mergeCell ref="AN8:AN9"/>
    <mergeCell ref="AN12:AN13"/>
    <mergeCell ref="AN14:AN19"/>
    <mergeCell ref="BZ18:BZ19"/>
    <mergeCell ref="BY12:BY13"/>
    <mergeCell ref="BZ12:BZ13"/>
    <mergeCell ref="BT6:BT7"/>
    <mergeCell ref="BS12:BS13"/>
    <mergeCell ref="BT12:BT13"/>
    <mergeCell ref="BK18:BK19"/>
    <mergeCell ref="AU14:AU19"/>
    <mergeCell ref="AV14:AV15"/>
    <mergeCell ref="BB14:BB19"/>
    <mergeCell ref="BD14:BD19"/>
    <mergeCell ref="BE14:BE19"/>
    <mergeCell ref="BG14:BG19"/>
    <mergeCell ref="BH14:BH19"/>
    <mergeCell ref="AU12:AU13"/>
    <mergeCell ref="AV12:AV13"/>
    <mergeCell ref="AV18:AV19"/>
    <mergeCell ref="AR8:AR9"/>
    <mergeCell ref="BB12:BB13"/>
    <mergeCell ref="R5:R6"/>
    <mergeCell ref="BV6:BV7"/>
    <mergeCell ref="BW6:BW7"/>
    <mergeCell ref="BV8:BV9"/>
    <mergeCell ref="BW8:BW9"/>
    <mergeCell ref="BY6:BY7"/>
    <mergeCell ref="BY8:BY9"/>
    <mergeCell ref="BJ6:BJ7"/>
    <mergeCell ref="BL6:BL7"/>
    <mergeCell ref="BQ6:BQ7"/>
    <mergeCell ref="BS6:BS7"/>
    <mergeCell ref="BQ12:BQ13"/>
    <mergeCell ref="AF14:AF19"/>
    <mergeCell ref="AG14:AG15"/>
    <mergeCell ref="AM14:AM19"/>
    <mergeCell ref="AO14:AO19"/>
    <mergeCell ref="AP14:AP19"/>
    <mergeCell ref="AR14:AR19"/>
    <mergeCell ref="AS14:AS19"/>
    <mergeCell ref="AF12:AF13"/>
    <mergeCell ref="AG12:AG13"/>
    <mergeCell ref="BZ8:BZ9"/>
    <mergeCell ref="DM5:DM6"/>
    <mergeCell ref="DM7:DM8"/>
    <mergeCell ref="DJ9:DJ10"/>
    <mergeCell ref="DK9:DK10"/>
    <mergeCell ref="CS9:CS10"/>
    <mergeCell ref="CT9:CT10"/>
    <mergeCell ref="CZ9:CZ10"/>
    <mergeCell ref="CA6:CA7"/>
    <mergeCell ref="CF6:CF7"/>
    <mergeCell ref="CG6:CG7"/>
    <mergeCell ref="CF8:CF9"/>
    <mergeCell ref="CJ9:CJ10"/>
    <mergeCell ref="CZ7:CZ8"/>
    <mergeCell ref="DA7:DA8"/>
    <mergeCell ref="CS5:CS6"/>
    <mergeCell ref="CI5:CI6"/>
    <mergeCell ref="CI7:CI8"/>
    <mergeCell ref="DA9:DA10"/>
    <mergeCell ref="CP7:CP8"/>
    <mergeCell ref="CQ7:CQ8"/>
    <mergeCell ref="CP9:CP10"/>
    <mergeCell ref="CQ9:CQ10"/>
    <mergeCell ref="CS7:CS8"/>
    <mergeCell ref="CI9:CI10"/>
    <mergeCell ref="CF12:CF13"/>
    <mergeCell ref="BY14:BY19"/>
    <mergeCell ref="BZ14:BZ15"/>
    <mergeCell ref="CF14:CF19"/>
    <mergeCell ref="CG14:CG19"/>
    <mergeCell ref="CG12:CG13"/>
    <mergeCell ref="CG8:CG9"/>
    <mergeCell ref="BJ8:BJ9"/>
    <mergeCell ref="BK8:BK9"/>
    <mergeCell ref="BQ8:BQ9"/>
    <mergeCell ref="BS8:BS9"/>
    <mergeCell ref="BT8:BT9"/>
    <mergeCell ref="BV12:BV13"/>
    <mergeCell ref="BW12:BW13"/>
    <mergeCell ref="BJ14:BJ19"/>
    <mergeCell ref="BK14:BK15"/>
    <mergeCell ref="BQ14:BQ19"/>
    <mergeCell ref="BS14:BS19"/>
    <mergeCell ref="BT14:BT19"/>
    <mergeCell ref="BV14:BV19"/>
    <mergeCell ref="BW14:BW19"/>
    <mergeCell ref="BJ12:BJ13"/>
    <mergeCell ref="BK12:BK13"/>
    <mergeCell ref="AM12:AM13"/>
    <mergeCell ref="AO12:AO13"/>
    <mergeCell ref="BD12:BD13"/>
    <mergeCell ref="BE12:BE13"/>
    <mergeCell ref="BC6:BC7"/>
    <mergeCell ref="BC8:BC9"/>
    <mergeCell ref="AS8:AS9"/>
    <mergeCell ref="AF6:AF7"/>
    <mergeCell ref="AH6:AH7"/>
    <mergeCell ref="AM6:AM7"/>
    <mergeCell ref="AO6:AO7"/>
    <mergeCell ref="AP6:AP7"/>
    <mergeCell ref="AR12:AR13"/>
    <mergeCell ref="AS12:AS13"/>
    <mergeCell ref="BC12:BC13"/>
    <mergeCell ref="AU8:AU9"/>
    <mergeCell ref="AV8:AV9"/>
    <mergeCell ref="BB8:BB9"/>
    <mergeCell ref="BD8:BD9"/>
    <mergeCell ref="BE8:BE9"/>
    <mergeCell ref="BG8:BG9"/>
    <mergeCell ref="BH8:BH9"/>
    <mergeCell ref="AU6:AU7"/>
    <mergeCell ref="AW6:AW7"/>
    <mergeCell ref="BB6:BB7"/>
    <mergeCell ref="BD6:BD7"/>
    <mergeCell ref="BE6:BE7"/>
    <mergeCell ref="BG6:BG7"/>
    <mergeCell ref="Q24:Q26"/>
    <mergeCell ref="X24:X26"/>
    <mergeCell ref="Y24:Y26"/>
    <mergeCell ref="Z24:Z26"/>
    <mergeCell ref="AA24:AA26"/>
    <mergeCell ref="AC24:AC26"/>
    <mergeCell ref="AD24:AD26"/>
    <mergeCell ref="R25:R26"/>
    <mergeCell ref="Z13:Z18"/>
    <mergeCell ref="Q22:Q23"/>
    <mergeCell ref="X22:X23"/>
    <mergeCell ref="Y22:Y23"/>
    <mergeCell ref="Z22:Z23"/>
    <mergeCell ref="AA22:AA23"/>
    <mergeCell ref="AC22:AC23"/>
    <mergeCell ref="AD22:AD23"/>
    <mergeCell ref="R13:R14"/>
    <mergeCell ref="Q27:Q28"/>
    <mergeCell ref="X27:X28"/>
    <mergeCell ref="Y27:Y28"/>
    <mergeCell ref="Z27:Z28"/>
    <mergeCell ref="AA27:AA28"/>
    <mergeCell ref="AC27:AC28"/>
    <mergeCell ref="AD27:AD28"/>
    <mergeCell ref="Q29:Q31"/>
    <mergeCell ref="R29:R30"/>
    <mergeCell ref="X29:X31"/>
    <mergeCell ref="Y29:Y31"/>
    <mergeCell ref="Z29:Z31"/>
    <mergeCell ref="AA29:AA31"/>
    <mergeCell ref="AC29:AC31"/>
    <mergeCell ref="AD29:AD31"/>
    <mergeCell ref="B5:B9"/>
    <mergeCell ref="C5:C6"/>
    <mergeCell ref="I5:I9"/>
    <mergeCell ref="J5:J9"/>
    <mergeCell ref="K5:K9"/>
    <mergeCell ref="L5:L9"/>
    <mergeCell ref="N5:N9"/>
    <mergeCell ref="O5:O9"/>
    <mergeCell ref="D6:D8"/>
    <mergeCell ref="E6:E8"/>
    <mergeCell ref="F6:F8"/>
    <mergeCell ref="G6:G8"/>
    <mergeCell ref="H6:H8"/>
    <mergeCell ref="M6:M8"/>
    <mergeCell ref="O24:O26"/>
    <mergeCell ref="C25:C26"/>
    <mergeCell ref="B10:B12"/>
    <mergeCell ref="I10:I12"/>
    <mergeCell ref="J10:J12"/>
    <mergeCell ref="K10:K12"/>
    <mergeCell ref="L10:L12"/>
    <mergeCell ref="N10:N12"/>
    <mergeCell ref="O10:O12"/>
    <mergeCell ref="B13:B18"/>
    <mergeCell ref="C13:C14"/>
    <mergeCell ref="I13:I18"/>
    <mergeCell ref="J13:J18"/>
    <mergeCell ref="K13:K18"/>
    <mergeCell ref="L13:L18"/>
    <mergeCell ref="N13:N18"/>
    <mergeCell ref="O13:O18"/>
    <mergeCell ref="B22:B23"/>
    <mergeCell ref="I22:I23"/>
    <mergeCell ref="B24:B26"/>
    <mergeCell ref="I24:I26"/>
    <mergeCell ref="J24:J26"/>
    <mergeCell ref="K24:K26"/>
    <mergeCell ref="L24:L26"/>
    <mergeCell ref="B27:B28"/>
    <mergeCell ref="I27:I28"/>
    <mergeCell ref="J27:J28"/>
    <mergeCell ref="K27:K28"/>
    <mergeCell ref="L27:L28"/>
    <mergeCell ref="N27:N28"/>
    <mergeCell ref="O27:O28"/>
    <mergeCell ref="B29:B31"/>
    <mergeCell ref="C29:C30"/>
    <mergeCell ref="I29:I31"/>
    <mergeCell ref="J29:J31"/>
    <mergeCell ref="K29:K31"/>
    <mergeCell ref="L29:L31"/>
    <mergeCell ref="N29:N31"/>
    <mergeCell ref="O29:O31"/>
    <mergeCell ref="Q10:Q12"/>
    <mergeCell ref="Q13:Q18"/>
    <mergeCell ref="BR6:BR7"/>
    <mergeCell ref="BR8:BR9"/>
    <mergeCell ref="BR12:BR13"/>
    <mergeCell ref="BR14:BR19"/>
    <mergeCell ref="AC10:AC12"/>
    <mergeCell ref="AD10:AD12"/>
    <mergeCell ref="AA13:AA18"/>
    <mergeCell ref="AC13:AC18"/>
    <mergeCell ref="AD13:AD18"/>
    <mergeCell ref="X10:X12"/>
    <mergeCell ref="Y10:Y12"/>
    <mergeCell ref="Z10:Z12"/>
    <mergeCell ref="AA10:AA12"/>
    <mergeCell ref="X13:X18"/>
    <mergeCell ref="Y13:Y18"/>
    <mergeCell ref="U6:U8"/>
    <mergeCell ref="V6:V8"/>
    <mergeCell ref="W6:W8"/>
    <mergeCell ref="X5:X9"/>
    <mergeCell ref="BG12:BG13"/>
    <mergeCell ref="BH12:BH13"/>
    <mergeCell ref="BH6:BH7"/>
    <mergeCell ref="N24:N26"/>
    <mergeCell ref="AR6:AR7"/>
    <mergeCell ref="AS6:AS7"/>
    <mergeCell ref="AF8:AF9"/>
    <mergeCell ref="AG8:AG9"/>
    <mergeCell ref="J22:J23"/>
    <mergeCell ref="K22:K23"/>
    <mergeCell ref="L22:L23"/>
    <mergeCell ref="N22:N23"/>
    <mergeCell ref="O22:O23"/>
    <mergeCell ref="Y5:Y9"/>
    <mergeCell ref="Z5:Z9"/>
    <mergeCell ref="AP12:AP13"/>
    <mergeCell ref="AG18:AG19"/>
    <mergeCell ref="AM8:AM9"/>
    <mergeCell ref="AO8:AO9"/>
    <mergeCell ref="AP8:AP9"/>
    <mergeCell ref="AA5:AA9"/>
    <mergeCell ref="AB6:AB8"/>
    <mergeCell ref="AC5:AC9"/>
    <mergeCell ref="AD5:AD9"/>
    <mergeCell ref="Q5:Q9"/>
    <mergeCell ref="S6:S8"/>
    <mergeCell ref="T6:T8"/>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1276DF02A4AB4F850C8FDE71AFD584" ma:contentTypeVersion="18" ma:contentTypeDescription="Create a new document." ma:contentTypeScope="" ma:versionID="12d306845f466061f99d5013e53a8ad9">
  <xsd:schema xmlns:xsd="http://www.w3.org/2001/XMLSchema" xmlns:xs="http://www.w3.org/2001/XMLSchema" xmlns:p="http://schemas.microsoft.com/office/2006/metadata/properties" xmlns:ns2="d8658c64-b61e-47ac-bf9f-77b63b2ba9de" xmlns:ns3="bc9be6ef-036f-4d38-ab45-2a4da0c93cb0" targetNamespace="http://schemas.microsoft.com/office/2006/metadata/properties" ma:root="true" ma:fieldsID="afb70862db0e5d184fda4a570b9ef587" ns2:_="" ns3:_="">
    <xsd:import namespace="d8658c64-b61e-47ac-bf9f-77b63b2ba9de"/>
    <xsd:import namespace="bc9be6ef-036f-4d38-ab45-2a4da0c93cb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Issue" minOccurs="0"/>
                <xsd:element ref="ns2:Topic" minOccurs="0"/>
                <xsd:element ref="ns2:Intervenor"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Attach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658c64-b61e-47ac-bf9f-77b63b2ba9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Issue" ma:index="14" nillable="true" ma:displayName="Exhibit" ma:format="Dropdown" ma:internalName="Issue">
      <xsd:simpleType>
        <xsd:restriction base="dms:Text">
          <xsd:maxLength value="255"/>
        </xsd:restriction>
      </xsd:simpleType>
    </xsd:element>
    <xsd:element name="Topic" ma:index="15" nillable="true" ma:displayName="Topic" ma:format="Dropdown" ma:internalName="Topic">
      <xsd:simpleType>
        <xsd:restriction base="dms:Text">
          <xsd:maxLength value="255"/>
        </xsd:restriction>
      </xsd:simpleType>
    </xsd:element>
    <xsd:element name="Intervenor" ma:index="16" nillable="true" ma:displayName="Intervenor" ma:format="Dropdown" ma:internalName="Intervenor">
      <xsd:simpleType>
        <xsd:restriction base="dms:Text">
          <xsd:maxLength value="255"/>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f1b9f00-8d2c-4c36-af1d-c0006bf6acbf"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element name="Attachment" ma:index="25" nillable="true" ma:displayName="Attachment" ma:format="Dropdown" ma:internalName="Attachme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c9be6ef-036f-4d38-ab45-2a4da0c93cb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52c96dd-4f5f-40b4-a956-704ef5bb79d9}" ma:internalName="TaxCatchAll" ma:showField="CatchAllData" ma:web="bc9be6ef-036f-4d38-ab45-2a4da0c93c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ttachment xmlns="d8658c64-b61e-47ac-bf9f-77b63b2ba9de" xsi:nil="true"/>
    <Issue xmlns="d8658c64-b61e-47ac-bf9f-77b63b2ba9de" xsi:nil="true"/>
    <lcf76f155ced4ddcb4097134ff3c332f xmlns="d8658c64-b61e-47ac-bf9f-77b63b2ba9de">
      <Terms xmlns="http://schemas.microsoft.com/office/infopath/2007/PartnerControls"/>
    </lcf76f155ced4ddcb4097134ff3c332f>
    <TaxCatchAll xmlns="bc9be6ef-036f-4d38-ab45-2a4da0c93cb0" xsi:nil="true"/>
    <Topic xmlns="d8658c64-b61e-47ac-bf9f-77b63b2ba9de" xsi:nil="true"/>
    <Intervenor xmlns="d8658c64-b61e-47ac-bf9f-77b63b2ba9de" xsi:nil="true"/>
  </documentManagement>
</p:properties>
</file>

<file path=customXml/itemProps1.xml><?xml version="1.0" encoding="utf-8"?>
<ds:datastoreItem xmlns:ds="http://schemas.openxmlformats.org/officeDocument/2006/customXml" ds:itemID="{111A8780-6D61-42E9-B45D-03372E053F38}"/>
</file>

<file path=customXml/itemProps2.xml><?xml version="1.0" encoding="utf-8"?>
<ds:datastoreItem xmlns:ds="http://schemas.openxmlformats.org/officeDocument/2006/customXml" ds:itemID="{69BD0D39-CE26-4A77-8D7E-333797BD5FE3}"/>
</file>

<file path=customXml/itemProps3.xml><?xml version="1.0" encoding="utf-8"?>
<ds:datastoreItem xmlns:ds="http://schemas.openxmlformats.org/officeDocument/2006/customXml" ds:itemID="{E0C72229-C7A5-4710-891E-AD33B321238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Budget Summary Table</vt:lpstr>
      <vt:lpstr>Budget by Cost Category</vt:lpstr>
      <vt:lpstr>Actual Spend by Cost Category</vt:lpstr>
      <vt:lpstr>Savings by Offer</vt:lpstr>
      <vt:lpstr>WAML</vt:lpstr>
      <vt:lpstr>Other Consolidated Data</vt:lpstr>
      <vt:lpstr>TRC-Plus</vt:lpstr>
      <vt:lpstr>PAC</vt:lpstr>
      <vt:lpstr>Scorecards</vt:lpstr>
      <vt:lpstr>DSMI</vt:lpstr>
      <vt:lpstr>Central Comparison</vt:lpstr>
      <vt:lpstr>Scorecard Comparison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2026-06-18T19:00:31Z</dcterms:created>
  <dcterms:modified xsi:type="dcterms:W3CDTF">2026-06-18T19:00:48Z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1a6f161-e42b-4c47-8f69-f6a81e023e2d_Enabled">
    <vt:lpwstr>true</vt:lpwstr>
  </property>
  <property fmtid="{D5CDD505-2E9C-101B-9397-08002B2CF9AE}" pid="3" name="MSIP_Label_b1a6f161-e42b-4c47-8f69-f6a81e023e2d_SetDate">
    <vt:lpwstr>2026-06-18T19:00:48Z</vt:lpwstr>
  </property>
  <property fmtid="{D5CDD505-2E9C-101B-9397-08002B2CF9AE}" pid="4" name="MSIP_Label_b1a6f161-e42b-4c47-8f69-f6a81e023e2d_Method">
    <vt:lpwstr>Standard</vt:lpwstr>
  </property>
  <property fmtid="{D5CDD505-2E9C-101B-9397-08002B2CF9AE}" pid="5" name="MSIP_Label_b1a6f161-e42b-4c47-8f69-f6a81e023e2d_Name">
    <vt:lpwstr>b1a6f161-e42b-4c47-8f69-f6a81e023e2d</vt:lpwstr>
  </property>
  <property fmtid="{D5CDD505-2E9C-101B-9397-08002B2CF9AE}" pid="6" name="MSIP_Label_b1a6f161-e42b-4c47-8f69-f6a81e023e2d_SiteId">
    <vt:lpwstr>271df5c2-953a-497b-93ad-7adf7a4b3cd7</vt:lpwstr>
  </property>
  <property fmtid="{D5CDD505-2E9C-101B-9397-08002B2CF9AE}" pid="7" name="MSIP_Label_b1a6f161-e42b-4c47-8f69-f6a81e023e2d_ActionId">
    <vt:lpwstr>bb68599e-38fd-4e48-9056-a75d103ac0bc</vt:lpwstr>
  </property>
  <property fmtid="{D5CDD505-2E9C-101B-9397-08002B2CF9AE}" pid="8" name="MSIP_Label_b1a6f161-e42b-4c47-8f69-f6a81e023e2d_ContentBits">
    <vt:lpwstr>0</vt:lpwstr>
  </property>
  <property fmtid="{D5CDD505-2E9C-101B-9397-08002B2CF9AE}" pid="9" name="MSIP_Label_b1a6f161-e42b-4c47-8f69-f6a81e023e2d_Tag">
    <vt:lpwstr>10, 3, 0, 1</vt:lpwstr>
  </property>
  <property fmtid="{D5CDD505-2E9C-101B-9397-08002B2CF9AE}" pid="10" name="_AdHocReviewCycleID">
    <vt:i4>1387949545</vt:i4>
  </property>
  <property fmtid="{D5CDD505-2E9C-101B-9397-08002B2CF9AE}" pid="11" name="_NewReviewCycle">
    <vt:lpwstr/>
  </property>
  <property fmtid="{D5CDD505-2E9C-101B-9397-08002B2CF9AE}" pid="12" name="ContentTypeId">
    <vt:lpwstr>0x010100F81276DF02A4AB4F850C8FDE71AFD584</vt:lpwstr>
  </property>
</Properties>
</file>