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To BE FILED/IRR Corrections_Pre-TC (June 2026)/"/>
    </mc:Choice>
  </mc:AlternateContent>
  <xr:revisionPtr revIDLastSave="17" documentId="13_ncr:1_{3A0977A4-C472-45BD-BDC3-3A70C2571334}" xr6:coauthVersionLast="47" xr6:coauthVersionMax="47" xr10:uidLastSave="{77FFDDBD-8514-40A2-8CCA-928C58610E82}"/>
  <bookViews>
    <workbookView xWindow="-120" yWindow="-120" windowWidth="29040" windowHeight="15720" firstSheet="2" activeTab="3" xr2:uid="{0D714183-114D-44BB-B120-8B92FA5B6EEF}"/>
  </bookViews>
  <sheets>
    <sheet name="CCC-4-b" sheetId="1" r:id="rId1"/>
    <sheet name="CCC-4-c" sheetId="4" r:id="rId2"/>
    <sheet name="WRZ ICM Threshold Actual PC2025" sheetId="2" r:id="rId3"/>
    <sheet name="VRZ ICM Threshold Actual PC2025" sheetId="3" r:id="rId4"/>
  </sheets>
  <externalReferences>
    <externalReference r:id="rId5"/>
    <externalReference r:id="rId6"/>
    <externalReference r:id="rId7"/>
    <externalReference r:id="rId8"/>
  </externalReferences>
  <definedNames>
    <definedName name="Construction_Manager">'[1]2024 EWP Re-Forecast'!$AM$6:$AM$330</definedName>
    <definedName name="d" localSheetId="3">'VRZ ICM Threshold Actual PC2025'!$E$51</definedName>
    <definedName name="d" localSheetId="2">'WRZ ICM Threshold Actual PC2025'!$E$51</definedName>
    <definedName name="d">'[2]VRZ ICM Threshold 2025 PCI'!$E$51</definedName>
    <definedName name="Electrical_Const_DRP">'[1]2024 EWP Re-Forecast'!$AN$6:$AN$330</definedName>
    <definedName name="g" localSheetId="3">'VRZ ICM Threshold Actual PC2025'!$E$20</definedName>
    <definedName name="g" localSheetId="2">'WRZ ICM Threshold Actual PC2025'!$E$20</definedName>
    <definedName name="g">'[2]VRZ ICM Threshold 2025 PCI'!$E$20</definedName>
    <definedName name="PCI" localSheetId="3">'VRZ ICM Threshold Actual PC2025'!$E$16</definedName>
    <definedName name="PCI" localSheetId="2">'WRZ ICM Threshold Actual PC2025'!$E$16</definedName>
    <definedName name="PCI">'[2]VRZ ICM Threshold 2025 PCI'!$E$16</definedName>
    <definedName name="PLT_Hrs">'[1]2024 EWP Re-Forecast'!$AJ$6:$AJ$330</definedName>
    <definedName name="RB" localSheetId="3">'VRZ ICM Threshold Actual PC2025'!$E$49</definedName>
    <definedName name="RB" localSheetId="2">'WRZ ICM Threshold Actual PC2025'!$E$49</definedName>
    <definedName name="RB">'[2]VRZ ICM Threshold 2025 PCI'!$E$49</definedName>
    <definedName name="Work_Center">'[1]2024 EWP Re-Forecast'!$AI$6:$AI$330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3" l="1"/>
  <c r="H60" i="2"/>
  <c r="G11" i="4"/>
  <c r="D10" i="4"/>
  <c r="I8" i="1"/>
  <c r="H11" i="4"/>
  <c r="I11" i="4" s="1"/>
  <c r="J11" i="4" s="1"/>
  <c r="K11" i="4" s="1"/>
  <c r="L11" i="4" s="1"/>
  <c r="M11" i="4" s="1"/>
  <c r="N11" i="4" s="1"/>
  <c r="O11" i="4" s="1"/>
  <c r="P11" i="4" s="1"/>
  <c r="Q11" i="4" s="1"/>
  <c r="R11" i="4" s="1"/>
  <c r="C9" i="1"/>
  <c r="D9" i="1"/>
  <c r="E9" i="1"/>
  <c r="F9" i="1"/>
  <c r="G9" i="1"/>
  <c r="B9" i="1"/>
  <c r="B12" i="4"/>
  <c r="C10" i="4"/>
  <c r="E10" i="4" s="1"/>
  <c r="F10" i="4" s="1"/>
  <c r="G10" i="4" s="1"/>
  <c r="H10" i="4" s="1"/>
  <c r="I10" i="4" s="1"/>
  <c r="J10" i="4" s="1"/>
  <c r="K10" i="4" s="1"/>
  <c r="L10" i="4" s="1"/>
  <c r="M10" i="4" s="1"/>
  <c r="N10" i="4" s="1"/>
  <c r="O10" i="4" s="1"/>
  <c r="P10" i="4" s="1"/>
  <c r="Q10" i="4" s="1"/>
  <c r="R10" i="4" s="1"/>
  <c r="D12" i="4" l="1"/>
  <c r="C12" i="4"/>
  <c r="S11" i="4" l="1"/>
  <c r="E12" i="4"/>
  <c r="F12" i="4" l="1"/>
  <c r="G12" i="4" l="1"/>
  <c r="H12" i="4" l="1"/>
  <c r="I12" i="4" l="1"/>
  <c r="J12" i="4" l="1"/>
  <c r="K12" i="4" l="1"/>
  <c r="L12" i="4" l="1"/>
  <c r="M12" i="4" l="1"/>
  <c r="N12" i="4" l="1"/>
  <c r="O12" i="4" l="1"/>
  <c r="P12" i="4" l="1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F66" i="3"/>
  <c r="F67" i="3" s="1"/>
  <c r="F68" i="3" s="1"/>
  <c r="F69" i="3" s="1"/>
  <c r="H57" i="3"/>
  <c r="E51" i="3"/>
  <c r="E47" i="3"/>
  <c r="E39" i="3"/>
  <c r="E31" i="3"/>
  <c r="E41" i="3" s="1"/>
  <c r="E49" i="3" s="1"/>
  <c r="E19" i="3"/>
  <c r="C19" i="3"/>
  <c r="E18" i="3"/>
  <c r="E20" i="3" s="1"/>
  <c r="K55" i="3" s="1"/>
  <c r="K56" i="3" s="1"/>
  <c r="K57" i="3" s="1"/>
  <c r="K58" i="3" s="1"/>
  <c r="K59" i="3" s="1"/>
  <c r="K60" i="3" s="1"/>
  <c r="K61" i="3" s="1"/>
  <c r="K62" i="3" s="1"/>
  <c r="K63" i="3" s="1"/>
  <c r="K64" i="3" s="1"/>
  <c r="K65" i="3" s="1"/>
  <c r="K66" i="3" s="1"/>
  <c r="K67" i="3" s="1"/>
  <c r="K68" i="3" s="1"/>
  <c r="K69" i="3" s="1"/>
  <c r="C18" i="3"/>
  <c r="E14" i="3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F69" i="2"/>
  <c r="F70" i="2" s="1"/>
  <c r="F71" i="2" s="1"/>
  <c r="F72" i="2" s="1"/>
  <c r="E51" i="2"/>
  <c r="E47" i="2"/>
  <c r="E41" i="2"/>
  <c r="E49" i="2" s="1"/>
  <c r="E39" i="2"/>
  <c r="E31" i="2"/>
  <c r="E19" i="2"/>
  <c r="C19" i="2"/>
  <c r="E18" i="2"/>
  <c r="E20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C18" i="2"/>
  <c r="Q12" i="4" l="1"/>
  <c r="J69" i="3"/>
  <c r="L69" i="3" s="1"/>
  <c r="E69" i="3" s="1"/>
  <c r="E87" i="3" s="1"/>
  <c r="J64" i="3"/>
  <c r="L64" i="3" s="1"/>
  <c r="E64" i="3" s="1"/>
  <c r="E82" i="3" s="1"/>
  <c r="J62" i="3"/>
  <c r="L62" i="3" s="1"/>
  <c r="E62" i="3" s="1"/>
  <c r="E80" i="3" s="1"/>
  <c r="J60" i="3"/>
  <c r="L60" i="3" s="1"/>
  <c r="E60" i="3" s="1"/>
  <c r="E78" i="3" s="1"/>
  <c r="J58" i="3"/>
  <c r="L58" i="3" s="1"/>
  <c r="E58" i="3" s="1"/>
  <c r="E76" i="3" s="1"/>
  <c r="L54" i="3"/>
  <c r="E54" i="3" s="1"/>
  <c r="E72" i="3" s="1"/>
  <c r="J65" i="3"/>
  <c r="L65" i="3" s="1"/>
  <c r="E65" i="3" s="1"/>
  <c r="E83" i="3" s="1"/>
  <c r="J63" i="3"/>
  <c r="L63" i="3" s="1"/>
  <c r="E63" i="3" s="1"/>
  <c r="E81" i="3" s="1"/>
  <c r="J61" i="3"/>
  <c r="L61" i="3" s="1"/>
  <c r="E61" i="3" s="1"/>
  <c r="E79" i="3" s="1"/>
  <c r="J59" i="3"/>
  <c r="L59" i="3" s="1"/>
  <c r="E59" i="3" s="1"/>
  <c r="E77" i="3" s="1"/>
  <c r="J57" i="3"/>
  <c r="L57" i="3" s="1"/>
  <c r="E57" i="3" s="1"/>
  <c r="E75" i="3" s="1"/>
  <c r="J68" i="3"/>
  <c r="L68" i="3" s="1"/>
  <c r="E68" i="3" s="1"/>
  <c r="J56" i="3"/>
  <c r="L56" i="3" s="1"/>
  <c r="E56" i="3" s="1"/>
  <c r="J66" i="3"/>
  <c r="L66" i="3" s="1"/>
  <c r="E66" i="3" s="1"/>
  <c r="E84" i="3" s="1"/>
  <c r="J67" i="3"/>
  <c r="L67" i="3" s="1"/>
  <c r="E67" i="3" s="1"/>
  <c r="E85" i="3" s="1"/>
  <c r="J55" i="3"/>
  <c r="L55" i="3" s="1"/>
  <c r="E55" i="3" s="1"/>
  <c r="E73" i="3" s="1"/>
  <c r="J70" i="2"/>
  <c r="L70" i="2" s="1"/>
  <c r="E70" i="2" s="1"/>
  <c r="J66" i="2"/>
  <c r="L66" i="2" s="1"/>
  <c r="E66" i="2" s="1"/>
  <c r="E87" i="2" s="1"/>
  <c r="J60" i="2"/>
  <c r="L60" i="2" s="1"/>
  <c r="E60" i="2" s="1"/>
  <c r="E81" i="2" s="1"/>
  <c r="J58" i="2"/>
  <c r="L58" i="2" s="1"/>
  <c r="E58" i="2" s="1"/>
  <c r="E79" i="2" s="1"/>
  <c r="J64" i="2"/>
  <c r="L64" i="2" s="1"/>
  <c r="E64" i="2" s="1"/>
  <c r="E85" i="2" s="1"/>
  <c r="J62" i="2"/>
  <c r="L62" i="2" s="1"/>
  <c r="E62" i="2" s="1"/>
  <c r="J54" i="2"/>
  <c r="L54" i="2" s="1"/>
  <c r="E54" i="2" s="1"/>
  <c r="E75" i="2" s="1"/>
  <c r="J59" i="2"/>
  <c r="L59" i="2" s="1"/>
  <c r="E59" i="2" s="1"/>
  <c r="E80" i="2" s="1"/>
  <c r="J68" i="2"/>
  <c r="L68" i="2" s="1"/>
  <c r="E68" i="2" s="1"/>
  <c r="E89" i="2" s="1"/>
  <c r="J71" i="2"/>
  <c r="L71" i="2" s="1"/>
  <c r="E71" i="2" s="1"/>
  <c r="J56" i="2"/>
  <c r="L56" i="2" s="1"/>
  <c r="E56" i="2" s="1"/>
  <c r="E77" i="2" s="1"/>
  <c r="J69" i="2"/>
  <c r="L69" i="2" s="1"/>
  <c r="E69" i="2" s="1"/>
  <c r="E90" i="2" s="1"/>
  <c r="J72" i="2"/>
  <c r="L72" i="2" s="1"/>
  <c r="E72" i="2" s="1"/>
  <c r="E93" i="2" s="1"/>
  <c r="J67" i="2"/>
  <c r="L67" i="2" s="1"/>
  <c r="E67" i="2" s="1"/>
  <c r="J63" i="2"/>
  <c r="L63" i="2" s="1"/>
  <c r="E63" i="2" s="1"/>
  <c r="E84" i="2" s="1"/>
  <c r="J61" i="2"/>
  <c r="L61" i="2" s="1"/>
  <c r="E61" i="2" s="1"/>
  <c r="E82" i="2" s="1"/>
  <c r="J55" i="2"/>
  <c r="L55" i="2" s="1"/>
  <c r="E55" i="2" s="1"/>
  <c r="J65" i="2"/>
  <c r="L65" i="2" s="1"/>
  <c r="E65" i="2" s="1"/>
  <c r="E86" i="2" s="1"/>
  <c r="J57" i="2"/>
  <c r="L57" i="2" s="1"/>
  <c r="E57" i="2" s="1"/>
  <c r="E78" i="2" s="1"/>
  <c r="E86" i="3"/>
  <c r="E92" i="2"/>
  <c r="E83" i="2"/>
  <c r="E91" i="2"/>
  <c r="E76" i="2"/>
  <c r="E88" i="2"/>
  <c r="E74" i="3"/>
  <c r="C2" i="1" l="1"/>
  <c r="B2" i="1"/>
  <c r="J2" i="1"/>
  <c r="E7" i="1" s="1"/>
  <c r="K2" i="1"/>
  <c r="F7" i="1" s="1"/>
  <c r="G2" i="1"/>
  <c r="B7" i="1" s="1"/>
  <c r="M2" i="1"/>
  <c r="H7" i="1" s="1"/>
  <c r="F2" i="1"/>
  <c r="D2" i="1"/>
  <c r="H2" i="1"/>
  <c r="C7" i="1" s="1"/>
  <c r="I2" i="1"/>
  <c r="L2" i="1"/>
  <c r="G7" i="1" s="1"/>
  <c r="N2" i="1"/>
  <c r="E2" i="1"/>
  <c r="R12" i="4"/>
  <c r="S10" i="4"/>
  <c r="H9" i="1" l="1"/>
  <c r="I9" i="1" s="1"/>
  <c r="I7" i="1"/>
  <c r="S12" i="4"/>
  <c r="D7" i="1"/>
</calcChain>
</file>

<file path=xl/sharedStrings.xml><?xml version="1.0" encoding="utf-8"?>
<sst xmlns="http://schemas.openxmlformats.org/spreadsheetml/2006/main" count="148" uniqueCount="82">
  <si>
    <t>Source</t>
  </si>
  <si>
    <t>Legacy Utilities Combined ICM Based Estimate of Capex in Rates</t>
  </si>
  <si>
    <t>Legacy Utilities Combined ICM Based Estimate of Capex in Rates vs Actual Capital Spend 2020-2026</t>
  </si>
  <si>
    <t>Total</t>
  </si>
  <si>
    <t>Actual Elexicon Capital Spend</t>
  </si>
  <si>
    <t>Variance</t>
  </si>
  <si>
    <t>Part C , ii Calculation</t>
  </si>
  <si>
    <t xml:space="preserve">Legacy Utilities Combined ICM Based Estimate of Capex in Rates from Last COS Escalated by PCI vs Actual Capital Spend </t>
  </si>
  <si>
    <t>Total 2020-2026</t>
  </si>
  <si>
    <t>PCI WRZ</t>
  </si>
  <si>
    <t>PCI VRZ</t>
  </si>
  <si>
    <t>Growth WRZ</t>
  </si>
  <si>
    <t>Growth VRZ</t>
  </si>
  <si>
    <t>Whitby Rate Zone 2010 Capital Revenue Rqmt Escalated by PCI</t>
  </si>
  <si>
    <t>Veridian Rate Zone 2014 Capital Revenue Rqmt Escalated by PCI</t>
  </si>
  <si>
    <t>Legacy Utilities Combined Last COS CRR Escalated by PCI</t>
  </si>
  <si>
    <t>NOTES and SOURCES</t>
  </si>
  <si>
    <t>1. Basis for Growth Factor for WRZ is the 2025 OEB ACM/ICM Excel Workbook.</t>
  </si>
  <si>
    <t>2. WRZ ICM Threshold Actual PC2025 Worksheet is extracted from 2025 OEB ACM/ICM Excel Workbook for VRZ Rate Zone. (i.e. Tab 8 Threshold Test)</t>
  </si>
  <si>
    <t>No Input Required.</t>
  </si>
  <si>
    <t>Final Materiality Threshold Calculation</t>
  </si>
  <si>
    <t>Cost of Service Rebasing Year</t>
  </si>
  <si>
    <t>Price Cap IR Year in which Application is made</t>
  </si>
  <si>
    <t>Price Cap Index</t>
  </si>
  <si>
    <t>N/A</t>
  </si>
  <si>
    <t>Growth Factor Calculation</t>
  </si>
  <si>
    <t>Growth Factor</t>
  </si>
  <si>
    <t>Dead Band</t>
  </si>
  <si>
    <t>Average Net Fixed Assets</t>
  </si>
  <si>
    <t>Gross Fixed Assets Opening</t>
  </si>
  <si>
    <t>Add: CWIP Opening</t>
  </si>
  <si>
    <t>Capital Additions</t>
  </si>
  <si>
    <t>Capital Disposals</t>
  </si>
  <si>
    <t>Capital Retirements</t>
  </si>
  <si>
    <t>Deduct: CWIP Closing</t>
  </si>
  <si>
    <t>Gross Fixed Assets - Closing</t>
  </si>
  <si>
    <t>Average Gross Fixed Assets</t>
  </si>
  <si>
    <t>Accumulated Depreciation - Opening</t>
  </si>
  <si>
    <t>Depreciation Expense</t>
  </si>
  <si>
    <t>Disposals</t>
  </si>
  <si>
    <t>Retirements</t>
  </si>
  <si>
    <t>Accumulated Depreciation - Closing</t>
  </si>
  <si>
    <t>Average Accumulated Depreciation</t>
  </si>
  <si>
    <t xml:space="preserve">Average Net Fixed Assets </t>
  </si>
  <si>
    <t>Working Capital Allowance</t>
  </si>
  <si>
    <t>Working Capital Allowance Base</t>
  </si>
  <si>
    <t>Working Capital Allowance Rate</t>
  </si>
  <si>
    <t>Rate Base</t>
  </si>
  <si>
    <t>Threshold Value (%) = 1 +(A * B) + 10%</t>
  </si>
  <si>
    <t>Depreciation</t>
  </si>
  <si>
    <t>Threshold Value (varies by Price Cap IR Year subsequent to CoS rebasing)</t>
  </si>
  <si>
    <t>Actual Annual Price Cap Index</t>
  </si>
  <si>
    <t>A</t>
  </si>
  <si>
    <t>B</t>
  </si>
  <si>
    <t xml:space="preserve">No-Dead Band Threshold Value (%) = 1 + (A*B) </t>
  </si>
  <si>
    <t xml:space="preserve">    Price Cap IR Year 2012</t>
  </si>
  <si>
    <t xml:space="preserve">    Price Cap IR Year 2013</t>
  </si>
  <si>
    <t xml:space="preserve">    Price Cap IR Year 2014</t>
  </si>
  <si>
    <t xml:space="preserve">    Price Cap IR Year 2015</t>
  </si>
  <si>
    <t xml:space="preserve">    Price Cap IR Year 2016</t>
  </si>
  <si>
    <t>Geometric Mean 
(2012 to 2026)</t>
  </si>
  <si>
    <t xml:space="preserve">    Price Cap IR Year 2017</t>
  </si>
  <si>
    <t xml:space="preserve">    Price Cap IR Year 2018</t>
  </si>
  <si>
    <t xml:space="preserve">    Price Cap IR Year 2019</t>
  </si>
  <si>
    <t xml:space="preserve">    Price Cap IR Year 2020</t>
  </si>
  <si>
    <t xml:space="preserve">    Price Cap IR Year 2021</t>
  </si>
  <si>
    <t xml:space="preserve">    Price Cap IR Year 2022</t>
  </si>
  <si>
    <t xml:space="preserve">    Price Cap IR Year 2023</t>
  </si>
  <si>
    <t xml:space="preserve">    Price Cap IR Year 2024</t>
  </si>
  <si>
    <t xml:space="preserve">    Price Cap IR Year 2025</t>
  </si>
  <si>
    <t xml:space="preserve">    Price Cap IR Year 2026</t>
  </si>
  <si>
    <t xml:space="preserve">    Price Cap IR Year 2027</t>
  </si>
  <si>
    <t xml:space="preserve">    Price Cap IR Year 2028</t>
  </si>
  <si>
    <t xml:space="preserve">    Price Cap IR Year 2029</t>
  </si>
  <si>
    <t xml:space="preserve">    Price Cap IR Year 2030</t>
  </si>
  <si>
    <t>Threshold CAPEX</t>
  </si>
  <si>
    <t>Note 1:</t>
  </si>
  <si>
    <r>
      <t xml:space="preserve">The growth factor </t>
    </r>
    <r>
      <rPr>
        <i/>
        <sz val="12"/>
        <rFont val="Times New Roman"/>
        <family val="1"/>
      </rPr>
      <t>g</t>
    </r>
    <r>
      <rPr>
        <sz val="12"/>
        <rFont val="Arial"/>
        <family val="2"/>
      </rPr>
      <t xml:space="preserve"> is annualized, depending on the number of years between the numerator and denominator for the calculation. Typically, for ACM review in a cost of service and in the fourth year of Price Cap IR, the ratio is divided by 2 to annualize it. No division is normally required for the first three years under Price Cap IR.</t>
    </r>
  </si>
  <si>
    <t>1. Basis for Growth Factor for VRZ is the 2025 OEB ACM/ICM Excel Workbook.</t>
  </si>
  <si>
    <t>2. VRZ ICM Threshold Actual PC2025 Worksheet is extracted from 2025 OEB ACM/ICM Excel Workbook for VRZ Rate Zone. (i.e. Tab 8 Threshold Test)</t>
  </si>
  <si>
    <t xml:space="preserve"> $                                     -  </t>
  </si>
  <si>
    <t>Geometric Mean 
(2015 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</si>
</sst>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(&quot;$&quot;* #,##0_);_(&quot;$&quot;* \(#,##0\);_(&quot;$&quot;* &quot;-&quot;??_);_(@_)"/>
    <numFmt numFmtId="166" formatCode="&quot;$&quot;#,##0"/>
    <numFmt numFmtId="167" formatCode="_-&quot;$&quot;* #,##0_-;\-&quot;$&quot;* #,##0_-;_-&quot;$&quot;* &quot;-&quot;??_-;_-@_-"/>
    <numFmt numFmtId="168" formatCode="0.000%"/>
    <numFmt numFmtId="169" formatCode="0.0%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i/>
      <sz val="12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6B2C4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3"/>
    <xf numFmtId="0" fontId="4" fillId="0" borderId="0" xfId="3" applyProtection="1">
      <protection locked="0"/>
    </xf>
    <xf numFmtId="0" fontId="5" fillId="0" borderId="0" xfId="3" applyFont="1"/>
    <xf numFmtId="0" fontId="6" fillId="0" borderId="0" xfId="3" applyFont="1"/>
    <xf numFmtId="0" fontId="7" fillId="0" borderId="0" xfId="3" applyFont="1" applyAlignment="1">
      <alignment horizontal="left" indent="1"/>
    </xf>
    <xf numFmtId="0" fontId="9" fillId="0" borderId="0" xfId="3" applyFont="1"/>
    <xf numFmtId="0" fontId="7" fillId="0" borderId="0" xfId="3" applyFont="1"/>
    <xf numFmtId="0" fontId="7" fillId="4" borderId="0" xfId="3" applyFont="1" applyFill="1" applyAlignment="1">
      <alignment horizontal="center"/>
    </xf>
    <xf numFmtId="0" fontId="4" fillId="4" borderId="0" xfId="3" applyFill="1"/>
    <xf numFmtId="0" fontId="7" fillId="5" borderId="0" xfId="3" applyFont="1" applyFill="1"/>
    <xf numFmtId="0" fontId="4" fillId="5" borderId="0" xfId="3" applyFill="1"/>
    <xf numFmtId="10" fontId="7" fillId="5" borderId="0" xfId="3" applyNumberFormat="1" applyFont="1" applyFill="1" applyAlignment="1">
      <alignment horizontal="center"/>
    </xf>
    <xf numFmtId="0" fontId="10" fillId="0" borderId="0" xfId="3" applyFont="1" applyAlignment="1">
      <alignment horizontal="left" vertical="center" wrapText="1" indent="3"/>
    </xf>
    <xf numFmtId="166" fontId="10" fillId="4" borderId="0" xfId="4" applyNumberFormat="1" applyFont="1" applyFill="1" applyAlignment="1" applyProtection="1">
      <alignment horizontal="center"/>
    </xf>
    <xf numFmtId="9" fontId="7" fillId="5" borderId="0" xfId="5" applyFont="1" applyFill="1" applyAlignment="1" applyProtection="1">
      <alignment horizontal="center"/>
    </xf>
    <xf numFmtId="167" fontId="11" fillId="4" borderId="0" xfId="6" applyNumberFormat="1" applyFont="1" applyFill="1" applyProtection="1"/>
    <xf numFmtId="0" fontId="4" fillId="0" borderId="0" xfId="3" applyAlignment="1">
      <alignment horizontal="left" indent="1"/>
    </xf>
    <xf numFmtId="167" fontId="11" fillId="4" borderId="3" xfId="6" applyNumberFormat="1" applyFont="1" applyFill="1" applyBorder="1" applyProtection="1"/>
    <xf numFmtId="0" fontId="4" fillId="0" borderId="0" xfId="3" applyAlignment="1">
      <alignment horizontal="left" indent="2"/>
    </xf>
    <xf numFmtId="9" fontId="11" fillId="4" borderId="0" xfId="5" applyFont="1" applyFill="1" applyAlignment="1" applyProtection="1">
      <alignment horizontal="right"/>
    </xf>
    <xf numFmtId="167" fontId="7" fillId="4" borderId="4" xfId="6" applyNumberFormat="1" applyFont="1" applyFill="1" applyBorder="1" applyProtection="1"/>
    <xf numFmtId="0" fontId="7" fillId="0" borderId="0" xfId="3" applyFont="1" applyAlignment="1">
      <alignment horizontal="right"/>
    </xf>
    <xf numFmtId="167" fontId="7" fillId="4" borderId="0" xfId="6" applyNumberFormat="1" applyFont="1" applyFill="1" applyProtection="1"/>
    <xf numFmtId="0" fontId="4" fillId="0" borderId="0" xfId="3" applyAlignment="1">
      <alignment wrapText="1"/>
    </xf>
    <xf numFmtId="9" fontId="7" fillId="4" borderId="1" xfId="2" applyFont="1" applyFill="1" applyBorder="1" applyAlignment="1" applyProtection="1">
      <alignment horizontal="right"/>
    </xf>
    <xf numFmtId="0" fontId="7" fillId="0" borderId="1" xfId="3" applyFont="1" applyBorder="1" applyAlignment="1">
      <alignment horizontal="center" wrapText="1"/>
    </xf>
    <xf numFmtId="0" fontId="7" fillId="6" borderId="1" xfId="3" applyFont="1" applyFill="1" applyBorder="1" applyAlignment="1">
      <alignment horizontal="center"/>
    </xf>
    <xf numFmtId="0" fontId="12" fillId="0" borderId="0" xfId="3" applyFont="1"/>
    <xf numFmtId="10" fontId="7" fillId="4" borderId="1" xfId="2" applyNumberFormat="1" applyFont="1" applyFill="1" applyBorder="1" applyAlignment="1" applyProtection="1">
      <alignment horizontal="right"/>
    </xf>
    <xf numFmtId="0" fontId="4" fillId="6" borderId="1" xfId="3" applyFill="1" applyBorder="1"/>
    <xf numFmtId="9" fontId="4" fillId="6" borderId="1" xfId="2" applyFont="1" applyFill="1" applyBorder="1" applyAlignment="1" applyProtection="1">
      <alignment horizontal="right"/>
    </xf>
    <xf numFmtId="10" fontId="4" fillId="6" borderId="1" xfId="2" applyNumberFormat="1" applyFont="1" applyFill="1" applyBorder="1" applyAlignment="1" applyProtection="1">
      <alignment horizontal="right"/>
    </xf>
    <xf numFmtId="168" fontId="4" fillId="6" borderId="1" xfId="2" applyNumberFormat="1" applyFont="1" applyFill="1" applyBorder="1" applyAlignment="1" applyProtection="1">
      <alignment horizontal="right"/>
    </xf>
    <xf numFmtId="10" fontId="7" fillId="0" borderId="6" xfId="2" applyNumberFormat="1" applyFont="1" applyBorder="1" applyAlignment="1">
      <alignment horizontal="center"/>
    </xf>
    <xf numFmtId="167" fontId="11" fillId="4" borderId="7" xfId="6" applyNumberFormat="1" applyFont="1" applyFill="1" applyBorder="1" applyProtection="1"/>
    <xf numFmtId="167" fontId="13" fillId="4" borderId="1" xfId="6" applyNumberFormat="1" applyFont="1" applyFill="1" applyBorder="1" applyProtection="1"/>
    <xf numFmtId="44" fontId="4" fillId="0" borderId="0" xfId="7" applyFont="1"/>
    <xf numFmtId="0" fontId="4" fillId="6" borderId="0" xfId="3" applyFill="1"/>
    <xf numFmtId="167" fontId="13" fillId="6" borderId="1" xfId="6" applyNumberFormat="1" applyFont="1" applyFill="1" applyBorder="1" applyProtection="1"/>
    <xf numFmtId="44" fontId="4" fillId="0" borderId="0" xfId="7" applyFont="1" applyFill="1"/>
    <xf numFmtId="44" fontId="4" fillId="0" borderId="0" xfId="3" applyNumberFormat="1"/>
    <xf numFmtId="0" fontId="4" fillId="7" borderId="0" xfId="3" applyFill="1"/>
    <xf numFmtId="167" fontId="13" fillId="7" borderId="1" xfId="6" applyNumberFormat="1" applyFont="1" applyFill="1" applyBorder="1" applyProtection="1"/>
    <xf numFmtId="0" fontId="14" fillId="0" borderId="0" xfId="3" applyFont="1" applyAlignment="1">
      <alignment vertical="top"/>
    </xf>
    <xf numFmtId="169" fontId="11" fillId="4" borderId="0" xfId="5" applyNumberFormat="1" applyFont="1" applyFill="1" applyAlignment="1" applyProtection="1">
      <alignment horizontal="right"/>
    </xf>
    <xf numFmtId="10" fontId="7" fillId="6" borderId="1" xfId="2" applyNumberFormat="1" applyFont="1" applyFill="1" applyBorder="1" applyAlignment="1" applyProtection="1">
      <alignment horizontal="right"/>
    </xf>
    <xf numFmtId="10" fontId="0" fillId="0" borderId="1" xfId="2" applyNumberFormat="1" applyFont="1" applyBorder="1" applyAlignment="1">
      <alignment horizontal="center"/>
    </xf>
    <xf numFmtId="0" fontId="2" fillId="0" borderId="0" xfId="0" applyFont="1"/>
    <xf numFmtId="10" fontId="0" fillId="0" borderId="10" xfId="2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" xfId="0" applyBorder="1"/>
    <xf numFmtId="0" fontId="18" fillId="3" borderId="8" xfId="0" applyFont="1" applyFill="1" applyBorder="1" applyAlignment="1">
      <alignment horizontal="left"/>
    </xf>
    <xf numFmtId="167" fontId="18" fillId="3" borderId="1" xfId="1" applyNumberFormat="1" applyFont="1" applyFill="1" applyBorder="1" applyAlignment="1">
      <alignment horizontal="left"/>
    </xf>
    <xf numFmtId="167" fontId="18" fillId="3" borderId="1" xfId="0" applyNumberFormat="1" applyFont="1" applyFill="1" applyBorder="1" applyAlignment="1">
      <alignment horizontal="left"/>
    </xf>
    <xf numFmtId="167" fontId="0" fillId="0" borderId="1" xfId="0" applyNumberFormat="1" applyBorder="1"/>
    <xf numFmtId="0" fontId="18" fillId="3" borderId="1" xfId="0" applyFont="1" applyFill="1" applyBorder="1" applyAlignment="1">
      <alignment horizontal="left"/>
    </xf>
    <xf numFmtId="0" fontId="2" fillId="3" borderId="8" xfId="0" applyFont="1" applyFill="1" applyBorder="1"/>
    <xf numFmtId="167" fontId="2" fillId="3" borderId="1" xfId="0" applyNumberFormat="1" applyFont="1" applyFill="1" applyBorder="1"/>
    <xf numFmtId="167" fontId="2" fillId="3" borderId="10" xfId="0" applyNumberFormat="1" applyFont="1" applyFill="1" applyBorder="1"/>
    <xf numFmtId="167" fontId="2" fillId="0" borderId="1" xfId="0" applyNumberFormat="1" applyFont="1" applyBorder="1"/>
    <xf numFmtId="165" fontId="19" fillId="0" borderId="1" xfId="0" applyNumberFormat="1" applyFont="1" applyBorder="1"/>
    <xf numFmtId="165" fontId="0" fillId="0" borderId="1" xfId="0" applyNumberFormat="1" applyBorder="1"/>
    <xf numFmtId="165" fontId="0" fillId="0" borderId="1" xfId="1" applyNumberFormat="1" applyFont="1" applyBorder="1"/>
    <xf numFmtId="0" fontId="20" fillId="0" borderId="2" xfId="0" applyFont="1" applyBorder="1"/>
    <xf numFmtId="2" fontId="0" fillId="0" borderId="0" xfId="0" applyNumberFormat="1"/>
    <xf numFmtId="0" fontId="8" fillId="0" borderId="0" xfId="3" applyFont="1" applyAlignment="1">
      <alignment horizontal="center" vertical="center"/>
    </xf>
    <xf numFmtId="0" fontId="7" fillId="0" borderId="5" xfId="3" applyFont="1" applyBorder="1" applyAlignment="1">
      <alignment horizontal="center" wrapText="1"/>
    </xf>
    <xf numFmtId="0" fontId="7" fillId="0" borderId="6" xfId="3" applyFont="1" applyBorder="1" applyAlignment="1">
      <alignment horizontal="center"/>
    </xf>
    <xf numFmtId="0" fontId="4" fillId="0" borderId="0" xfId="3" applyAlignment="1">
      <alignment horizontal="left" wrapText="1"/>
    </xf>
    <xf numFmtId="0" fontId="3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</cellXfs>
  <cellStyles count="8">
    <cellStyle name="Currency" xfId="1" builtinId="4"/>
    <cellStyle name="Currency 2" xfId="4" xr:uid="{16581FF3-ADDF-41DC-A1CF-5C117B2DE119}"/>
    <cellStyle name="Currency 3" xfId="6" xr:uid="{A394C13A-064A-4946-9862-7916BE1C7309}"/>
    <cellStyle name="Currency 4" xfId="7" xr:uid="{2A1C857E-29BB-49A1-9519-3EF489F0D3CD}"/>
    <cellStyle name="Normal" xfId="0" builtinId="0"/>
    <cellStyle name="Normal 6" xfId="3" xr:uid="{BA88E19C-C5B5-43E5-BC19-1D64FA7ADF2C}"/>
    <cellStyle name="Percent" xfId="2" builtinId="5"/>
    <cellStyle name="Percent 4" xfId="5" xr:uid="{117055C9-70FA-4CA0-A395-DC5A979D5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</a:rPr>
              <a:t>Elexicon Actual Capex Spend Compared to Estimates of Available Capital Based On the OEB ICM Model ($M)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'CCC-4-b'!$A$7</c:f>
              <c:strCache>
                <c:ptCount val="1"/>
                <c:pt idx="0">
                  <c:v>Legacy Utilities Combined ICM Based Estimate of Capex in Rates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'[2]Capital Summary'!$B$6:$H$6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f>'CCC-4-b'!$B$7:$H$7</c:f>
              <c:numCache>
                <c:formatCode>_("$"* #,##0_);_("$"* \(#,##0\);_("$"* "-"??_);_(@_)</c:formatCode>
                <c:ptCount val="7"/>
                <c:pt idx="0">
                  <c:v>24237757.499884341</c:v>
                </c:pt>
                <c:pt idx="1">
                  <c:v>25156499.454508983</c:v>
                </c:pt>
                <c:pt idx="2">
                  <c:v>29487172.919540249</c:v>
                </c:pt>
                <c:pt idx="3">
                  <c:v>31826180.495561719</c:v>
                </c:pt>
                <c:pt idx="4">
                  <c:v>36903190.625034481</c:v>
                </c:pt>
                <c:pt idx="5">
                  <c:v>32920449.780796751</c:v>
                </c:pt>
                <c:pt idx="6">
                  <c:v>30962399.14629899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AE5-474C-B162-D71AA0F5D103}"/>
            </c:ext>
          </c:extLst>
        </c:ser>
        <c:ser>
          <c:idx val="1"/>
          <c:order val="1"/>
          <c:tx>
            <c:strRef>
              <c:f>'[2]Capital Summary'!$A$8</c:f>
              <c:strCache>
                <c:ptCount val="1"/>
                <c:pt idx="0">
                  <c:v>Actual Elexicon Capital Spend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30-4374-A063-12DBE5F1C069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F30-4374-A063-12DBE5F1C069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F30-4374-A063-12DBE5F1C069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F30-4374-A063-12DBE5F1C069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F30-4374-A063-12DBE5F1C069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F30-4374-A063-12DBE5F1C069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F30-4374-A063-12DBE5F1C069}"/>
              </c:ext>
            </c:extLst>
          </c:dPt>
          <c:cat>
            <c:strRef>
              <c:f>'[2]Capital Summary'!$B$6:$H$6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strCache>
            </c:strRef>
          </c:cat>
          <c:val>
            <c:numRef>
              <c:f>'[2]Capital Summary'!$B$8:$H$8</c:f>
              <c:numCache>
                <c:formatCode>General</c:formatCode>
                <c:ptCount val="7"/>
                <c:pt idx="0">
                  <c:v>35190386.211000003</c:v>
                </c:pt>
                <c:pt idx="1">
                  <c:v>53425261.409999996</c:v>
                </c:pt>
                <c:pt idx="2">
                  <c:v>78409172.780000001</c:v>
                </c:pt>
                <c:pt idx="3">
                  <c:v>52545343.770000003</c:v>
                </c:pt>
                <c:pt idx="4">
                  <c:v>68874028.299999997</c:v>
                </c:pt>
                <c:pt idx="5">
                  <c:v>59751811</c:v>
                </c:pt>
                <c:pt idx="6">
                  <c:v>77199087.896599993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AE5-474C-B162-D71AA0F5D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7063328"/>
        <c:axId val="647064768"/>
        <c:extLst/>
      </c:lineChart>
      <c:catAx>
        <c:axId val="6470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064768"/>
        <c:crosses val="autoZero"/>
        <c:auto val="1"/>
        <c:lblAlgn val="ctr"/>
        <c:lblOffset val="100"/>
        <c:noMultiLvlLbl val="0"/>
      </c:catAx>
      <c:valAx>
        <c:axId val="64706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06332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ova" panose="020B05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392E8D"/>
      </a:solidFill>
      <a:round/>
    </a:ln>
    <a:effectLst/>
  </c:spPr>
  <c:txPr>
    <a:bodyPr/>
    <a:lstStyle/>
    <a:p>
      <a:pPr>
        <a:defRPr>
          <a:latin typeface="Arial Nova" panose="020B05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3606800</xdr:colOff>
      <xdr:row>17</xdr:row>
      <xdr:rowOff>190499</xdr:rowOff>
    </xdr:from>
    <xdr:to>
      <xdr:col>6</xdr:col>
      <xdr:colOff>368300</xdr:colOff>
      <xdr:row>38</xdr:row>
      <xdr:rowOff>127000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1CACB061-D02C-4E9A-AC2D-19AC022D4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87457</xdr:rowOff>
    </xdr:from>
    <xdr:to>
      <xdr:col>6</xdr:col>
      <xdr:colOff>0</xdr:colOff>
      <xdr:row>6</xdr:row>
      <xdr:rowOff>112567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1F40DF2-ECF3-4329-A1D8-9E02E865B65D}"/>
            </a:ext>
          </a:extLst>
        </xdr:cNvPr>
        <xdr:cNvGrpSpPr/>
      </xdr:nvGrpSpPr>
      <xdr:grpSpPr>
        <a:xfrm>
          <a:off x="0" y="87457"/>
          <a:ext cx="8458200" cy="1749135"/>
          <a:chOff x="9524" y="19051"/>
          <a:chExt cx="10364524" cy="191576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8908432-C591-63AC-2690-7A56BA50AC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4" y="19051"/>
            <a:ext cx="10364524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437CFFF-0F75-6B79-358B-00570EE3DB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215348" y="207526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666883FD-EDF8-759F-F12C-1B5A9C669CE7}"/>
              </a:ext>
            </a:extLst>
          </xdr:cNvPr>
          <xdr:cNvSpPr/>
        </xdr:nvSpPr>
        <xdr:spPr>
          <a:xfrm>
            <a:off x="555895" y="177272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  <xdr:twoCellAnchor>
    <xdr:from>
      <xdr:col>0</xdr:col>
      <xdr:colOff>95250</xdr:colOff>
      <xdr:row>1</xdr:row>
      <xdr:rowOff>161925</xdr:rowOff>
    </xdr:from>
    <xdr:to>
      <xdr:col>5</xdr:col>
      <xdr:colOff>2461045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5A6342D-44D7-40D6-BB72-9A08A3777319}"/>
            </a:ext>
          </a:extLst>
        </xdr:cNvPr>
        <xdr:cNvSpPr/>
      </xdr:nvSpPr>
      <xdr:spPr>
        <a:xfrm>
          <a:off x="95250" y="352425"/>
          <a:ext cx="8366545" cy="118110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Capital Module</a:t>
          </a:r>
        </a:p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Applicable to ACM and ICM</a:t>
          </a:r>
        </a:p>
      </xdr:txBody>
    </xdr:sp>
    <xdr:clientData/>
  </xdr:twoCellAnchor>
  <xdr:twoCellAnchor>
    <xdr:from>
      <xdr:col>0</xdr:col>
      <xdr:colOff>114300</xdr:colOff>
      <xdr:row>4</xdr:row>
      <xdr:rowOff>276225</xdr:rowOff>
    </xdr:from>
    <xdr:to>
      <xdr:col>5</xdr:col>
      <xdr:colOff>2457450</xdr:colOff>
      <xdr:row>6</xdr:row>
      <xdr:rowOff>161512</xdr:rowOff>
    </xdr:to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ED81682B-858F-4CCB-88BC-B41D2B1F0FB5}"/>
            </a:ext>
          </a:extLst>
        </xdr:cNvPr>
        <xdr:cNvSpPr txBox="1"/>
      </xdr:nvSpPr>
      <xdr:spPr>
        <a:xfrm>
          <a:off x="114300" y="1438275"/>
          <a:ext cx="8343900" cy="44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/>
          <a:fld id="{F25BC42C-6B66-46BC-9AA2-FC76FEABDE9E}" type="TxLink">
            <a:rPr lang="en-US" sz="1100" b="0" i="0" u="none" strike="noStrike" cap="none" spc="0">
              <a:ln w="11430">
                <a:solidFill>
                  <a:sysClr val="windowText" lastClr="000000"/>
                </a:solidFill>
              </a:ln>
              <a:solidFill>
                <a:srgbClr val="00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Calibri"/>
              <a:cs typeface="Calibri"/>
            </a:rPr>
            <a:pPr algn="ctr"/>
            <a:t>Elexicon Energy Inc.-Whitby Rate Zone</a:t>
          </a:fld>
          <a:endParaRPr lang="en-CA" sz="1600" b="1" cap="none" spc="0">
            <a:ln w="1143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1123950</xdr:colOff>
      <xdr:row>9</xdr:row>
      <xdr:rowOff>204787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B7C4DE1-50A3-4A78-8563-6BE39BFDF4FE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B7C4DE1-50A3-4A78-8563-6BE39BFDF4FE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  <xdr:oneCellAnchor>
    <xdr:from>
      <xdr:col>5</xdr:col>
      <xdr:colOff>90487</xdr:colOff>
      <xdr:row>14</xdr:row>
      <xdr:rowOff>147637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A67522C-8AB9-4EA7-BC07-DEFB5D4F5F01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𝑃𝐶𝐼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A67522C-8AB9-4EA7-BC07-DEFB5D4F5F01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𝑃𝐶𝐼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147636</xdr:colOff>
      <xdr:row>18</xdr:row>
      <xdr:rowOff>138112</xdr:rowOff>
    </xdr:from>
    <xdr:ext cx="107156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7267F6E-9BC9-46E4-863E-010ED9D4E80B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𝑔</m:t>
                    </m:r>
                    <m:r>
                      <a:rPr lang="en-CA" sz="1200" b="0" i="1">
                        <a:latin typeface="Cambria Math"/>
                      </a:rPr>
                      <m:t> (</m:t>
                    </m:r>
                    <m:r>
                      <a:rPr lang="en-CA" sz="1200" b="0" i="1">
                        <a:latin typeface="Cambria Math"/>
                      </a:rPr>
                      <m:t>𝑁𝑜𝑡𝑒</m:t>
                    </m:r>
                    <m:r>
                      <a:rPr lang="en-CA" sz="1200" b="0" i="1">
                        <a:latin typeface="Cambria Math"/>
                      </a:rPr>
                      <m:t> 1)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97267F6E-9BC9-46E4-863E-010ED9D4E80B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𝑔 (𝑁𝑜𝑡𝑒 1)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157162</xdr:colOff>
      <xdr:row>47</xdr:row>
      <xdr:rowOff>166687</xdr:rowOff>
    </xdr:from>
    <xdr:ext cx="116681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F448E64-A769-4F0C-9606-CD12BD60D27B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𝑅𝐵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F448E64-A769-4F0C-9606-CD12BD60D27B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𝑅𝐵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100012</xdr:colOff>
      <xdr:row>49</xdr:row>
      <xdr:rowOff>138112</xdr:rowOff>
    </xdr:from>
    <xdr:ext cx="123348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9DB3C41-4A6C-4047-8D80-197A1160041B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9DB3C41-4A6C-4047-8D80-197A1160041B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52387</xdr:colOff>
      <xdr:row>72</xdr:row>
      <xdr:rowOff>133351</xdr:rowOff>
    </xdr:from>
    <xdr:ext cx="1671638" cy="2944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17829FE-11FE-4829-8961-057851421793}"/>
                </a:ext>
              </a:extLst>
            </xdr:cNvPr>
            <xdr:cNvSpPr txBox="1"/>
          </xdr:nvSpPr>
          <xdr:spPr>
            <a:xfrm>
              <a:off x="7415212" y="15554326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𝑇h𝑟𝑒𝑠h𝑜𝑙𝑑</m:t>
                    </m:r>
                    <m:r>
                      <a:rPr lang="en-CA" sz="1200" b="0" i="1">
                        <a:latin typeface="Cambria Math"/>
                      </a:rPr>
                      <m:t> </m:t>
                    </m:r>
                    <m:r>
                      <a:rPr lang="en-CA" sz="1200" b="0" i="1">
                        <a:latin typeface="Cambria Math"/>
                      </a:rPr>
                      <m:t>𝑉𝑎𝑙𝑢𝑒</m:t>
                    </m:r>
                    <m:r>
                      <a:rPr lang="en-CA" sz="1200" b="0" i="1">
                        <a:latin typeface="Cambria Math"/>
                      </a:rPr>
                      <m:t> ×</m:t>
                    </m:r>
                    <m:r>
                      <a:rPr lang="en-CA" sz="1200" b="0" i="1">
                        <a:latin typeface="Cambria Math"/>
                        <a:ea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17829FE-11FE-4829-8961-057851421793}"/>
                </a:ext>
              </a:extLst>
            </xdr:cNvPr>
            <xdr:cNvSpPr txBox="1"/>
          </xdr:nvSpPr>
          <xdr:spPr>
            <a:xfrm>
              <a:off x="7415212" y="15554326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𝑇ℎ𝑟𝑒𝑠ℎ𝑜𝑙𝑑 𝑉𝑎𝑙𝑢𝑒 ×</a:t>
              </a:r>
              <a:r>
                <a:rPr lang="en-CA" sz="1200" b="0" i="0">
                  <a:latin typeface="Cambria Math"/>
                  <a:ea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90487</xdr:colOff>
      <xdr:row>12</xdr:row>
      <xdr:rowOff>223837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B3485D9C-AA72-4E8A-A7E8-FCA3B27A6E60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𝑛</m:t>
                    </m:r>
                  </m:oMath>
                </m:oMathPara>
              </a14:m>
              <a:endParaRPr lang="en-CA" sz="1200" b="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B3485D9C-AA72-4E8A-A7E8-FCA3B27A6E60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𝑛</a:t>
              </a:r>
              <a:endParaRPr lang="en-CA" sz="1200" b="0"/>
            </a:p>
          </xdr:txBody>
        </xdr:sp>
      </mc:Fallback>
    </mc:AlternateContent>
    <xdr:clientData/>
  </xdr:oneCellAnchor>
  <xdr:oneCellAnchor>
    <xdr:from>
      <xdr:col>7</xdr:col>
      <xdr:colOff>990600</xdr:colOff>
      <xdr:row>45</xdr:row>
      <xdr:rowOff>19050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2F422FC9-8D1A-4E33-BD08-FACB791F9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2F422FC9-8D1A-4E33-BD08-FACB791F9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7</xdr:row>
      <xdr:rowOff>9524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3DDC607-99E1-4E62-B61B-130C588AD1AB}"/>
            </a:ext>
          </a:extLst>
        </xdr:cNvPr>
        <xdr:cNvGrpSpPr/>
      </xdr:nvGrpSpPr>
      <xdr:grpSpPr>
        <a:xfrm>
          <a:off x="0" y="0"/>
          <a:ext cx="8458200" cy="1924049"/>
          <a:chOff x="9524" y="19051"/>
          <a:chExt cx="10364524" cy="191576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B1C4925-4C56-1171-C7C0-6D7A124635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4" y="19051"/>
            <a:ext cx="10364524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7C3D1D6-ED70-7B67-5F0A-A4B6EE3A1E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215348" y="207526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4F282263-9B0C-18FC-6543-C32EDA5D99E8}"/>
              </a:ext>
            </a:extLst>
          </xdr:cNvPr>
          <xdr:cNvSpPr/>
        </xdr:nvSpPr>
        <xdr:spPr>
          <a:xfrm>
            <a:off x="555895" y="177272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  <xdr:twoCellAnchor>
    <xdr:from>
      <xdr:col>0</xdr:col>
      <xdr:colOff>95250</xdr:colOff>
      <xdr:row>1</xdr:row>
      <xdr:rowOff>161925</xdr:rowOff>
    </xdr:from>
    <xdr:to>
      <xdr:col>5</xdr:col>
      <xdr:colOff>2461045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C28236E-F04E-4077-AC68-B8A06208F224}"/>
            </a:ext>
          </a:extLst>
        </xdr:cNvPr>
        <xdr:cNvSpPr/>
      </xdr:nvSpPr>
      <xdr:spPr>
        <a:xfrm>
          <a:off x="95250" y="352425"/>
          <a:ext cx="8366545" cy="118110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Capital Module</a:t>
          </a:r>
        </a:p>
        <a:p>
          <a:pPr algn="ctr" rtl="0"/>
          <a:r>
            <a:rPr lang="en-CA" sz="3600" b="1" i="0" cap="none" spc="0" baseline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  <a:latin typeface="+mn-lt"/>
              <a:ea typeface="+mn-ea"/>
              <a:cs typeface="+mn-cs"/>
            </a:rPr>
            <a:t>Applicable to ACM and ICM</a:t>
          </a:r>
        </a:p>
      </xdr:txBody>
    </xdr:sp>
    <xdr:clientData/>
  </xdr:twoCellAnchor>
  <xdr:twoCellAnchor>
    <xdr:from>
      <xdr:col>0</xdr:col>
      <xdr:colOff>114300</xdr:colOff>
      <xdr:row>4</xdr:row>
      <xdr:rowOff>276225</xdr:rowOff>
    </xdr:from>
    <xdr:to>
      <xdr:col>5</xdr:col>
      <xdr:colOff>2457450</xdr:colOff>
      <xdr:row>6</xdr:row>
      <xdr:rowOff>161512</xdr:rowOff>
    </xdr:to>
    <xdr:sp macro="" textlink="" fLocksText="0">
      <xdr:nvSpPr>
        <xdr:cNvPr id="7" name="TextBox 6">
          <a:extLst>
            <a:ext uri="{FF2B5EF4-FFF2-40B4-BE49-F238E27FC236}">
              <a16:creationId xmlns:a16="http://schemas.microsoft.com/office/drawing/2014/main" id="{4922A853-F732-4F90-A41C-2BB468E3BB6E}"/>
            </a:ext>
          </a:extLst>
        </xdr:cNvPr>
        <xdr:cNvSpPr txBox="1"/>
      </xdr:nvSpPr>
      <xdr:spPr>
        <a:xfrm>
          <a:off x="114300" y="1438275"/>
          <a:ext cx="8343900" cy="447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tx1"/>
            </a:contourClr>
          </a:sp3d>
        </a:bodyPr>
        <a:lstStyle/>
        <a:p>
          <a:pPr algn="ctr"/>
          <a:fld id="{F25BC42C-6B66-46BC-9AA2-FC76FEABDE9E}" type="TxLink">
            <a:rPr lang="en-US" sz="1100" b="0" i="0" u="none" strike="noStrike" cap="none" spc="0">
              <a:ln w="11430">
                <a:solidFill>
                  <a:sysClr val="windowText" lastClr="000000"/>
                </a:solidFill>
              </a:ln>
              <a:solidFill>
                <a:srgbClr val="00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Calibri"/>
              <a:cs typeface="Calibri"/>
            </a:rPr>
            <a:pPr algn="ctr"/>
            <a:t>Elexicon Energy Inc.-Whitby Rate Zone</a:t>
          </a:fld>
          <a:endParaRPr lang="en-CA" sz="1600" b="1" cap="none" spc="0">
            <a:ln w="11430">
              <a:solidFill>
                <a:sysClr val="windowText" lastClr="000000"/>
              </a:solidFill>
            </a:ln>
            <a:solidFill>
              <a:schemeClr val="tx1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twoCellAnchor>
  <xdr:oneCellAnchor>
    <xdr:from>
      <xdr:col>0</xdr:col>
      <xdr:colOff>1123950</xdr:colOff>
      <xdr:row>9</xdr:row>
      <xdr:rowOff>204787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78F6778A-C622-4E95-ACC9-AB9E7948B461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78F6778A-C622-4E95-ACC9-AB9E7948B461}"/>
                </a:ext>
              </a:extLst>
            </xdr:cNvPr>
            <xdr:cNvSpPr txBox="1"/>
          </xdr:nvSpPr>
          <xdr:spPr>
            <a:xfrm>
              <a:off x="276225" y="2614612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  <xdr:oneCellAnchor>
    <xdr:from>
      <xdr:col>5</xdr:col>
      <xdr:colOff>90487</xdr:colOff>
      <xdr:row>14</xdr:row>
      <xdr:rowOff>147637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82AA5901-4888-4EA6-AE2C-3C39FD1BC83E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𝑃𝐶𝐼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82AA5901-4888-4EA6-AE2C-3C39FD1BC83E}"/>
                </a:ext>
              </a:extLst>
            </xdr:cNvPr>
            <xdr:cNvSpPr txBox="1"/>
          </xdr:nvSpPr>
          <xdr:spPr>
            <a:xfrm>
              <a:off x="7453312" y="36337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𝑃𝐶𝐼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147636</xdr:colOff>
      <xdr:row>18</xdr:row>
      <xdr:rowOff>138112</xdr:rowOff>
    </xdr:from>
    <xdr:ext cx="107156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C9FBF88E-1E62-4675-B997-54DC134D62E0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𝑔</m:t>
                    </m:r>
                    <m:r>
                      <a:rPr lang="en-CA" sz="1200" b="0" i="1">
                        <a:latin typeface="Cambria Math"/>
                      </a:rPr>
                      <m:t> (</m:t>
                    </m:r>
                    <m:r>
                      <a:rPr lang="en-CA" sz="1200" b="0" i="1">
                        <a:latin typeface="Cambria Math"/>
                      </a:rPr>
                      <m:t>𝑁𝑜𝑡𝑒</m:t>
                    </m:r>
                    <m:r>
                      <a:rPr lang="en-CA" sz="1200" b="0" i="1">
                        <a:latin typeface="Cambria Math"/>
                      </a:rPr>
                      <m:t> 1)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C9FBF88E-1E62-4675-B997-54DC134D62E0}"/>
                </a:ext>
              </a:extLst>
            </xdr:cNvPr>
            <xdr:cNvSpPr txBox="1"/>
          </xdr:nvSpPr>
          <xdr:spPr>
            <a:xfrm>
              <a:off x="7510461" y="4481512"/>
              <a:ext cx="107156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𝑔 (𝑁𝑜𝑡𝑒 1)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157162</xdr:colOff>
      <xdr:row>47</xdr:row>
      <xdr:rowOff>166687</xdr:rowOff>
    </xdr:from>
    <xdr:ext cx="1166813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54B81831-19F1-4444-89FA-6946DF8D46D0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𝑅𝐵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54B81831-19F1-4444-89FA-6946DF8D46D0}"/>
                </a:ext>
              </a:extLst>
            </xdr:cNvPr>
            <xdr:cNvSpPr txBox="1"/>
          </xdr:nvSpPr>
          <xdr:spPr>
            <a:xfrm>
              <a:off x="7519987" y="10186987"/>
              <a:ext cx="1166813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𝑅𝐵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100012</xdr:colOff>
      <xdr:row>49</xdr:row>
      <xdr:rowOff>138112</xdr:rowOff>
    </xdr:from>
    <xdr:ext cx="123348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B697B1D-E788-454B-B43F-1A17C43AC4C8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5B697B1D-E788-454B-B43F-1A17C43AC4C8}"/>
                </a:ext>
              </a:extLst>
            </xdr:cNvPr>
            <xdr:cNvSpPr txBox="1"/>
          </xdr:nvSpPr>
          <xdr:spPr>
            <a:xfrm>
              <a:off x="7462837" y="10558462"/>
              <a:ext cx="123348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52387</xdr:colOff>
      <xdr:row>69</xdr:row>
      <xdr:rowOff>133351</xdr:rowOff>
    </xdr:from>
    <xdr:ext cx="1671638" cy="2944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B5A663FB-1FD7-4077-AF60-3B7A197875BC}"/>
                </a:ext>
              </a:extLst>
            </xdr:cNvPr>
            <xdr:cNvSpPr txBox="1"/>
          </xdr:nvSpPr>
          <xdr:spPr>
            <a:xfrm>
              <a:off x="7415212" y="14954251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𝑇h𝑟𝑒𝑠h𝑜𝑙𝑑</m:t>
                    </m:r>
                    <m:r>
                      <a:rPr lang="en-CA" sz="1200" b="0" i="1">
                        <a:latin typeface="Cambria Math"/>
                      </a:rPr>
                      <m:t> </m:t>
                    </m:r>
                    <m:r>
                      <a:rPr lang="en-CA" sz="1200" b="0" i="1">
                        <a:latin typeface="Cambria Math"/>
                      </a:rPr>
                      <m:t>𝑉𝑎𝑙𝑢𝑒</m:t>
                    </m:r>
                    <m:r>
                      <a:rPr lang="en-CA" sz="1200" b="0" i="1">
                        <a:latin typeface="Cambria Math"/>
                      </a:rPr>
                      <m:t> ×</m:t>
                    </m:r>
                    <m:r>
                      <a:rPr lang="en-CA" sz="1200" b="0" i="1">
                        <a:latin typeface="Cambria Math"/>
                        <a:ea typeface="Cambria Math"/>
                      </a:rPr>
                      <m:t>𝑑</m:t>
                    </m:r>
                  </m:oMath>
                </m:oMathPara>
              </a14:m>
              <a:endParaRPr lang="en-CA" sz="12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B5A663FB-1FD7-4077-AF60-3B7A197875BC}"/>
                </a:ext>
              </a:extLst>
            </xdr:cNvPr>
            <xdr:cNvSpPr txBox="1"/>
          </xdr:nvSpPr>
          <xdr:spPr>
            <a:xfrm>
              <a:off x="7415212" y="14954251"/>
              <a:ext cx="1671638" cy="2944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𝑇ℎ𝑟𝑒𝑠ℎ𝑜𝑙𝑑 𝑉𝑎𝑙𝑢𝑒 ×</a:t>
              </a:r>
              <a:r>
                <a:rPr lang="en-CA" sz="1200" b="0" i="0">
                  <a:latin typeface="Cambria Math"/>
                  <a:ea typeface="Cambria Math"/>
                </a:rPr>
                <a:t>𝑑</a:t>
              </a:r>
              <a:endParaRPr lang="en-CA" sz="1200"/>
            </a:p>
          </xdr:txBody>
        </xdr:sp>
      </mc:Fallback>
    </mc:AlternateContent>
    <xdr:clientData/>
  </xdr:oneCellAnchor>
  <xdr:oneCellAnchor>
    <xdr:from>
      <xdr:col>5</xdr:col>
      <xdr:colOff>90487</xdr:colOff>
      <xdr:row>12</xdr:row>
      <xdr:rowOff>223837</xdr:rowOff>
    </xdr:from>
    <xdr:ext cx="1176338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CC55D3A-22A7-447A-AC6D-E66B6F0300A2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0" i="1">
                        <a:latin typeface="Cambria Math"/>
                      </a:rPr>
                      <m:t>𝑛</m:t>
                    </m:r>
                  </m:oMath>
                </m:oMathPara>
              </a14:m>
              <a:endParaRPr lang="en-CA" sz="1200" b="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CC55D3A-22A7-447A-AC6D-E66B6F0300A2}"/>
                </a:ext>
              </a:extLst>
            </xdr:cNvPr>
            <xdr:cNvSpPr txBox="1"/>
          </xdr:nvSpPr>
          <xdr:spPr>
            <a:xfrm>
              <a:off x="7453312" y="3214687"/>
              <a:ext cx="1176338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0" i="0">
                  <a:latin typeface="Cambria Math"/>
                </a:rPr>
                <a:t>𝑛</a:t>
              </a:r>
              <a:endParaRPr lang="en-CA" sz="1200" b="0"/>
            </a:p>
          </xdr:txBody>
        </xdr:sp>
      </mc:Fallback>
    </mc:AlternateContent>
    <xdr:clientData/>
  </xdr:oneCellAnchor>
  <xdr:oneCellAnchor>
    <xdr:from>
      <xdr:col>7</xdr:col>
      <xdr:colOff>990600</xdr:colOff>
      <xdr:row>45</xdr:row>
      <xdr:rowOff>19050</xdr:rowOff>
    </xdr:from>
    <xdr:ext cx="6991349" cy="4430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333F2E3-BE5D-4C54-A78C-468296EB2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CA" sz="1200" b="1" i="1">
                        <a:latin typeface="Cambria Math"/>
                      </a:rPr>
                      <m:t>𝑻𝒉𝒓𝒆𝒔𝒉𝒐𝒍𝒅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r>
                      <a:rPr lang="en-CA" sz="1200" b="1" i="1">
                        <a:latin typeface="Cambria Math"/>
                      </a:rPr>
                      <m:t>𝑽𝒂𝒍𝒖𝒆</m:t>
                    </m:r>
                    <m:r>
                      <a:rPr lang="en-CA" sz="1200" b="1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CA" sz="1200" b="1" i="1">
                            <a:latin typeface="Cambria Math"/>
                          </a:rPr>
                          <m:t>%</m:t>
                        </m:r>
                      </m:e>
                    </m:d>
                    <m:r>
                      <a:rPr lang="en-CA" sz="1200" b="1" i="1">
                        <a:latin typeface="Cambria Math"/>
                      </a:rPr>
                      <m:t>=</m:t>
                    </m:r>
                    <m:r>
                      <a:rPr lang="en-CA" sz="1200" b="1" i="1">
                        <a:latin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d>
                      <m:dPr>
                        <m:begChr m:val="["/>
                        <m:endChr m:val="]"/>
                        <m:ctrlPr>
                          <a:rPr lang="en-CA" sz="12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CA" sz="1200" b="1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CA" sz="1200" b="1" i="1">
                                    <a:latin typeface="Cambria Math"/>
                                  </a:rPr>
                                  <m:t>𝑹𝑩</m:t>
                                </m:r>
                              </m:num>
                              <m:den>
                                <m:r>
                                  <a:rPr lang="en-CA" sz="1200" b="1" i="1">
                                    <a:latin typeface="Cambria Math"/>
                                  </a:rPr>
                                  <m:t>𝒅</m:t>
                                </m:r>
                              </m:den>
                            </m:f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×(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</m:d>
                      </m:e>
                    </m:d>
                    <m:r>
                      <a:rPr lang="en-CA" sz="1200" b="1" i="1">
                        <a:latin typeface="Cambria Math"/>
                        <a:ea typeface="Cambria Math"/>
                      </a:rPr>
                      <m:t>×</m:t>
                    </m:r>
                    <m:d>
                      <m:dPr>
                        <m:ctrlPr>
                          <a:rPr lang="en-CA" sz="1200" b="1" i="1"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𝒈</m:t>
                            </m:r>
                          </m:e>
                        </m:d>
                        <m:r>
                          <a:rPr lang="en-CA" sz="1200" b="1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ctrlPr>
                              <a:rPr lang="en-CA" sz="1200" b="1" i="1">
                                <a:latin typeface="Cambria Math" panose="02040503050406030204" pitchFamily="18" charset="0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𝟏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+</m:t>
                            </m:r>
                            <m:r>
                              <a:rPr lang="en-CA" sz="1200" b="1" i="1">
                                <a:latin typeface="Cambria Math"/>
                                <a:ea typeface="Cambria Math"/>
                              </a:rPr>
                              <m:t>𝑷𝑪𝑰</m:t>
                            </m:r>
                          </m:e>
                        </m:d>
                      </m:e>
                    </m:d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𝒏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 _ </m:t>
                    </m:r>
                    <m:r>
                      <a:rPr lang="en-CA" sz="1200" b="1" i="1" baseline="30000">
                        <a:latin typeface="Cambria Math"/>
                        <a:ea typeface="Cambria Math"/>
                      </a:rPr>
                      <m:t>𝟏</m:t>
                    </m:r>
                    <m:r>
                      <a:rPr lang="en-CA" sz="1200" b="1" i="1">
                        <a:latin typeface="Cambria Math"/>
                      </a:rPr>
                      <m:t>+</m:t>
                    </m:r>
                    <m:r>
                      <a:rPr lang="en-CA" sz="1200" b="1" i="1">
                        <a:latin typeface="Cambria Math"/>
                      </a:rPr>
                      <m:t>𝟏𝟎</m:t>
                    </m:r>
                    <m:r>
                      <a:rPr lang="en-CA" sz="1200" b="1" i="1">
                        <a:latin typeface="Cambria Math"/>
                      </a:rPr>
                      <m:t>%</m:t>
                    </m:r>
                  </m:oMath>
                </m:oMathPara>
              </a14:m>
              <a:endParaRPr lang="en-CA" sz="1200" b="1"/>
            </a:p>
          </xdr:txBody>
        </xdr:sp>
      </mc:Choice>
      <mc:Fallback xmlns="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B333F2E3-BE5D-4C54-A78C-468296EB2BBF}"/>
                </a:ext>
              </a:extLst>
            </xdr:cNvPr>
            <xdr:cNvSpPr txBox="1"/>
          </xdr:nvSpPr>
          <xdr:spPr>
            <a:xfrm>
              <a:off x="9686925" y="9648825"/>
              <a:ext cx="6991349" cy="4430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CA" sz="1200" b="1" i="0">
                  <a:latin typeface="Cambria Math"/>
                </a:rPr>
                <a:t>𝑻𝒉𝒓𝒆𝒔𝒉𝒐𝒍𝒅 𝑽𝒂𝒍𝒖𝒆 </a:t>
              </a:r>
              <a:r>
                <a:rPr lang="en-CA" sz="1200" b="1" i="0">
                  <a:latin typeface="Cambria Math" panose="02040503050406030204" pitchFamily="18" charset="0"/>
                </a:rPr>
                <a:t>(</a:t>
              </a:r>
              <a:r>
                <a:rPr lang="en-CA" sz="1200" b="1" i="0">
                  <a:latin typeface="Cambria Math"/>
                </a:rPr>
                <a:t>%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</a:rPr>
                <a:t>=𝟏+</a:t>
              </a:r>
              <a:r>
                <a:rPr lang="en-CA" sz="1200" b="1" i="0">
                  <a:latin typeface="Cambria Math" panose="02040503050406030204" pitchFamily="18" charset="0"/>
                </a:rPr>
                <a:t>[(</a:t>
              </a:r>
              <a:r>
                <a:rPr lang="en-CA" sz="1200" b="1" i="0">
                  <a:latin typeface="Cambria Math"/>
                </a:rPr>
                <a:t>𝑹𝑩</a:t>
              </a:r>
              <a:r>
                <a:rPr lang="en-CA" sz="1200" b="1" i="0">
                  <a:latin typeface="Cambria Math" panose="02040503050406030204" pitchFamily="18" charset="0"/>
                </a:rPr>
                <a:t>/</a:t>
              </a:r>
              <a:r>
                <a:rPr lang="en-CA" sz="1200" b="1" i="0">
                  <a:latin typeface="Cambria Math"/>
                </a:rPr>
                <a:t>𝒅</a:t>
              </a:r>
              <a:r>
                <a:rPr lang="en-CA" sz="1200" b="1" i="0">
                  <a:latin typeface="Cambria Math" panose="02040503050406030204" pitchFamily="18" charset="0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𝒈+𝑷𝑪𝑰×(𝟏+𝒈)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)]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((</a:t>
              </a:r>
              <a:r>
                <a:rPr lang="en-CA" sz="1200" b="1" i="0">
                  <a:latin typeface="Cambria Math"/>
                  <a:ea typeface="Cambria Math"/>
                </a:rPr>
                <a:t>𝟏+𝒈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en-CA" sz="1200" b="1" i="0">
                  <a:latin typeface="Cambria Math"/>
                  <a:ea typeface="Cambria Math"/>
                </a:rPr>
                <a:t>×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CA" sz="1200" b="1" i="0">
                  <a:latin typeface="Cambria Math"/>
                  <a:ea typeface="Cambria Math"/>
                </a:rPr>
                <a:t>𝟏+𝑷𝑪𝑰</a:t>
              </a:r>
              <a:r>
                <a:rPr lang="en-CA" sz="1200" b="1" i="0">
                  <a:latin typeface="Cambria Math" panose="02040503050406030204" pitchFamily="18" charset="0"/>
                  <a:ea typeface="Cambria Math"/>
                </a:rPr>
                <a:t>))</a:t>
              </a:r>
              <a:r>
                <a:rPr lang="en-CA" sz="1200" b="1" i="0" baseline="30000">
                  <a:latin typeface="Cambria Math"/>
                  <a:ea typeface="Cambria Math"/>
                </a:rPr>
                <a:t>𝒏 _ 𝟏</a:t>
              </a:r>
              <a:r>
                <a:rPr lang="en-CA" sz="1200" b="1" i="0">
                  <a:latin typeface="Cambria Math"/>
                </a:rPr>
                <a:t>+𝟏𝟎%</a:t>
              </a:r>
              <a:endParaRPr lang="en-CA" sz="1200" b="1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Fera7143/AppData/Local/Microsoft/Windows/INetCache/Content.Outlook/C9WCLIRI/2024%20Capital%20EWP%20Re-Forecast%20Aug%208%202024.xlsx" TargetMode="External"/><Relationship Id="rId2" Type="http://schemas.openxmlformats.org/officeDocument/2006/relationships/externalLinkPath" Target="file:///C:\Users\Fera7143\AppData\Local\Microsoft\Windows\INetCache\Content.Outlook\C9WCLIRI\2024%20Capital%20EWP%20Re-Forecast%20Aug%208%202024.xlsx" TargetMode="External"/><Relationship Id="rId1" Type="http://schemas.openxmlformats.org/officeDocument/2006/relationships/externalLinkPath" Target="/Users/Fera7143/AppData/Local/Microsoft/Windows/INetCache/Content.Outlook/C9WCLIRI/2024%20Capital%20EWP%20Re-Forecast%20Aug%208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ndre\Downloads\Copy%20of%20Copy%20of%20Elexicon%20OMA%20and%20Capital%20Available%20Funding%20Calculation%2020260416F.xlsx" TargetMode="External"/><Relationship Id="rId2" Type="http://schemas.microsoft.com/office/2019/04/relationships/externalLinkLongPath" Target="Copy%20of%20Copy%20of%20Elexicon%20OMA%20and%20Capital%20Available%20Funding%20Calculation%2020260416F.xlsx?AFB98E6E" TargetMode="External"/><Relationship Id="rId1" Type="http://schemas.openxmlformats.org/officeDocument/2006/relationships/externalLinkPath" Target="file:///\\AFB98E6E\Copy%20of%20Copy%20of%20Elexicon%20OMA%20and%20Capital%20Available%20Funding%20Calculation%2020260416F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AndrewM\Business\3%20-%20Utilis%20Consulting\9%20-%20Consulting%20Work\9%20-%20Elexicon%20Energy\2027%20COS%20Application\2%20-%20Early%20Rebasing%20Evidence\4%20-%20Maximum%20Capital%20Calc%20from%20ICM%20Model\EE_WRZ%20WSG_2023_ACM_ICM_Model_20230717_3.7%25.xlsm" TargetMode="External"/><Relationship Id="rId2" Type="http://schemas.microsoft.com/office/2019/04/relationships/externalLinkLongPath" Target="/AndrewM/Business/3%20-%20Utilis%20Consulting/9%20-%20Consulting%20Work/9%20-%20Elexicon%20Energy/2027%20COS%20Application/2%20-%20Early%20Rebasing%20Evidence/4%20-%20Maximum%20Capital%20Calc%20from%20ICM%20Model/EE_WRZ%20WSG_2023_ACM_ICM_Model_20230717_3.7%25.xlsm?F13CA7C7" TargetMode="External"/><Relationship Id="rId1" Type="http://schemas.openxmlformats.org/officeDocument/2006/relationships/externalLinkPath" Target="file:///\\F13CA7C7\EE_WRZ%20WSG_2023_ACM_ICM_Model_20230717_3.7%25.xlsm" TargetMode="External"/><Relationship Id="rId4" Type="http://schemas.openxmlformats.org/officeDocument/2006/relationships/externalLinkPath" Target="../../../../../AndrewM/Business/3%20-%20Utilis%20Consulting/9%20-%20Consulting%20Work/9%20-%20Elexicon%20Energy/2027%20COS%20Application/2%20-%20Early%20Rebasing%20Evidence/4%20-%20Maximum%20Capital%20Calc%20from%20ICM%20Model/EE_WRZ%20WSG_2023_ACM_ICM_Model_20230717_3.7%25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AndrewM\Business\3%20-%20Utilis%20Consulting\9%20-%20Consulting%20Work\9%20-%20Elexicon%20Energy\2027%20COS%20Application\2%20-%20Early%20Rebasing%20Evidence\4%20-%20Maximum%20Capital%20Calc%20from%20ICM%20Model\EE_VRZ_2023_ACM_ICM_Model_20230717.xlsm" TargetMode="External"/><Relationship Id="rId2" Type="http://schemas.microsoft.com/office/2019/04/relationships/externalLinkLongPath" Target="/AndrewM/Business/3%20-%20Utilis%20Consulting/9%20-%20Consulting%20Work/9%20-%20Elexicon%20Energy/2027%20COS%20Application/2%20-%20Early%20Rebasing%20Evidence/4%20-%20Maximum%20Capital%20Calc%20from%20ICM%20Model/EE_VRZ_2023_ACM_ICM_Model_20230717.xlsm?F13CA7C7" TargetMode="External"/><Relationship Id="rId1" Type="http://schemas.openxmlformats.org/officeDocument/2006/relationships/externalLinkPath" Target="file:///\\F13CA7C7\EE_VRZ_2023_ACM_ICM_Model_20230717.xlsm" TargetMode="External"/><Relationship Id="rId4" Type="http://schemas.openxmlformats.org/officeDocument/2006/relationships/externalLinkPath" Target="../../../../../AndrewM/Business/3%20-%20Utilis%20Consulting/9%20-%20Consulting%20Work/9%20-%20Elexicon%20Energy/2027%20COS%20Application/2%20-%20Early%20Rebasing%20Evidence/4%20-%20Maximum%20Capital%20Calc%20from%20ICM%20Model/EE_VRZ_2023_ACM_ICM_Model_202307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4 EWP Rev. 1 (In Plan Stns)"/>
      <sheetName val="2024 EWP Rev. 1 (Hold Stns)"/>
      <sheetName val="2024 EWP Rev. 1 (Hold)"/>
      <sheetName val="2024 EWP Rev. 1 (In Plan)"/>
      <sheetName val="Assumptions"/>
      <sheetName val="EWP Summary"/>
      <sheetName val="2024 EWP Re-Forecast"/>
      <sheetName val="2024 ISA Summary"/>
      <sheetName val="2024 ISA Projects"/>
      <sheetName val="2024 Capex Summary"/>
      <sheetName val="2024 Capex Projects"/>
      <sheetName val="Attainment Preview"/>
      <sheetName val="Discretionary Projects"/>
      <sheetName val="Disc Projects (old)"/>
      <sheetName val="NI Extract"/>
      <sheetName val="Ken Design Dates Rev. 3"/>
      <sheetName val="Review-Investigate"/>
      <sheetName val="EWP Project Tracking"/>
      <sheetName val="EWP Rev. 0"/>
      <sheetName val="Jan Actuals"/>
      <sheetName val="Feb Actuals"/>
      <sheetName val="Other Projects-NI"/>
      <sheetName val="Mar Actuals"/>
      <sheetName val="Apr Actuals"/>
      <sheetName val="May Actuals"/>
      <sheetName val="June Actuals"/>
      <sheetName val="Vault Transfor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OM&amp;A Summary"/>
      <sheetName val="Capital Summary"/>
      <sheetName val="WRZ ICM Threshold 2025 PCI"/>
      <sheetName val="VRZ ICM Threshold 2025 PCI"/>
      <sheetName val="WRZ ICM Threshold Actual PC2025"/>
      <sheetName val="VRZ ICM Threshold Actual PC2025"/>
      <sheetName val="WRZ ICM Threshold Actual PCI"/>
      <sheetName val="VRZ ICM Threshold Actual PCI"/>
    </sheetNames>
    <sheetDataSet>
      <sheetData sheetId="0"/>
      <sheetData sheetId="1">
        <row r="1">
          <cell r="G1">
            <v>2020</v>
          </cell>
        </row>
        <row r="6">
          <cell r="B6">
            <v>2020</v>
          </cell>
          <cell r="C6">
            <v>2021</v>
          </cell>
          <cell r="D6">
            <v>2022</v>
          </cell>
          <cell r="E6">
            <v>2023</v>
          </cell>
          <cell r="F6">
            <v>2024</v>
          </cell>
          <cell r="G6">
            <v>2025</v>
          </cell>
          <cell r="H6">
            <v>2026</v>
          </cell>
        </row>
        <row r="8">
          <cell r="A8" t="str">
            <v>Actual Elexicon Capital Spend</v>
          </cell>
          <cell r="B8">
            <v>35190386.211000003</v>
          </cell>
          <cell r="C8">
            <v>53425261.409999996</v>
          </cell>
          <cell r="D8">
            <v>78409172.780000001</v>
          </cell>
          <cell r="E8">
            <v>52545343.770000003</v>
          </cell>
          <cell r="F8">
            <v>68874028.299999997</v>
          </cell>
          <cell r="G8">
            <v>59751811</v>
          </cell>
          <cell r="H8">
            <v>77199087.896599993</v>
          </cell>
        </row>
      </sheetData>
      <sheetData sheetId="2"/>
      <sheetData sheetId="3">
        <row r="16">
          <cell r="E16">
            <v>3.3000000000000002E-2</v>
          </cell>
        </row>
        <row r="20">
          <cell r="E20">
            <v>3.9903130198614507E-3</v>
          </cell>
        </row>
        <row r="49">
          <cell r="E49">
            <v>238106078.248</v>
          </cell>
        </row>
        <row r="51">
          <cell r="E51">
            <v>11232271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ists"/>
      <sheetName val="tempcopy"/>
      <sheetName val="1. Information Sheet"/>
      <sheetName val="2. Rate Class Selection"/>
      <sheetName val="3. Growth Factor - NUM_CALC1"/>
      <sheetName val="4. Growth Factor - NUM_CALC2"/>
      <sheetName val="5. Rev_Requ_Check"/>
      <sheetName val="6. Growth Factor - DEN_CALC"/>
      <sheetName val="7. Revenue Proportions"/>
      <sheetName val="8. Threshold Test"/>
      <sheetName val="9a. Proposed ACM Projects"/>
      <sheetName val="9b. Proposed ACM ICM Projects"/>
      <sheetName val="10. Incremental Capital Adj."/>
      <sheetName val="11. Rate Rider Calc"/>
    </sheetNames>
    <sheetDataSet>
      <sheetData sheetId="0" refreshError="1"/>
      <sheetData sheetId="1" refreshError="1"/>
      <sheetData sheetId="2">
        <row r="48">
          <cell r="F48" t="str">
            <v>Revenues Based on 2023 Actual Distribution Demand</v>
          </cell>
        </row>
        <row r="49">
          <cell r="F49" t="str">
            <v>Revenues Based on 2011 Board-Approved Distribution Demand</v>
          </cell>
        </row>
      </sheetData>
      <sheetData sheetId="3" refreshError="1"/>
      <sheetData sheetId="4" refreshError="1"/>
      <sheetData sheetId="5">
        <row r="23">
          <cell r="N23">
            <v>26982823.090299994</v>
          </cell>
        </row>
      </sheetData>
      <sheetData sheetId="6" refreshError="1"/>
      <sheetData sheetId="7">
        <row r="23">
          <cell r="N23">
            <v>23602558.322999995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ists"/>
      <sheetName val="tempcopy"/>
      <sheetName val="1. Information Sheet"/>
      <sheetName val="2. Rate Class Selection"/>
      <sheetName val="3. Growth Factor - NUM_CALC1"/>
      <sheetName val="4. Growth Factor - NUM_CALC2"/>
      <sheetName val="5. Rev_Requ_Check"/>
      <sheetName val="6. Growth Factor - DEN_CALC"/>
      <sheetName val="7. Revenue Proportions"/>
      <sheetName val="8. Threshold Test"/>
      <sheetName val="9a. Proposed ACM Projects"/>
      <sheetName val="9b. Proposed ACM ICM Projects"/>
      <sheetName val="10. Incremental Capital Adj."/>
      <sheetName val="11. Rate Rider Calc"/>
    </sheetNames>
    <sheetDataSet>
      <sheetData sheetId="0" refreshError="1"/>
      <sheetData sheetId="1" refreshError="1"/>
      <sheetData sheetId="2">
        <row r="48">
          <cell r="F48" t="str">
            <v>Revenues Based on 2023 Actual Distribution Demand</v>
          </cell>
        </row>
        <row r="49">
          <cell r="F49" t="str">
            <v>Revenues Based on 2014 Board-Approved Distribution Demand</v>
          </cell>
        </row>
      </sheetData>
      <sheetData sheetId="3" refreshError="1"/>
      <sheetData sheetId="4" refreshError="1"/>
      <sheetData sheetId="5">
        <row r="26">
          <cell r="N26">
            <v>62787550.68379999</v>
          </cell>
        </row>
      </sheetData>
      <sheetData sheetId="6" refreshError="1"/>
      <sheetData sheetId="7">
        <row r="26">
          <cell r="N26">
            <v>59991236.804899991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6AEC-F07E-45B7-9B1F-2BA51DCE8E23}">
  <sheetPr codeName="Sheet1"/>
  <dimension ref="A1:N13"/>
  <sheetViews>
    <sheetView zoomScale="98" workbookViewId="0">
      <selection activeCell="M2" sqref="M2"/>
    </sheetView>
  </sheetViews>
  <sheetFormatPr defaultColWidth="8.85546875" defaultRowHeight="15"/>
  <cols>
    <col min="1" max="1" width="77.140625" customWidth="1"/>
    <col min="2" max="2" width="15.5703125" customWidth="1"/>
    <col min="3" max="3" width="15.42578125" customWidth="1"/>
    <col min="4" max="4" width="15.85546875" customWidth="1"/>
    <col min="5" max="5" width="15.5703125" customWidth="1"/>
    <col min="6" max="6" width="18.85546875" customWidth="1"/>
    <col min="7" max="7" width="15.85546875" customWidth="1"/>
    <col min="8" max="8" width="16.42578125" customWidth="1"/>
    <col min="9" max="11" width="15.5703125" customWidth="1"/>
    <col min="12" max="18" width="15.5703125" bestFit="1" customWidth="1"/>
    <col min="19" max="19" width="18.140625" customWidth="1"/>
    <col min="20" max="25" width="9.85546875" bestFit="1" customWidth="1"/>
  </cols>
  <sheetData>
    <row r="1" spans="1:14" ht="15.75">
      <c r="A1" s="50" t="s">
        <v>0</v>
      </c>
      <c r="B1" s="50">
        <v>2015</v>
      </c>
      <c r="C1" s="50">
        <v>2016</v>
      </c>
      <c r="D1" s="50">
        <v>2017</v>
      </c>
      <c r="E1" s="50">
        <v>2018</v>
      </c>
      <c r="F1" s="50">
        <v>2019</v>
      </c>
      <c r="G1" s="50">
        <v>2020</v>
      </c>
      <c r="H1" s="50">
        <v>2021</v>
      </c>
      <c r="I1" s="50">
        <v>2022</v>
      </c>
      <c r="J1" s="50">
        <v>2023</v>
      </c>
      <c r="K1" s="50">
        <v>2024</v>
      </c>
      <c r="L1" s="50">
        <v>2025</v>
      </c>
      <c r="M1" s="50">
        <v>2026</v>
      </c>
      <c r="N1" s="50">
        <v>2027</v>
      </c>
    </row>
    <row r="2" spans="1:14">
      <c r="A2" s="53" t="s">
        <v>1</v>
      </c>
      <c r="B2" s="65">
        <f>'WRZ ICM Threshold Actual PC2025'!E78+'VRZ ICM Threshold Actual PC2025'!E72</f>
        <v>22408259.551658899</v>
      </c>
      <c r="C2" s="65">
        <f>'WRZ ICM Threshold Actual PC2025'!E79+'VRZ ICM Threshold Actual PC2025'!E73</f>
        <v>24176817.833338577</v>
      </c>
      <c r="D2" s="65">
        <f>'WRZ ICM Threshold Actual PC2025'!E80+'VRZ ICM Threshold Actual PC2025'!E74</f>
        <v>23711809.327734321</v>
      </c>
      <c r="E2" s="65">
        <f>'WRZ ICM Threshold Actual PC2025'!E81+'VRZ ICM Threshold Actual PC2025'!E75</f>
        <v>21219572.12518312</v>
      </c>
      <c r="F2" s="65">
        <f>'WRZ ICM Threshold Actual PC2025'!E82+'VRZ ICM Threshold Actual PC2025'!E76</f>
        <v>22345824.603283599</v>
      </c>
      <c r="G2" s="65">
        <f>'WRZ ICM Threshold Actual PC2025'!E83+'VRZ ICM Threshold Actual PC2025'!E77</f>
        <v>24237757.499884341</v>
      </c>
      <c r="H2" s="65">
        <f>'WRZ ICM Threshold Actual PC2025'!E84+'VRZ ICM Threshold Actual PC2025'!E78</f>
        <v>25156499.454508983</v>
      </c>
      <c r="I2" s="65">
        <f>'WRZ ICM Threshold Actual PC2025'!E85+'VRZ ICM Threshold Actual PC2025'!E79</f>
        <v>29487172.919540249</v>
      </c>
      <c r="J2" s="65">
        <f>'WRZ ICM Threshold Actual PC2025'!E86+'VRZ ICM Threshold Actual PC2025'!E80</f>
        <v>31826180.495561719</v>
      </c>
      <c r="K2" s="65">
        <f>'WRZ ICM Threshold Actual PC2025'!E87+'VRZ ICM Threshold Actual PC2025'!E81</f>
        <v>36903190.625034481</v>
      </c>
      <c r="L2" s="65">
        <f>'WRZ ICM Threshold Actual PC2025'!E88+'VRZ ICM Threshold Actual PC2025'!E82</f>
        <v>32920449.780796751</v>
      </c>
      <c r="M2" s="65">
        <f>'WRZ ICM Threshold Actual PC2025'!E89+'VRZ ICM Threshold Actual PC2025'!E83</f>
        <v>30962399.14629899</v>
      </c>
      <c r="N2" s="65">
        <f>'WRZ ICM Threshold Actual PC2025'!E90+'VRZ ICM Threshold Actual PC2025'!E84</f>
        <v>31476451.859257895</v>
      </c>
    </row>
    <row r="3" spans="1:14">
      <c r="A3" s="66"/>
    </row>
    <row r="5" spans="1:14" ht="18.75">
      <c r="A5" s="72" t="s">
        <v>2</v>
      </c>
      <c r="B5" s="72"/>
      <c r="C5" s="72"/>
      <c r="D5" s="72"/>
      <c r="E5" s="72"/>
      <c r="F5" s="72"/>
      <c r="G5" s="72"/>
      <c r="H5" s="72"/>
    </row>
    <row r="6" spans="1:14" ht="15.75">
      <c r="A6" s="50" t="s">
        <v>0</v>
      </c>
      <c r="B6" s="50">
        <v>2020</v>
      </c>
      <c r="C6" s="50">
        <v>2021</v>
      </c>
      <c r="D6" s="50">
        <v>2022</v>
      </c>
      <c r="E6" s="50">
        <v>2023</v>
      </c>
      <c r="F6" s="50">
        <v>2024</v>
      </c>
      <c r="G6" s="50">
        <v>2025</v>
      </c>
      <c r="H6" s="50">
        <v>2026</v>
      </c>
      <c r="I6" s="50" t="s">
        <v>3</v>
      </c>
    </row>
    <row r="7" spans="1:14">
      <c r="A7" s="53" t="s">
        <v>1</v>
      </c>
      <c r="B7" s="65">
        <f>G2</f>
        <v>24237757.499884341</v>
      </c>
      <c r="C7" s="65">
        <f t="shared" ref="C7:G7" si="0">H2</f>
        <v>25156499.454508983</v>
      </c>
      <c r="D7" s="65">
        <f t="shared" si="0"/>
        <v>29487172.919540249</v>
      </c>
      <c r="E7" s="65">
        <f t="shared" si="0"/>
        <v>31826180.495561719</v>
      </c>
      <c r="F7" s="65">
        <f t="shared" si="0"/>
        <v>36903190.625034481</v>
      </c>
      <c r="G7" s="65">
        <f t="shared" si="0"/>
        <v>32920449.780796751</v>
      </c>
      <c r="H7" s="65">
        <f>M2</f>
        <v>30962399.14629899</v>
      </c>
      <c r="I7" s="64">
        <f>SUM(B7:H7)</f>
        <v>211493649.92162555</v>
      </c>
    </row>
    <row r="8" spans="1:14">
      <c r="A8" s="53" t="s">
        <v>4</v>
      </c>
      <c r="B8" s="63">
        <v>35190386.211000003</v>
      </c>
      <c r="C8" s="63">
        <v>53425261.409999996</v>
      </c>
      <c r="D8" s="63">
        <v>78409172.780000001</v>
      </c>
      <c r="E8" s="63">
        <v>52545343.770000003</v>
      </c>
      <c r="F8" s="63">
        <v>68874028.299999997</v>
      </c>
      <c r="G8" s="63">
        <v>59751811</v>
      </c>
      <c r="H8" s="63">
        <v>77199087.896599993</v>
      </c>
      <c r="I8" s="64">
        <f t="shared" ref="I8:I9" si="1">SUM(B8:H8)</f>
        <v>425395091.36760002</v>
      </c>
    </row>
    <row r="9" spans="1:14">
      <c r="A9" s="53" t="s">
        <v>5</v>
      </c>
      <c r="B9" s="64">
        <f>B7-B8</f>
        <v>-10952628.711115662</v>
      </c>
      <c r="C9" s="64">
        <f t="shared" ref="C9:H9" si="2">C7-C8</f>
        <v>-28268761.955491014</v>
      </c>
      <c r="D9" s="64">
        <f t="shared" si="2"/>
        <v>-48921999.860459752</v>
      </c>
      <c r="E9" s="64">
        <f t="shared" si="2"/>
        <v>-20719163.274438284</v>
      </c>
      <c r="F9" s="64">
        <f t="shared" si="2"/>
        <v>-31970837.674965516</v>
      </c>
      <c r="G9" s="64">
        <f t="shared" si="2"/>
        <v>-26831361.219203249</v>
      </c>
      <c r="H9" s="64">
        <f t="shared" si="2"/>
        <v>-46236688.750301003</v>
      </c>
      <c r="I9" s="64">
        <f t="shared" si="1"/>
        <v>-213901441.44597447</v>
      </c>
    </row>
    <row r="13" spans="1:14">
      <c r="G13" s="67"/>
    </row>
  </sheetData>
  <mergeCells count="1"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D35F-C02C-413D-B160-BD902DC9BA11}">
  <sheetPr codeName="Sheet2"/>
  <dimension ref="A1:S12"/>
  <sheetViews>
    <sheetView zoomScale="98" workbookViewId="0">
      <selection activeCell="AU34" sqref="AU34"/>
    </sheetView>
  </sheetViews>
  <sheetFormatPr defaultColWidth="8.85546875" defaultRowHeight="15"/>
  <cols>
    <col min="1" max="1" width="77.140625" customWidth="1"/>
    <col min="2" max="2" width="15.5703125" customWidth="1"/>
    <col min="3" max="3" width="15.42578125" customWidth="1"/>
    <col min="4" max="4" width="15.85546875" customWidth="1"/>
    <col min="5" max="5" width="15.5703125" customWidth="1"/>
    <col min="6" max="6" width="18.85546875" customWidth="1"/>
    <col min="7" max="7" width="15.85546875" customWidth="1"/>
    <col min="8" max="8" width="16.42578125" customWidth="1"/>
    <col min="9" max="11" width="15.5703125" customWidth="1"/>
    <col min="12" max="18" width="16.140625" bestFit="1" customWidth="1"/>
    <col min="19" max="19" width="18.140625" customWidth="1"/>
    <col min="20" max="25" width="9.85546875" bestFit="1" customWidth="1"/>
  </cols>
  <sheetData>
    <row r="1" spans="1:19">
      <c r="A1" s="48" t="s">
        <v>6</v>
      </c>
    </row>
    <row r="4" spans="1:19" ht="18.75">
      <c r="A4" s="73" t="s">
        <v>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</row>
    <row r="5" spans="1:19" ht="15.75">
      <c r="A5" s="50" t="s">
        <v>0</v>
      </c>
      <c r="B5" s="50">
        <v>2010</v>
      </c>
      <c r="C5" s="50">
        <v>2011</v>
      </c>
      <c r="D5" s="50">
        <v>2012</v>
      </c>
      <c r="E5" s="50">
        <v>2013</v>
      </c>
      <c r="F5" s="50">
        <v>2014</v>
      </c>
      <c r="G5" s="50">
        <v>2015</v>
      </c>
      <c r="H5" s="50">
        <v>2016</v>
      </c>
      <c r="I5" s="50">
        <v>2017</v>
      </c>
      <c r="J5" s="50">
        <v>2018</v>
      </c>
      <c r="K5" s="50">
        <v>2019</v>
      </c>
      <c r="L5" s="50">
        <v>2020</v>
      </c>
      <c r="M5" s="50">
        <v>2021</v>
      </c>
      <c r="N5" s="50">
        <v>2022</v>
      </c>
      <c r="O5" s="50">
        <v>2023</v>
      </c>
      <c r="P5" s="50">
        <v>2024</v>
      </c>
      <c r="Q5" s="50">
        <v>2025</v>
      </c>
      <c r="R5" s="50">
        <v>2026</v>
      </c>
      <c r="S5" s="50" t="s">
        <v>8</v>
      </c>
    </row>
    <row r="6" spans="1:19" ht="15.75">
      <c r="A6" s="51" t="s">
        <v>9</v>
      </c>
      <c r="B6" s="52"/>
      <c r="C6" s="52"/>
      <c r="D6" s="47">
        <v>5.7999999999999996E-3</v>
      </c>
      <c r="E6" s="47">
        <v>1.0800000000000001E-2</v>
      </c>
      <c r="F6" s="47">
        <v>1.4000000000000002E-2</v>
      </c>
      <c r="G6" s="47">
        <v>1.3000000000000001E-2</v>
      </c>
      <c r="H6" s="47">
        <v>1.8000000000000002E-2</v>
      </c>
      <c r="I6" s="47">
        <v>1.6E-2</v>
      </c>
      <c r="J6" s="47">
        <v>6.0000000000000001E-3</v>
      </c>
      <c r="K6" s="47">
        <v>8.9999999999999993E-3</v>
      </c>
      <c r="L6" s="47">
        <v>1.4E-2</v>
      </c>
      <c r="M6" s="47">
        <v>1.6E-2</v>
      </c>
      <c r="N6" s="47">
        <v>2.7000000000000003E-2</v>
      </c>
      <c r="O6" s="47">
        <v>3.3999999999999996E-2</v>
      </c>
      <c r="P6" s="47">
        <v>4.4999999999999998E-2</v>
      </c>
      <c r="Q6" s="47">
        <v>3.2999999999999995E-2</v>
      </c>
      <c r="R6" s="49">
        <v>3.4000000000000002E-2</v>
      </c>
      <c r="S6" s="53"/>
    </row>
    <row r="7" spans="1:19" ht="15.75">
      <c r="A7" s="51" t="s">
        <v>10</v>
      </c>
      <c r="B7" s="52"/>
      <c r="C7" s="52"/>
      <c r="D7" s="47"/>
      <c r="E7" s="47"/>
      <c r="F7" s="47"/>
      <c r="G7" s="47">
        <v>1.3000000000000001E-2</v>
      </c>
      <c r="H7" s="47">
        <v>1.8000000000000002E-2</v>
      </c>
      <c r="I7" s="47">
        <v>1.6E-2</v>
      </c>
      <c r="J7" s="47">
        <v>9.0000000000000011E-3</v>
      </c>
      <c r="K7" s="47">
        <v>1.2E-2</v>
      </c>
      <c r="L7" s="47">
        <v>1.7000000000000001E-2</v>
      </c>
      <c r="M7" s="47">
        <v>1.9E-2</v>
      </c>
      <c r="N7" s="47">
        <v>3.0000000000000002E-2</v>
      </c>
      <c r="O7" s="47">
        <v>3.3999999999999996E-2</v>
      </c>
      <c r="P7" s="47">
        <v>4.4999999999999998E-2</v>
      </c>
      <c r="Q7" s="47">
        <v>3.2999999999999995E-2</v>
      </c>
      <c r="R7" s="49">
        <v>3.4000000000000002E-2</v>
      </c>
      <c r="S7" s="53"/>
    </row>
    <row r="8" spans="1:19" ht="15.75">
      <c r="A8" s="51" t="s">
        <v>11</v>
      </c>
      <c r="B8" s="52"/>
      <c r="C8" s="52"/>
      <c r="D8" s="47">
        <v>1.1900000000000001E-2</v>
      </c>
      <c r="E8" s="47">
        <v>1.1900000000000001E-2</v>
      </c>
      <c r="F8" s="47">
        <v>1.1900000000000001E-2</v>
      </c>
      <c r="G8" s="47">
        <v>1.1900000000000001E-2</v>
      </c>
      <c r="H8" s="47">
        <v>1.1900000000000001E-2</v>
      </c>
      <c r="I8" s="47">
        <v>1.1900000000000001E-2</v>
      </c>
      <c r="J8" s="47">
        <v>1.1900000000000001E-2</v>
      </c>
      <c r="K8" s="47">
        <v>1.1900000000000001E-2</v>
      </c>
      <c r="L8" s="47">
        <v>1.1900000000000001E-2</v>
      </c>
      <c r="M8" s="47">
        <v>1.1900000000000001E-2</v>
      </c>
      <c r="N8" s="47">
        <v>1.1900000000000001E-2</v>
      </c>
      <c r="O8" s="47">
        <v>1.1900000000000001E-2</v>
      </c>
      <c r="P8" s="47">
        <v>1.1900000000000001E-2</v>
      </c>
      <c r="Q8" s="47">
        <v>1.1900000000000001E-2</v>
      </c>
      <c r="R8" s="49">
        <v>1.1900000000000001E-2</v>
      </c>
      <c r="S8" s="53"/>
    </row>
    <row r="9" spans="1:19" ht="15.75">
      <c r="A9" s="51" t="s">
        <v>12</v>
      </c>
      <c r="B9" s="52"/>
      <c r="C9" s="52"/>
      <c r="D9" s="47"/>
      <c r="E9" s="47"/>
      <c r="F9" s="47"/>
      <c r="G9" s="47">
        <v>5.1999999999999998E-3</v>
      </c>
      <c r="H9" s="47">
        <v>5.1999999999999998E-3</v>
      </c>
      <c r="I9" s="47">
        <v>5.1999999999999998E-3</v>
      </c>
      <c r="J9" s="47">
        <v>5.1999999999999998E-3</v>
      </c>
      <c r="K9" s="47">
        <v>5.1999999999999998E-3</v>
      </c>
      <c r="L9" s="47">
        <v>5.1999999999999998E-3</v>
      </c>
      <c r="M9" s="47">
        <v>5.1999999999999998E-3</v>
      </c>
      <c r="N9" s="47">
        <v>5.1999999999999998E-3</v>
      </c>
      <c r="O9" s="47">
        <v>5.1999999999999998E-3</v>
      </c>
      <c r="P9" s="47">
        <v>5.1999999999999998E-3</v>
      </c>
      <c r="Q9" s="47">
        <v>5.1999999999999998E-3</v>
      </c>
      <c r="R9" s="49">
        <v>5.1999999999999998E-3</v>
      </c>
      <c r="S9" s="53"/>
    </row>
    <row r="10" spans="1:19" ht="15.75">
      <c r="A10" s="54" t="s">
        <v>13</v>
      </c>
      <c r="B10" s="55">
        <v>11317749</v>
      </c>
      <c r="C10" s="56">
        <f>B10</f>
        <v>11317749</v>
      </c>
      <c r="D10" s="56">
        <f>C10*(1+D6+D8)</f>
        <v>11518073.157300001</v>
      </c>
      <c r="E10" s="56">
        <f t="shared" ref="E10:R10" si="0">D10*(1+E6+E8)</f>
        <v>11779533.41797071</v>
      </c>
      <c r="F10" s="56">
        <f t="shared" si="0"/>
        <v>12084623.333496151</v>
      </c>
      <c r="G10" s="56">
        <f t="shared" si="0"/>
        <v>12385530.454500204</v>
      </c>
      <c r="H10" s="56">
        <f t="shared" si="0"/>
        <v>12755857.81508976</v>
      </c>
      <c r="I10" s="56">
        <f t="shared" si="0"/>
        <v>13111746.248130765</v>
      </c>
      <c r="J10" s="56">
        <f t="shared" si="0"/>
        <v>13346446.505972305</v>
      </c>
      <c r="K10" s="56">
        <f t="shared" si="0"/>
        <v>13625387.237947125</v>
      </c>
      <c r="L10" s="56">
        <f t="shared" si="0"/>
        <v>13978284.767409956</v>
      </c>
      <c r="M10" s="56">
        <f t="shared" si="0"/>
        <v>14368278.912420694</v>
      </c>
      <c r="N10" s="56">
        <f t="shared" si="0"/>
        <v>14927204.962113857</v>
      </c>
      <c r="O10" s="56">
        <f t="shared" si="0"/>
        <v>15612363.669874884</v>
      </c>
      <c r="P10" s="56">
        <f t="shared" si="0"/>
        <v>16500707.162690764</v>
      </c>
      <c r="Q10" s="56">
        <f t="shared" si="0"/>
        <v>17241588.91429558</v>
      </c>
      <c r="R10" s="56">
        <f t="shared" si="0"/>
        <v>18032977.845461749</v>
      </c>
      <c r="S10" s="57">
        <f>SUM(L10:R10)</f>
        <v>110661406.23426747</v>
      </c>
    </row>
    <row r="11" spans="1:19" ht="15.75">
      <c r="A11" s="54" t="s">
        <v>14</v>
      </c>
      <c r="B11" s="58"/>
      <c r="C11" s="58"/>
      <c r="D11" s="58"/>
      <c r="E11" s="58"/>
      <c r="F11" s="55">
        <v>27573789</v>
      </c>
      <c r="G11" s="56">
        <f>F11*(1+G7+G9)</f>
        <v>28075631.959800001</v>
      </c>
      <c r="H11" s="56">
        <f t="shared" ref="H11:R11" si="1">G11*(1+H7+H9)</f>
        <v>28726986.621267363</v>
      </c>
      <c r="I11" s="56">
        <f t="shared" si="1"/>
        <v>29335998.737638235</v>
      </c>
      <c r="J11" s="56">
        <f t="shared" si="1"/>
        <v>29752569.919712696</v>
      </c>
      <c r="K11" s="56">
        <f t="shared" si="1"/>
        <v>30264314.122331757</v>
      </c>
      <c r="L11" s="56">
        <f t="shared" si="1"/>
        <v>30936181.895847522</v>
      </c>
      <c r="M11" s="56">
        <f t="shared" si="1"/>
        <v>31684837.497727033</v>
      </c>
      <c r="N11" s="56">
        <f t="shared" si="1"/>
        <v>32800143.77764703</v>
      </c>
      <c r="O11" s="56">
        <f t="shared" si="1"/>
        <v>34085909.4137308</v>
      </c>
      <c r="P11" s="56">
        <f t="shared" si="1"/>
        <v>35797022.066300087</v>
      </c>
      <c r="Q11" s="56">
        <f t="shared" si="1"/>
        <v>37164468.309232749</v>
      </c>
      <c r="R11" s="56">
        <f t="shared" si="1"/>
        <v>38621315.466954678</v>
      </c>
      <c r="S11" s="57">
        <f t="shared" ref="S11:S12" si="2">SUM(L11:R11)</f>
        <v>241089878.4274399</v>
      </c>
    </row>
    <row r="12" spans="1:19" s="48" customFormat="1">
      <c r="A12" s="59" t="s">
        <v>15</v>
      </c>
      <c r="B12" s="60">
        <f>B10+B11</f>
        <v>11317749</v>
      </c>
      <c r="C12" s="60">
        <f t="shared" ref="C12:R12" si="3">C10+C11</f>
        <v>11317749</v>
      </c>
      <c r="D12" s="60">
        <f t="shared" si="3"/>
        <v>11518073.157300001</v>
      </c>
      <c r="E12" s="60">
        <f t="shared" si="3"/>
        <v>11779533.41797071</v>
      </c>
      <c r="F12" s="60">
        <f t="shared" si="3"/>
        <v>39658412.333496153</v>
      </c>
      <c r="G12" s="60">
        <f t="shared" si="3"/>
        <v>40461162.414300203</v>
      </c>
      <c r="H12" s="60">
        <f t="shared" si="3"/>
        <v>41482844.436357126</v>
      </c>
      <c r="I12" s="60">
        <f t="shared" si="3"/>
        <v>42447744.985769004</v>
      </c>
      <c r="J12" s="60">
        <f t="shared" si="3"/>
        <v>43099016.425685003</v>
      </c>
      <c r="K12" s="60">
        <f t="shared" si="3"/>
        <v>43889701.360278882</v>
      </c>
      <c r="L12" s="60">
        <f t="shared" si="3"/>
        <v>44914466.66325748</v>
      </c>
      <c r="M12" s="60">
        <f t="shared" si="3"/>
        <v>46053116.410147727</v>
      </c>
      <c r="N12" s="60">
        <f t="shared" si="3"/>
        <v>47727348.739760891</v>
      </c>
      <c r="O12" s="60">
        <f t="shared" si="3"/>
        <v>49698273.083605684</v>
      </c>
      <c r="P12" s="60">
        <f t="shared" si="3"/>
        <v>52297729.228990853</v>
      </c>
      <c r="Q12" s="60">
        <f t="shared" si="3"/>
        <v>54406057.223528326</v>
      </c>
      <c r="R12" s="61">
        <f t="shared" si="3"/>
        <v>56654293.312416427</v>
      </c>
      <c r="S12" s="62">
        <f t="shared" si="2"/>
        <v>351751284.6617074</v>
      </c>
    </row>
  </sheetData>
  <mergeCells count="1">
    <mergeCell ref="A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0C6D-424F-420B-BE4D-C82A7906DC2B}">
  <sheetPr codeName="Sheet3"/>
  <dimension ref="A1:N107"/>
  <sheetViews>
    <sheetView topLeftCell="C66" workbookViewId="0">
      <selection activeCell="J66" sqref="J66"/>
    </sheetView>
  </sheetViews>
  <sheetFormatPr defaultColWidth="9.140625" defaultRowHeight="15"/>
  <cols>
    <col min="1" max="1" width="4.140625" style="2" customWidth="1"/>
    <col min="2" max="2" width="13.5703125" style="2" customWidth="1"/>
    <col min="3" max="3" width="61.5703125" style="2" customWidth="1"/>
    <col min="4" max="4" width="3.5703125" style="2" customWidth="1"/>
    <col min="5" max="5" width="27.5703125" style="2" customWidth="1"/>
    <col min="6" max="6" width="16.42578125" style="2" bestFit="1" customWidth="1"/>
    <col min="7" max="7" width="3.5703125" style="2" customWidth="1"/>
    <col min="8" max="8" width="22.5703125" style="2" customWidth="1"/>
    <col min="9" max="9" width="9.140625" style="2"/>
    <col min="10" max="10" width="12.85546875" style="2" customWidth="1"/>
    <col min="11" max="11" width="12" style="2" customWidth="1"/>
    <col min="12" max="12" width="50.5703125" style="2" bestFit="1" customWidth="1"/>
    <col min="13" max="13" width="9.140625" style="2"/>
    <col min="14" max="14" width="17.5703125" style="2" bestFit="1" customWidth="1"/>
    <col min="15" max="15" width="3.5703125" style="2" customWidth="1"/>
    <col min="16" max="16384" width="9.140625" style="2"/>
  </cols>
  <sheetData>
    <row r="1" spans="1:8">
      <c r="A1" s="1"/>
      <c r="B1" s="1"/>
      <c r="C1" s="1"/>
      <c r="D1" s="1"/>
      <c r="E1" s="1"/>
      <c r="F1" s="1"/>
    </row>
    <row r="2" spans="1:8" s="1" customFormat="1" ht="18">
      <c r="C2" s="3"/>
    </row>
    <row r="3" spans="1:8" s="1" customFormat="1" ht="29.25" customHeight="1">
      <c r="C3" s="3"/>
      <c r="H3" s="4" t="s">
        <v>16</v>
      </c>
    </row>
    <row r="4" spans="1:8" s="1" customFormat="1" ht="29.25" customHeight="1">
      <c r="C4" s="3"/>
      <c r="H4" s="1" t="s">
        <v>17</v>
      </c>
    </row>
    <row r="5" spans="1:8" s="1" customFormat="1" ht="29.25" customHeight="1">
      <c r="C5" s="3"/>
      <c r="H5" s="1" t="s">
        <v>18</v>
      </c>
    </row>
    <row r="6" spans="1:8" s="1" customFormat="1"/>
    <row r="7" spans="1:8" s="1" customFormat="1"/>
    <row r="8" spans="1:8" s="1" customFormat="1" ht="15.75">
      <c r="A8" s="5" t="s">
        <v>19</v>
      </c>
    </row>
    <row r="9" spans="1:8" s="1" customFormat="1" ht="23.25">
      <c r="C9" s="68" t="s">
        <v>20</v>
      </c>
      <c r="D9" s="68"/>
      <c r="E9" s="68"/>
    </row>
    <row r="10" spans="1:8" s="1" customFormat="1" ht="15.75" customHeight="1">
      <c r="C10" s="6"/>
    </row>
    <row r="11" spans="1:8" s="1" customFormat="1"/>
    <row r="12" spans="1:8" s="1" customFormat="1"/>
    <row r="13" spans="1:8" s="1" customFormat="1" ht="23.25" customHeight="1">
      <c r="C13" s="7" t="s">
        <v>21</v>
      </c>
      <c r="E13" s="8">
        <v>2011</v>
      </c>
    </row>
    <row r="14" spans="1:8" s="1" customFormat="1" ht="15.75">
      <c r="C14" s="7" t="s">
        <v>22</v>
      </c>
      <c r="E14" s="8">
        <v>14</v>
      </c>
      <c r="F14" s="5"/>
    </row>
    <row r="15" spans="1:8" s="1" customFormat="1">
      <c r="E15" s="9"/>
    </row>
    <row r="16" spans="1:8" s="1" customFormat="1" ht="15.75">
      <c r="C16" s="10" t="s">
        <v>23</v>
      </c>
      <c r="D16" s="11"/>
      <c r="E16" s="12" t="s">
        <v>24</v>
      </c>
      <c r="F16" s="5"/>
    </row>
    <row r="17" spans="3:6" s="1" customFormat="1" ht="15.75">
      <c r="C17" s="7" t="s">
        <v>25</v>
      </c>
    </row>
    <row r="18" spans="3:6" s="1" customFormat="1" ht="21" customHeight="1">
      <c r="C18" s="13" t="str">
        <f>'[3]1. Information Sheet'!F48</f>
        <v>Revenues Based on 2023 Actual Distribution Demand</v>
      </c>
      <c r="E18" s="14">
        <f>'[3]4. Growth Factor - NUM_CALC2'!N23</f>
        <v>26982823.090299994</v>
      </c>
      <c r="F18" s="7"/>
    </row>
    <row r="19" spans="3:6" s="1" customFormat="1" ht="12.75" customHeight="1">
      <c r="C19" s="13" t="str">
        <f>'[3]1. Information Sheet'!F49</f>
        <v>Revenues Based on 2011 Board-Approved Distribution Demand</v>
      </c>
      <c r="E19" s="14">
        <f>'[3]6. Growth Factor - DEN_CALC'!N23</f>
        <v>23602558.322999995</v>
      </c>
      <c r="F19" s="7"/>
    </row>
    <row r="20" spans="3:6" s="1" customFormat="1" ht="15.75">
      <c r="C20" s="10" t="s">
        <v>26</v>
      </c>
      <c r="D20" s="11"/>
      <c r="E20" s="12">
        <f>((E18/E19)-1)/12</f>
        <v>1.1934669401233333E-2</v>
      </c>
      <c r="F20" s="5"/>
    </row>
    <row r="21" spans="3:6" s="1" customFormat="1" ht="15.75">
      <c r="C21" s="10" t="s">
        <v>27</v>
      </c>
      <c r="D21" s="11"/>
      <c r="E21" s="15">
        <v>0.1</v>
      </c>
      <c r="F21" s="7"/>
    </row>
    <row r="22" spans="3:6" s="1" customFormat="1" ht="24.75" customHeight="1">
      <c r="C22" s="7" t="s">
        <v>28</v>
      </c>
      <c r="E22" s="9"/>
    </row>
    <row r="23" spans="3:6" s="1" customFormat="1">
      <c r="C23" s="1" t="s">
        <v>29</v>
      </c>
      <c r="E23" s="16">
        <v>129145318</v>
      </c>
    </row>
    <row r="24" spans="3:6" s="1" customFormat="1">
      <c r="C24" s="17" t="s">
        <v>30</v>
      </c>
      <c r="E24" s="16">
        <v>0</v>
      </c>
    </row>
    <row r="25" spans="3:6" s="1" customFormat="1">
      <c r="C25" s="17" t="s">
        <v>31</v>
      </c>
      <c r="E25" s="16">
        <v>0</v>
      </c>
    </row>
    <row r="26" spans="3:6" s="1" customFormat="1">
      <c r="C26" s="17" t="s">
        <v>32</v>
      </c>
      <c r="E26" s="16">
        <v>0</v>
      </c>
    </row>
    <row r="27" spans="3:6" s="1" customFormat="1">
      <c r="C27" s="17" t="s">
        <v>33</v>
      </c>
      <c r="E27" s="16">
        <v>0</v>
      </c>
    </row>
    <row r="28" spans="3:6" s="1" customFormat="1">
      <c r="C28" s="17" t="s">
        <v>34</v>
      </c>
      <c r="E28" s="16">
        <v>0</v>
      </c>
    </row>
    <row r="29" spans="3:6" s="1" customFormat="1">
      <c r="C29" s="1" t="s">
        <v>35</v>
      </c>
      <c r="E29" s="16">
        <v>129145318</v>
      </c>
    </row>
    <row r="30" spans="3:6" s="1" customFormat="1">
      <c r="E30" s="16"/>
    </row>
    <row r="31" spans="3:6" s="1" customFormat="1">
      <c r="C31" s="1" t="s">
        <v>36</v>
      </c>
      <c r="E31" s="18">
        <f>(E23+E29)/2</f>
        <v>129145318</v>
      </c>
    </row>
    <row r="32" spans="3:6" s="1" customFormat="1">
      <c r="E32" s="16"/>
    </row>
    <row r="33" spans="3:6" s="1" customFormat="1">
      <c r="C33" s="17" t="s">
        <v>37</v>
      </c>
      <c r="E33" s="16">
        <v>64061997</v>
      </c>
    </row>
    <row r="34" spans="3:6" s="1" customFormat="1" ht="15.75">
      <c r="C34" s="19" t="s">
        <v>38</v>
      </c>
      <c r="E34" s="16">
        <v>4800644</v>
      </c>
      <c r="F34" s="7"/>
    </row>
    <row r="35" spans="3:6" s="1" customFormat="1">
      <c r="C35" s="19" t="s">
        <v>39</v>
      </c>
      <c r="E35" s="16">
        <v>0</v>
      </c>
    </row>
    <row r="36" spans="3:6" s="1" customFormat="1">
      <c r="C36" s="19" t="s">
        <v>40</v>
      </c>
      <c r="E36" s="16">
        <v>0</v>
      </c>
    </row>
    <row r="37" spans="3:6" s="1" customFormat="1">
      <c r="C37" s="17" t="s">
        <v>41</v>
      </c>
      <c r="E37" s="16">
        <v>68862641</v>
      </c>
    </row>
    <row r="38" spans="3:6" s="1" customFormat="1">
      <c r="C38" s="17"/>
      <c r="E38" s="16"/>
    </row>
    <row r="39" spans="3:6" s="1" customFormat="1">
      <c r="C39" s="1" t="s">
        <v>42</v>
      </c>
      <c r="E39" s="18">
        <f>(E33+E37)/2</f>
        <v>66462319</v>
      </c>
    </row>
    <row r="40" spans="3:6" s="1" customFormat="1">
      <c r="E40" s="16"/>
    </row>
    <row r="41" spans="3:6" s="1" customFormat="1" ht="15.75">
      <c r="C41" s="7" t="s">
        <v>43</v>
      </c>
      <c r="E41" s="18">
        <f>E31-E39</f>
        <v>62682999</v>
      </c>
      <c r="F41" s="7"/>
    </row>
    <row r="42" spans="3:6" s="1" customFormat="1">
      <c r="E42" s="9"/>
    </row>
    <row r="43" spans="3:6" s="1" customFormat="1">
      <c r="E43" s="9"/>
    </row>
    <row r="44" spans="3:6" s="1" customFormat="1" ht="15.75">
      <c r="C44" s="7" t="s">
        <v>44</v>
      </c>
      <c r="E44" s="9"/>
    </row>
    <row r="45" spans="3:6" s="1" customFormat="1">
      <c r="C45" s="17" t="s">
        <v>45</v>
      </c>
      <c r="E45" s="16">
        <v>87235651</v>
      </c>
    </row>
    <row r="46" spans="3:6" s="1" customFormat="1">
      <c r="C46" s="17" t="s">
        <v>46</v>
      </c>
      <c r="E46" s="20">
        <v>0.15</v>
      </c>
    </row>
    <row r="47" spans="3:6" s="1" customFormat="1" ht="15.75">
      <c r="C47" s="7" t="s">
        <v>44</v>
      </c>
      <c r="E47" s="18">
        <f>E45*E46</f>
        <v>13085347.65</v>
      </c>
      <c r="F47" s="7"/>
    </row>
    <row r="48" spans="3:6" s="1" customFormat="1">
      <c r="E48" s="9"/>
    </row>
    <row r="49" spans="2:12" s="1" customFormat="1" ht="16.5" thickBot="1">
      <c r="C49" s="7" t="s">
        <v>47</v>
      </c>
      <c r="E49" s="21">
        <f>E41+E47</f>
        <v>75768346.650000006</v>
      </c>
      <c r="F49" s="5"/>
      <c r="L49" s="7" t="s">
        <v>48</v>
      </c>
    </row>
    <row r="50" spans="2:12" s="1" customFormat="1">
      <c r="E50" s="9"/>
      <c r="F50" s="17"/>
    </row>
    <row r="51" spans="2:12" s="1" customFormat="1" ht="15.75">
      <c r="C51" s="7" t="s">
        <v>49</v>
      </c>
      <c r="D51" s="22"/>
      <c r="E51" s="23">
        <f>E34</f>
        <v>4800644</v>
      </c>
      <c r="F51" s="5"/>
    </row>
    <row r="52" spans="2:12" s="1" customFormat="1">
      <c r="E52" s="9"/>
      <c r="H52" s="24"/>
    </row>
    <row r="53" spans="2:12" s="1" customFormat="1" ht="47.25">
      <c r="C53" s="7" t="s">
        <v>50</v>
      </c>
      <c r="E53" s="25"/>
      <c r="F53" s="26" t="s">
        <v>51</v>
      </c>
      <c r="J53" s="27" t="s">
        <v>52</v>
      </c>
      <c r="K53" s="27" t="s">
        <v>53</v>
      </c>
      <c r="L53" s="27" t="s">
        <v>54</v>
      </c>
    </row>
    <row r="54" spans="2:12" s="1" customFormat="1" ht="15.75">
      <c r="B54" s="28"/>
      <c r="C54" s="1" t="s">
        <v>55</v>
      </c>
      <c r="E54" s="25">
        <f>L54</f>
        <v>1.2809979964963452</v>
      </c>
      <c r="F54" s="29">
        <v>5.7999999999999996E-3</v>
      </c>
      <c r="J54" s="30">
        <f t="shared" ref="J54:J72" si="0">(RB/d)*(g+F54*(1+g))</f>
        <v>0.28099799649634521</v>
      </c>
      <c r="K54" s="31">
        <v>1</v>
      </c>
      <c r="L54" s="32">
        <f>1+J54*K54</f>
        <v>1.2809979964963452</v>
      </c>
    </row>
    <row r="55" spans="2:12" s="1" customFormat="1" ht="15.75">
      <c r="B55" s="28"/>
      <c r="C55" s="1" t="s">
        <v>56</v>
      </c>
      <c r="E55" s="25">
        <f t="shared" ref="E55:E72" si="1">L55</f>
        <v>1.367279207218159</v>
      </c>
      <c r="F55" s="29">
        <v>1.0800000000000001E-2</v>
      </c>
      <c r="J55" s="30">
        <f t="shared" si="0"/>
        <v>0.36085459158894723</v>
      </c>
      <c r="K55" s="33">
        <f>K54*((1+g)*(1+F54))</f>
        <v>1.0178038904837603</v>
      </c>
      <c r="L55" s="32">
        <f t="shared" ref="L55:L72" si="2">1+J55*K55</f>
        <v>1.367279207218159</v>
      </c>
    </row>
    <row r="56" spans="2:12" s="1" customFormat="1" ht="15.75">
      <c r="B56" s="28"/>
      <c r="C56" s="1" t="s">
        <v>57</v>
      </c>
      <c r="E56" s="25">
        <f t="shared" si="1"/>
        <v>1.4288839850443975</v>
      </c>
      <c r="F56" s="29">
        <v>1.4000000000000002E-2</v>
      </c>
      <c r="J56" s="30">
        <f t="shared" si="0"/>
        <v>0.41196281244821248</v>
      </c>
      <c r="K56" s="33">
        <f t="shared" ref="K56:K72" si="3">K55*((1+g)*(1+F55))</f>
        <v>1.0410745147010381</v>
      </c>
      <c r="L56" s="32">
        <f t="shared" si="2"/>
        <v>1.4288839850443975</v>
      </c>
    </row>
    <row r="57" spans="2:12" s="1" customFormat="1" ht="16.5" thickBot="1">
      <c r="B57" s="28"/>
      <c r="C57" s="1" t="s">
        <v>58</v>
      </c>
      <c r="E57" s="25">
        <f t="shared" si="1"/>
        <v>1.4230172738780704</v>
      </c>
      <c r="F57" s="29">
        <v>1.3000000000000001E-2</v>
      </c>
      <c r="J57" s="30">
        <f t="shared" si="0"/>
        <v>0.39599149342969203</v>
      </c>
      <c r="K57" s="33">
        <f t="shared" si="3"/>
        <v>1.0682483863840291</v>
      </c>
      <c r="L57" s="32">
        <f t="shared" si="2"/>
        <v>1.4230172738780704</v>
      </c>
    </row>
    <row r="58" spans="2:12" s="1" customFormat="1" ht="15.4" customHeight="1">
      <c r="B58" s="28"/>
      <c r="C58" s="1" t="s">
        <v>59</v>
      </c>
      <c r="E58" s="25">
        <f t="shared" si="1"/>
        <v>1.5210777092560814</v>
      </c>
      <c r="F58" s="29">
        <v>1.8000000000000002E-2</v>
      </c>
      <c r="H58" s="69" t="s">
        <v>60</v>
      </c>
      <c r="J58" s="30">
        <f t="shared" si="0"/>
        <v>0.47584808852229404</v>
      </c>
      <c r="K58" s="33">
        <f t="shared" si="3"/>
        <v>1.0950505462242042</v>
      </c>
      <c r="L58" s="32">
        <f t="shared" si="2"/>
        <v>1.5210777092560814</v>
      </c>
    </row>
    <row r="59" spans="2:12" s="1" customFormat="1" ht="16.5" thickBot="1">
      <c r="B59" s="28"/>
      <c r="C59" s="1" t="s">
        <v>61</v>
      </c>
      <c r="E59" s="25">
        <f t="shared" si="1"/>
        <v>1.5007545418092758</v>
      </c>
      <c r="F59" s="29">
        <v>1.6E-2</v>
      </c>
      <c r="H59" s="70"/>
      <c r="J59" s="30">
        <f t="shared" si="0"/>
        <v>0.44390545048525321</v>
      </c>
      <c r="K59" s="33">
        <f t="shared" si="3"/>
        <v>1.1280657654955084</v>
      </c>
      <c r="L59" s="32">
        <f t="shared" si="2"/>
        <v>1.5007545418092758</v>
      </c>
    </row>
    <row r="60" spans="2:12" s="1" customFormat="1" ht="16.5" thickBot="1">
      <c r="B60" s="28"/>
      <c r="C60" s="1" t="s">
        <v>62</v>
      </c>
      <c r="E60" s="25">
        <f t="shared" si="1"/>
        <v>1.3296042848612353</v>
      </c>
      <c r="F60" s="29">
        <v>6.0000000000000001E-3</v>
      </c>
      <c r="H60" s="34">
        <f>GEOMEAN(F54:F68)</f>
        <v>1.6255213829254069E-2</v>
      </c>
      <c r="J60" s="30">
        <f t="shared" si="0"/>
        <v>0.28419226030004929</v>
      </c>
      <c r="K60" s="33">
        <f t="shared" si="3"/>
        <v>1.1597933191890593</v>
      </c>
      <c r="L60" s="32">
        <f t="shared" si="2"/>
        <v>1.3296042848612353</v>
      </c>
    </row>
    <row r="61" spans="2:12" s="1" customFormat="1" ht="15.75">
      <c r="B61" s="28"/>
      <c r="C61" s="1" t="s">
        <v>63</v>
      </c>
      <c r="E61" s="25">
        <f t="shared" si="1"/>
        <v>1.392110132350544</v>
      </c>
      <c r="F61" s="29">
        <v>8.9999999999999993E-3</v>
      </c>
      <c r="J61" s="30">
        <f t="shared" si="0"/>
        <v>0.33210621735561052</v>
      </c>
      <c r="K61" s="33">
        <f t="shared" si="3"/>
        <v>1.1806768794415037</v>
      </c>
      <c r="L61" s="32">
        <f t="shared" si="2"/>
        <v>1.392110132350544</v>
      </c>
    </row>
    <row r="62" spans="2:12" s="1" customFormat="1" ht="15.75">
      <c r="B62" s="28"/>
      <c r="C62" s="1" t="s">
        <v>64</v>
      </c>
      <c r="E62" s="25">
        <f t="shared" si="1"/>
        <v>1.4966297303658647</v>
      </c>
      <c r="F62" s="29">
        <v>1.4E-2</v>
      </c>
      <c r="J62" s="30">
        <f t="shared" si="0"/>
        <v>0.41196281244821248</v>
      </c>
      <c r="K62" s="33">
        <f t="shared" si="3"/>
        <v>1.2055207784763236</v>
      </c>
      <c r="L62" s="32">
        <f t="shared" si="2"/>
        <v>1.4966297303658647</v>
      </c>
    </row>
    <row r="63" spans="2:12" s="1" customFormat="1" ht="15.75">
      <c r="B63" s="28"/>
      <c r="C63" s="1" t="s">
        <v>65</v>
      </c>
      <c r="E63" s="25">
        <f t="shared" si="1"/>
        <v>1.5491052653578075</v>
      </c>
      <c r="F63" s="29">
        <v>1.6E-2</v>
      </c>
      <c r="J63" s="30">
        <f t="shared" si="0"/>
        <v>0.44390545048525321</v>
      </c>
      <c r="K63" s="33">
        <f t="shared" si="3"/>
        <v>1.2369869862096885</v>
      </c>
      <c r="L63" s="32">
        <f t="shared" si="2"/>
        <v>1.5491052653578075</v>
      </c>
    </row>
    <row r="64" spans="2:12" s="1" customFormat="1" ht="15.75">
      <c r="B64" s="28"/>
      <c r="C64" s="1" t="s">
        <v>66</v>
      </c>
      <c r="E64" s="25">
        <f t="shared" si="1"/>
        <v>1.7879808904194636</v>
      </c>
      <c r="F64" s="29">
        <v>2.7000000000000003E-2</v>
      </c>
      <c r="J64" s="30">
        <f t="shared" si="0"/>
        <v>0.61958995968897757</v>
      </c>
      <c r="K64" s="33">
        <f t="shared" si="3"/>
        <v>1.2717780172148287</v>
      </c>
      <c r="L64" s="32">
        <f t="shared" si="2"/>
        <v>1.7879808904194636</v>
      </c>
    </row>
    <row r="65" spans="2:12" s="1" customFormat="1" ht="15.75">
      <c r="B65" s="28"/>
      <c r="C65" s="1" t="s">
        <v>67</v>
      </c>
      <c r="E65" s="25">
        <f t="shared" si="1"/>
        <v>1.9666800850594621</v>
      </c>
      <c r="F65" s="29">
        <v>3.3999999999999996E-2</v>
      </c>
      <c r="J65" s="30">
        <f t="shared" si="0"/>
        <v>0.73138919281862014</v>
      </c>
      <c r="K65" s="33">
        <f t="shared" si="3"/>
        <v>1.3217040866218988</v>
      </c>
      <c r="L65" s="32">
        <f t="shared" si="2"/>
        <v>1.9666800850594621</v>
      </c>
    </row>
    <row r="66" spans="2:12" s="1" customFormat="1" ht="15.75">
      <c r="B66" s="28"/>
      <c r="C66" s="1" t="s">
        <v>68</v>
      </c>
      <c r="E66" s="25">
        <f t="shared" si="1"/>
        <v>2.2544397952152408</v>
      </c>
      <c r="F66" s="29">
        <v>4.4999999999999998E-2</v>
      </c>
      <c r="J66" s="30">
        <f t="shared" si="0"/>
        <v>0.9070737020223445</v>
      </c>
      <c r="K66" s="33">
        <f t="shared" si="3"/>
        <v>1.3829524463320177</v>
      </c>
      <c r="L66" s="32">
        <f>1+J66*K66</f>
        <v>2.2544397952152408</v>
      </c>
    </row>
    <row r="67" spans="2:12" s="1" customFormat="1" ht="15.75">
      <c r="B67" s="28"/>
      <c r="C67" s="1" t="s">
        <v>69</v>
      </c>
      <c r="E67" s="25">
        <f t="shared" si="1"/>
        <v>2.0462507899031541</v>
      </c>
      <c r="F67" s="29">
        <v>3.2999999999999995E-2</v>
      </c>
      <c r="J67" s="30">
        <f t="shared" si="0"/>
        <v>0.71541787380009969</v>
      </c>
      <c r="K67" s="33">
        <f t="shared" si="3"/>
        <v>1.4624331152725647</v>
      </c>
      <c r="L67" s="32">
        <f t="shared" si="2"/>
        <v>2.0462507899031541</v>
      </c>
    </row>
    <row r="68" spans="2:12" s="1" customFormat="1" ht="15.75">
      <c r="B68" s="28"/>
      <c r="C68" s="1" t="s">
        <v>70</v>
      </c>
      <c r="E68" s="25">
        <f t="shared" si="1"/>
        <v>1.9471814433019961</v>
      </c>
      <c r="F68" s="29">
        <v>2.7E-2</v>
      </c>
      <c r="J68" s="30">
        <f t="shared" si="0"/>
        <v>0.61958995968897757</v>
      </c>
      <c r="K68" s="33">
        <f t="shared" si="3"/>
        <v>1.5287230344685752</v>
      </c>
      <c r="L68" s="32">
        <f t="shared" si="2"/>
        <v>1.9471814433019961</v>
      </c>
    </row>
    <row r="69" spans="2:12" s="1" customFormat="1" ht="15.75">
      <c r="B69" s="28"/>
      <c r="C69" s="1" t="s">
        <v>71</v>
      </c>
      <c r="E69" s="25">
        <f t="shared" si="1"/>
        <v>1.9843648556894395</v>
      </c>
      <c r="F69" s="29">
        <f>F68</f>
        <v>2.7E-2</v>
      </c>
      <c r="J69" s="30">
        <f t="shared" si="0"/>
        <v>0.61958995968897757</v>
      </c>
      <c r="K69" s="33">
        <f t="shared" si="3"/>
        <v>1.5887359701302648</v>
      </c>
      <c r="L69" s="32">
        <f t="shared" si="2"/>
        <v>1.9843648556894395</v>
      </c>
    </row>
    <row r="70" spans="2:12" s="1" customFormat="1" ht="15.75">
      <c r="B70" s="28"/>
      <c r="C70" s="1" t="s">
        <v>72</v>
      </c>
      <c r="E70" s="25">
        <f t="shared" si="1"/>
        <v>2.0230079737822173</v>
      </c>
      <c r="F70" s="29">
        <f t="shared" ref="F70:F72" si="4">F69</f>
        <v>2.7E-2</v>
      </c>
      <c r="J70" s="30">
        <f t="shared" si="0"/>
        <v>0.61958995968897757</v>
      </c>
      <c r="K70" s="33">
        <f t="shared" si="3"/>
        <v>1.6511048279345066</v>
      </c>
      <c r="L70" s="32">
        <f t="shared" si="2"/>
        <v>2.0230079737822173</v>
      </c>
    </row>
    <row r="71" spans="2:12" s="1" customFormat="1" ht="15.75">
      <c r="B71" s="28"/>
      <c r="C71" s="1" t="s">
        <v>73</v>
      </c>
      <c r="E71" s="25">
        <f t="shared" si="1"/>
        <v>2.0631681011092251</v>
      </c>
      <c r="F71" s="29">
        <f t="shared" si="4"/>
        <v>2.7E-2</v>
      </c>
      <c r="J71" s="30">
        <f t="shared" si="0"/>
        <v>0.61958995968897757</v>
      </c>
      <c r="K71" s="33">
        <f t="shared" si="3"/>
        <v>1.7159220940941573</v>
      </c>
      <c r="L71" s="32">
        <f t="shared" si="2"/>
        <v>2.0631681011092251</v>
      </c>
    </row>
    <row r="72" spans="2:12" s="1" customFormat="1" ht="15.75">
      <c r="B72" s="28"/>
      <c r="C72" s="1" t="s">
        <v>74</v>
      </c>
      <c r="E72" s="25">
        <f t="shared" si="1"/>
        <v>2.1049047907585754</v>
      </c>
      <c r="F72" s="29">
        <f t="shared" si="4"/>
        <v>2.7E-2</v>
      </c>
      <c r="J72" s="30">
        <f t="shared" si="0"/>
        <v>0.61958995968897757</v>
      </c>
      <c r="K72" s="33">
        <f t="shared" si="3"/>
        <v>1.7832838855445896</v>
      </c>
      <c r="L72" s="32">
        <f t="shared" si="2"/>
        <v>2.1049047907585754</v>
      </c>
    </row>
    <row r="73" spans="2:12" s="1" customFormat="1" ht="15.75">
      <c r="C73" s="7"/>
      <c r="E73" s="9"/>
    </row>
    <row r="74" spans="2:12" s="1" customFormat="1" ht="15.75">
      <c r="C74" s="7" t="s">
        <v>75</v>
      </c>
      <c r="E74" s="35"/>
      <c r="F74" s="7"/>
    </row>
    <row r="75" spans="2:12" s="1" customFormat="1" ht="15.75">
      <c r="C75" s="1" t="str">
        <f>C54</f>
        <v xml:space="preserve">    Price Cap IR Year 2012</v>
      </c>
      <c r="E75" s="36">
        <f t="shared" ref="E75:E93" si="5">IF(ISERROR(d*E54), "", d*E54)</f>
        <v>6149615.3458922002</v>
      </c>
      <c r="H75"/>
      <c r="L75" s="37"/>
    </row>
    <row r="76" spans="2:12" s="1" customFormat="1" ht="15.75">
      <c r="C76" s="1" t="str">
        <f t="shared" ref="C76:C93" si="6">C55</f>
        <v xml:space="preserve">    Price Cap IR Year 2013</v>
      </c>
      <c r="E76" s="36">
        <f t="shared" si="5"/>
        <v>6563820.7224566117</v>
      </c>
      <c r="H76"/>
      <c r="L76" s="37"/>
    </row>
    <row r="77" spans="2:12" s="1" customFormat="1" ht="15.75">
      <c r="C77" s="1" t="str">
        <f t="shared" si="6"/>
        <v xml:space="preserve">    Price Cap IR Year 2014</v>
      </c>
      <c r="E77" s="36">
        <f t="shared" si="5"/>
        <v>6859563.3294994766</v>
      </c>
      <c r="H77"/>
      <c r="L77" s="37"/>
    </row>
    <row r="78" spans="2:12" s="1" customFormat="1" ht="15.75">
      <c r="C78" s="1" t="str">
        <f t="shared" si="6"/>
        <v xml:space="preserve">    Price Cap IR Year 2015</v>
      </c>
      <c r="E78" s="36">
        <f t="shared" si="5"/>
        <v>6831399.3377391156</v>
      </c>
      <c r="H78"/>
      <c r="L78" s="37"/>
    </row>
    <row r="79" spans="2:12" s="1" customFormat="1" ht="15.75">
      <c r="C79" s="1" t="str">
        <f t="shared" si="6"/>
        <v xml:space="preserve">    Price Cap IR Year 2016</v>
      </c>
      <c r="E79" s="36">
        <f t="shared" si="5"/>
        <v>7302152.5784739517</v>
      </c>
      <c r="H79"/>
      <c r="L79" s="37"/>
    </row>
    <row r="80" spans="2:12" s="1" customFormat="1" ht="15.75">
      <c r="C80" s="1" t="str">
        <f t="shared" si="6"/>
        <v xml:space="preserve">    Price Cap IR Year 2017</v>
      </c>
      <c r="E80" s="36">
        <f t="shared" si="5"/>
        <v>7204588.2866094494</v>
      </c>
      <c r="H80"/>
      <c r="L80" s="37"/>
    </row>
    <row r="81" spans="2:14" s="1" customFormat="1" ht="15.75">
      <c r="C81" s="1" t="str">
        <f t="shared" si="6"/>
        <v xml:space="preserve">    Price Cap IR Year 2018</v>
      </c>
      <c r="E81" s="36">
        <f t="shared" si="5"/>
        <v>6382956.8324933797</v>
      </c>
      <c r="H81"/>
      <c r="L81" s="37"/>
    </row>
    <row r="82" spans="2:14" s="1" customFormat="1" ht="15.75">
      <c r="C82" s="1" t="str">
        <f t="shared" si="6"/>
        <v xml:space="preserve">    Price Cap IR Year 2019</v>
      </c>
      <c r="E82" s="36">
        <f t="shared" si="5"/>
        <v>6683025.1542078452</v>
      </c>
      <c r="H82"/>
      <c r="L82" s="37"/>
    </row>
    <row r="83" spans="2:14" s="1" customFormat="1" ht="15.75">
      <c r="C83" s="1" t="str">
        <f t="shared" si="6"/>
        <v xml:space="preserve">    Price Cap IR Year 2020</v>
      </c>
      <c r="E83" s="36">
        <f t="shared" si="5"/>
        <v>7184786.5353025058</v>
      </c>
      <c r="H83"/>
      <c r="L83" s="37"/>
    </row>
    <row r="84" spans="2:14" s="1" customFormat="1" ht="15.75">
      <c r="C84" s="1" t="str">
        <f t="shared" si="6"/>
        <v xml:space="preserve">    Price Cap IR Year 2021</v>
      </c>
      <c r="E84" s="36">
        <f t="shared" si="5"/>
        <v>7436702.897508366</v>
      </c>
      <c r="H84"/>
      <c r="L84" s="37"/>
    </row>
    <row r="85" spans="2:14" s="1" customFormat="1" ht="15.75">
      <c r="C85" s="1" t="str">
        <f t="shared" si="6"/>
        <v xml:space="preserve">    Price Cap IR Year 2022</v>
      </c>
      <c r="E85" s="36">
        <f t="shared" si="5"/>
        <v>8583459.7337068561</v>
      </c>
      <c r="H85"/>
      <c r="L85" s="37"/>
    </row>
    <row r="86" spans="2:14" s="1" customFormat="1" ht="15.75">
      <c r="C86" s="1" t="str">
        <f t="shared" si="6"/>
        <v xml:space="preserve">    Price Cap IR Year 2023</v>
      </c>
      <c r="E86" s="36">
        <f t="shared" si="5"/>
        <v>9441330.9502601959</v>
      </c>
      <c r="H86"/>
      <c r="L86" s="37"/>
    </row>
    <row r="87" spans="2:14" s="1" customFormat="1" ht="15.75">
      <c r="C87" s="1" t="str">
        <f t="shared" si="6"/>
        <v xml:space="preserve">    Price Cap IR Year 2024</v>
      </c>
      <c r="E87" s="36">
        <f t="shared" si="5"/>
        <v>10822762.876261275</v>
      </c>
      <c r="H87"/>
      <c r="L87" s="37"/>
    </row>
    <row r="88" spans="2:14" s="1" customFormat="1" ht="15.75">
      <c r="C88" s="38" t="str">
        <f t="shared" si="6"/>
        <v xml:space="preserve">    Price Cap IR Year 2025</v>
      </c>
      <c r="D88" s="38"/>
      <c r="E88" s="39">
        <f t="shared" si="5"/>
        <v>9823321.5770438369</v>
      </c>
      <c r="H88"/>
      <c r="L88" s="40"/>
      <c r="N88" s="41"/>
    </row>
    <row r="89" spans="2:14" s="1" customFormat="1" ht="15.75">
      <c r="C89" s="42" t="str">
        <f t="shared" si="6"/>
        <v xml:space="preserve">    Price Cap IR Year 2026</v>
      </c>
      <c r="D89" s="42"/>
      <c r="E89" s="43">
        <f>IF(ISERROR(d*E68), "", d*E68)</f>
        <v>9347724.912699068</v>
      </c>
      <c r="H89"/>
      <c r="L89" s="37"/>
    </row>
    <row r="90" spans="2:14" s="1" customFormat="1" ht="15.75">
      <c r="C90" s="1" t="str">
        <f t="shared" si="6"/>
        <v xml:space="preserve">    Price Cap IR Year 2027</v>
      </c>
      <c r="E90" s="36">
        <f t="shared" si="5"/>
        <v>9526229.2382763736</v>
      </c>
      <c r="H90"/>
      <c r="L90" s="37"/>
    </row>
    <row r="91" spans="2:14" s="1" customFormat="1" ht="15.75">
      <c r="C91" s="1" t="str">
        <f t="shared" si="6"/>
        <v xml:space="preserve">    Price Cap IR Year 2028</v>
      </c>
      <c r="E91" s="36">
        <f t="shared" si="5"/>
        <v>9711741.0912897587</v>
      </c>
      <c r="H91"/>
      <c r="L91" s="37"/>
    </row>
    <row r="92" spans="2:14" s="1" customFormat="1" ht="15.75">
      <c r="C92" s="1" t="str">
        <f t="shared" si="6"/>
        <v xml:space="preserve">    Price Cap IR Year 2029</v>
      </c>
      <c r="E92" s="36">
        <f t="shared" si="5"/>
        <v>9904535.5655813944</v>
      </c>
      <c r="H92"/>
      <c r="L92" s="37"/>
    </row>
    <row r="93" spans="2:14" s="1" customFormat="1" ht="15.75">
      <c r="C93" s="1" t="str">
        <f t="shared" si="6"/>
        <v xml:space="preserve">    Price Cap IR Year 2030</v>
      </c>
      <c r="E93" s="36">
        <f t="shared" si="5"/>
        <v>10104898.554326411</v>
      </c>
      <c r="H93"/>
      <c r="L93" s="37"/>
    </row>
    <row r="94" spans="2:14" s="1" customFormat="1"/>
    <row r="95" spans="2:14" s="1" customFormat="1" ht="44.25" customHeight="1">
      <c r="B95" s="44" t="s">
        <v>76</v>
      </c>
      <c r="C95" s="71" t="s">
        <v>77</v>
      </c>
      <c r="D95" s="71"/>
      <c r="E95" s="71"/>
      <c r="F95" s="71"/>
    </row>
    <row r="96" spans="2:14" s="1" customFormat="1">
      <c r="F96" s="24"/>
    </row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</sheetData>
  <mergeCells count="3">
    <mergeCell ref="C9:E9"/>
    <mergeCell ref="H58:H59"/>
    <mergeCell ref="C95:F9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D470B-EF96-4EAA-A61B-9DDB1B5B72B8}">
  <sheetPr codeName="Sheet4"/>
  <dimension ref="A1:N101"/>
  <sheetViews>
    <sheetView tabSelected="1" topLeftCell="A54" workbookViewId="0">
      <selection activeCell="F66" sqref="F66"/>
    </sheetView>
  </sheetViews>
  <sheetFormatPr defaultColWidth="9.140625" defaultRowHeight="15"/>
  <cols>
    <col min="1" max="1" width="4.140625" style="2" customWidth="1"/>
    <col min="2" max="2" width="13.5703125" style="2" customWidth="1"/>
    <col min="3" max="3" width="61.5703125" style="2" customWidth="1"/>
    <col min="4" max="4" width="3.5703125" style="2" customWidth="1"/>
    <col min="5" max="5" width="27.5703125" style="2" customWidth="1"/>
    <col min="6" max="6" width="16.42578125" style="2" bestFit="1" customWidth="1"/>
    <col min="7" max="7" width="3.5703125" style="2" customWidth="1"/>
    <col min="8" max="8" width="22.5703125" style="2" customWidth="1"/>
    <col min="9" max="9" width="9.140625" style="2"/>
    <col min="10" max="10" width="12.85546875" style="2" customWidth="1"/>
    <col min="11" max="11" width="12" style="2" customWidth="1"/>
    <col min="12" max="12" width="50.5703125" style="2" bestFit="1" customWidth="1"/>
    <col min="13" max="13" width="9.140625" style="2"/>
    <col min="14" max="14" width="17.5703125" style="2" bestFit="1" customWidth="1"/>
    <col min="15" max="15" width="3.5703125" style="2" customWidth="1"/>
    <col min="16" max="16384" width="9.140625" style="2"/>
  </cols>
  <sheetData>
    <row r="1" spans="1:8">
      <c r="A1" s="1"/>
      <c r="B1" s="1"/>
      <c r="C1" s="1"/>
      <c r="D1" s="1"/>
      <c r="E1" s="1"/>
      <c r="F1" s="1"/>
    </row>
    <row r="2" spans="1:8" s="1" customFormat="1" ht="18">
      <c r="C2" s="3"/>
      <c r="H2" s="4" t="s">
        <v>16</v>
      </c>
    </row>
    <row r="3" spans="1:8" s="1" customFormat="1" ht="29.25" customHeight="1">
      <c r="C3" s="3"/>
      <c r="H3" s="1" t="s">
        <v>78</v>
      </c>
    </row>
    <row r="4" spans="1:8" s="1" customFormat="1" ht="29.25" customHeight="1">
      <c r="C4" s="3"/>
      <c r="H4" s="1" t="s">
        <v>79</v>
      </c>
    </row>
    <row r="5" spans="1:8" s="1" customFormat="1" ht="29.25" customHeight="1">
      <c r="C5" s="3"/>
    </row>
    <row r="6" spans="1:8" s="1" customFormat="1"/>
    <row r="7" spans="1:8" s="1" customFormat="1"/>
    <row r="8" spans="1:8" s="1" customFormat="1" ht="15.75">
      <c r="A8" s="5" t="s">
        <v>19</v>
      </c>
    </row>
    <row r="9" spans="1:8" s="1" customFormat="1" ht="23.25">
      <c r="C9" s="68" t="s">
        <v>20</v>
      </c>
      <c r="D9" s="68"/>
      <c r="E9" s="68"/>
    </row>
    <row r="10" spans="1:8" s="1" customFormat="1" ht="15.75" customHeight="1">
      <c r="C10" s="6"/>
    </row>
    <row r="11" spans="1:8" s="1" customFormat="1"/>
    <row r="12" spans="1:8" s="1" customFormat="1"/>
    <row r="13" spans="1:8" s="1" customFormat="1" ht="23.25" customHeight="1">
      <c r="C13" s="7" t="s">
        <v>21</v>
      </c>
      <c r="E13" s="8">
        <v>2014</v>
      </c>
    </row>
    <row r="14" spans="1:8" s="1" customFormat="1" ht="15.75">
      <c r="C14" s="7" t="s">
        <v>22</v>
      </c>
      <c r="E14" s="8">
        <f>2025-E13</f>
        <v>11</v>
      </c>
      <c r="F14" s="5"/>
    </row>
    <row r="15" spans="1:8" s="1" customFormat="1">
      <c r="E15" s="9"/>
    </row>
    <row r="16" spans="1:8" s="1" customFormat="1" ht="15.75">
      <c r="C16" s="10" t="s">
        <v>23</v>
      </c>
      <c r="D16" s="11"/>
      <c r="E16" s="12" t="s">
        <v>24</v>
      </c>
      <c r="F16" s="5"/>
    </row>
    <row r="17" spans="3:6" s="1" customFormat="1" ht="15.75">
      <c r="C17" s="7" t="s">
        <v>25</v>
      </c>
    </row>
    <row r="18" spans="3:6" s="1" customFormat="1" ht="21" customHeight="1">
      <c r="C18" s="13" t="str">
        <f>'[4]1. Information Sheet'!F48</f>
        <v>Revenues Based on 2023 Actual Distribution Demand</v>
      </c>
      <c r="E18" s="14">
        <f>'[4]4. Growth Factor - NUM_CALC2'!N26</f>
        <v>62787550.68379999</v>
      </c>
      <c r="F18" s="7"/>
    </row>
    <row r="19" spans="3:6" s="1" customFormat="1" ht="12.75" customHeight="1">
      <c r="C19" s="13" t="str">
        <f>'[4]1. Information Sheet'!F49</f>
        <v>Revenues Based on 2014 Board-Approved Distribution Demand</v>
      </c>
      <c r="E19" s="14">
        <f>'[4]6. Growth Factor - DEN_CALC'!N26</f>
        <v>59991236.804899991</v>
      </c>
      <c r="F19" s="7"/>
    </row>
    <row r="20" spans="3:6" s="1" customFormat="1" ht="15.75">
      <c r="C20" s="10" t="s">
        <v>26</v>
      </c>
      <c r="D20" s="11"/>
      <c r="E20" s="12">
        <f>((E18/E19)-1)/9</f>
        <v>5.1791154616539371E-3</v>
      </c>
      <c r="F20" s="5"/>
    </row>
    <row r="21" spans="3:6" s="1" customFormat="1" ht="15.75">
      <c r="C21" s="10" t="s">
        <v>27</v>
      </c>
      <c r="D21" s="11"/>
      <c r="E21" s="15">
        <v>0.1</v>
      </c>
      <c r="F21" s="7"/>
    </row>
    <row r="22" spans="3:6" s="1" customFormat="1" ht="24.75" customHeight="1">
      <c r="C22" s="7" t="s">
        <v>28</v>
      </c>
      <c r="E22" s="9"/>
    </row>
    <row r="23" spans="3:6" s="1" customFormat="1">
      <c r="C23" s="1" t="s">
        <v>29</v>
      </c>
      <c r="E23" s="16">
        <v>404954146</v>
      </c>
    </row>
    <row r="24" spans="3:6" s="1" customFormat="1">
      <c r="C24" s="17" t="s">
        <v>30</v>
      </c>
      <c r="E24" s="16" t="s">
        <v>80</v>
      </c>
    </row>
    <row r="25" spans="3:6" s="1" customFormat="1">
      <c r="C25" s="17" t="s">
        <v>31</v>
      </c>
      <c r="E25" s="16">
        <v>25483259</v>
      </c>
    </row>
    <row r="26" spans="3:6" s="1" customFormat="1">
      <c r="C26" s="17" t="s">
        <v>32</v>
      </c>
      <c r="E26" s="16" t="s">
        <v>80</v>
      </c>
    </row>
    <row r="27" spans="3:6" s="1" customFormat="1">
      <c r="C27" s="17" t="s">
        <v>33</v>
      </c>
      <c r="E27" s="16" t="s">
        <v>80</v>
      </c>
    </row>
    <row r="28" spans="3:6" s="1" customFormat="1">
      <c r="C28" s="17" t="s">
        <v>34</v>
      </c>
      <c r="E28" s="16" t="s">
        <v>80</v>
      </c>
    </row>
    <row r="29" spans="3:6" s="1" customFormat="1">
      <c r="C29" s="1" t="s">
        <v>35</v>
      </c>
      <c r="E29" s="16">
        <v>430437405</v>
      </c>
    </row>
    <row r="30" spans="3:6" s="1" customFormat="1">
      <c r="E30" s="16"/>
    </row>
    <row r="31" spans="3:6" s="1" customFormat="1">
      <c r="C31" s="1" t="s">
        <v>36</v>
      </c>
      <c r="E31" s="18">
        <f>(E23+E29)/2</f>
        <v>417695775.5</v>
      </c>
    </row>
    <row r="32" spans="3:6" s="1" customFormat="1">
      <c r="E32" s="16"/>
    </row>
    <row r="33" spans="3:6" s="1" customFormat="1">
      <c r="C33" s="17" t="s">
        <v>37</v>
      </c>
      <c r="E33" s="16">
        <v>216999685</v>
      </c>
    </row>
    <row r="34" spans="3:6" s="1" customFormat="1" ht="15.75">
      <c r="C34" s="19" t="s">
        <v>38</v>
      </c>
      <c r="E34" s="16">
        <v>11232271</v>
      </c>
      <c r="F34" s="7"/>
    </row>
    <row r="35" spans="3:6" s="1" customFormat="1">
      <c r="C35" s="19" t="s">
        <v>39</v>
      </c>
      <c r="E35" s="16" t="s">
        <v>80</v>
      </c>
    </row>
    <row r="36" spans="3:6" s="1" customFormat="1">
      <c r="C36" s="19" t="s">
        <v>40</v>
      </c>
      <c r="E36" s="16" t="s">
        <v>80</v>
      </c>
    </row>
    <row r="37" spans="3:6" s="1" customFormat="1">
      <c r="C37" s="17" t="s">
        <v>41</v>
      </c>
      <c r="E37" s="16">
        <v>228231956</v>
      </c>
    </row>
    <row r="38" spans="3:6" s="1" customFormat="1">
      <c r="C38" s="17"/>
      <c r="E38" s="16"/>
    </row>
    <row r="39" spans="3:6" s="1" customFormat="1">
      <c r="C39" s="1" t="s">
        <v>42</v>
      </c>
      <c r="E39" s="18">
        <f>(E33+E37)/2</f>
        <v>222615820.5</v>
      </c>
    </row>
    <row r="40" spans="3:6" s="1" customFormat="1">
      <c r="E40" s="16"/>
    </row>
    <row r="41" spans="3:6" s="1" customFormat="1" ht="15.75">
      <c r="C41" s="7" t="s">
        <v>43</v>
      </c>
      <c r="E41" s="18">
        <f>E31-E39</f>
        <v>195079955</v>
      </c>
      <c r="F41" s="7"/>
    </row>
    <row r="42" spans="3:6" s="1" customFormat="1">
      <c r="E42" s="9"/>
    </row>
    <row r="43" spans="3:6" s="1" customFormat="1">
      <c r="E43" s="9"/>
    </row>
    <row r="44" spans="3:6" s="1" customFormat="1" ht="15.75">
      <c r="C44" s="7" t="s">
        <v>44</v>
      </c>
      <c r="E44" s="9"/>
    </row>
    <row r="45" spans="3:6" s="1" customFormat="1">
      <c r="C45" s="17" t="s">
        <v>45</v>
      </c>
      <c r="E45" s="16">
        <v>321090472</v>
      </c>
    </row>
    <row r="46" spans="3:6" s="1" customFormat="1">
      <c r="C46" s="17" t="s">
        <v>46</v>
      </c>
      <c r="E46" s="45">
        <v>0.13400000000000001</v>
      </c>
    </row>
    <row r="47" spans="3:6" s="1" customFormat="1" ht="15.75">
      <c r="C47" s="7" t="s">
        <v>44</v>
      </c>
      <c r="E47" s="18">
        <f>E45*E46</f>
        <v>43026123.248000003</v>
      </c>
      <c r="F47" s="7"/>
    </row>
    <row r="48" spans="3:6" s="1" customFormat="1">
      <c r="E48" s="9"/>
    </row>
    <row r="49" spans="2:12" s="1" customFormat="1" ht="16.5" thickBot="1">
      <c r="C49" s="7" t="s">
        <v>47</v>
      </c>
      <c r="E49" s="21">
        <f>E41+E47</f>
        <v>238106078.248</v>
      </c>
      <c r="F49" s="5"/>
      <c r="L49" s="7" t="s">
        <v>48</v>
      </c>
    </row>
    <row r="50" spans="2:12" s="1" customFormat="1">
      <c r="E50" s="9"/>
      <c r="F50" s="17"/>
    </row>
    <row r="51" spans="2:12" s="1" customFormat="1" ht="15.75">
      <c r="C51" s="7" t="s">
        <v>49</v>
      </c>
      <c r="D51" s="22"/>
      <c r="E51" s="23">
        <f>E34</f>
        <v>11232271</v>
      </c>
      <c r="F51" s="5"/>
    </row>
    <row r="52" spans="2:12" s="1" customFormat="1">
      <c r="E52" s="9"/>
      <c r="H52" s="24"/>
    </row>
    <row r="53" spans="2:12" s="1" customFormat="1" ht="47.25">
      <c r="C53" s="7" t="s">
        <v>50</v>
      </c>
      <c r="E53" s="25"/>
      <c r="F53" s="26" t="s">
        <v>51</v>
      </c>
      <c r="J53" s="27" t="s">
        <v>52</v>
      </c>
      <c r="K53" s="27" t="s">
        <v>53</v>
      </c>
      <c r="L53" s="27" t="s">
        <v>54</v>
      </c>
    </row>
    <row r="54" spans="2:12" s="1" customFormat="1" ht="16.5" thickBot="1">
      <c r="B54" s="28"/>
      <c r="C54" s="1" t="s">
        <v>58</v>
      </c>
      <c r="E54" s="25">
        <f t="shared" ref="E54:E69" si="0">L54</f>
        <v>1.3867952628564413</v>
      </c>
      <c r="F54" s="46">
        <v>1.3000000000000001E-2</v>
      </c>
      <c r="J54" s="30">
        <f>(RB/d)*(g+F54*(1+g))</f>
        <v>0.38679526285644122</v>
      </c>
      <c r="K54" s="33">
        <v>1</v>
      </c>
      <c r="L54" s="32">
        <f t="shared" ref="L54:L69" si="1">1+J54*K54</f>
        <v>1.3867952628564413</v>
      </c>
    </row>
    <row r="55" spans="2:12" s="1" customFormat="1" ht="15.4" customHeight="1">
      <c r="B55" s="28"/>
      <c r="C55" s="1" t="s">
        <v>59</v>
      </c>
      <c r="E55" s="25">
        <f t="shared" si="0"/>
        <v>1.5023377957017443</v>
      </c>
      <c r="F55" s="46">
        <v>1.8000000000000002E-2</v>
      </c>
      <c r="H55" s="69" t="s">
        <v>81</v>
      </c>
      <c r="J55" s="30">
        <f t="shared" ref="J54:J69" si="2">(RB/d)*(g+F55*(1+g))</f>
        <v>0.49333616501209976</v>
      </c>
      <c r="K55" s="33">
        <f t="shared" ref="K55:K69" si="3">K54*((1+g)*(1+F54))</f>
        <v>1.0182464439626553</v>
      </c>
      <c r="L55" s="32">
        <f t="shared" si="1"/>
        <v>1.5023377957017443</v>
      </c>
    </row>
    <row r="56" spans="2:12" s="1" customFormat="1" ht="16.5" thickBot="1">
      <c r="B56" s="28"/>
      <c r="C56" s="1" t="s">
        <v>61</v>
      </c>
      <c r="E56" s="25">
        <f t="shared" si="0"/>
        <v>1.4696245346221501</v>
      </c>
      <c r="F56" s="46">
        <v>1.6E-2</v>
      </c>
      <c r="H56" s="70"/>
      <c r="J56" s="30">
        <f t="shared" si="2"/>
        <v>0.45071980414983631</v>
      </c>
      <c r="K56" s="33">
        <f t="shared" si="3"/>
        <v>1.0419434209419147</v>
      </c>
      <c r="L56" s="32">
        <f t="shared" si="1"/>
        <v>1.4696245346221501</v>
      </c>
    </row>
    <row r="57" spans="2:12" s="1" customFormat="1" ht="16.5" thickBot="1">
      <c r="B57" s="28"/>
      <c r="C57" s="1" t="s">
        <v>62</v>
      </c>
      <c r="E57" s="25">
        <f t="shared" si="0"/>
        <v>1.3208918563921528</v>
      </c>
      <c r="F57" s="46">
        <v>9.0000000000000011E-3</v>
      </c>
      <c r="H57" s="34">
        <f>GEOMEAN(F54:F64)</f>
        <v>1.9937128729984981E-2</v>
      </c>
      <c r="J57" s="30">
        <f t="shared" si="2"/>
        <v>0.30156254113191455</v>
      </c>
      <c r="K57" s="33">
        <f t="shared" si="3"/>
        <v>1.0640972024830591</v>
      </c>
      <c r="L57" s="32">
        <f t="shared" si="1"/>
        <v>1.3208918563921528</v>
      </c>
    </row>
    <row r="58" spans="2:12" s="1" customFormat="1" ht="15.75">
      <c r="B58" s="28"/>
      <c r="C58" s="1" t="s">
        <v>63</v>
      </c>
      <c r="E58" s="25">
        <f t="shared" si="0"/>
        <v>1.3944463634358319</v>
      </c>
      <c r="F58" s="46">
        <v>1.2E-2</v>
      </c>
      <c r="J58" s="30">
        <f t="shared" si="2"/>
        <v>0.36548708242530958</v>
      </c>
      <c r="K58" s="33">
        <f t="shared" si="3"/>
        <v>1.0792347593199558</v>
      </c>
      <c r="L58" s="32">
        <f t="shared" si="1"/>
        <v>1.3944463634358319</v>
      </c>
    </row>
    <row r="59" spans="2:12" s="1" customFormat="1" ht="15.75">
      <c r="B59" s="28"/>
      <c r="C59" s="1" t="s">
        <v>64</v>
      </c>
      <c r="E59" s="25">
        <f t="shared" si="0"/>
        <v>1.5182122087850121</v>
      </c>
      <c r="F59" s="46">
        <v>1.7000000000000001E-2</v>
      </c>
      <c r="J59" s="30">
        <f t="shared" si="2"/>
        <v>0.47202798458096806</v>
      </c>
      <c r="K59" s="33">
        <f t="shared" si="3"/>
        <v>1.0978421316376887</v>
      </c>
      <c r="L59" s="32">
        <f t="shared" si="1"/>
        <v>1.5182122087850121</v>
      </c>
    </row>
    <row r="60" spans="2:12" s="1" customFormat="1" ht="15.75">
      <c r="B60" s="28"/>
      <c r="C60" s="1" t="s">
        <v>65</v>
      </c>
      <c r="E60" s="25">
        <f t="shared" si="0"/>
        <v>1.5775791518029274</v>
      </c>
      <c r="F60" s="46">
        <v>1.9E-2</v>
      </c>
      <c r="J60" s="30">
        <f t="shared" si="2"/>
        <v>0.51464434544323134</v>
      </c>
      <c r="K60" s="33">
        <f t="shared" si="3"/>
        <v>1.1222879585036423</v>
      </c>
      <c r="L60" s="32">
        <f t="shared" si="1"/>
        <v>1.5775791518029274</v>
      </c>
    </row>
    <row r="61" spans="2:12" s="1" customFormat="1" ht="15.75">
      <c r="B61" s="28"/>
      <c r="C61" s="1" t="s">
        <v>66</v>
      </c>
      <c r="E61" s="25">
        <f t="shared" si="0"/>
        <v>1.8610406734162122</v>
      </c>
      <c r="F61" s="46">
        <v>3.0000000000000002E-2</v>
      </c>
      <c r="J61" s="30">
        <f t="shared" si="2"/>
        <v>0.74903433018568</v>
      </c>
      <c r="K61" s="33">
        <f t="shared" si="3"/>
        <v>1.1495343253529735</v>
      </c>
      <c r="L61" s="32">
        <f t="shared" si="1"/>
        <v>1.8610406734162122</v>
      </c>
    </row>
    <row r="62" spans="2:12" s="1" customFormat="1" ht="15.75">
      <c r="B62" s="28"/>
      <c r="C62" s="1" t="s">
        <v>67</v>
      </c>
      <c r="E62" s="25">
        <f t="shared" si="0"/>
        <v>1.9929050452309709</v>
      </c>
      <c r="F62" s="46">
        <v>3.3999999999999996E-2</v>
      </c>
      <c r="J62" s="30">
        <f t="shared" si="2"/>
        <v>0.83426705191020667</v>
      </c>
      <c r="K62" s="33">
        <f t="shared" si="3"/>
        <v>1.1901525332416443</v>
      </c>
      <c r="L62" s="32">
        <f t="shared" si="1"/>
        <v>1.9929050452309709</v>
      </c>
    </row>
    <row r="63" spans="2:12" s="1" customFormat="1" ht="15.75">
      <c r="B63" s="28"/>
      <c r="C63" s="1" t="s">
        <v>68</v>
      </c>
      <c r="E63" s="25">
        <f t="shared" si="0"/>
        <v>2.3219193828899969</v>
      </c>
      <c r="F63" s="46">
        <v>4.4999999999999998E-2</v>
      </c>
      <c r="J63" s="30">
        <f t="shared" si="2"/>
        <v>1.0686570366526553</v>
      </c>
      <c r="K63" s="33">
        <f t="shared" si="3"/>
        <v>1.2369912306296442</v>
      </c>
      <c r="L63" s="32">
        <f t="shared" si="1"/>
        <v>2.3219193828899969</v>
      </c>
    </row>
    <row r="64" spans="2:12" s="1" customFormat="1" ht="15.75">
      <c r="B64" s="28"/>
      <c r="C64" s="1" t="s">
        <v>69</v>
      </c>
      <c r="E64" s="25">
        <f t="shared" si="0"/>
        <v>2.0563186379453375</v>
      </c>
      <c r="F64" s="46">
        <v>3.2999999999999995E-2</v>
      </c>
      <c r="J64" s="30">
        <f t="shared" si="2"/>
        <v>0.81295887147907486</v>
      </c>
      <c r="K64" s="33">
        <f t="shared" si="3"/>
        <v>1.2993506498348442</v>
      </c>
      <c r="L64" s="32">
        <f t="shared" si="1"/>
        <v>2.0563186379453375</v>
      </c>
    </row>
    <row r="65" spans="2:12" s="1" customFormat="1" ht="15.75">
      <c r="B65" s="28"/>
      <c r="C65" s="1" t="s">
        <v>70</v>
      </c>
      <c r="E65" s="25">
        <f t="shared" si="0"/>
        <v>1.9243369603172791</v>
      </c>
      <c r="F65" s="46">
        <v>2.7E-2</v>
      </c>
      <c r="J65" s="30">
        <f t="shared" si="2"/>
        <v>0.68510978889228491</v>
      </c>
      <c r="K65" s="33">
        <f t="shared" si="3"/>
        <v>1.3491807813924057</v>
      </c>
      <c r="L65" s="32">
        <f t="shared" si="1"/>
        <v>1.9243369603172791</v>
      </c>
    </row>
    <row r="66" spans="2:12" s="1" customFormat="1" ht="15.75">
      <c r="B66" s="28"/>
      <c r="C66" s="1" t="s">
        <v>71</v>
      </c>
      <c r="E66" s="25">
        <f t="shared" si="0"/>
        <v>1.9542105617805627</v>
      </c>
      <c r="F66" s="46">
        <f>F65</f>
        <v>2.7E-2</v>
      </c>
      <c r="J66" s="30">
        <f t="shared" si="2"/>
        <v>0.68510978889228491</v>
      </c>
      <c r="K66" s="33">
        <f t="shared" si="3"/>
        <v>1.392784889737704</v>
      </c>
      <c r="L66" s="32">
        <f t="shared" si="1"/>
        <v>1.9542105617805627</v>
      </c>
    </row>
    <row r="67" spans="2:12" s="1" customFormat="1" ht="15.75">
      <c r="B67" s="28"/>
      <c r="C67" s="1" t="s">
        <v>72</v>
      </c>
      <c r="E67" s="25">
        <f t="shared" si="0"/>
        <v>1.9850496467230321</v>
      </c>
      <c r="F67" s="46">
        <f t="shared" ref="F67:F69" si="4">F66</f>
        <v>2.7E-2</v>
      </c>
      <c r="J67" s="30">
        <f t="shared" si="2"/>
        <v>0.68510978889228491</v>
      </c>
      <c r="K67" s="33">
        <f t="shared" si="3"/>
        <v>1.4377982371492646</v>
      </c>
      <c r="L67" s="32">
        <f t="shared" si="1"/>
        <v>1.9850496467230321</v>
      </c>
    </row>
    <row r="68" spans="2:12" s="1" customFormat="1" ht="15.75">
      <c r="B68" s="28"/>
      <c r="C68" s="1" t="s">
        <v>73</v>
      </c>
      <c r="E68" s="25">
        <f t="shared" si="0"/>
        <v>2.0168854185585015</v>
      </c>
      <c r="F68" s="46">
        <f t="shared" si="4"/>
        <v>2.7E-2</v>
      </c>
      <c r="J68" s="30">
        <f t="shared" si="2"/>
        <v>0.68510978889228491</v>
      </c>
      <c r="K68" s="33">
        <f t="shared" si="3"/>
        <v>1.4842663687562336</v>
      </c>
      <c r="L68" s="32">
        <f t="shared" si="1"/>
        <v>2.0168854185585015</v>
      </c>
    </row>
    <row r="69" spans="2:12" s="1" customFormat="1" ht="15.75">
      <c r="B69" s="28"/>
      <c r="C69" s="1" t="s">
        <v>74</v>
      </c>
      <c r="E69" s="25">
        <f t="shared" si="0"/>
        <v>2.049750089162405</v>
      </c>
      <c r="F69" s="46">
        <f t="shared" si="4"/>
        <v>2.7E-2</v>
      </c>
      <c r="J69" s="30">
        <f t="shared" si="2"/>
        <v>0.68510978889228491</v>
      </c>
      <c r="K69" s="33">
        <f t="shared" si="3"/>
        <v>1.5322363016585803</v>
      </c>
      <c r="L69" s="32">
        <f t="shared" si="1"/>
        <v>2.049750089162405</v>
      </c>
    </row>
    <row r="70" spans="2:12" s="1" customFormat="1" ht="15.75">
      <c r="C70" s="7"/>
      <c r="E70" s="9"/>
    </row>
    <row r="71" spans="2:12" s="1" customFormat="1" ht="15.75">
      <c r="C71" s="7" t="s">
        <v>75</v>
      </c>
      <c r="E71" s="35"/>
      <c r="F71" s="7"/>
    </row>
    <row r="72" spans="2:12" s="1" customFormat="1" ht="15.75">
      <c r="C72" s="1" t="str">
        <f t="shared" ref="C72:C87" si="5">C54</f>
        <v xml:space="preserve">    Price Cap IR Year 2015</v>
      </c>
      <c r="E72" s="36">
        <f t="shared" ref="E72:E87" si="6">IF(ISERROR(d*E54), "", d*E54)</f>
        <v>15576860.213919783</v>
      </c>
      <c r="H72"/>
      <c r="L72" s="37"/>
    </row>
    <row r="73" spans="2:12" s="1" customFormat="1" ht="15.75">
      <c r="C73" s="1" t="str">
        <f t="shared" si="5"/>
        <v xml:space="preserve">    Price Cap IR Year 2016</v>
      </c>
      <c r="E73" s="36">
        <f t="shared" si="6"/>
        <v>16874665.254864626</v>
      </c>
      <c r="H73"/>
      <c r="L73" s="37"/>
    </row>
    <row r="74" spans="2:12" s="1" customFormat="1" ht="15.75">
      <c r="C74" s="1" t="str">
        <f t="shared" si="5"/>
        <v xml:space="preserve">    Price Cap IR Year 2017</v>
      </c>
      <c r="E74" s="36">
        <f t="shared" si="6"/>
        <v>16507221.041124873</v>
      </c>
      <c r="H74"/>
      <c r="L74" s="37"/>
    </row>
    <row r="75" spans="2:12" s="1" customFormat="1" ht="15.75">
      <c r="C75" s="1" t="str">
        <f t="shared" si="5"/>
        <v xml:space="preserve">    Price Cap IR Year 2018</v>
      </c>
      <c r="E75" s="36">
        <f t="shared" si="6"/>
        <v>14836615.292689743</v>
      </c>
      <c r="H75"/>
      <c r="L75" s="37"/>
    </row>
    <row r="76" spans="2:12" s="1" customFormat="1" ht="15.75">
      <c r="C76" s="1" t="str">
        <f t="shared" si="5"/>
        <v xml:space="preserve">    Price Cap IR Year 2019</v>
      </c>
      <c r="E76" s="36">
        <f t="shared" si="6"/>
        <v>15662799.449075755</v>
      </c>
      <c r="H76"/>
      <c r="L76" s="37"/>
    </row>
    <row r="77" spans="2:12" s="1" customFormat="1" ht="15.75">
      <c r="C77" s="1" t="str">
        <f t="shared" si="5"/>
        <v xml:space="preserve">    Price Cap IR Year 2020</v>
      </c>
      <c r="E77" s="36">
        <f t="shared" si="6"/>
        <v>17052970.964581836</v>
      </c>
      <c r="H77"/>
      <c r="L77" s="37"/>
    </row>
    <row r="78" spans="2:12" s="1" customFormat="1" ht="15.75">
      <c r="C78" s="1" t="str">
        <f t="shared" si="5"/>
        <v xml:space="preserve">    Price Cap IR Year 2021</v>
      </c>
      <c r="E78" s="36">
        <f t="shared" si="6"/>
        <v>17719796.557000618</v>
      </c>
      <c r="H78"/>
      <c r="L78" s="37"/>
    </row>
    <row r="79" spans="2:12" s="1" customFormat="1" ht="15.75">
      <c r="C79" s="1" t="str">
        <f t="shared" si="5"/>
        <v xml:space="preserve">    Price Cap IR Year 2022</v>
      </c>
      <c r="E79" s="36">
        <f t="shared" si="6"/>
        <v>20903713.185833391</v>
      </c>
      <c r="H79"/>
      <c r="L79" s="37"/>
    </row>
    <row r="80" spans="2:12" s="1" customFormat="1" ht="15.75">
      <c r="C80" s="1" t="str">
        <f t="shared" si="5"/>
        <v xml:space="preserve">    Price Cap IR Year 2023</v>
      </c>
      <c r="E80" s="36">
        <f t="shared" si="6"/>
        <v>22384849.545301523</v>
      </c>
      <c r="H80"/>
      <c r="L80" s="37"/>
    </row>
    <row r="81" spans="2:14" s="1" customFormat="1" ht="15.75">
      <c r="C81" s="1" t="str">
        <f t="shared" si="5"/>
        <v xml:space="preserve">    Price Cap IR Year 2024</v>
      </c>
      <c r="E81" s="36">
        <f t="shared" si="6"/>
        <v>26080427.74877321</v>
      </c>
      <c r="H81"/>
      <c r="L81" s="37"/>
    </row>
    <row r="82" spans="2:14" s="1" customFormat="1" ht="15.75">
      <c r="C82" s="38" t="str">
        <f t="shared" si="5"/>
        <v xml:space="preserve">    Price Cap IR Year 2025</v>
      </c>
      <c r="D82" s="38"/>
      <c r="E82" s="39">
        <f t="shared" si="6"/>
        <v>23097128.203752913</v>
      </c>
      <c r="H82"/>
      <c r="L82" s="40"/>
      <c r="N82" s="41"/>
    </row>
    <row r="83" spans="2:14" s="1" customFormat="1" ht="15.75">
      <c r="C83" s="42" t="str">
        <f t="shared" si="5"/>
        <v xml:space="preserve">    Price Cap IR Year 2026</v>
      </c>
      <c r="D83" s="42"/>
      <c r="E83" s="43">
        <f t="shared" si="6"/>
        <v>21614674.233599924</v>
      </c>
      <c r="H83"/>
      <c r="L83" s="37"/>
    </row>
    <row r="84" spans="2:14" s="1" customFormat="1" ht="15.75">
      <c r="C84" s="1" t="str">
        <f t="shared" si="5"/>
        <v xml:space="preserve">    Price Cap IR Year 2027</v>
      </c>
      <c r="E84" s="36">
        <f t="shared" si="6"/>
        <v>21950222.620981522</v>
      </c>
      <c r="H84"/>
      <c r="L84" s="37"/>
    </row>
    <row r="85" spans="2:14" s="1" customFormat="1" ht="15.75">
      <c r="C85" s="1" t="str">
        <f t="shared" si="5"/>
        <v xml:space="preserve">    Price Cap IR Year 2028</v>
      </c>
      <c r="E85" s="36">
        <f t="shared" si="6"/>
        <v>22296615.580447357</v>
      </c>
      <c r="H85"/>
      <c r="L85" s="37"/>
    </row>
    <row r="86" spans="2:14" s="1" customFormat="1" ht="15.75">
      <c r="C86" s="1" t="str">
        <f t="shared" si="5"/>
        <v xml:space="preserve">    Price Cap IR Year 2029</v>
      </c>
      <c r="E86" s="36">
        <f t="shared" si="6"/>
        <v>22654203.597197518</v>
      </c>
      <c r="H86"/>
      <c r="L86" s="37"/>
    </row>
    <row r="87" spans="2:14" s="1" customFormat="1" ht="15.75">
      <c r="C87" s="1" t="str">
        <f t="shared" si="5"/>
        <v xml:space="preserve">    Price Cap IR Year 2030</v>
      </c>
      <c r="E87" s="36">
        <f t="shared" si="6"/>
        <v>23023348.483746294</v>
      </c>
      <c r="H87"/>
      <c r="L87" s="37"/>
    </row>
    <row r="88" spans="2:14" s="1" customFormat="1"/>
    <row r="89" spans="2:14" s="1" customFormat="1" ht="44.25" customHeight="1">
      <c r="B89" s="44" t="s">
        <v>76</v>
      </c>
      <c r="C89" s="71" t="s">
        <v>77</v>
      </c>
      <c r="D89" s="71"/>
      <c r="E89" s="71"/>
      <c r="F89" s="71"/>
    </row>
    <row r="90" spans="2:14" s="1" customFormat="1">
      <c r="F90" s="24"/>
    </row>
    <row r="91" spans="2:14" s="1" customFormat="1"/>
    <row r="92" spans="2:14" s="1" customFormat="1"/>
    <row r="93" spans="2:14" s="1" customFormat="1"/>
    <row r="94" spans="2:14" s="1" customFormat="1"/>
    <row r="95" spans="2:14" s="1" customFormat="1"/>
    <row r="96" spans="2:14" s="1" customFormat="1"/>
    <row r="97" s="1" customFormat="1"/>
    <row r="98" s="1" customFormat="1"/>
    <row r="99" s="1" customFormat="1"/>
    <row r="100" s="1" customFormat="1"/>
    <row r="101" s="1" customFormat="1"/>
  </sheetData>
  <mergeCells count="3">
    <mergeCell ref="C9:E9"/>
    <mergeCell ref="H55:H56"/>
    <mergeCell ref="C89:F8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S. Vetsis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Witness signed off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>Andrew M. (Utilis)</SME_x0028_s_x0029_>
    <CynthiaStatus xmlns="6a95137c-d42e-468e-9f88-48056057fa51">N/A</CynthiaStatus>
    <KristonStatus xmlns="6a95137c-d42e-468e-9f88-48056057fa51">N/A</Kriston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N/A</S_x002e_SheehyStatus>
    <Intervenor xmlns="6a95137c-d42e-468e-9f88-48056057fa51">CCC</Intervenor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Carlisle</Value>
    </RegContact>
    <Issue_x002f_Theme xmlns="6a95137c-d42e-468e-9f88-48056057fa51">
      <Value>Merger</Value>
    </Issue_x002f_Theme>
    <Strategic_x003f_ xmlns="6a95137c-d42e-468e-9f88-48056057fa51">false</Strategic_x003f_>
    <ErinIntervention xmlns="6a95137c-d42e-468e-9f88-48056057fa51">false</ErinIntervention>
    <ABlairStatus xmlns="6a95137c-d42e-468e-9f88-48056057fa51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5075C-8E58-4D6E-9BB5-9ADCAD4CF178}"/>
</file>

<file path=customXml/itemProps2.xml><?xml version="1.0" encoding="utf-8"?>
<ds:datastoreItem xmlns:ds="http://schemas.openxmlformats.org/officeDocument/2006/customXml" ds:itemID="{10F521BE-23D3-4F34-A21C-07DC00CB03BC}"/>
</file>

<file path=customXml/itemProps3.xml><?xml version="1.0" encoding="utf-8"?>
<ds:datastoreItem xmlns:ds="http://schemas.openxmlformats.org/officeDocument/2006/customXml" ds:itemID="{4539394C-FAED-402F-9B42-8729D75CF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Mandyam</dc:creator>
  <cp:keywords/>
  <dc:description/>
  <cp:lastModifiedBy>Andrew Mandyam</cp:lastModifiedBy>
  <cp:revision/>
  <dcterms:created xsi:type="dcterms:W3CDTF">2026-04-29T23:20:31Z</dcterms:created>
  <dcterms:modified xsi:type="dcterms:W3CDTF">2026-06-22T18:52:13Z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