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293" documentId="13_ncr:1_{8F12BFEE-A030-4905-B2AA-CABACA6906B3}" xr6:coauthVersionLast="47" xr6:coauthVersionMax="47" xr10:uidLastSave="{1E6F7073-CA8C-4679-A9A7-BE197DA58EB7}"/>
  <bookViews>
    <workbookView xWindow="-110" yWindow="-110" windowWidth="23260" windowHeight="14860" xr2:uid="{0CE6ABED-D6F4-4340-9C4C-527D5158B1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4" i="1" l="1"/>
  <c r="B36" i="1"/>
  <c r="D15" i="1"/>
  <c r="K30" i="1"/>
  <c r="L30" i="1"/>
  <c r="M30" i="1"/>
  <c r="N30" i="1"/>
  <c r="J30" i="1"/>
  <c r="K29" i="1"/>
  <c r="L29" i="1"/>
  <c r="M29" i="1"/>
  <c r="N29" i="1"/>
  <c r="J29" i="1"/>
  <c r="K28" i="1"/>
  <c r="L28" i="1"/>
  <c r="M28" i="1"/>
  <c r="N28" i="1"/>
  <c r="J28" i="1"/>
  <c r="F5" i="1" l="1"/>
  <c r="G11" i="1" l="1"/>
  <c r="D16" i="1" s="1"/>
  <c r="G10" i="1"/>
  <c r="E22" i="1" l="1"/>
  <c r="F22" i="1"/>
  <c r="B22" i="1"/>
  <c r="C22" i="1"/>
  <c r="D22" i="1"/>
  <c r="C23" i="1"/>
  <c r="C37" i="1" s="1"/>
  <c r="D23" i="1"/>
  <c r="D37" i="1" s="1"/>
  <c r="E23" i="1"/>
  <c r="E37" i="1" s="1"/>
  <c r="F23" i="1"/>
  <c r="F37" i="1" s="1"/>
  <c r="B23" i="1"/>
  <c r="B37" i="1" s="1"/>
  <c r="D17" i="1"/>
  <c r="B38" i="1" l="1"/>
  <c r="D24" i="1"/>
  <c r="D36" i="1"/>
  <c r="D38" i="1" s="1"/>
  <c r="C24" i="1"/>
  <c r="C36" i="1"/>
  <c r="C44" i="1" s="1"/>
  <c r="B24" i="1"/>
  <c r="F24" i="1"/>
  <c r="F36" i="1"/>
  <c r="F38" i="1" s="1"/>
  <c r="E24" i="1"/>
  <c r="E36" i="1"/>
  <c r="E38" i="1" s="1"/>
  <c r="C38" i="1" l="1"/>
  <c r="E44" i="1"/>
  <c r="F44" i="1"/>
  <c r="D44" i="1"/>
</calcChain>
</file>

<file path=xl/sharedStrings.xml><?xml version="1.0" encoding="utf-8"?>
<sst xmlns="http://schemas.openxmlformats.org/spreadsheetml/2006/main" count="80" uniqueCount="56">
  <si>
    <t>2022-2024</t>
  </si>
  <si>
    <t>Investment Category</t>
  </si>
  <si>
    <t>Gross Capex</t>
  </si>
  <si>
    <t>01 - SYSTEM RENEWAL</t>
  </si>
  <si>
    <t>R2 Underground System Renewal</t>
  </si>
  <si>
    <t>OEB</t>
  </si>
  <si>
    <t>2022 Removal cost</t>
  </si>
  <si>
    <t>2023 Removal cost</t>
  </si>
  <si>
    <t>2024  Removal Cost</t>
  </si>
  <si>
    <t>2022-2024 Removal Cost</t>
  </si>
  <si>
    <t>2027 Gross Capex</t>
  </si>
  <si>
    <t>2028 Gross Capex</t>
  </si>
  <si>
    <t>2029 Gross Capex</t>
  </si>
  <si>
    <t>2030 Gross Capex</t>
  </si>
  <si>
    <t>2031 Gross Capex</t>
  </si>
  <si>
    <t>Program Category</t>
  </si>
  <si>
    <t>Historical Investment in Underground System Renewal Program</t>
  </si>
  <si>
    <t>OEB  Account</t>
  </si>
  <si>
    <t>OEB Account</t>
  </si>
  <si>
    <t>Summary of the historical derecognition expense for Underground System Renewal Pogram by OEB Account</t>
  </si>
  <si>
    <t>Step 1:</t>
  </si>
  <si>
    <t>Step 2:</t>
  </si>
  <si>
    <t>Step 3:</t>
  </si>
  <si>
    <t>Step 4:</t>
  </si>
  <si>
    <t xml:space="preserve"> Program Category</t>
  </si>
  <si>
    <t>Step 5:</t>
  </si>
  <si>
    <t>2027 Amort LTD</t>
  </si>
  <si>
    <t>2028 Amort LTD</t>
  </si>
  <si>
    <t>2029 Amort LTD</t>
  </si>
  <si>
    <t>2030 Amort LTD</t>
  </si>
  <si>
    <t>2031 Amort LTD</t>
  </si>
  <si>
    <t>1850-001 Padmount Transformers - Acquired (2014 and Before)</t>
  </si>
  <si>
    <t>Details</t>
  </si>
  <si>
    <t>1850-001 Padmount Transformers - Acquired (2015 to 2023)</t>
  </si>
  <si>
    <t>2027 Percentage</t>
  </si>
  <si>
    <t>2028 Percentage</t>
  </si>
  <si>
    <t>2029 Percentage</t>
  </si>
  <si>
    <t>2030 Percentage</t>
  </si>
  <si>
    <t>2031 Percentage</t>
  </si>
  <si>
    <t xml:space="preserve">Cost Balance </t>
  </si>
  <si>
    <t>Determination of depreciation amount related to each dollar of Gross Cost of historical assets being removed in forecast years</t>
  </si>
  <si>
    <t>Step 6:</t>
  </si>
  <si>
    <t>Assumption</t>
  </si>
  <si>
    <t>26% of the assets removed were invested after 2015</t>
  </si>
  <si>
    <t>74 % of assets removed were invested before 2014</t>
  </si>
  <si>
    <t>Gross Cost Loss for 1845</t>
  </si>
  <si>
    <t>Gross Cost Loss for 1850</t>
  </si>
  <si>
    <t>Detials</t>
  </si>
  <si>
    <t>Total Gross Cost Loss</t>
  </si>
  <si>
    <t>Total Depreciation Removal Forecast</t>
  </si>
  <si>
    <t>Step 7:</t>
  </si>
  <si>
    <t>Determination of depreciation removal related to Gross Costs Removed over the forecast period (2027-2031) by OEB Account</t>
  </si>
  <si>
    <t>Calculation of Derecognition Loss over forecast period</t>
  </si>
  <si>
    <t xml:space="preserve">Historical Gross Cost Loss per dollar of Investment </t>
  </si>
  <si>
    <t>Calculation of average percentage of Gross Cost removal based on Historical investment  by OEB Account</t>
  </si>
  <si>
    <t>Forecast of Gross Costs Removal for 2027-2031 based on Historical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</si>
</sst>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0_ ;[Red]\-#,##0.00\ "/>
    <numFmt numFmtId="165" formatCode="\ _$* _(#,##0.00_);\ _$* \(#,##0.00\)"/>
    <numFmt numFmtId="166" formatCode="\ _$* _(#,##0_);\ _$* \(#,##0\)"/>
    <numFmt numFmtId="167" formatCode="_(* #,##0_);_(* \(#,##0\);_(* &quot;-&quot;_);_(@_)"/>
    <numFmt numFmtId="169" formatCode="#,##0_ ;[Red]\-#,##0\ "/>
    <numFmt numFmtId="170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0" fontId="0" fillId="4" borderId="1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169" fontId="0" fillId="0" borderId="0" xfId="0" applyNumberFormat="1"/>
    <xf numFmtId="0" fontId="4" fillId="0" borderId="1" xfId="0" applyFont="1" applyBorder="1" applyAlignment="1">
      <alignment horizontal="center"/>
    </xf>
    <xf numFmtId="169" fontId="0" fillId="0" borderId="1" xfId="0" applyNumberFormat="1" applyBorder="1"/>
    <xf numFmtId="170" fontId="4" fillId="0" borderId="1" xfId="0" applyNumberFormat="1" applyFont="1" applyBorder="1" applyAlignment="1">
      <alignment horizontal="center"/>
    </xf>
    <xf numFmtId="170" fontId="4" fillId="5" borderId="1" xfId="0" applyNumberFormat="1" applyFont="1" applyFill="1" applyBorder="1" applyAlignment="1">
      <alignment horizontal="center"/>
    </xf>
    <xf numFmtId="43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7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38" fontId="0" fillId="0" borderId="1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</cellXfs>
  <cellStyles count="2">
    <cellStyle name="Normal" xfId="0" builtinId="0"/>
    <cellStyle name="Normal 3" xfId="1" xr:uid="{EC71D728-46EB-4719-AE24-046A9766F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B4A3-E367-49D5-9AA6-9A5BA15041B5}">
  <dimension ref="A2:O44"/>
  <sheetViews>
    <sheetView tabSelected="1" topLeftCell="A12" zoomScale="90" zoomScaleNormal="90" workbookViewId="0">
      <selection activeCell="G42" sqref="G42"/>
    </sheetView>
  </sheetViews>
  <sheetFormatPr defaultColWidth="8.7109375" defaultRowHeight="15" x14ac:dyDescent="0.25"/>
  <cols>
    <col min="1" max="1" width="33" style="2" customWidth="1"/>
    <col min="2" max="2" width="32.85546875" style="1" customWidth="1"/>
    <col min="3" max="3" width="17.85546875" style="1" customWidth="1"/>
    <col min="4" max="4" width="21.28515625" style="1" customWidth="1"/>
    <col min="5" max="5" width="17" style="1" bestFit="1" customWidth="1"/>
    <col min="6" max="6" width="18" style="1" customWidth="1"/>
    <col min="7" max="7" width="19.140625" style="1" customWidth="1"/>
    <col min="8" max="8" width="14.5703125" style="1" customWidth="1"/>
    <col min="9" max="14" width="17.140625" style="1" customWidth="1"/>
    <col min="15" max="15" width="45" style="1" customWidth="1"/>
    <col min="16" max="16" width="9.7109375" style="1" bestFit="1" customWidth="1"/>
    <col min="17" max="20" width="11.7109375" style="1" bestFit="1" customWidth="1"/>
    <col min="21" max="21" width="9.28515625" style="1" bestFit="1" customWidth="1"/>
    <col min="22" max="22" width="10.5703125" style="1" bestFit="1" customWidth="1"/>
    <col min="23" max="26" width="12.85546875" style="1" bestFit="1" customWidth="1"/>
    <col min="27" max="27" width="11.85546875" style="1" bestFit="1" customWidth="1"/>
    <col min="28" max="28" width="9.85546875" style="1" bestFit="1" customWidth="1"/>
    <col min="29" max="32" width="11.85546875" style="1" bestFit="1" customWidth="1"/>
    <col min="33" max="16384" width="8.7109375" style="1"/>
  </cols>
  <sheetData>
    <row r="2" spans="1:7" x14ac:dyDescent="0.25">
      <c r="A2" s="5" t="s">
        <v>20</v>
      </c>
      <c r="B2" s="4" t="s">
        <v>16</v>
      </c>
    </row>
    <row r="3" spans="1:7" x14ac:dyDescent="0.25">
      <c r="A3" s="23"/>
      <c r="B3" s="24"/>
      <c r="C3" s="9">
        <v>2022</v>
      </c>
      <c r="D3" s="10">
        <v>2023</v>
      </c>
      <c r="E3" s="10">
        <v>2024</v>
      </c>
      <c r="F3" s="11" t="s">
        <v>0</v>
      </c>
    </row>
    <row r="4" spans="1:7" x14ac:dyDescent="0.25">
      <c r="A4" s="23" t="s">
        <v>1</v>
      </c>
      <c r="B4" s="14" t="s">
        <v>15</v>
      </c>
      <c r="C4" s="10" t="s">
        <v>2</v>
      </c>
      <c r="D4" s="10" t="s">
        <v>2</v>
      </c>
      <c r="E4" s="10" t="s">
        <v>2</v>
      </c>
      <c r="F4" s="10" t="s">
        <v>2</v>
      </c>
    </row>
    <row r="5" spans="1:7" x14ac:dyDescent="0.25">
      <c r="A5" s="12" t="s">
        <v>3</v>
      </c>
      <c r="B5" s="41" t="s">
        <v>4</v>
      </c>
      <c r="C5" s="42">
        <v>4153529.2962328033</v>
      </c>
      <c r="D5" s="43">
        <v>1805211.6003689847</v>
      </c>
      <c r="E5" s="44">
        <v>931518.69000000018</v>
      </c>
      <c r="F5" s="42">
        <f t="shared" ref="F5" si="0">+C5+D5+E5</f>
        <v>6890259.5866017882</v>
      </c>
    </row>
    <row r="6" spans="1:7" x14ac:dyDescent="0.25">
      <c r="A6" s="3"/>
      <c r="C6" s="6"/>
      <c r="D6" s="7"/>
      <c r="E6" s="8"/>
      <c r="F6" s="6"/>
    </row>
    <row r="8" spans="1:7" x14ac:dyDescent="0.25">
      <c r="A8" s="5" t="s">
        <v>21</v>
      </c>
      <c r="B8" s="4" t="s">
        <v>19</v>
      </c>
    </row>
    <row r="9" spans="1:7" ht="45" x14ac:dyDescent="0.25">
      <c r="A9" s="13" t="s">
        <v>1</v>
      </c>
      <c r="B9" s="14" t="s">
        <v>24</v>
      </c>
      <c r="C9" s="14" t="s">
        <v>18</v>
      </c>
      <c r="D9" s="15" t="s">
        <v>6</v>
      </c>
      <c r="E9" s="14" t="s">
        <v>7</v>
      </c>
      <c r="F9" s="15" t="s">
        <v>8</v>
      </c>
      <c r="G9" s="15" t="s">
        <v>9</v>
      </c>
    </row>
    <row r="10" spans="1:7" x14ac:dyDescent="0.25">
      <c r="A10" s="16" t="s">
        <v>3</v>
      </c>
      <c r="B10" s="17" t="s">
        <v>4</v>
      </c>
      <c r="C10" s="18">
        <v>1845</v>
      </c>
      <c r="D10" s="22">
        <v>-16.252121906008757</v>
      </c>
      <c r="E10" s="22">
        <v>-1238.1599999999999</v>
      </c>
      <c r="F10" s="22">
        <v>-26.076712729177181</v>
      </c>
      <c r="G10" s="22">
        <f t="shared" ref="G10:G11" si="1">SUM(D10:F10)</f>
        <v>-1280.4888346351859</v>
      </c>
    </row>
    <row r="11" spans="1:7" x14ac:dyDescent="0.25">
      <c r="A11" s="16" t="s">
        <v>3</v>
      </c>
      <c r="B11" s="17" t="s">
        <v>4</v>
      </c>
      <c r="C11" s="18">
        <v>1850</v>
      </c>
      <c r="D11" s="22">
        <v>-124207.181882353</v>
      </c>
      <c r="E11" s="22">
        <v>-31713.777638888881</v>
      </c>
      <c r="F11" s="22">
        <v>-25539.037598039213</v>
      </c>
      <c r="G11" s="22">
        <f t="shared" si="1"/>
        <v>-181459.99711928109</v>
      </c>
    </row>
    <row r="13" spans="1:7" x14ac:dyDescent="0.25">
      <c r="A13" s="5" t="s">
        <v>22</v>
      </c>
      <c r="B13" s="4" t="s">
        <v>54</v>
      </c>
    </row>
    <row r="14" spans="1:7" ht="61.5" customHeight="1" x14ac:dyDescent="0.25">
      <c r="A14" s="13" t="s">
        <v>1</v>
      </c>
      <c r="B14" s="14" t="s">
        <v>15</v>
      </c>
      <c r="C14" s="14" t="s">
        <v>17</v>
      </c>
      <c r="D14" s="15" t="s">
        <v>53</v>
      </c>
    </row>
    <row r="15" spans="1:7" x14ac:dyDescent="0.25">
      <c r="A15" s="16" t="s">
        <v>3</v>
      </c>
      <c r="B15" s="17" t="s">
        <v>4</v>
      </c>
      <c r="C15" s="18">
        <v>1845</v>
      </c>
      <c r="D15" s="19">
        <f>+G10/$F$5</f>
        <v>-1.8584043439018108E-4</v>
      </c>
    </row>
    <row r="16" spans="1:7" x14ac:dyDescent="0.25">
      <c r="A16" s="16" t="s">
        <v>3</v>
      </c>
      <c r="B16" s="17" t="s">
        <v>4</v>
      </c>
      <c r="C16" s="18">
        <v>1850</v>
      </c>
      <c r="D16" s="19">
        <f>+G11/$F$5</f>
        <v>-2.6335727244896946E-2</v>
      </c>
    </row>
    <row r="17" spans="1:15" x14ac:dyDescent="0.25">
      <c r="A17" s="20"/>
      <c r="B17" s="18"/>
      <c r="C17" s="18"/>
      <c r="D17" s="21">
        <f>SUM(D15:D16)</f>
        <v>-2.6521567679287126E-2</v>
      </c>
    </row>
    <row r="19" spans="1:15" x14ac:dyDescent="0.25">
      <c r="A19" s="5" t="s">
        <v>23</v>
      </c>
      <c r="B19" s="4" t="s">
        <v>55</v>
      </c>
    </row>
    <row r="20" spans="1:15" ht="33" customHeight="1" x14ac:dyDescent="0.25">
      <c r="A20" s="13" t="s">
        <v>47</v>
      </c>
      <c r="B20" s="13" t="s">
        <v>10</v>
      </c>
      <c r="C20" s="13" t="s">
        <v>11</v>
      </c>
      <c r="D20" s="13" t="s">
        <v>12</v>
      </c>
      <c r="E20" s="13" t="s">
        <v>13</v>
      </c>
      <c r="F20" s="13" t="s">
        <v>14</v>
      </c>
    </row>
    <row r="21" spans="1:15" x14ac:dyDescent="0.25">
      <c r="A21" s="26" t="s">
        <v>4</v>
      </c>
      <c r="B21" s="25">
        <v>718825.69</v>
      </c>
      <c r="C21" s="25">
        <v>9664915.4299999997</v>
      </c>
      <c r="D21" s="25">
        <v>16654992.779999999</v>
      </c>
      <c r="E21" s="25">
        <v>24615934.699999999</v>
      </c>
      <c r="F21" s="25">
        <v>32496918.760000002</v>
      </c>
    </row>
    <row r="22" spans="1:15" x14ac:dyDescent="0.25">
      <c r="A22" s="16" t="s">
        <v>45</v>
      </c>
      <c r="B22" s="37">
        <f>$D$15*B21</f>
        <v>-133.58687848042163</v>
      </c>
      <c r="C22" s="37">
        <f t="shared" ref="C22:F22" si="2">$D$15*C21</f>
        <v>-1796.1320818555637</v>
      </c>
      <c r="D22" s="37">
        <f t="shared" si="2"/>
        <v>-3095.1710930005293</v>
      </c>
      <c r="E22" s="37">
        <f t="shared" si="2"/>
        <v>-4574.6359975683317</v>
      </c>
      <c r="F22" s="37">
        <f t="shared" si="2"/>
        <v>-6039.2414987008251</v>
      </c>
    </row>
    <row r="23" spans="1:15" x14ac:dyDescent="0.25">
      <c r="A23" s="16" t="s">
        <v>46</v>
      </c>
      <c r="B23" s="37">
        <f>B21*$D$16</f>
        <v>-18930.797308464844</v>
      </c>
      <c r="C23" s="37">
        <f t="shared" ref="C23:F23" si="3">C21*$D$16</f>
        <v>-254532.57660947589</v>
      </c>
      <c r="D23" s="37">
        <f t="shared" si="3"/>
        <v>-438621.34711980791</v>
      </c>
      <c r="E23" s="37">
        <f t="shared" si="3"/>
        <v>-648278.54213739408</v>
      </c>
      <c r="F23" s="37">
        <f t="shared" si="3"/>
        <v>-855829.98876293469</v>
      </c>
    </row>
    <row r="24" spans="1:15" x14ac:dyDescent="0.25">
      <c r="A24" s="38" t="s">
        <v>48</v>
      </c>
      <c r="B24" s="39">
        <f>B22+B23</f>
        <v>-19064.384186945266</v>
      </c>
      <c r="C24" s="39">
        <f t="shared" ref="C24:F24" si="4">C22+C23</f>
        <v>-256328.70869133144</v>
      </c>
      <c r="D24" s="39">
        <f t="shared" si="4"/>
        <v>-441716.51821280841</v>
      </c>
      <c r="E24" s="39">
        <f t="shared" si="4"/>
        <v>-652853.17813496245</v>
      </c>
      <c r="F24" s="39">
        <f t="shared" si="4"/>
        <v>-861869.2302616355</v>
      </c>
    </row>
    <row r="26" spans="1:15" x14ac:dyDescent="0.25">
      <c r="A26" s="5" t="s">
        <v>25</v>
      </c>
      <c r="B26" s="4" t="s">
        <v>40</v>
      </c>
    </row>
    <row r="27" spans="1:15" x14ac:dyDescent="0.25">
      <c r="A27" s="35" t="s">
        <v>32</v>
      </c>
      <c r="B27" s="36"/>
      <c r="C27" s="14" t="s">
        <v>5</v>
      </c>
      <c r="D27" s="14" t="s">
        <v>39</v>
      </c>
      <c r="E27" s="13" t="s">
        <v>26</v>
      </c>
      <c r="F27" s="13" t="s">
        <v>27</v>
      </c>
      <c r="G27" s="13" t="s">
        <v>28</v>
      </c>
      <c r="H27" s="13" t="s">
        <v>29</v>
      </c>
      <c r="I27" s="13" t="s">
        <v>30</v>
      </c>
      <c r="J27" s="13" t="s">
        <v>34</v>
      </c>
      <c r="K27" s="13" t="s">
        <v>35</v>
      </c>
      <c r="L27" s="13" t="s">
        <v>36</v>
      </c>
      <c r="M27" s="13" t="s">
        <v>37</v>
      </c>
      <c r="N27" s="13" t="s">
        <v>38</v>
      </c>
      <c r="O27" s="17" t="s">
        <v>42</v>
      </c>
    </row>
    <row r="28" spans="1:15" x14ac:dyDescent="0.25">
      <c r="A28" s="27" t="s">
        <v>31</v>
      </c>
      <c r="B28" s="27"/>
      <c r="C28" s="28">
        <v>1845</v>
      </c>
      <c r="D28" s="29">
        <v>25622784.779999979</v>
      </c>
      <c r="E28" s="33">
        <v>10889139.559299996</v>
      </c>
      <c r="F28" s="33">
        <v>11601410.628257804</v>
      </c>
      <c r="G28" s="33">
        <v>12309410.5661589</v>
      </c>
      <c r="H28" s="33">
        <v>13016607.614406571</v>
      </c>
      <c r="I28" s="33">
        <v>13722156.267130954</v>
      </c>
      <c r="J28" s="34">
        <f>E28/$D$28</f>
        <v>0.42497876998130119</v>
      </c>
      <c r="K28" s="34">
        <f t="shared" ref="K28:N28" si="5">F28/$D$28</f>
        <v>0.45277711723642761</v>
      </c>
      <c r="L28" s="34">
        <f t="shared" si="5"/>
        <v>0.48040877179622904</v>
      </c>
      <c r="M28" s="34">
        <f t="shared" si="5"/>
        <v>0.50800909136803751</v>
      </c>
      <c r="N28" s="34">
        <f t="shared" si="5"/>
        <v>0.53554507774821836</v>
      </c>
      <c r="O28" s="18"/>
    </row>
    <row r="29" spans="1:15" x14ac:dyDescent="0.25">
      <c r="A29" s="27" t="s">
        <v>31</v>
      </c>
      <c r="B29" s="27"/>
      <c r="C29" s="30">
        <v>1850</v>
      </c>
      <c r="D29" s="31">
        <v>23128411.330000006</v>
      </c>
      <c r="E29" s="33">
        <v>15123145.187999999</v>
      </c>
      <c r="F29" s="33">
        <v>16120439.692993697</v>
      </c>
      <c r="G29" s="33">
        <v>16795368.538603071</v>
      </c>
      <c r="H29" s="33">
        <v>18015536.765159726</v>
      </c>
      <c r="I29" s="33">
        <v>18290273.650738202</v>
      </c>
      <c r="J29" s="34">
        <f>(E29/$D$29)*0.74</f>
        <v>0.4838692670864046</v>
      </c>
      <c r="K29" s="34">
        <f t="shared" ref="K29:N29" si="6">(F29/$D$29)*0.74</f>
        <v>0.51577798416884746</v>
      </c>
      <c r="L29" s="34">
        <f t="shared" si="6"/>
        <v>0.5373725216675429</v>
      </c>
      <c r="M29" s="34">
        <f t="shared" si="6"/>
        <v>0.57641214591016154</v>
      </c>
      <c r="N29" s="34">
        <f t="shared" si="6"/>
        <v>0.58520242953264123</v>
      </c>
      <c r="O29" s="18" t="s">
        <v>44</v>
      </c>
    </row>
    <row r="30" spans="1:15" x14ac:dyDescent="0.25">
      <c r="A30" s="27" t="s">
        <v>33</v>
      </c>
      <c r="B30" s="27"/>
      <c r="C30" s="30">
        <v>1850</v>
      </c>
      <c r="D30" s="32">
        <v>36274489.369999997</v>
      </c>
      <c r="E30" s="33">
        <v>9601935.520299999</v>
      </c>
      <c r="F30" s="33">
        <v>10814525.567961918</v>
      </c>
      <c r="G30" s="33">
        <v>12023802.528061919</v>
      </c>
      <c r="H30" s="33">
        <v>13233079.48816192</v>
      </c>
      <c r="I30" s="33">
        <v>14442356.448261919</v>
      </c>
      <c r="J30" s="34">
        <f>(E30/$D$30)*0.26</f>
        <v>6.8822560389855597E-2</v>
      </c>
      <c r="K30" s="34">
        <f t="shared" ref="K30:N30" si="7">(F30/$D$30)*0.26</f>
        <v>7.7513886384173766E-2</v>
      </c>
      <c r="L30" s="34">
        <f t="shared" si="7"/>
        <v>8.6181465586157732E-2</v>
      </c>
      <c r="M30" s="34">
        <f t="shared" si="7"/>
        <v>9.4849044788141684E-2</v>
      </c>
      <c r="N30" s="34">
        <f t="shared" si="7"/>
        <v>0.10351662399012562</v>
      </c>
      <c r="O30" s="18" t="s">
        <v>43</v>
      </c>
    </row>
    <row r="33" spans="1:6" x14ac:dyDescent="0.25">
      <c r="A33" s="5" t="s">
        <v>41</v>
      </c>
      <c r="B33" s="4" t="s">
        <v>51</v>
      </c>
    </row>
    <row r="35" spans="1:6" x14ac:dyDescent="0.25">
      <c r="A35" s="13" t="s">
        <v>18</v>
      </c>
      <c r="B35" s="13" t="s">
        <v>10</v>
      </c>
      <c r="C35" s="13" t="s">
        <v>11</v>
      </c>
      <c r="D35" s="13" t="s">
        <v>12</v>
      </c>
      <c r="E35" s="13" t="s">
        <v>13</v>
      </c>
      <c r="F35" s="13" t="s">
        <v>14</v>
      </c>
    </row>
    <row r="36" spans="1:6" x14ac:dyDescent="0.25">
      <c r="A36" s="40">
        <v>1845</v>
      </c>
      <c r="B36" s="25">
        <f>J28*B22</f>
        <v>-56.771587302251135</v>
      </c>
      <c r="C36" s="25">
        <f t="shared" ref="C36:F36" si="8">K28*C22</f>
        <v>-813.2475061984253</v>
      </c>
      <c r="D36" s="25">
        <f t="shared" si="8"/>
        <v>-1486.9473432875761</v>
      </c>
      <c r="E36" s="25">
        <f t="shared" si="8"/>
        <v>-2323.9566764642041</v>
      </c>
      <c r="F36" s="25">
        <f t="shared" si="8"/>
        <v>-3234.2860579620001</v>
      </c>
    </row>
    <row r="37" spans="1:6" x14ac:dyDescent="0.25">
      <c r="A37" s="17">
        <v>1850</v>
      </c>
      <c r="B37" s="37">
        <f>(J29+J30)*B23</f>
        <v>-10462.896959998103</v>
      </c>
      <c r="C37" s="37">
        <f t="shared" ref="C37:F37" si="9">(K29+K30)*C23</f>
        <v>-151012.10849331613</v>
      </c>
      <c r="D37" s="37">
        <f t="shared" si="9"/>
        <v>-273504.0898911457</v>
      </c>
      <c r="E37" s="37">
        <f t="shared" si="9"/>
        <v>-435164.2260993073</v>
      </c>
      <c r="F37" s="37">
        <f t="shared" si="9"/>
        <v>-589426.41983720858</v>
      </c>
    </row>
    <row r="38" spans="1:6" x14ac:dyDescent="0.25">
      <c r="A38" s="38" t="s">
        <v>49</v>
      </c>
      <c r="B38" s="39">
        <f>B37+B36</f>
        <v>-10519.668547300354</v>
      </c>
      <c r="C38" s="39">
        <f t="shared" ref="C38:F38" si="10">C37+C36</f>
        <v>-151825.35599951455</v>
      </c>
      <c r="D38" s="39">
        <f t="shared" si="10"/>
        <v>-274991.03723443329</v>
      </c>
      <c r="E38" s="39">
        <f t="shared" si="10"/>
        <v>-437488.18277577148</v>
      </c>
      <c r="F38" s="39">
        <f t="shared" si="10"/>
        <v>-592660.70589517057</v>
      </c>
    </row>
    <row r="41" spans="1:6" x14ac:dyDescent="0.25">
      <c r="A41" s="5" t="s">
        <v>50</v>
      </c>
      <c r="B41" s="4" t="s">
        <v>52</v>
      </c>
    </row>
    <row r="43" spans="1:6" x14ac:dyDescent="0.25">
      <c r="A43" s="13" t="s">
        <v>18</v>
      </c>
      <c r="B43" s="14">
        <v>2027</v>
      </c>
      <c r="C43" s="14">
        <v>2028</v>
      </c>
      <c r="D43" s="14">
        <v>2029</v>
      </c>
      <c r="E43" s="14">
        <v>2030</v>
      </c>
      <c r="F43" s="14">
        <v>2031</v>
      </c>
    </row>
    <row r="44" spans="1:6" x14ac:dyDescent="0.25">
      <c r="A44" s="26" t="s">
        <v>4</v>
      </c>
      <c r="B44" s="25">
        <f>(B22-B36) + (B23-B37)</f>
        <v>-8544.7156396449118</v>
      </c>
      <c r="C44" s="25">
        <f t="shared" ref="C44:F44" si="11">(C22-C36) + (C23-C37)</f>
        <v>-104503.35269181689</v>
      </c>
      <c r="D44" s="25">
        <f t="shared" si="11"/>
        <v>-166725.48097837516</v>
      </c>
      <c r="E44" s="25">
        <f t="shared" si="11"/>
        <v>-215364.99535919091</v>
      </c>
      <c r="F44" s="25">
        <f t="shared" si="11"/>
        <v>-269208.52436646493</v>
      </c>
    </row>
  </sheetData>
  <mergeCells count="4">
    <mergeCell ref="A30:B30"/>
    <mergeCell ref="A27:B27"/>
    <mergeCell ref="A28:B28"/>
    <mergeCell ref="A29:B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>Darlene</SME_x0028_s_x0029_>
    <BBA_Comments xmlns="89ffb768-0cf9-4c68-b1c9-1b93436307db" xsi:nil="true"/>
    <TorysCounsel xmlns="89ffb768-0cf9-4c68-b1c9-1b93436307db">
      <Value>N/A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 xsi:nil="true"/>
    <SamStatus xmlns="89ffb768-0cf9-4c68-b1c9-1b93436307db">N/A</SamStatus>
    <Attachment xmlns="89ffb768-0cf9-4c68-b1c9-1b93436307db">false</Attachment>
    <Witness_x0028_es_x0029_ xmlns="89ffb768-0cf9-4c68-b1c9-1b93436307db">
      <Value>Zubair</Value>
    </Witness_x0028_es_x0029_>
    <ZubairStatus xmlns="89ffb768-0cf9-4c68-b1c9-1b93436307db">Witness review complete</ZubairStatus>
    <S_x002e_SheehyStatus xmlns="89ffb768-0cf9-4c68-b1c9-1b93436307db">N/A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CCC</Intervenor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false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N/A</UsmanStatus>
    <SaadStatus xmlns="89ffb768-0cf9-4c68-b1c9-1b93436307db">N/A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Props1.xml><?xml version="1.0" encoding="utf-8"?>
<ds:datastoreItem xmlns:ds="http://schemas.openxmlformats.org/officeDocument/2006/customXml" ds:itemID="{0BB95B17-FE6E-4EDE-B828-A43F8AFFE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199A99-F594-4131-A77A-17B2D77081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861B17-096D-4B80-A888-9E55D415AA41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9ffb768-0cf9-4c68-b1c9-1b93436307db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Ivovic</dc:creator>
  <cp:lastModifiedBy>Zubair Islam</cp:lastModifiedBy>
  <dcterms:created xsi:type="dcterms:W3CDTF">2026-06-29T22:18:21Z</dcterms:created>
  <dcterms:modified xsi:type="dcterms:W3CDTF">2026-07-03T23:43:33Z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