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epcorweb/en-ca/departments/natgas/sites/ON/ONReg/RC_QRAM/IRM/EB-2026-0148 - Aylmer IRM - 202701 Rates/"/>
    </mc:Choice>
  </mc:AlternateContent>
  <xr:revisionPtr revIDLastSave="0" documentId="13_ncr:20000001_{F396B93F-3A15-4E44-A251-DB6F7EDF1CAC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Summary" sheetId="24" r:id="rId1"/>
    <sheet name="PGTVA" sheetId="3" r:id="rId2"/>
    <sheet name="UFGVA" sheetId="14" r:id="rId3"/>
    <sheet name="ADVADA" sheetId="26" r:id="rId4"/>
    <sheet name="ESMDA" sheetId="31" r:id="rId5"/>
    <sheet name="Allocations" sheetId="19" r:id="rId6"/>
  </sheets>
  <definedNames>
    <definedName name="_MailEndCompose" localSheetId="2">UFGVA!#REF!</definedName>
    <definedName name="_xlnm.Print_Area" localSheetId="4">ESMDA!$A$1:$O$42</definedName>
    <definedName name="_xlnm.Print_Area" localSheetId="1">PGTVA!$A$1:$O$57</definedName>
    <definedName name="_xlnm.Print_Area" localSheetId="0">Summary!$A$1:$H$25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" i="24" l="1"/>
  <c r="A33" i="24"/>
  <c r="A32" i="24"/>
  <c r="A31" i="24"/>
  <c r="BO8" i="26"/>
  <c r="BQ6" i="26"/>
  <c r="BQ7" i="26"/>
  <c r="BQ8" i="26"/>
  <c r="BO6" i="26"/>
  <c r="BQ9" i="26"/>
  <c r="BQ5" i="26"/>
  <c r="BO5" i="26"/>
  <c r="O18" i="14"/>
  <c r="O16" i="14"/>
  <c r="O17" i="14"/>
  <c r="D54" i="3"/>
  <c r="E54" i="3"/>
  <c r="F54" i="3"/>
  <c r="G54" i="3"/>
  <c r="H54" i="3"/>
  <c r="I54" i="3"/>
  <c r="D51" i="14"/>
  <c r="E51" i="14"/>
  <c r="F51" i="14"/>
  <c r="G51" i="14"/>
  <c r="H51" i="14"/>
  <c r="I51" i="14"/>
  <c r="E15" i="24"/>
  <c r="F15" i="24" s="1"/>
  <c r="C15" i="24"/>
  <c r="D15" i="24"/>
  <c r="B15" i="24"/>
  <c r="C60" i="19" l="1"/>
  <c r="C61" i="19"/>
  <c r="D61" i="19" s="1"/>
  <c r="C62" i="19"/>
  <c r="C63" i="19"/>
  <c r="C64" i="19"/>
  <c r="D64" i="19" s="1"/>
  <c r="J61" i="19" s="1"/>
  <c r="C65" i="19"/>
  <c r="C66" i="19"/>
  <c r="B61" i="19"/>
  <c r="B62" i="19"/>
  <c r="B63" i="19"/>
  <c r="B64" i="19"/>
  <c r="B65" i="19"/>
  <c r="B66" i="19"/>
  <c r="D66" i="19"/>
  <c r="L61" i="19" s="1"/>
  <c r="B60" i="19"/>
  <c r="D62" i="19"/>
  <c r="H61" i="19" s="1"/>
  <c r="B18" i="19"/>
  <c r="B19" i="19"/>
  <c r="I17" i="19" s="1"/>
  <c r="F47" i="3" s="1"/>
  <c r="B20" i="19"/>
  <c r="J17" i="19" s="1"/>
  <c r="B21" i="19"/>
  <c r="K17" i="19" s="1"/>
  <c r="B22" i="19"/>
  <c r="L17" i="19" s="1"/>
  <c r="I47" i="3" s="1"/>
  <c r="B17" i="19"/>
  <c r="E51" i="19"/>
  <c r="H50" i="19" s="1"/>
  <c r="BA36" i="26" s="1"/>
  <c r="E52" i="19"/>
  <c r="I50" i="19" s="1"/>
  <c r="BB36" i="26" s="1"/>
  <c r="E53" i="19"/>
  <c r="J50" i="19" s="1"/>
  <c r="BC36" i="26" s="1"/>
  <c r="E54" i="19"/>
  <c r="K50" i="19" s="1"/>
  <c r="BD36" i="26" s="1"/>
  <c r="E55" i="19"/>
  <c r="L50" i="19" s="1"/>
  <c r="BE36" i="26" s="1"/>
  <c r="E50" i="19"/>
  <c r="G50" i="19" s="1"/>
  <c r="AZ36" i="26" s="1"/>
  <c r="F79" i="19"/>
  <c r="E79" i="19"/>
  <c r="D79" i="19"/>
  <c r="C79" i="19"/>
  <c r="B79" i="19"/>
  <c r="H17" i="19"/>
  <c r="E44" i="14" s="1"/>
  <c r="B16" i="19"/>
  <c r="C56" i="19"/>
  <c r="D56" i="19"/>
  <c r="B56" i="19"/>
  <c r="D65" i="19" l="1"/>
  <c r="K61" i="19" s="1"/>
  <c r="C67" i="19"/>
  <c r="B67" i="19"/>
  <c r="D63" i="19"/>
  <c r="I61" i="19" s="1"/>
  <c r="G47" i="3"/>
  <c r="G44" i="14"/>
  <c r="H47" i="3"/>
  <c r="H44" i="14"/>
  <c r="E56" i="19"/>
  <c r="I44" i="14"/>
  <c r="G61" i="19"/>
  <c r="B23" i="19"/>
  <c r="F44" i="14"/>
  <c r="E47" i="3"/>
  <c r="G17" i="19"/>
  <c r="G62" i="19" l="1"/>
  <c r="D67" i="19"/>
  <c r="H62" i="19"/>
  <c r="K62" i="19"/>
  <c r="I62" i="19"/>
  <c r="L62" i="19"/>
  <c r="J62" i="19"/>
  <c r="I18" i="19"/>
  <c r="D44" i="14"/>
  <c r="K18" i="19"/>
  <c r="G18" i="19"/>
  <c r="L18" i="19"/>
  <c r="D47" i="3"/>
  <c r="J18" i="19"/>
  <c r="H18" i="19"/>
  <c r="M38" i="19" l="1"/>
  <c r="L38" i="19"/>
  <c r="I32" i="31" s="1"/>
  <c r="K38" i="19"/>
  <c r="H32" i="31" s="1"/>
  <c r="J38" i="19"/>
  <c r="I38" i="19"/>
  <c r="H38" i="19"/>
  <c r="G38" i="19"/>
  <c r="D32" i="31" l="1"/>
  <c r="J39" i="19"/>
  <c r="I39" i="19"/>
  <c r="M39" i="19"/>
  <c r="G32" i="31"/>
  <c r="G39" i="19"/>
  <c r="F32" i="31"/>
  <c r="L39" i="19"/>
  <c r="E32" i="31"/>
  <c r="J32" i="31"/>
  <c r="K39" i="19"/>
  <c r="H39" i="19"/>
  <c r="L51" i="19" l="1"/>
  <c r="I51" i="19"/>
  <c r="J51" i="19"/>
  <c r="H51" i="19"/>
  <c r="K51" i="19"/>
  <c r="G51" i="19"/>
  <c r="C32" i="31"/>
  <c r="I50" i="14" l="1"/>
  <c r="H50" i="14"/>
  <c r="G50" i="14"/>
  <c r="F50" i="14"/>
  <c r="E50" i="14"/>
  <c r="D50" i="14"/>
  <c r="E43" i="14"/>
  <c r="F43" i="14"/>
  <c r="G43" i="14"/>
  <c r="H43" i="14"/>
  <c r="I43" i="14"/>
  <c r="D43" i="14"/>
  <c r="C12" i="31"/>
  <c r="D12" i="31"/>
  <c r="E12" i="31"/>
  <c r="F12" i="31"/>
  <c r="G12" i="31"/>
  <c r="H12" i="31"/>
  <c r="I12" i="31"/>
  <c r="J12" i="31"/>
  <c r="K12" i="31"/>
  <c r="L12" i="31"/>
  <c r="M12" i="31"/>
  <c r="B12" i="31"/>
  <c r="B13" i="31" s="1"/>
  <c r="C11" i="31" s="1"/>
  <c r="B19" i="31"/>
  <c r="B20" i="31" s="1"/>
  <c r="C18" i="31" s="1"/>
  <c r="C19" i="31" l="1"/>
  <c r="C20" i="31" s="1"/>
  <c r="D18" i="31" s="1"/>
  <c r="C13" i="31"/>
  <c r="D11" i="31" s="1"/>
  <c r="C27" i="14"/>
  <c r="D27" i="14"/>
  <c r="E27" i="14"/>
  <c r="F27" i="14"/>
  <c r="G27" i="14"/>
  <c r="H27" i="14"/>
  <c r="I27" i="14"/>
  <c r="J27" i="14"/>
  <c r="K27" i="14"/>
  <c r="L27" i="14"/>
  <c r="M27" i="14"/>
  <c r="B27" i="14"/>
  <c r="Z13" i="26"/>
  <c r="Z16" i="26" s="1"/>
  <c r="AA13" i="26"/>
  <c r="AA16" i="26" s="1"/>
  <c r="AB13" i="26"/>
  <c r="AB16" i="26" s="1"/>
  <c r="AC13" i="26"/>
  <c r="AC16" i="26" s="1"/>
  <c r="AD13" i="26"/>
  <c r="AD16" i="26" s="1"/>
  <c r="AE13" i="26"/>
  <c r="AE16" i="26" s="1"/>
  <c r="AF13" i="26"/>
  <c r="AF16" i="26" s="1"/>
  <c r="AG13" i="26"/>
  <c r="AG16" i="26" s="1"/>
  <c r="AH13" i="26"/>
  <c r="AH16" i="26" s="1"/>
  <c r="AI13" i="26"/>
  <c r="AI16" i="26" s="1"/>
  <c r="AJ13" i="26"/>
  <c r="AJ16" i="26" s="1"/>
  <c r="AK13" i="26"/>
  <c r="AK16" i="26" s="1"/>
  <c r="AL13" i="26"/>
  <c r="AL16" i="26" s="1"/>
  <c r="AM13" i="26"/>
  <c r="AM16" i="26" s="1"/>
  <c r="AN13" i="26"/>
  <c r="AN16" i="26" s="1"/>
  <c r="AO13" i="26"/>
  <c r="AO16" i="26" s="1"/>
  <c r="AP13" i="26"/>
  <c r="AP16" i="26" s="1"/>
  <c r="AQ13" i="26"/>
  <c r="AQ16" i="26" s="1"/>
  <c r="AR13" i="26"/>
  <c r="AR16" i="26" s="1"/>
  <c r="AS13" i="26"/>
  <c r="AS16" i="26" s="1"/>
  <c r="AT13" i="26"/>
  <c r="AT16" i="26" s="1"/>
  <c r="AU13" i="26"/>
  <c r="AU16" i="26" s="1"/>
  <c r="AV13" i="26"/>
  <c r="AV16" i="26" s="1"/>
  <c r="AW13" i="26"/>
  <c r="AW16" i="26" s="1"/>
  <c r="AX13" i="26"/>
  <c r="AX16" i="26" s="1"/>
  <c r="AY13" i="26"/>
  <c r="AY16" i="26" s="1"/>
  <c r="AZ13" i="26"/>
  <c r="AZ16" i="26" s="1"/>
  <c r="BA13" i="26"/>
  <c r="BA16" i="26" s="1"/>
  <c r="BB13" i="26"/>
  <c r="BB16" i="26" s="1"/>
  <c r="BC13" i="26"/>
  <c r="BC16" i="26" s="1"/>
  <c r="BD13" i="26"/>
  <c r="BD16" i="26" s="1"/>
  <c r="BE13" i="26"/>
  <c r="BE16" i="26" s="1"/>
  <c r="BF13" i="26"/>
  <c r="BF16" i="26" s="1"/>
  <c r="BG13" i="26"/>
  <c r="BG16" i="26" s="1"/>
  <c r="BH13" i="26"/>
  <c r="BH16" i="26" s="1"/>
  <c r="BI13" i="26"/>
  <c r="BI16" i="26" s="1"/>
  <c r="B13" i="26"/>
  <c r="C13" i="26"/>
  <c r="D13" i="26"/>
  <c r="D16" i="26" s="1"/>
  <c r="E13" i="26"/>
  <c r="F13" i="26"/>
  <c r="F16" i="26" s="1"/>
  <c r="G13" i="26"/>
  <c r="G16" i="26" s="1"/>
  <c r="H13" i="26"/>
  <c r="H16" i="26" s="1"/>
  <c r="I13" i="26"/>
  <c r="I16" i="26" s="1"/>
  <c r="J13" i="26"/>
  <c r="J16" i="26" s="1"/>
  <c r="K13" i="26"/>
  <c r="K16" i="26" s="1"/>
  <c r="L13" i="26"/>
  <c r="L16" i="26" s="1"/>
  <c r="M13" i="26"/>
  <c r="N13" i="26"/>
  <c r="N16" i="26" s="1"/>
  <c r="O13" i="26"/>
  <c r="O16" i="26" s="1"/>
  <c r="P13" i="26"/>
  <c r="P16" i="26" s="1"/>
  <c r="Q13" i="26"/>
  <c r="Q16" i="26" s="1"/>
  <c r="R13" i="26"/>
  <c r="S13" i="26"/>
  <c r="S16" i="26" s="1"/>
  <c r="T13" i="26"/>
  <c r="T16" i="26" s="1"/>
  <c r="U13" i="26"/>
  <c r="U16" i="26" s="1"/>
  <c r="V13" i="26"/>
  <c r="V16" i="26" s="1"/>
  <c r="W13" i="26"/>
  <c r="W16" i="26" s="1"/>
  <c r="X13" i="26"/>
  <c r="X16" i="26" s="1"/>
  <c r="Y13" i="26"/>
  <c r="Y16" i="26" s="1"/>
  <c r="R16" i="26"/>
  <c r="E16" i="26"/>
  <c r="M16" i="26"/>
  <c r="B16" i="26"/>
  <c r="E33" i="31" l="1"/>
  <c r="E40" i="31" s="1"/>
  <c r="J33" i="31"/>
  <c r="F33" i="31"/>
  <c r="F40" i="31" s="1"/>
  <c r="D33" i="31"/>
  <c r="H33" i="31"/>
  <c r="H40" i="31" s="1"/>
  <c r="G33" i="31"/>
  <c r="G40" i="31" s="1"/>
  <c r="I33" i="31"/>
  <c r="I40" i="31" s="1"/>
  <c r="D13" i="31"/>
  <c r="E11" i="31" s="1"/>
  <c r="D19" i="31"/>
  <c r="D20" i="31" s="1"/>
  <c r="E18" i="31" s="1"/>
  <c r="B17" i="26"/>
  <c r="C15" i="26" s="1"/>
  <c r="C16" i="26" s="1"/>
  <c r="B23" i="26"/>
  <c r="B24" i="26" s="1"/>
  <c r="C22" i="26" s="1"/>
  <c r="D40" i="31" l="1"/>
  <c r="C33" i="31"/>
  <c r="K40" i="31"/>
  <c r="E19" i="31"/>
  <c r="E20" i="31" s="1"/>
  <c r="F18" i="31" s="1"/>
  <c r="E13" i="31"/>
  <c r="F11" i="31" s="1"/>
  <c r="C17" i="26"/>
  <c r="D15" i="26" s="1"/>
  <c r="C23" i="26"/>
  <c r="C24" i="26" s="1"/>
  <c r="D22" i="26" s="1"/>
  <c r="L27" i="19"/>
  <c r="K27" i="19"/>
  <c r="J27" i="19"/>
  <c r="I27" i="19"/>
  <c r="H27" i="19"/>
  <c r="G27" i="19"/>
  <c r="H7" i="19"/>
  <c r="G7" i="19"/>
  <c r="B26" i="19"/>
  <c r="K28" i="19" l="1"/>
  <c r="H28" i="19"/>
  <c r="J28" i="19"/>
  <c r="I28" i="19"/>
  <c r="L28" i="19"/>
  <c r="G28" i="19"/>
  <c r="E39" i="31"/>
  <c r="BA43" i="26"/>
  <c r="D39" i="31"/>
  <c r="AZ43" i="26"/>
  <c r="C40" i="31"/>
  <c r="F13" i="31"/>
  <c r="G11" i="31" s="1"/>
  <c r="F19" i="31"/>
  <c r="F20" i="31" s="1"/>
  <c r="G18" i="31" s="1"/>
  <c r="D17" i="26"/>
  <c r="E15" i="26" s="1"/>
  <c r="D23" i="26"/>
  <c r="D24" i="26" s="1"/>
  <c r="E22" i="26" s="1"/>
  <c r="G19" i="31" l="1"/>
  <c r="G20" i="31" s="1"/>
  <c r="H18" i="31" s="1"/>
  <c r="G13" i="31"/>
  <c r="H11" i="31" s="1"/>
  <c r="E17" i="26"/>
  <c r="F15" i="26" s="1"/>
  <c r="E23" i="26"/>
  <c r="E24" i="26" s="1"/>
  <c r="F22" i="26" s="1"/>
  <c r="J24" i="3"/>
  <c r="K24" i="3"/>
  <c r="L24" i="3"/>
  <c r="C15" i="3"/>
  <c r="D15" i="3"/>
  <c r="D24" i="3" s="1"/>
  <c r="E15" i="3"/>
  <c r="E24" i="3" s="1"/>
  <c r="F15" i="3"/>
  <c r="F24" i="3" s="1"/>
  <c r="G15" i="3"/>
  <c r="G24" i="3" s="1"/>
  <c r="H15" i="3"/>
  <c r="H24" i="3" s="1"/>
  <c r="I15" i="3"/>
  <c r="I24" i="3" s="1"/>
  <c r="J15" i="3"/>
  <c r="K15" i="3"/>
  <c r="L15" i="3"/>
  <c r="M15" i="3"/>
  <c r="M24" i="3" s="1"/>
  <c r="B15" i="3"/>
  <c r="H19" i="31" l="1"/>
  <c r="H20" i="31" s="1"/>
  <c r="I18" i="31" s="1"/>
  <c r="H13" i="31"/>
  <c r="I11" i="31" s="1"/>
  <c r="F17" i="26"/>
  <c r="G15" i="26" s="1"/>
  <c r="F23" i="26"/>
  <c r="F24" i="26" s="1"/>
  <c r="G22" i="26" s="1"/>
  <c r="I19" i="31" l="1"/>
  <c r="I20" i="31" s="1"/>
  <c r="J18" i="31" s="1"/>
  <c r="I13" i="31"/>
  <c r="J11" i="31" s="1"/>
  <c r="G17" i="26"/>
  <c r="H15" i="26" s="1"/>
  <c r="G23" i="26"/>
  <c r="G24" i="26" s="1"/>
  <c r="H22" i="26" s="1"/>
  <c r="J19" i="31" l="1"/>
  <c r="J20" i="31" s="1"/>
  <c r="K18" i="31" s="1"/>
  <c r="J13" i="31"/>
  <c r="K11" i="31" s="1"/>
  <c r="H17" i="26"/>
  <c r="I15" i="26" s="1"/>
  <c r="H23" i="26"/>
  <c r="H24" i="26" s="1"/>
  <c r="I22" i="26" s="1"/>
  <c r="K19" i="31" l="1"/>
  <c r="K20" i="31" s="1"/>
  <c r="L18" i="31" s="1"/>
  <c r="K13" i="31"/>
  <c r="L11" i="31" s="1"/>
  <c r="I17" i="26"/>
  <c r="J15" i="26" s="1"/>
  <c r="I23" i="26"/>
  <c r="I24" i="26" s="1"/>
  <c r="J22" i="26" s="1"/>
  <c r="L13" i="31" l="1"/>
  <c r="M11" i="31" s="1"/>
  <c r="L19" i="31"/>
  <c r="L20" i="31" s="1"/>
  <c r="M18" i="31" s="1"/>
  <c r="J17" i="26"/>
  <c r="K15" i="26" s="1"/>
  <c r="J23" i="26"/>
  <c r="J24" i="26" s="1"/>
  <c r="K22" i="26" s="1"/>
  <c r="M13" i="31" l="1"/>
  <c r="B10" i="24" s="1"/>
  <c r="M19" i="31"/>
  <c r="M20" i="31" s="1"/>
  <c r="C10" i="24" s="1"/>
  <c r="K17" i="26"/>
  <c r="L15" i="26" s="1"/>
  <c r="K23" i="26"/>
  <c r="K24" i="26" s="1"/>
  <c r="L22" i="26" s="1"/>
  <c r="O18" i="31" l="1"/>
  <c r="B26" i="31"/>
  <c r="B25" i="31"/>
  <c r="D25" i="31" s="1"/>
  <c r="L17" i="26"/>
  <c r="M15" i="26" s="1"/>
  <c r="L23" i="26"/>
  <c r="L24" i="26" s="1"/>
  <c r="M22" i="26" s="1"/>
  <c r="B27" i="31" l="1"/>
  <c r="M17" i="26"/>
  <c r="N15" i="26" s="1"/>
  <c r="M23" i="26"/>
  <c r="M24" i="26" s="1"/>
  <c r="N22" i="26" s="1"/>
  <c r="N23" i="26" l="1"/>
  <c r="N24" i="26" s="1"/>
  <c r="O22" i="26" s="1"/>
  <c r="N17" i="26"/>
  <c r="O15" i="26" s="1"/>
  <c r="O17" i="26" l="1"/>
  <c r="P15" i="26" s="1"/>
  <c r="O23" i="26"/>
  <c r="O24" i="26" s="1"/>
  <c r="P22" i="26" s="1"/>
  <c r="P17" i="26" l="1"/>
  <c r="Q15" i="26" s="1"/>
  <c r="P23" i="26"/>
  <c r="P24" i="26" s="1"/>
  <c r="Q22" i="26" s="1"/>
  <c r="Q17" i="26" l="1"/>
  <c r="R15" i="26" s="1"/>
  <c r="Q23" i="26"/>
  <c r="Q24" i="26" s="1"/>
  <c r="R22" i="26" s="1"/>
  <c r="R17" i="26" l="1"/>
  <c r="S15" i="26" s="1"/>
  <c r="R23" i="26"/>
  <c r="R24" i="26" s="1"/>
  <c r="S22" i="26" s="1"/>
  <c r="S17" i="26" l="1"/>
  <c r="T15" i="26" s="1"/>
  <c r="S23" i="26"/>
  <c r="S24" i="26" s="1"/>
  <c r="T22" i="26" s="1"/>
  <c r="T17" i="26" l="1"/>
  <c r="U15" i="26" s="1"/>
  <c r="T23" i="26"/>
  <c r="T24" i="26" s="1"/>
  <c r="U22" i="26" s="1"/>
  <c r="U17" i="26" l="1"/>
  <c r="V15" i="26" s="1"/>
  <c r="U23" i="26"/>
  <c r="U24" i="26" s="1"/>
  <c r="V22" i="26" s="1"/>
  <c r="V17" i="26" l="1"/>
  <c r="W15" i="26" s="1"/>
  <c r="V23" i="26"/>
  <c r="V24" i="26" s="1"/>
  <c r="W22" i="26" s="1"/>
  <c r="W17" i="26" l="1"/>
  <c r="X15" i="26" s="1"/>
  <c r="W23" i="26"/>
  <c r="W24" i="26" s="1"/>
  <c r="X22" i="26" s="1"/>
  <c r="X17" i="26" l="1"/>
  <c r="Y15" i="26" s="1"/>
  <c r="X23" i="26"/>
  <c r="X24" i="26" s="1"/>
  <c r="Y22" i="26" s="1"/>
  <c r="Y17" i="26" l="1"/>
  <c r="Z15" i="26" s="1"/>
  <c r="Y23" i="26"/>
  <c r="Y24" i="26" s="1"/>
  <c r="Z22" i="26" s="1"/>
  <c r="Z17" i="26" l="1"/>
  <c r="AA15" i="26" s="1"/>
  <c r="Z23" i="26"/>
  <c r="Z24" i="26" s="1"/>
  <c r="AA22" i="26" s="1"/>
  <c r="AA23" i="26" l="1"/>
  <c r="AA24" i="26" s="1"/>
  <c r="AB22" i="26" s="1"/>
  <c r="AA17" i="26"/>
  <c r="AB15" i="26" s="1"/>
  <c r="AB17" i="26" l="1"/>
  <c r="AC15" i="26" s="1"/>
  <c r="AB23" i="26"/>
  <c r="AB24" i="26" s="1"/>
  <c r="AC22" i="26" s="1"/>
  <c r="AC17" i="26" l="1"/>
  <c r="AD15" i="26" s="1"/>
  <c r="AC23" i="26"/>
  <c r="AC24" i="26" s="1"/>
  <c r="AD22" i="26" s="1"/>
  <c r="AD17" i="26" l="1"/>
  <c r="AE15" i="26" s="1"/>
  <c r="AD23" i="26"/>
  <c r="AD24" i="26" s="1"/>
  <c r="AE22" i="26" s="1"/>
  <c r="AE17" i="26" l="1"/>
  <c r="AF15" i="26" s="1"/>
  <c r="AE23" i="26"/>
  <c r="AE24" i="26" s="1"/>
  <c r="AF22" i="26" s="1"/>
  <c r="AF17" i="26" l="1"/>
  <c r="AG15" i="26" s="1"/>
  <c r="AF23" i="26"/>
  <c r="AF24" i="26" s="1"/>
  <c r="AG22" i="26" s="1"/>
  <c r="AG23" i="26" l="1"/>
  <c r="AG24" i="26" s="1"/>
  <c r="AH22" i="26" s="1"/>
  <c r="AG17" i="26"/>
  <c r="AH15" i="26" s="1"/>
  <c r="AH23" i="26" l="1"/>
  <c r="AH24" i="26" s="1"/>
  <c r="AI22" i="26" s="1"/>
  <c r="AH17" i="26"/>
  <c r="AI15" i="26" s="1"/>
  <c r="AI23" i="26" l="1"/>
  <c r="AI24" i="26" s="1"/>
  <c r="AJ22" i="26" s="1"/>
  <c r="AI17" i="26"/>
  <c r="AJ15" i="26" s="1"/>
  <c r="AJ23" i="26" l="1"/>
  <c r="AJ24" i="26" s="1"/>
  <c r="AK22" i="26" s="1"/>
  <c r="AJ17" i="26"/>
  <c r="AK15" i="26" s="1"/>
  <c r="AK23" i="26" l="1"/>
  <c r="AK24" i="26" s="1"/>
  <c r="AL22" i="26" s="1"/>
  <c r="AK17" i="26"/>
  <c r="AL15" i="26" s="1"/>
  <c r="AL23" i="26" l="1"/>
  <c r="AL24" i="26" s="1"/>
  <c r="AM22" i="26" s="1"/>
  <c r="AL17" i="26"/>
  <c r="AM15" i="26" s="1"/>
  <c r="AM17" i="26" l="1"/>
  <c r="AN15" i="26" s="1"/>
  <c r="AM23" i="26"/>
  <c r="AM24" i="26" s="1"/>
  <c r="AN22" i="26" s="1"/>
  <c r="AN23" i="26" l="1"/>
  <c r="AN24" i="26" s="1"/>
  <c r="AO22" i="26" s="1"/>
  <c r="AN17" i="26"/>
  <c r="AO15" i="26" s="1"/>
  <c r="AO23" i="26" l="1"/>
  <c r="AO24" i="26" s="1"/>
  <c r="AP22" i="26" s="1"/>
  <c r="AO17" i="26"/>
  <c r="AP15" i="26" s="1"/>
  <c r="AP23" i="26" l="1"/>
  <c r="AP24" i="26" s="1"/>
  <c r="AQ22" i="26" s="1"/>
  <c r="AP17" i="26"/>
  <c r="AQ15" i="26" s="1"/>
  <c r="AQ23" i="26" l="1"/>
  <c r="AQ24" i="26" s="1"/>
  <c r="AR22" i="26" s="1"/>
  <c r="AQ17" i="26"/>
  <c r="AR15" i="26" s="1"/>
  <c r="AR23" i="26" l="1"/>
  <c r="AR24" i="26" s="1"/>
  <c r="AS22" i="26" s="1"/>
  <c r="AR17" i="26"/>
  <c r="AS15" i="26" s="1"/>
  <c r="AS17" i="26" l="1"/>
  <c r="AT15" i="26" s="1"/>
  <c r="AS23" i="26"/>
  <c r="AS24" i="26" s="1"/>
  <c r="AT22" i="26" s="1"/>
  <c r="AT17" i="26" l="1"/>
  <c r="AU15" i="26" s="1"/>
  <c r="AT23" i="26"/>
  <c r="AT24" i="26" s="1"/>
  <c r="AU22" i="26" s="1"/>
  <c r="AU23" i="26" l="1"/>
  <c r="AU24" i="26" s="1"/>
  <c r="AV22" i="26" s="1"/>
  <c r="AU17" i="26"/>
  <c r="AV15" i="26" s="1"/>
  <c r="AV23" i="26" l="1"/>
  <c r="AV24" i="26" s="1"/>
  <c r="AW22" i="26" s="1"/>
  <c r="AV17" i="26"/>
  <c r="AW15" i="26" s="1"/>
  <c r="AW17" i="26" l="1"/>
  <c r="AX15" i="26" s="1"/>
  <c r="AW23" i="26"/>
  <c r="AW24" i="26" s="1"/>
  <c r="AX22" i="26" s="1"/>
  <c r="AX17" i="26" l="1"/>
  <c r="AY15" i="26" s="1"/>
  <c r="AX23" i="26"/>
  <c r="AX24" i="26" s="1"/>
  <c r="AY22" i="26" s="1"/>
  <c r="AY17" i="26" l="1"/>
  <c r="AZ15" i="26" s="1"/>
  <c r="AY23" i="26"/>
  <c r="AY24" i="26" s="1"/>
  <c r="AZ22" i="26" s="1"/>
  <c r="AZ17" i="26" l="1"/>
  <c r="BA15" i="26" s="1"/>
  <c r="AZ23" i="26"/>
  <c r="AZ24" i="26" s="1"/>
  <c r="BA22" i="26" s="1"/>
  <c r="BA17" i="26" l="1"/>
  <c r="BB15" i="26" s="1"/>
  <c r="BA23" i="26"/>
  <c r="BA24" i="26" s="1"/>
  <c r="BB22" i="26" s="1"/>
  <c r="BB23" i="26" l="1"/>
  <c r="BB24" i="26" s="1"/>
  <c r="BC22" i="26" s="1"/>
  <c r="BB17" i="26"/>
  <c r="BC15" i="26" s="1"/>
  <c r="BC23" i="26" l="1"/>
  <c r="BC24" i="26" s="1"/>
  <c r="BD22" i="26" s="1"/>
  <c r="BC17" i="26"/>
  <c r="BD15" i="26" s="1"/>
  <c r="BD23" i="26" l="1"/>
  <c r="BD24" i="26" s="1"/>
  <c r="BE22" i="26" s="1"/>
  <c r="BD17" i="26"/>
  <c r="BE15" i="26" s="1"/>
  <c r="BE23" i="26" l="1"/>
  <c r="BE24" i="26" s="1"/>
  <c r="BF22" i="26" s="1"/>
  <c r="BE17" i="26"/>
  <c r="BF15" i="26" s="1"/>
  <c r="BF17" i="26" l="1"/>
  <c r="BG15" i="26" s="1"/>
  <c r="BF23" i="26"/>
  <c r="BF24" i="26" s="1"/>
  <c r="BG22" i="26" s="1"/>
  <c r="BG23" i="26" l="1"/>
  <c r="BG24" i="26" s="1"/>
  <c r="BH22" i="26" s="1"/>
  <c r="BG17" i="26"/>
  <c r="BH15" i="26" s="1"/>
  <c r="BH23" i="26" l="1"/>
  <c r="BH24" i="26" s="1"/>
  <c r="BI22" i="26" s="1"/>
  <c r="BH17" i="26"/>
  <c r="BI15" i="26" s="1"/>
  <c r="BI23" i="26" l="1"/>
  <c r="BI24" i="26" s="1"/>
  <c r="C9" i="24" s="1"/>
  <c r="BI17" i="26"/>
  <c r="B9" i="24" s="1"/>
  <c r="D9" i="24" l="1"/>
  <c r="E9" i="24"/>
  <c r="F9" i="24"/>
  <c r="AX29" i="26"/>
  <c r="AZ29" i="26" s="1"/>
  <c r="BK22" i="26"/>
  <c r="AX30" i="26"/>
  <c r="AX31" i="26" l="1"/>
  <c r="A2" i="24" l="1"/>
  <c r="A1" i="24"/>
  <c r="B33" i="19" l="1"/>
  <c r="B14" i="14" l="1"/>
  <c r="C14" i="14"/>
  <c r="D14" i="14"/>
  <c r="E14" i="14"/>
  <c r="F14" i="14"/>
  <c r="G14" i="14"/>
  <c r="H14" i="14"/>
  <c r="I14" i="14"/>
  <c r="J14" i="14"/>
  <c r="K14" i="14"/>
  <c r="L14" i="14"/>
  <c r="M14" i="14"/>
  <c r="D10" i="24" l="1"/>
  <c r="E10" i="24"/>
  <c r="F10" i="24"/>
  <c r="G6" i="24"/>
  <c r="A4" i="14"/>
  <c r="A2" i="14"/>
  <c r="A1" i="14"/>
  <c r="O16" i="31" l="1"/>
  <c r="O19" i="31" s="1"/>
  <c r="BK20" i="26"/>
  <c r="BK23" i="26" s="1"/>
  <c r="G9" i="24"/>
  <c r="H9" i="24" s="1"/>
  <c r="O31" i="3"/>
  <c r="O27" i="14" s="1"/>
  <c r="G10" i="24"/>
  <c r="H10" i="24" s="1"/>
  <c r="AY30" i="26" l="1"/>
  <c r="BK24" i="26"/>
  <c r="C26" i="31"/>
  <c r="O20" i="31"/>
  <c r="J34" i="31" s="1"/>
  <c r="K42" i="31" s="1"/>
  <c r="A2" i="19"/>
  <c r="A1" i="19"/>
  <c r="F25" i="24" l="1"/>
  <c r="F27" i="24" s="1"/>
  <c r="K41" i="31"/>
  <c r="AY31" i="26"/>
  <c r="AZ31" i="26" s="1"/>
  <c r="J9" i="24" s="1"/>
  <c r="AZ30" i="26"/>
  <c r="D34" i="31"/>
  <c r="I34" i="31"/>
  <c r="F34" i="31"/>
  <c r="H34" i="31"/>
  <c r="E34" i="31"/>
  <c r="E42" i="31" s="1"/>
  <c r="G34" i="31"/>
  <c r="C27" i="31"/>
  <c r="D27" i="31" s="1"/>
  <c r="J10" i="24" s="1"/>
  <c r="D26" i="31"/>
  <c r="B13" i="19"/>
  <c r="E18" i="24" l="1"/>
  <c r="E41" i="31"/>
  <c r="C34" i="31"/>
  <c r="D42" i="31"/>
  <c r="L7" i="19"/>
  <c r="K7" i="19"/>
  <c r="J7" i="19"/>
  <c r="I7" i="19"/>
  <c r="E17" i="24" l="1"/>
  <c r="D41" i="31"/>
  <c r="I39" i="31"/>
  <c r="I42" i="31" s="1"/>
  <c r="BE43" i="26"/>
  <c r="L8" i="19"/>
  <c r="H39" i="31"/>
  <c r="H42" i="31" s="1"/>
  <c r="BD43" i="26"/>
  <c r="K8" i="19"/>
  <c r="G39" i="31"/>
  <c r="G42" i="31" s="1"/>
  <c r="BC43" i="26"/>
  <c r="J8" i="19"/>
  <c r="F39" i="31"/>
  <c r="BB43" i="26"/>
  <c r="H8" i="19"/>
  <c r="I8" i="19"/>
  <c r="E22" i="24" l="1"/>
  <c r="E23" i="24" s="1"/>
  <c r="E24" i="24"/>
  <c r="E21" i="24"/>
  <c r="I41" i="31"/>
  <c r="H41" i="31"/>
  <c r="G41" i="31"/>
  <c r="AY43" i="26"/>
  <c r="C39" i="31"/>
  <c r="F42" i="31"/>
  <c r="AY36" i="26"/>
  <c r="BC37" i="26" s="1"/>
  <c r="G8" i="19"/>
  <c r="C51" i="14"/>
  <c r="C44" i="14"/>
  <c r="E19" i="24" l="1"/>
  <c r="F41" i="31"/>
  <c r="C41" i="31" s="1"/>
  <c r="BB37" i="26"/>
  <c r="BB44" i="26" s="1"/>
  <c r="BC44" i="26"/>
  <c r="BC38" i="26"/>
  <c r="BC46" i="26" s="1"/>
  <c r="BE37" i="26"/>
  <c r="BD37" i="26"/>
  <c r="BA37" i="26"/>
  <c r="AZ37" i="26"/>
  <c r="D45" i="14"/>
  <c r="D52" i="14" s="1"/>
  <c r="G45" i="14"/>
  <c r="F45" i="14"/>
  <c r="E45" i="14"/>
  <c r="I45" i="14"/>
  <c r="H45" i="14"/>
  <c r="B30" i="14"/>
  <c r="B31" i="14" s="1"/>
  <c r="C29" i="14" s="1"/>
  <c r="G17" i="14"/>
  <c r="G33" i="14" s="1"/>
  <c r="F17" i="14"/>
  <c r="F33" i="14" s="1"/>
  <c r="D17" i="14"/>
  <c r="I17" i="14"/>
  <c r="M17" i="14"/>
  <c r="L17" i="14"/>
  <c r="K17" i="14"/>
  <c r="K33" i="14" s="1"/>
  <c r="J17" i="14"/>
  <c r="E17" i="14"/>
  <c r="C17" i="14"/>
  <c r="B17" i="14"/>
  <c r="E20" i="24" l="1"/>
  <c r="E27" i="24"/>
  <c r="D21" i="24"/>
  <c r="BC45" i="26"/>
  <c r="BB38" i="26"/>
  <c r="BB46" i="26" s="1"/>
  <c r="I52" i="14"/>
  <c r="BE44" i="26"/>
  <c r="BE38" i="26"/>
  <c r="BE46" i="26" s="1"/>
  <c r="G52" i="14"/>
  <c r="H52" i="14"/>
  <c r="E52" i="14"/>
  <c r="F52" i="14"/>
  <c r="AY37" i="26"/>
  <c r="AZ44" i="26"/>
  <c r="AZ38" i="26"/>
  <c r="BA44" i="26"/>
  <c r="BA38" i="26"/>
  <c r="BA46" i="26" s="1"/>
  <c r="BD44" i="26"/>
  <c r="BD38" i="26"/>
  <c r="BD46" i="26" s="1"/>
  <c r="C45" i="14"/>
  <c r="J20" i="14"/>
  <c r="J23" i="14" s="1"/>
  <c r="J33" i="14"/>
  <c r="C33" i="14"/>
  <c r="C20" i="14"/>
  <c r="C23" i="14" s="1"/>
  <c r="B20" i="14"/>
  <c r="B23" i="14" s="1"/>
  <c r="B24" i="14" s="1"/>
  <c r="C22" i="14" s="1"/>
  <c r="B33" i="14"/>
  <c r="D33" i="14"/>
  <c r="D20" i="14"/>
  <c r="D23" i="14" s="1"/>
  <c r="L33" i="14"/>
  <c r="L20" i="14"/>
  <c r="L23" i="14" s="1"/>
  <c r="E20" i="14"/>
  <c r="E23" i="14" s="1"/>
  <c r="E33" i="14"/>
  <c r="M20" i="14"/>
  <c r="M23" i="14" s="1"/>
  <c r="M33" i="14"/>
  <c r="I33" i="14"/>
  <c r="I20" i="14"/>
  <c r="I23" i="14" s="1"/>
  <c r="K20" i="14"/>
  <c r="K23" i="14" s="1"/>
  <c r="G20" i="14"/>
  <c r="G23" i="14" s="1"/>
  <c r="H17" i="14"/>
  <c r="O33" i="14" s="1"/>
  <c r="F20" i="14"/>
  <c r="F23" i="14" s="1"/>
  <c r="D24" i="24" l="1"/>
  <c r="D18" i="24"/>
  <c r="D22" i="24"/>
  <c r="D23" i="24" s="1"/>
  <c r="D19" i="24"/>
  <c r="D20" i="24" s="1"/>
  <c r="BB45" i="26"/>
  <c r="BD45" i="26"/>
  <c r="BE45" i="26"/>
  <c r="BA45" i="26"/>
  <c r="AY44" i="26"/>
  <c r="AY38" i="26"/>
  <c r="AZ46" i="26"/>
  <c r="C52" i="14"/>
  <c r="H20" i="14"/>
  <c r="H23" i="14" s="1"/>
  <c r="H33" i="14"/>
  <c r="C24" i="14"/>
  <c r="D22" i="14" s="1"/>
  <c r="C30" i="14"/>
  <c r="C31" i="14" s="1"/>
  <c r="D29" i="14" s="1"/>
  <c r="D17" i="24" l="1"/>
  <c r="D27" i="24" s="1"/>
  <c r="AZ45" i="26"/>
  <c r="AY45" i="26" s="1"/>
  <c r="D24" i="14"/>
  <c r="E22" i="14" s="1"/>
  <c r="D30" i="14"/>
  <c r="D31" i="14" s="1"/>
  <c r="E29" i="14" s="1"/>
  <c r="E24" i="14" l="1"/>
  <c r="F22" i="14" s="1"/>
  <c r="E30" i="14"/>
  <c r="E31" i="14" s="1"/>
  <c r="F29" i="14" s="1"/>
  <c r="F30" i="14" l="1"/>
  <c r="F31" i="14" s="1"/>
  <c r="G29" i="14" s="1"/>
  <c r="F24" i="14"/>
  <c r="G22" i="14" s="1"/>
  <c r="G24" i="14" l="1"/>
  <c r="H22" i="14" s="1"/>
  <c r="G30" i="14"/>
  <c r="G31" i="14" s="1"/>
  <c r="H29" i="14" s="1"/>
  <c r="H30" i="14" l="1"/>
  <c r="H31" i="14" s="1"/>
  <c r="I29" i="14" s="1"/>
  <c r="H24" i="14"/>
  <c r="I22" i="14" s="1"/>
  <c r="I24" i="14" l="1"/>
  <c r="J22" i="14" s="1"/>
  <c r="I30" i="14"/>
  <c r="I31" i="14" s="1"/>
  <c r="J29" i="14" s="1"/>
  <c r="J30" i="14" l="1"/>
  <c r="J31" i="14" s="1"/>
  <c r="K29" i="14" s="1"/>
  <c r="J24" i="14"/>
  <c r="K22" i="14" s="1"/>
  <c r="K24" i="14" l="1"/>
  <c r="L22" i="14" s="1"/>
  <c r="K30" i="14"/>
  <c r="K31" i="14" s="1"/>
  <c r="L29" i="14" s="1"/>
  <c r="L24" i="14" l="1"/>
  <c r="M22" i="14" s="1"/>
  <c r="L30" i="14"/>
  <c r="L31" i="14" s="1"/>
  <c r="M29" i="14" s="1"/>
  <c r="M24" i="14" l="1"/>
  <c r="M30" i="14"/>
  <c r="M31" i="14" s="1"/>
  <c r="O29" i="14" l="1"/>
  <c r="B39" i="14"/>
  <c r="C8" i="24" s="1"/>
  <c r="B38" i="14"/>
  <c r="B8" i="24" s="1"/>
  <c r="O30" i="14"/>
  <c r="B34" i="3"/>
  <c r="B35" i="3" s="1"/>
  <c r="C33" i="3" s="1"/>
  <c r="M27" i="3"/>
  <c r="L27" i="3"/>
  <c r="K27" i="3"/>
  <c r="J27" i="3"/>
  <c r="I27" i="3"/>
  <c r="H27" i="3"/>
  <c r="G27" i="3"/>
  <c r="F27" i="3"/>
  <c r="E27" i="3"/>
  <c r="D27" i="3"/>
  <c r="C20" i="3"/>
  <c r="C22" i="3" s="1"/>
  <c r="C24" i="3" s="1"/>
  <c r="C27" i="3" s="1"/>
  <c r="B20" i="3"/>
  <c r="B22" i="3" s="1"/>
  <c r="B24" i="3" s="1"/>
  <c r="B27" i="3" s="1"/>
  <c r="B28" i="3" s="1"/>
  <c r="C26" i="3" s="1"/>
  <c r="D8" i="24" l="1"/>
  <c r="E8" i="24"/>
  <c r="F8" i="24"/>
  <c r="G8" i="24"/>
  <c r="O31" i="14"/>
  <c r="C39" i="14"/>
  <c r="C34" i="3"/>
  <c r="C35" i="3" s="1"/>
  <c r="D33" i="3" s="1"/>
  <c r="C28" i="3"/>
  <c r="D26" i="3" s="1"/>
  <c r="H8" i="24" l="1"/>
  <c r="D34" i="3"/>
  <c r="D35" i="3" s="1"/>
  <c r="E33" i="3" s="1"/>
  <c r="D28" i="3"/>
  <c r="E26" i="3" s="1"/>
  <c r="E28" i="3" l="1"/>
  <c r="F26" i="3" s="1"/>
  <c r="E34" i="3"/>
  <c r="E35" i="3" s="1"/>
  <c r="F33" i="3" s="1"/>
  <c r="F34" i="3" l="1"/>
  <c r="F35" i="3" s="1"/>
  <c r="G33" i="3" s="1"/>
  <c r="F28" i="3"/>
  <c r="G26" i="3" s="1"/>
  <c r="G34" i="3" l="1"/>
  <c r="G35" i="3" s="1"/>
  <c r="H33" i="3" s="1"/>
  <c r="G28" i="3"/>
  <c r="H26" i="3" s="1"/>
  <c r="H34" i="3" l="1"/>
  <c r="H35" i="3" s="1"/>
  <c r="I33" i="3" s="1"/>
  <c r="H28" i="3"/>
  <c r="I26" i="3" s="1"/>
  <c r="I34" i="3" l="1"/>
  <c r="I35" i="3" s="1"/>
  <c r="J33" i="3" s="1"/>
  <c r="I28" i="3"/>
  <c r="J26" i="3" s="1"/>
  <c r="J34" i="3" l="1"/>
  <c r="J35" i="3" s="1"/>
  <c r="K33" i="3" s="1"/>
  <c r="J28" i="3"/>
  <c r="K26" i="3" s="1"/>
  <c r="K34" i="3" l="1"/>
  <c r="K35" i="3" s="1"/>
  <c r="L33" i="3" s="1"/>
  <c r="K28" i="3"/>
  <c r="L26" i="3" s="1"/>
  <c r="L28" i="3" l="1"/>
  <c r="M26" i="3" s="1"/>
  <c r="L34" i="3"/>
  <c r="L35" i="3" s="1"/>
  <c r="M33" i="3" s="1"/>
  <c r="D38" i="14" l="1"/>
  <c r="M34" i="3"/>
  <c r="M35" i="3" s="1"/>
  <c r="C7" i="24" s="1"/>
  <c r="C11" i="24" s="1"/>
  <c r="M28" i="3"/>
  <c r="B7" i="24" s="1"/>
  <c r="B11" i="24" s="1"/>
  <c r="D7" i="24" l="1"/>
  <c r="D11" i="24" s="1"/>
  <c r="E7" i="24"/>
  <c r="E11" i="24" s="1"/>
  <c r="F7" i="24"/>
  <c r="F11" i="24" s="1"/>
  <c r="G7" i="24"/>
  <c r="G11" i="24" s="1"/>
  <c r="B40" i="14"/>
  <c r="O34" i="3"/>
  <c r="C41" i="3" s="1"/>
  <c r="C42" i="3" s="1"/>
  <c r="B40" i="3"/>
  <c r="O33" i="3"/>
  <c r="B41" i="3"/>
  <c r="H7" i="24" l="1"/>
  <c r="H11" i="24" s="1"/>
  <c r="O35" i="3"/>
  <c r="D41" i="3"/>
  <c r="B42" i="3"/>
  <c r="D42" i="3" s="1"/>
  <c r="J7" i="24" s="1"/>
  <c r="C54" i="3"/>
  <c r="C40" i="14" l="1"/>
  <c r="D40" i="14" s="1"/>
  <c r="D39" i="14"/>
  <c r="C47" i="3"/>
  <c r="J8" i="24" l="1"/>
  <c r="E46" i="14"/>
  <c r="E54" i="14" s="1"/>
  <c r="F46" i="14"/>
  <c r="F54" i="14" s="1"/>
  <c r="G46" i="14"/>
  <c r="G54" i="14" s="1"/>
  <c r="I46" i="14"/>
  <c r="I54" i="14" s="1"/>
  <c r="H46" i="14"/>
  <c r="H54" i="14" s="1"/>
  <c r="E48" i="3"/>
  <c r="H48" i="3"/>
  <c r="I48" i="3"/>
  <c r="F48" i="3"/>
  <c r="G48" i="3"/>
  <c r="D46" i="14"/>
  <c r="D48" i="3"/>
  <c r="D49" i="3" s="1"/>
  <c r="C24" i="24" l="1"/>
  <c r="C18" i="24"/>
  <c r="C22" i="24"/>
  <c r="C23" i="24" s="1"/>
  <c r="C21" i="24"/>
  <c r="C19" i="24"/>
  <c r="C20" i="24" s="1"/>
  <c r="G53" i="14"/>
  <c r="H53" i="14"/>
  <c r="I53" i="14"/>
  <c r="E53" i="14"/>
  <c r="F53" i="14"/>
  <c r="G55" i="3"/>
  <c r="G49" i="3"/>
  <c r="G57" i="3" s="1"/>
  <c r="B21" i="24" s="1"/>
  <c r="F55" i="3"/>
  <c r="F49" i="3"/>
  <c r="F57" i="3" s="1"/>
  <c r="B19" i="24" s="1"/>
  <c r="B20" i="24" s="1"/>
  <c r="I55" i="3"/>
  <c r="I49" i="3"/>
  <c r="I57" i="3" s="1"/>
  <c r="B24" i="24" s="1"/>
  <c r="H55" i="3"/>
  <c r="H49" i="3"/>
  <c r="H57" i="3" s="1"/>
  <c r="B22" i="24" s="1"/>
  <c r="B23" i="24" s="1"/>
  <c r="E55" i="3"/>
  <c r="E49" i="3"/>
  <c r="E57" i="3" s="1"/>
  <c r="B18" i="24" s="1"/>
  <c r="C46" i="14"/>
  <c r="D54" i="14"/>
  <c r="D55" i="3"/>
  <c r="C48" i="3"/>
  <c r="C17" i="24" l="1"/>
  <c r="C27" i="24" s="1"/>
  <c r="G56" i="3"/>
  <c r="I56" i="3"/>
  <c r="F56" i="3"/>
  <c r="D53" i="14"/>
  <c r="C53" i="14" s="1"/>
  <c r="E56" i="3"/>
  <c r="H56" i="3"/>
  <c r="C55" i="3"/>
  <c r="D57" i="3"/>
  <c r="B17" i="24" l="1"/>
  <c r="B27" i="24" s="1"/>
  <c r="D56" i="3"/>
  <c r="C49" i="3"/>
  <c r="C56" i="3" l="1"/>
  <c r="D40" i="3"/>
</calcChain>
</file>

<file path=xl/sharedStrings.xml><?xml version="1.0" encoding="utf-8"?>
<sst xmlns="http://schemas.openxmlformats.org/spreadsheetml/2006/main" count="494" uniqueCount="181">
  <si>
    <t>EPCOR Natural Gas Limited Partnership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</si>
  <si>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</si>
  <si>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</si>
  <si>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</si>
  <si>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</si>
  <si>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</si>
  <si>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</si>
  <si>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</si>
  <si>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</si>
  <si>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</si>
  <si>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</si>
  <si>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</si>
  <si>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</si>
  <si>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Opening PGTVA Balance</t>
  </si>
  <si>
    <t>Change in PGTVA Balance</t>
  </si>
  <si>
    <t>Closing PGTVA Balance</t>
  </si>
  <si>
    <t>Monthly Interest Rate</t>
  </si>
  <si>
    <t>Opening Interest Balance</t>
  </si>
  <si>
    <t>Monthly Interest Calculation</t>
  </si>
  <si>
    <t>Closing Interest Balance</t>
  </si>
  <si>
    <t>Total</t>
  </si>
  <si>
    <t>Unit</t>
  </si>
  <si>
    <t>Row Sum</t>
  </si>
  <si>
    <t>Rate 2</t>
  </si>
  <si>
    <t>Rate 3</t>
  </si>
  <si>
    <t>Rate 4</t>
  </si>
  <si>
    <t>Rate 5</t>
  </si>
  <si>
    <t>%</t>
  </si>
  <si>
    <t>$</t>
  </si>
  <si>
    <t>Allocation</t>
  </si>
  <si>
    <t>Rate Rider</t>
  </si>
  <si>
    <t>Volume</t>
  </si>
  <si>
    <t>JAN-DEC</t>
  </si>
  <si>
    <r>
      <t>000's m</t>
    </r>
    <r>
      <rPr>
        <vertAlign val="superscript"/>
        <sz val="11"/>
        <rFont val="Arial"/>
        <family val="2"/>
      </rPr>
      <t>3</t>
    </r>
  </si>
  <si>
    <r>
      <t>¢/m</t>
    </r>
    <r>
      <rPr>
        <b/>
        <vertAlign val="superscript"/>
        <sz val="11"/>
        <rFont val="Arial"/>
        <family val="2"/>
      </rPr>
      <t>3</t>
    </r>
  </si>
  <si>
    <t>Transportation Cost</t>
  </si>
  <si>
    <t>Enbridge/Union Gas - Delivery</t>
  </si>
  <si>
    <t>Enbridge/Union Gas - Adjustments</t>
  </si>
  <si>
    <t>Enbridge/Union Gas - Demand</t>
  </si>
  <si>
    <t xml:space="preserve">Lagasco - Demand </t>
  </si>
  <si>
    <t>Lagasco - Delivery</t>
  </si>
  <si>
    <t>PGTVA Interest</t>
  </si>
  <si>
    <t>Total Cost (A)</t>
  </si>
  <si>
    <t>Rate Difference (C-D) = (E)</t>
  </si>
  <si>
    <r>
      <t>Average Cost ($/m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 (A/B) = C</t>
    </r>
  </si>
  <si>
    <t>Jan-Dec</t>
  </si>
  <si>
    <t>Purchase Volumes:</t>
  </si>
  <si>
    <t>Opening UFG Balance</t>
  </si>
  <si>
    <t>Closing UFG Balance</t>
  </si>
  <si>
    <t>UFG Interest</t>
  </si>
  <si>
    <t>UFG%</t>
  </si>
  <si>
    <t>R1 Residential</t>
  </si>
  <si>
    <t>R2 Seasonal</t>
  </si>
  <si>
    <t>R3</t>
  </si>
  <si>
    <t>R4</t>
  </si>
  <si>
    <t>R5</t>
  </si>
  <si>
    <t>R2</t>
  </si>
  <si>
    <t>PGTVA Account Balance</t>
  </si>
  <si>
    <t>Principal</t>
  </si>
  <si>
    <t>Carrying Charges</t>
  </si>
  <si>
    <t>UFGVA Account Balance</t>
  </si>
  <si>
    <t>Billing &amp; Allocation Determinants</t>
  </si>
  <si>
    <t>Continuity Schedule</t>
  </si>
  <si>
    <r>
      <t>Purchased Gas Transportation Variance Account</t>
    </r>
    <r>
      <rPr>
        <b/>
        <i/>
        <sz val="11"/>
        <rFont val="Arial"/>
        <family val="2"/>
      </rPr>
      <t xml:space="preserve"> (PGTVA)</t>
    </r>
  </si>
  <si>
    <r>
      <t xml:space="preserve">Unaccounted For Gas Variance Account  </t>
    </r>
    <r>
      <rPr>
        <b/>
        <i/>
        <sz val="11"/>
        <rFont val="Arial"/>
        <family val="2"/>
      </rPr>
      <t>(UFGVA)</t>
    </r>
  </si>
  <si>
    <t>Q1</t>
  </si>
  <si>
    <t>Q2</t>
  </si>
  <si>
    <t>Q3</t>
  </si>
  <si>
    <t>Q4</t>
  </si>
  <si>
    <t>PGTVA</t>
  </si>
  <si>
    <t>UFGVA</t>
  </si>
  <si>
    <t>Check</t>
  </si>
  <si>
    <t>2025 Balance</t>
  </si>
  <si>
    <t>Reference Price - 2024 (EB-2018-0336) (D)</t>
  </si>
  <si>
    <r>
      <t>Total Purchases (</t>
    </r>
    <r>
      <rPr>
        <b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>)</t>
    </r>
  </si>
  <si>
    <r>
      <t>Calendarized billing volume (</t>
    </r>
    <r>
      <rPr>
        <b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)</t>
    </r>
  </si>
  <si>
    <r>
      <t xml:space="preserve">Volume difference (A - B = </t>
    </r>
    <r>
      <rPr>
        <b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)</t>
    </r>
  </si>
  <si>
    <r>
      <t>PGCVA Reference price (per OEB Decisions) (</t>
    </r>
    <r>
      <rPr>
        <b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>)</t>
    </r>
  </si>
  <si>
    <r>
      <t xml:space="preserve">Unit Difference (C * D = </t>
    </r>
    <r>
      <rPr>
        <b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>)</t>
    </r>
  </si>
  <si>
    <r>
      <t>Change in UFG Balance (</t>
    </r>
    <r>
      <rPr>
        <b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>)</t>
    </r>
  </si>
  <si>
    <t>EB-2026-0148</t>
  </si>
  <si>
    <t>Deferral Account Summary</t>
  </si>
  <si>
    <t>2026 Carrying Charges</t>
  </si>
  <si>
    <t>ADVADA</t>
  </si>
  <si>
    <t>ESMDA</t>
  </si>
  <si>
    <t>Clearbeach Resources Inc.  - Demand</t>
  </si>
  <si>
    <t>Clearbeach Resources Inc.  - Delivery</t>
  </si>
  <si>
    <t>EB-2024-0140</t>
  </si>
  <si>
    <r>
      <t>Volumes Transported (m</t>
    </r>
    <r>
      <rPr>
        <i/>
        <vertAlign val="superscript"/>
        <sz val="11"/>
        <rFont val="Arial"/>
        <family val="2"/>
      </rPr>
      <t>3</t>
    </r>
    <r>
      <rPr>
        <i/>
        <sz val="11"/>
        <rFont val="Arial"/>
        <family val="2"/>
      </rPr>
      <t>) (B)</t>
    </r>
  </si>
  <si>
    <t>EB-2018-0336</t>
  </si>
  <si>
    <t>Rate 1 - Residential</t>
  </si>
  <si>
    <t>Rate 1 - GS</t>
  </si>
  <si>
    <t>2026 Balance</t>
  </si>
  <si>
    <t>PGTVA Account Balance Recovery (Based on 2025 Weather Normalized Volumes)</t>
  </si>
  <si>
    <t>R1 General Service</t>
  </si>
  <si>
    <t>Actual Customer Counts - 2025</t>
  </si>
  <si>
    <t>R1 - R</t>
  </si>
  <si>
    <t>R1 - GS</t>
  </si>
  <si>
    <t>2025 Actual</t>
  </si>
  <si>
    <t>Transportation Revenue (F)</t>
  </si>
  <si>
    <t>Monthly Variance (B x E) or (A - F)</t>
  </si>
  <si>
    <t>Opening ADVADA Balance</t>
  </si>
  <si>
    <t>Change in ADVADA Balance</t>
  </si>
  <si>
    <t>Closing ADVADA Balance</t>
  </si>
  <si>
    <t>ADVADA Interest</t>
  </si>
  <si>
    <t>ADVADA Account Balance</t>
  </si>
  <si>
    <t>ADVADA Account Balance Recovery (Based on 2025 Weather Normalized Volumes)</t>
  </si>
  <si>
    <t>Approved Deferral/Variance Disposal Account (ADVADA)</t>
  </si>
  <si>
    <t>ADVADA 2021 (Approved in EB-2020-0234)</t>
  </si>
  <si>
    <t>ADVADA 2021 (Approved in EB-2020-0076)</t>
  </si>
  <si>
    <t>ADVADA 2022 (Approved in EB-2021-0215)</t>
  </si>
  <si>
    <t>ADVADA 2021 (Approved in EB-2021-0268)</t>
  </si>
  <si>
    <t>ADVADA 2023 (Approved in EB-2022-0183)</t>
  </si>
  <si>
    <t xml:space="preserve">Enbridge SA 1550 </t>
  </si>
  <si>
    <t>Enbridge SA 25050</t>
  </si>
  <si>
    <t>Lagasco Lake</t>
  </si>
  <si>
    <t>Lagasco Wells</t>
  </si>
  <si>
    <t>Walker RNG</t>
  </si>
  <si>
    <t>Clearbeach Resources</t>
  </si>
  <si>
    <t>Earning Sharing Mechanism (50%)</t>
  </si>
  <si>
    <t>Earnings Sharing Mechanism Deferral Account (ESMDA)</t>
  </si>
  <si>
    <t>Opening ESMDA Balance</t>
  </si>
  <si>
    <t>Change in ESMDA Balance</t>
  </si>
  <si>
    <t>Closing ESMDA Balance</t>
  </si>
  <si>
    <t>ESMDA Interest</t>
  </si>
  <si>
    <t>ESMDA Account Balance</t>
  </si>
  <si>
    <t>UFGVA Account Balance Recovery (Based on 2025 Weather Normalized Volumes)</t>
  </si>
  <si>
    <t>Rate Class</t>
  </si>
  <si>
    <t>R2 - Seasonal</t>
  </si>
  <si>
    <t>R4 - Peaking</t>
  </si>
  <si>
    <t>Total Revenue</t>
  </si>
  <si>
    <t>R1 - Residential</t>
  </si>
  <si>
    <t>R1 - General Service</t>
  </si>
  <si>
    <t>R3 - Large Volume Contract</t>
  </si>
  <si>
    <t>R5 - Interruptible Peaking</t>
  </si>
  <si>
    <t>R6 - Alco Energy (IGPC)</t>
  </si>
  <si>
    <t>EB-2024-0140 Revenue Requirement (WACC Adjusted)</t>
  </si>
  <si>
    <t>ENGLP_AYLMER_IRM_Rate Model_REPLYSUB_20251113 - Tab H1 Distribution Revenue</t>
  </si>
  <si>
    <t>R6</t>
  </si>
  <si>
    <r>
      <t>ESMDA Account Balance Allocation</t>
    </r>
    <r>
      <rPr>
        <b/>
        <i/>
        <sz val="11"/>
        <color theme="1"/>
        <rFont val="Arial"/>
        <family val="2"/>
      </rPr>
      <t xml:space="preserve"> (Based on EB-2024-0130 revenue requirement, WACC adjusted - ENGLP_AYLMER_IRM_Rate Model_REPLYSUB_20251113 - Tab H1 Distribution Revenue)</t>
    </r>
  </si>
  <si>
    <t>Rate 6</t>
  </si>
  <si>
    <t>ESMDA Account Balance Recovery (Based on 2025 Weather Normalized Volumes R1-5, Fixed Charge, R6)</t>
  </si>
  <si>
    <t>Months</t>
  </si>
  <si>
    <t>$/month</t>
  </si>
  <si>
    <t>PGTVA Account Balance Allocation (Based on 2025 Actual Volumes)</t>
  </si>
  <si>
    <t>2021 Actual</t>
  </si>
  <si>
    <t>2022 Actual</t>
  </si>
  <si>
    <t>2023 Actual</t>
  </si>
  <si>
    <t>2024 Actual</t>
  </si>
  <si>
    <t>EB-2026-0086 - Actual Volumes</t>
  </si>
  <si>
    <t>Volumes - 2025 Weather Normalized</t>
  </si>
  <si>
    <t>Volumes - 2025 Actual</t>
  </si>
  <si>
    <t>ADVADA Account Balance Allocation (Based on 2021-2023 Actual Volumes)</t>
  </si>
  <si>
    <t>2021-2023</t>
  </si>
  <si>
    <t>UFGVA Account Balance Allocation (Based on 2025 Actual Volumes)</t>
  </si>
  <si>
    <t>2024-2025</t>
  </si>
  <si>
    <t>$ per month</t>
  </si>
  <si>
    <t>cents / m3</t>
  </si>
  <si>
    <t>R2 - Seasonal - Nov to Mar</t>
  </si>
  <si>
    <t>R2 - Seasonal - Apr to Oct</t>
  </si>
  <si>
    <t>R4 - Peaking - Apr to Dec</t>
  </si>
  <si>
    <t>R4 - Peaking - Jan to Mar</t>
  </si>
  <si>
    <t>Rate Rider Summary</t>
  </si>
  <si>
    <t>EB-2020-0076</t>
  </si>
  <si>
    <t>EB-2021-0215</t>
  </si>
  <si>
    <t>EB-2021-0268</t>
  </si>
  <si>
    <t>EB-2022-0183</t>
  </si>
  <si>
    <t xml:space="preserve">EB-2020-0234 </t>
  </si>
  <si>
    <t>Hearing</t>
  </si>
  <si>
    <t>Amount</t>
  </si>
  <si>
    <t>Two Year Adjustment Window</t>
  </si>
  <si>
    <t>Rate Rider Sunset</t>
  </si>
  <si>
    <t>Disposition Summary</t>
  </si>
  <si>
    <t>Previous Disposition</t>
  </si>
  <si>
    <t>Balance Allocation</t>
  </si>
  <si>
    <t>Balance Recovery</t>
  </si>
  <si>
    <t>N/A</t>
  </si>
  <si>
    <t>2025 weather normalized</t>
  </si>
  <si>
    <t>2025 actual volumes</t>
  </si>
  <si>
    <t>2021-2023 actual volumes</t>
  </si>
  <si>
    <t>Approved revenue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</si>
</sst>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_);\(&quot;$&quot;#,##0\)"/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* #,##0_-;\-* #,##0_-;_-* &quot;-&quot;??_-;_-@_-"/>
    <numFmt numFmtId="168" formatCode="_-&quot;$&quot;* #,##0.000000_-;\-&quot;$&quot;* #,##0.000000_-;_-&quot;$&quot;* &quot;-&quot;??_-;_-@_-"/>
    <numFmt numFmtId="169" formatCode="#,##0.0000_);\(#,##0.0000\)"/>
    <numFmt numFmtId="170" formatCode="0.000000"/>
    <numFmt numFmtId="171" formatCode="_(* #,##0.0000_);_(* \(#,##0.0000\);_(* &quot;-&quot;??_);_(@_)"/>
    <numFmt numFmtId="172" formatCode="0.0%"/>
    <numFmt numFmtId="173" formatCode="_(* #,##0.000000_);_(* \(#,##0.000000\);_(* &quot;-&quot;??_);_(@_)"/>
    <numFmt numFmtId="174" formatCode="&quot;$&quot;#,##0"/>
    <numFmt numFmtId="175" formatCode="0.0000_);\(0.0000\)"/>
    <numFmt numFmtId="176" formatCode="0.0000"/>
    <numFmt numFmtId="177" formatCode="0.00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name val="Arial"/>
      <family val="2"/>
    </font>
    <font>
      <u/>
      <sz val="11"/>
      <color theme="1"/>
      <name val="Arial"/>
      <family val="2"/>
    </font>
    <font>
      <u/>
      <sz val="11"/>
      <name val="Arial"/>
      <family val="2"/>
    </font>
    <font>
      <b/>
      <sz val="11"/>
      <color theme="0"/>
      <name val="Arial"/>
      <family val="2"/>
    </font>
    <font>
      <b/>
      <i/>
      <sz val="11"/>
      <name val="Arial"/>
      <family val="2"/>
    </font>
    <font>
      <sz val="11"/>
      <color rgb="FF001D35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01030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0" fontId="21" fillId="0" borderId="0"/>
    <xf numFmtId="3" fontId="21" fillId="0" borderId="0" applyFill="0" applyBorder="0" applyProtection="0"/>
    <xf numFmtId="44" fontId="6" fillId="0" borderId="0" applyFont="0" applyFill="0" applyBorder="0" applyAlignment="0" applyProtection="0"/>
  </cellStyleXfs>
  <cellXfs count="265">
    <xf numFmtId="0" fontId="0" fillId="0" borderId="0" xfId="0"/>
    <xf numFmtId="0" fontId="8" fillId="0" borderId="0" xfId="0" applyFont="1" applyAlignment="1">
      <alignment horizontal="left"/>
    </xf>
    <xf numFmtId="0" fontId="9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68" fontId="5" fillId="0" borderId="4" xfId="3" applyNumberFormat="1" applyFont="1" applyBorder="1"/>
    <xf numFmtId="5" fontId="5" fillId="0" borderId="4" xfId="4" applyNumberFormat="1" applyFont="1" applyBorder="1"/>
    <xf numFmtId="5" fontId="10" fillId="0" borderId="4" xfId="4" applyNumberFormat="1" applyFont="1" applyBorder="1" applyProtection="1">
      <protection locked="0"/>
    </xf>
    <xf numFmtId="5" fontId="9" fillId="0" borderId="4" xfId="4" applyNumberFormat="1" applyFont="1" applyBorder="1"/>
    <xf numFmtId="165" fontId="5" fillId="0" borderId="4" xfId="4" applyFont="1" applyBorder="1"/>
    <xf numFmtId="0" fontId="5" fillId="0" borderId="4" xfId="0" applyFont="1" applyBorder="1"/>
    <xf numFmtId="5" fontId="9" fillId="0" borderId="5" xfId="4" applyNumberFormat="1" applyFont="1" applyBorder="1"/>
    <xf numFmtId="0" fontId="9" fillId="0" borderId="0" xfId="8" applyFont="1"/>
    <xf numFmtId="0" fontId="5" fillId="0" borderId="0" xfId="8" applyFont="1"/>
    <xf numFmtId="0" fontId="8" fillId="0" borderId="6" xfId="8" applyFont="1" applyBorder="1" applyAlignment="1">
      <alignment horizontal="center" vertical="center" wrapText="1"/>
    </xf>
    <xf numFmtId="10" fontId="5" fillId="0" borderId="0" xfId="8" applyNumberFormat="1" applyFont="1"/>
    <xf numFmtId="0" fontId="10" fillId="0" borderId="4" xfId="8" applyFont="1" applyBorder="1" applyAlignment="1">
      <alignment horizontal="left" vertical="center" wrapText="1"/>
    </xf>
    <xf numFmtId="0" fontId="10" fillId="0" borderId="4" xfId="8" applyFont="1" applyBorder="1" applyAlignment="1">
      <alignment horizontal="center" vertical="center" wrapText="1"/>
    </xf>
    <xf numFmtId="37" fontId="10" fillId="0" borderId="4" xfId="4" applyNumberFormat="1" applyFont="1" applyBorder="1" applyAlignment="1">
      <alignment horizontal="center" vertical="center" wrapText="1"/>
    </xf>
    <xf numFmtId="164" fontId="10" fillId="0" borderId="4" xfId="4" applyNumberFormat="1" applyFont="1" applyBorder="1" applyAlignment="1">
      <alignment horizontal="center" vertical="center" wrapText="1"/>
    </xf>
    <xf numFmtId="9" fontId="10" fillId="0" borderId="4" xfId="2" applyFont="1" applyBorder="1" applyAlignment="1">
      <alignment horizontal="center" vertical="center" wrapText="1"/>
    </xf>
    <xf numFmtId="165" fontId="5" fillId="0" borderId="0" xfId="4" applyFont="1"/>
    <xf numFmtId="0" fontId="8" fillId="0" borderId="5" xfId="8" applyFont="1" applyBorder="1" applyAlignment="1">
      <alignment horizontal="left"/>
    </xf>
    <xf numFmtId="0" fontId="8" fillId="0" borderId="5" xfId="8" applyFont="1" applyBorder="1" applyAlignment="1">
      <alignment horizontal="center" vertical="center"/>
    </xf>
    <xf numFmtId="5" fontId="8" fillId="0" borderId="5" xfId="4" applyNumberFormat="1" applyFont="1" applyBorder="1" applyAlignment="1">
      <alignment horizontal="center" vertical="center" wrapText="1"/>
    </xf>
    <xf numFmtId="9" fontId="10" fillId="0" borderId="4" xfId="9" applyFont="1" applyBorder="1" applyAlignment="1">
      <alignment horizontal="center" vertical="center" wrapText="1"/>
    </xf>
    <xf numFmtId="0" fontId="8" fillId="0" borderId="4" xfId="8" applyFont="1" applyBorder="1" applyAlignment="1">
      <alignment horizontal="left"/>
    </xf>
    <xf numFmtId="0" fontId="8" fillId="0" borderId="4" xfId="8" applyFont="1" applyBorder="1" applyAlignment="1">
      <alignment horizontal="center" vertical="center"/>
    </xf>
    <xf numFmtId="5" fontId="8" fillId="0" borderId="4" xfId="4" applyNumberFormat="1" applyFont="1" applyBorder="1" applyAlignment="1">
      <alignment horizontal="center" vertical="center" wrapText="1"/>
    </xf>
    <xf numFmtId="169" fontId="8" fillId="0" borderId="5" xfId="8" applyNumberFormat="1" applyFont="1" applyBorder="1" applyAlignment="1">
      <alignment horizontal="center"/>
    </xf>
    <xf numFmtId="5" fontId="9" fillId="0" borderId="0" xfId="4" applyNumberFormat="1" applyFont="1" applyBorder="1"/>
    <xf numFmtId="5" fontId="13" fillId="0" borderId="4" xfId="4" applyNumberFormat="1" applyFont="1" applyBorder="1"/>
    <xf numFmtId="37" fontId="5" fillId="0" borderId="4" xfId="4" applyNumberFormat="1" applyFont="1" applyBorder="1"/>
    <xf numFmtId="170" fontId="10" fillId="0" borderId="4" xfId="2" applyNumberFormat="1" applyFont="1" applyBorder="1"/>
    <xf numFmtId="170" fontId="5" fillId="0" borderId="4" xfId="4" applyNumberFormat="1" applyFont="1" applyBorder="1"/>
    <xf numFmtId="170" fontId="14" fillId="0" borderId="4" xfId="2" applyNumberFormat="1" applyFont="1" applyBorder="1"/>
    <xf numFmtId="5" fontId="4" fillId="0" borderId="4" xfId="4" applyNumberFormat="1" applyFont="1" applyBorder="1"/>
    <xf numFmtId="10" fontId="4" fillId="0" borderId="4" xfId="2" applyNumberFormat="1" applyFont="1" applyBorder="1"/>
    <xf numFmtId="41" fontId="5" fillId="0" borderId="4" xfId="0" applyNumberFormat="1" applyFont="1" applyBorder="1"/>
    <xf numFmtId="167" fontId="5" fillId="0" borderId="4" xfId="4" applyNumberFormat="1" applyFont="1" applyFill="1" applyBorder="1"/>
    <xf numFmtId="41" fontId="10" fillId="0" borderId="4" xfId="0" applyNumberFormat="1" applyFont="1" applyBorder="1"/>
    <xf numFmtId="0" fontId="3" fillId="0" borderId="0" xfId="0" applyFont="1"/>
    <xf numFmtId="10" fontId="3" fillId="0" borderId="0" xfId="2" applyNumberFormat="1" applyFont="1"/>
    <xf numFmtId="43" fontId="3" fillId="0" borderId="0" xfId="1" applyFont="1"/>
    <xf numFmtId="0" fontId="3" fillId="0" borderId="3" xfId="0" applyFont="1" applyBorder="1"/>
    <xf numFmtId="0" fontId="3" fillId="0" borderId="4" xfId="0" applyFont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6" xfId="1" applyNumberFormat="1" applyFont="1" applyFill="1" applyBorder="1"/>
    <xf numFmtId="171" fontId="3" fillId="0" borderId="4" xfId="1" applyNumberFormat="1" applyFont="1" applyFill="1" applyBorder="1"/>
    <xf numFmtId="0" fontId="9" fillId="0" borderId="4" xfId="0" applyFont="1" applyBorder="1" applyAlignment="1">
      <alignment horizontal="left"/>
    </xf>
    <xf numFmtId="165" fontId="10" fillId="0" borderId="4" xfId="4" applyFont="1" applyFill="1" applyBorder="1" applyProtection="1">
      <protection locked="0"/>
    </xf>
    <xf numFmtId="0" fontId="3" fillId="0" borderId="5" xfId="0" applyFont="1" applyBorder="1"/>
    <xf numFmtId="0" fontId="2" fillId="0" borderId="0" xfId="0" applyFont="1"/>
    <xf numFmtId="0" fontId="9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9" fillId="0" borderId="0" xfId="0" applyFont="1"/>
    <xf numFmtId="0" fontId="8" fillId="0" borderId="0" xfId="8" applyFont="1"/>
    <xf numFmtId="0" fontId="10" fillId="0" borderId="0" xfId="8" applyFont="1"/>
    <xf numFmtId="0" fontId="15" fillId="0" borderId="7" xfId="10" applyFont="1" applyBorder="1" applyAlignment="1">
      <alignment horizontal="center" vertical="center"/>
    </xf>
    <xf numFmtId="3" fontId="8" fillId="0" borderId="6" xfId="10" applyNumberFormat="1" applyFont="1" applyBorder="1" applyAlignment="1">
      <alignment horizontal="center" vertical="center"/>
    </xf>
    <xf numFmtId="0" fontId="8" fillId="0" borderId="2" xfId="8" applyFont="1" applyBorder="1" applyAlignment="1">
      <alignment horizontal="left"/>
    </xf>
    <xf numFmtId="3" fontId="10" fillId="0" borderId="4" xfId="1" applyNumberFormat="1" applyFont="1" applyFill="1" applyBorder="1" applyAlignment="1">
      <alignment horizontal="center"/>
    </xf>
    <xf numFmtId="0" fontId="8" fillId="0" borderId="1" xfId="8" applyFont="1" applyBorder="1" applyAlignment="1">
      <alignment horizontal="left"/>
    </xf>
    <xf numFmtId="3" fontId="10" fillId="0" borderId="4" xfId="8" applyNumberFormat="1" applyFont="1" applyBorder="1" applyAlignment="1">
      <alignment horizontal="center"/>
    </xf>
    <xf numFmtId="0" fontId="8" fillId="0" borderId="7" xfId="8" applyFont="1" applyBorder="1" applyAlignment="1">
      <alignment horizontal="left"/>
    </xf>
    <xf numFmtId="3" fontId="8" fillId="0" borderId="6" xfId="8" applyNumberFormat="1" applyFont="1" applyBorder="1" applyAlignment="1">
      <alignment horizontal="center"/>
    </xf>
    <xf numFmtId="9" fontId="2" fillId="0" borderId="6" xfId="2" applyFont="1" applyFill="1" applyBorder="1" applyAlignment="1">
      <alignment horizontal="center"/>
    </xf>
    <xf numFmtId="0" fontId="10" fillId="0" borderId="3" xfId="8" applyFont="1" applyBorder="1" applyAlignment="1">
      <alignment horizontal="left" vertical="center" wrapText="1"/>
    </xf>
    <xf numFmtId="5" fontId="10" fillId="0" borderId="3" xfId="8" applyNumberFormat="1" applyFont="1" applyBorder="1" applyAlignment="1">
      <alignment horizontal="center" vertical="center" wrapText="1"/>
    </xf>
    <xf numFmtId="5" fontId="10" fillId="0" borderId="5" xfId="8" applyNumberFormat="1" applyFont="1" applyBorder="1" applyAlignment="1">
      <alignment horizontal="center" vertical="center" wrapText="1"/>
    </xf>
    <xf numFmtId="0" fontId="8" fillId="0" borderId="0" xfId="8" applyFont="1" applyAlignment="1">
      <alignment horizontal="left"/>
    </xf>
    <xf numFmtId="5" fontId="10" fillId="0" borderId="0" xfId="8" applyNumberFormat="1" applyFont="1" applyAlignment="1">
      <alignment horizontal="center" vertical="center" wrapText="1"/>
    </xf>
    <xf numFmtId="5" fontId="14" fillId="0" borderId="4" xfId="8" applyNumberFormat="1" applyFont="1" applyBorder="1" applyAlignment="1">
      <alignment horizontal="center" vertical="center" wrapText="1"/>
    </xf>
    <xf numFmtId="5" fontId="8" fillId="0" borderId="4" xfId="5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10" fontId="1" fillId="0" borderId="5" xfId="0" applyNumberFormat="1" applyFont="1" applyBorder="1" applyAlignment="1">
      <alignment horizontal="center" vertical="center"/>
    </xf>
    <xf numFmtId="5" fontId="1" fillId="0" borderId="4" xfId="0" applyNumberFormat="1" applyFont="1" applyBorder="1" applyAlignment="1">
      <alignment horizontal="center"/>
    </xf>
    <xf numFmtId="0" fontId="17" fillId="0" borderId="4" xfId="0" applyFont="1" applyBorder="1"/>
    <xf numFmtId="0" fontId="1" fillId="0" borderId="4" xfId="0" applyFont="1" applyBorder="1"/>
    <xf numFmtId="5" fontId="9" fillId="0" borderId="6" xfId="0" applyNumberFormat="1" applyFont="1" applyBorder="1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5" fontId="19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9" fillId="0" borderId="6" xfId="0" applyFont="1" applyBorder="1"/>
    <xf numFmtId="5" fontId="3" fillId="0" borderId="4" xfId="1" applyNumberFormat="1" applyFont="1" applyFill="1" applyBorder="1"/>
    <xf numFmtId="5" fontId="3" fillId="0" borderId="6" xfId="1" applyNumberFormat="1" applyFont="1" applyFill="1" applyBorder="1"/>
    <xf numFmtId="5" fontId="9" fillId="0" borderId="6" xfId="1" applyNumberFormat="1" applyFont="1" applyFill="1" applyBorder="1"/>
    <xf numFmtId="10" fontId="3" fillId="0" borderId="4" xfId="2" applyNumberFormat="1" applyFont="1" applyFill="1" applyBorder="1" applyAlignment="1">
      <alignment horizontal="center"/>
    </xf>
    <xf numFmtId="5" fontId="3" fillId="0" borderId="5" xfId="1" applyNumberFormat="1" applyFont="1" applyFill="1" applyBorder="1"/>
    <xf numFmtId="5" fontId="9" fillId="0" borderId="5" xfId="1" applyNumberFormat="1" applyFont="1" applyFill="1" applyBorder="1"/>
    <xf numFmtId="5" fontId="13" fillId="0" borderId="4" xfId="1" applyNumberFormat="1" applyFont="1" applyFill="1" applyBorder="1"/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4" xfId="0" applyFont="1" applyBorder="1" applyAlignment="1" applyProtection="1">
      <alignment horizontal="left" indent="2"/>
      <protection locked="0"/>
    </xf>
    <xf numFmtId="0" fontId="1" fillId="0" borderId="4" xfId="0" applyFont="1" applyBorder="1" applyAlignment="1" applyProtection="1">
      <alignment horizontal="left" indent="1"/>
      <protection locked="0"/>
    </xf>
    <xf numFmtId="172" fontId="2" fillId="0" borderId="6" xfId="2" applyNumberFormat="1" applyFont="1" applyFill="1" applyBorder="1" applyAlignment="1">
      <alignment horizontal="center"/>
    </xf>
    <xf numFmtId="5" fontId="1" fillId="0" borderId="4" xfId="4" applyNumberFormat="1" applyFont="1" applyBorder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10" xfId="0" applyFont="1" applyBorder="1"/>
    <xf numFmtId="0" fontId="10" fillId="0" borderId="1" xfId="0" applyFont="1" applyBorder="1" applyAlignment="1">
      <alignment horizontal="left"/>
    </xf>
    <xf numFmtId="41" fontId="10" fillId="0" borderId="1" xfId="0" applyNumberFormat="1" applyFont="1" applyBorder="1" applyAlignment="1">
      <alignment horizontal="left" indent="1"/>
    </xf>
    <xf numFmtId="0" fontId="10" fillId="0" borderId="1" xfId="0" applyFont="1" applyBorder="1" applyAlignment="1">
      <alignment horizontal="left" indent="1"/>
    </xf>
    <xf numFmtId="0" fontId="10" fillId="0" borderId="10" xfId="0" applyFont="1" applyBorder="1" applyAlignment="1">
      <alignment horizontal="left"/>
    </xf>
    <xf numFmtId="5" fontId="9" fillId="0" borderId="11" xfId="4" applyNumberFormat="1" applyFont="1" applyBorder="1"/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41" fontId="5" fillId="0" borderId="18" xfId="0" applyNumberFormat="1" applyFont="1" applyBorder="1"/>
    <xf numFmtId="5" fontId="5" fillId="0" borderId="18" xfId="4" applyNumberFormat="1" applyFont="1" applyBorder="1"/>
    <xf numFmtId="5" fontId="5" fillId="0" borderId="19" xfId="4" applyNumberFormat="1" applyFont="1" applyBorder="1"/>
    <xf numFmtId="5" fontId="1" fillId="0" borderId="18" xfId="4" applyNumberFormat="1" applyFont="1" applyBorder="1"/>
    <xf numFmtId="5" fontId="1" fillId="0" borderId="19" xfId="4" applyNumberFormat="1" applyFont="1" applyBorder="1"/>
    <xf numFmtId="5" fontId="13" fillId="0" borderId="18" xfId="4" applyNumberFormat="1" applyFont="1" applyBorder="1"/>
    <xf numFmtId="5" fontId="13" fillId="0" borderId="19" xfId="4" applyNumberFormat="1" applyFont="1" applyBorder="1"/>
    <xf numFmtId="5" fontId="10" fillId="0" borderId="18" xfId="4" applyNumberFormat="1" applyFont="1" applyBorder="1" applyProtection="1">
      <protection locked="0"/>
    </xf>
    <xf numFmtId="5" fontId="10" fillId="0" borderId="19" xfId="4" applyNumberFormat="1" applyFont="1" applyBorder="1" applyProtection="1">
      <protection locked="0"/>
    </xf>
    <xf numFmtId="37" fontId="5" fillId="0" borderId="18" xfId="4" applyNumberFormat="1" applyFont="1" applyBorder="1"/>
    <xf numFmtId="37" fontId="5" fillId="0" borderId="19" xfId="4" applyNumberFormat="1" applyFont="1" applyBorder="1"/>
    <xf numFmtId="165" fontId="5" fillId="0" borderId="18" xfId="4" applyFont="1" applyBorder="1"/>
    <xf numFmtId="165" fontId="5" fillId="0" borderId="19" xfId="4" applyFont="1" applyBorder="1"/>
    <xf numFmtId="170" fontId="10" fillId="0" borderId="18" xfId="2" applyNumberFormat="1" applyFont="1" applyBorder="1"/>
    <xf numFmtId="170" fontId="10" fillId="0" borderId="19" xfId="2" applyNumberFormat="1" applyFont="1" applyBorder="1"/>
    <xf numFmtId="170" fontId="14" fillId="0" borderId="18" xfId="2" applyNumberFormat="1" applyFont="1" applyBorder="1"/>
    <xf numFmtId="170" fontId="14" fillId="0" borderId="19" xfId="2" applyNumberFormat="1" applyFont="1" applyBorder="1"/>
    <xf numFmtId="170" fontId="5" fillId="0" borderId="18" xfId="4" applyNumberFormat="1" applyFont="1" applyBorder="1"/>
    <xf numFmtId="170" fontId="5" fillId="0" borderId="19" xfId="4" applyNumberFormat="1" applyFont="1" applyBorder="1"/>
    <xf numFmtId="5" fontId="9" fillId="0" borderId="18" xfId="4" applyNumberFormat="1" applyFont="1" applyBorder="1"/>
    <xf numFmtId="5" fontId="9" fillId="0" borderId="19" xfId="4" applyNumberFormat="1" applyFont="1" applyBorder="1"/>
    <xf numFmtId="0" fontId="5" fillId="0" borderId="18" xfId="0" applyFont="1" applyBorder="1"/>
    <xf numFmtId="0" fontId="5" fillId="0" borderId="19" xfId="0" applyFont="1" applyBorder="1"/>
    <xf numFmtId="5" fontId="4" fillId="0" borderId="18" xfId="4" applyNumberFormat="1" applyFont="1" applyBorder="1"/>
    <xf numFmtId="5" fontId="4" fillId="0" borderId="19" xfId="4" applyNumberFormat="1" applyFont="1" applyBorder="1"/>
    <xf numFmtId="10" fontId="3" fillId="0" borderId="18" xfId="2" applyNumberFormat="1" applyFont="1" applyFill="1" applyBorder="1" applyAlignment="1">
      <alignment horizontal="center"/>
    </xf>
    <xf numFmtId="10" fontId="3" fillId="0" borderId="19" xfId="2" applyNumberFormat="1" applyFont="1" applyFill="1" applyBorder="1" applyAlignment="1">
      <alignment horizontal="center"/>
    </xf>
    <xf numFmtId="5" fontId="9" fillId="0" borderId="20" xfId="4" applyNumberFormat="1" applyFont="1" applyBorder="1"/>
    <xf numFmtId="5" fontId="9" fillId="0" borderId="21" xfId="4" applyNumberFormat="1" applyFont="1" applyBorder="1"/>
    <xf numFmtId="0" fontId="8" fillId="0" borderId="10" xfId="0" applyFont="1" applyBorder="1" applyAlignment="1">
      <alignment horizontal="center"/>
    </xf>
    <xf numFmtId="41" fontId="5" fillId="0" borderId="1" xfId="0" applyNumberFormat="1" applyFont="1" applyBorder="1"/>
    <xf numFmtId="5" fontId="5" fillId="0" borderId="1" xfId="4" applyNumberFormat="1" applyFont="1" applyBorder="1"/>
    <xf numFmtId="5" fontId="1" fillId="0" borderId="1" xfId="4" applyNumberFormat="1" applyFont="1" applyBorder="1"/>
    <xf numFmtId="5" fontId="13" fillId="0" borderId="1" xfId="4" applyNumberFormat="1" applyFont="1" applyBorder="1"/>
    <xf numFmtId="5" fontId="10" fillId="0" borderId="1" xfId="4" applyNumberFormat="1" applyFont="1" applyBorder="1" applyProtection="1">
      <protection locked="0"/>
    </xf>
    <xf numFmtId="37" fontId="5" fillId="0" borderId="1" xfId="4" applyNumberFormat="1" applyFont="1" applyBorder="1"/>
    <xf numFmtId="165" fontId="5" fillId="0" borderId="1" xfId="4" applyFont="1" applyBorder="1"/>
    <xf numFmtId="170" fontId="10" fillId="0" borderId="1" xfId="2" applyNumberFormat="1" applyFont="1" applyBorder="1"/>
    <xf numFmtId="170" fontId="14" fillId="0" borderId="1" xfId="2" applyNumberFormat="1" applyFont="1" applyBorder="1"/>
    <xf numFmtId="170" fontId="5" fillId="0" borderId="1" xfId="4" applyNumberFormat="1" applyFont="1" applyBorder="1"/>
    <xf numFmtId="5" fontId="9" fillId="0" borderId="1" xfId="4" applyNumberFormat="1" applyFont="1" applyBorder="1"/>
    <xf numFmtId="0" fontId="5" fillId="0" borderId="1" xfId="0" applyFont="1" applyBorder="1"/>
    <xf numFmtId="5" fontId="4" fillId="0" borderId="1" xfId="4" applyNumberFormat="1" applyFont="1" applyBorder="1"/>
    <xf numFmtId="10" fontId="3" fillId="0" borderId="1" xfId="2" applyNumberFormat="1" applyFont="1" applyFill="1" applyBorder="1" applyAlignment="1">
      <alignment horizontal="center"/>
    </xf>
    <xf numFmtId="5" fontId="9" fillId="0" borderId="23" xfId="4" applyNumberFormat="1" applyFont="1" applyBorder="1"/>
    <xf numFmtId="0" fontId="0" fillId="0" borderId="11" xfId="0" applyBorder="1"/>
    <xf numFmtId="167" fontId="5" fillId="0" borderId="19" xfId="4" applyNumberFormat="1" applyFont="1" applyFill="1" applyBorder="1"/>
    <xf numFmtId="5" fontId="9" fillId="0" borderId="24" xfId="4" applyNumberFormat="1" applyFont="1" applyBorder="1"/>
    <xf numFmtId="0" fontId="22" fillId="0" borderId="1" xfId="0" applyFont="1" applyBorder="1" applyAlignment="1">
      <alignment horizontal="left"/>
    </xf>
    <xf numFmtId="37" fontId="19" fillId="0" borderId="18" xfId="4" applyNumberFormat="1" applyFont="1" applyBorder="1"/>
    <xf numFmtId="37" fontId="19" fillId="0" borderId="1" xfId="4" applyNumberFormat="1" applyFont="1" applyBorder="1"/>
    <xf numFmtId="37" fontId="2" fillId="0" borderId="6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167" fontId="5" fillId="3" borderId="4" xfId="4" applyNumberFormat="1" applyFont="1" applyFill="1" applyBorder="1"/>
    <xf numFmtId="41" fontId="5" fillId="3" borderId="4" xfId="0" applyNumberFormat="1" applyFont="1" applyFill="1" applyBorder="1"/>
    <xf numFmtId="41" fontId="10" fillId="3" borderId="4" xfId="0" applyNumberFormat="1" applyFont="1" applyFill="1" applyBorder="1"/>
    <xf numFmtId="5" fontId="5" fillId="3" borderId="4" xfId="4" applyNumberFormat="1" applyFont="1" applyFill="1" applyBorder="1"/>
    <xf numFmtId="5" fontId="13" fillId="3" borderId="4" xfId="4" applyNumberFormat="1" applyFont="1" applyFill="1" applyBorder="1"/>
    <xf numFmtId="5" fontId="9" fillId="3" borderId="4" xfId="4" applyNumberFormat="1" applyFont="1" applyFill="1" applyBorder="1"/>
    <xf numFmtId="5" fontId="4" fillId="3" borderId="4" xfId="4" applyNumberFormat="1" applyFont="1" applyFill="1" applyBorder="1"/>
    <xf numFmtId="10" fontId="3" fillId="3" borderId="4" xfId="2" applyNumberFormat="1" applyFont="1" applyFill="1" applyBorder="1" applyAlignment="1">
      <alignment horizontal="center"/>
    </xf>
    <xf numFmtId="5" fontId="9" fillId="3" borderId="5" xfId="4" applyNumberFormat="1" applyFont="1" applyFill="1" applyBorder="1"/>
    <xf numFmtId="10" fontId="4" fillId="0" borderId="4" xfId="2" applyNumberFormat="1" applyFont="1" applyBorder="1" applyAlignment="1">
      <alignment horizontal="center"/>
    </xf>
    <xf numFmtId="5" fontId="9" fillId="0" borderId="4" xfId="1" applyNumberFormat="1" applyFont="1" applyFill="1" applyBorder="1"/>
    <xf numFmtId="0" fontId="9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3" fontId="3" fillId="0" borderId="0" xfId="1" applyFont="1" applyBorder="1"/>
    <xf numFmtId="9" fontId="3" fillId="0" borderId="5" xfId="2" applyFont="1" applyFill="1" applyBorder="1" applyAlignment="1">
      <alignment horizontal="right"/>
    </xf>
    <xf numFmtId="9" fontId="3" fillId="0" borderId="4" xfId="2" applyFont="1" applyFill="1" applyBorder="1" applyAlignment="1">
      <alignment horizontal="right"/>
    </xf>
    <xf numFmtId="9" fontId="3" fillId="0" borderId="5" xfId="2" applyFont="1" applyBorder="1" applyAlignment="1">
      <alignment horizontal="right"/>
    </xf>
    <xf numFmtId="173" fontId="3" fillId="0" borderId="4" xfId="1" applyNumberFormat="1" applyFont="1" applyFill="1" applyBorder="1"/>
    <xf numFmtId="174" fontId="10" fillId="0" borderId="4" xfId="1" applyNumberFormat="1" applyFont="1" applyFill="1" applyBorder="1" applyAlignment="1">
      <alignment horizontal="center"/>
    </xf>
    <xf numFmtId="174" fontId="10" fillId="0" borderId="4" xfId="8" applyNumberFormat="1" applyFont="1" applyBorder="1" applyAlignment="1">
      <alignment horizontal="center"/>
    </xf>
    <xf numFmtId="174" fontId="8" fillId="0" borderId="6" xfId="10" applyNumberFormat="1" applyFont="1" applyBorder="1" applyAlignment="1">
      <alignment horizontal="center" vertical="center"/>
    </xf>
    <xf numFmtId="0" fontId="18" fillId="0" borderId="0" xfId="0" applyFont="1"/>
    <xf numFmtId="0" fontId="24" fillId="0" borderId="0" xfId="0" applyFont="1"/>
    <xf numFmtId="5" fontId="2" fillId="0" borderId="6" xfId="0" applyNumberFormat="1" applyFont="1" applyBorder="1" applyAlignment="1">
      <alignment horizontal="center"/>
    </xf>
    <xf numFmtId="7" fontId="8" fillId="0" borderId="5" xfId="13" applyNumberFormat="1" applyFont="1" applyBorder="1" applyAlignment="1">
      <alignment horizontal="center"/>
    </xf>
    <xf numFmtId="0" fontId="16" fillId="2" borderId="6" xfId="8" applyFont="1" applyFill="1" applyBorder="1" applyAlignment="1">
      <alignment horizontal="center" vertical="center" wrapText="1"/>
    </xf>
    <xf numFmtId="0" fontId="22" fillId="2" borderId="4" xfId="8" applyFont="1" applyFill="1" applyBorder="1" applyAlignment="1">
      <alignment horizontal="center" vertical="center" wrapText="1"/>
    </xf>
    <xf numFmtId="164" fontId="22" fillId="2" borderId="4" xfId="4" applyNumberFormat="1" applyFont="1" applyFill="1" applyBorder="1" applyAlignment="1">
      <alignment horizontal="center" vertical="center" wrapText="1"/>
    </xf>
    <xf numFmtId="0" fontId="16" fillId="2" borderId="4" xfId="8" applyFont="1" applyFill="1" applyBorder="1" applyAlignment="1">
      <alignment horizontal="center" vertical="center"/>
    </xf>
    <xf numFmtId="0" fontId="16" fillId="2" borderId="5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164" fontId="10" fillId="2" borderId="4" xfId="4" applyNumberFormat="1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174" fontId="10" fillId="0" borderId="3" xfId="1" applyNumberFormat="1" applyFont="1" applyFill="1" applyBorder="1" applyAlignment="1">
      <alignment horizontal="center"/>
    </xf>
    <xf numFmtId="0" fontId="8" fillId="0" borderId="10" xfId="8" applyFont="1" applyBorder="1" applyAlignment="1">
      <alignment horizontal="left"/>
    </xf>
    <xf numFmtId="174" fontId="8" fillId="0" borderId="5" xfId="8" applyNumberFormat="1" applyFont="1" applyBorder="1" applyAlignment="1">
      <alignment horizontal="center"/>
    </xf>
    <xf numFmtId="0" fontId="15" fillId="0" borderId="6" xfId="10" applyFont="1" applyBorder="1" applyAlignment="1">
      <alignment horizontal="center" vertical="center"/>
    </xf>
    <xf numFmtId="0" fontId="8" fillId="0" borderId="3" xfId="8" applyFont="1" applyBorder="1" applyAlignment="1">
      <alignment horizontal="left"/>
    </xf>
    <xf numFmtId="0" fontId="8" fillId="0" borderId="6" xfId="8" applyFont="1" applyBorder="1" applyAlignment="1">
      <alignment horizontal="left"/>
    </xf>
    <xf numFmtId="49" fontId="8" fillId="0" borderId="6" xfId="1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/>
    </xf>
    <xf numFmtId="0" fontId="25" fillId="0" borderId="5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5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175" fontId="1" fillId="3" borderId="3" xfId="4" applyNumberFormat="1" applyFont="1" applyFill="1" applyBorder="1" applyAlignment="1" applyProtection="1">
      <alignment horizontal="center" vertical="top"/>
    </xf>
    <xf numFmtId="175" fontId="1" fillId="3" borderId="4" xfId="4" applyNumberFormat="1" applyFont="1" applyFill="1" applyBorder="1" applyAlignment="1" applyProtection="1">
      <alignment horizontal="center" vertical="top"/>
    </xf>
    <xf numFmtId="175" fontId="1" fillId="3" borderId="5" xfId="0" applyNumberFormat="1" applyFont="1" applyFill="1" applyBorder="1" applyAlignment="1">
      <alignment horizontal="center" vertical="top"/>
    </xf>
    <xf numFmtId="175" fontId="1" fillId="3" borderId="5" xfId="4" applyNumberFormat="1" applyFont="1" applyFill="1" applyBorder="1" applyAlignment="1" applyProtection="1">
      <alignment horizontal="center" vertical="top"/>
    </xf>
    <xf numFmtId="171" fontId="1" fillId="3" borderId="5" xfId="0" applyNumberFormat="1" applyFont="1" applyFill="1" applyBorder="1" applyAlignment="1">
      <alignment vertical="top"/>
    </xf>
    <xf numFmtId="0" fontId="1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176" fontId="1" fillId="0" borderId="3" xfId="0" applyNumberFormat="1" applyFont="1" applyBorder="1" applyAlignment="1">
      <alignment horizontal="center" vertical="top"/>
    </xf>
    <xf numFmtId="176" fontId="1" fillId="0" borderId="4" xfId="0" applyNumberFormat="1" applyFont="1" applyBorder="1" applyAlignment="1">
      <alignment horizontal="center" vertical="top"/>
    </xf>
    <xf numFmtId="176" fontId="0" fillId="0" borderId="0" xfId="0" applyNumberFormat="1"/>
    <xf numFmtId="0" fontId="19" fillId="2" borderId="0" xfId="0" applyFont="1" applyFill="1" applyAlignment="1">
      <alignment vertical="top"/>
    </xf>
    <xf numFmtId="177" fontId="26" fillId="2" borderId="0" xfId="0" applyNumberFormat="1" applyFont="1" applyFill="1" applyAlignment="1">
      <alignment horizontal="center"/>
    </xf>
    <xf numFmtId="170" fontId="26" fillId="2" borderId="0" xfId="0" applyNumberFormat="1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7" fontId="1" fillId="0" borderId="5" xfId="4" applyNumberFormat="1" applyFont="1" applyFill="1" applyBorder="1" applyAlignment="1" applyProtection="1">
      <alignment horizontal="center" vertical="top"/>
    </xf>
    <xf numFmtId="0" fontId="8" fillId="0" borderId="3" xfId="0" applyFont="1" applyBorder="1" applyAlignment="1">
      <alignment horizontal="left"/>
    </xf>
    <xf numFmtId="164" fontId="3" fillId="0" borderId="4" xfId="0" applyNumberFormat="1" applyFont="1" applyBorder="1"/>
    <xf numFmtId="9" fontId="3" fillId="0" borderId="4" xfId="2" applyFont="1" applyBorder="1"/>
    <xf numFmtId="0" fontId="27" fillId="0" borderId="4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5" fontId="1" fillId="0" borderId="4" xfId="1" applyNumberFormat="1" applyFont="1" applyBorder="1" applyAlignment="1">
      <alignment horizontal="center"/>
    </xf>
    <xf numFmtId="15" fontId="1" fillId="0" borderId="4" xfId="0" applyNumberFormat="1" applyFont="1" applyBorder="1" applyAlignment="1">
      <alignment horizontal="center"/>
    </xf>
    <xf numFmtId="5" fontId="1" fillId="0" borderId="5" xfId="1" applyNumberFormat="1" applyFont="1" applyBorder="1" applyAlignment="1">
      <alignment horizontal="center"/>
    </xf>
    <xf numFmtId="15" fontId="1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14">
    <cellStyle name="Comma" xfId="1" builtinId="3"/>
    <cellStyle name="Comma 2" xfId="4" xr:uid="{00000000-0005-0000-0000-000001000000}"/>
    <cellStyle name="Comma 2 2" xfId="5" xr:uid="{00000000-0005-0000-0000-000002000000}"/>
    <cellStyle name="Comma 3" xfId="6" xr:uid="{00000000-0005-0000-0000-000003000000}"/>
    <cellStyle name="Comma 7" xfId="12" xr:uid="{97349037-9738-4267-B9A3-45F032FC141D}"/>
    <cellStyle name="Currency" xfId="13" builtinId="4"/>
    <cellStyle name="Currency 2" xfId="3" xr:uid="{00000000-0005-0000-0000-000004000000}"/>
    <cellStyle name="Normal" xfId="0" builtinId="0"/>
    <cellStyle name="Normal 2" xfId="8" xr:uid="{00000000-0005-0000-0000-000006000000}"/>
    <cellStyle name="Normal 2 2 2 2 2" xfId="10" xr:uid="{00000000-0005-0000-0000-000007000000}"/>
    <cellStyle name="Normal 7" xfId="11" xr:uid="{92B5E002-4DD4-409E-8E05-738EBBAF42A1}"/>
    <cellStyle name="Percent" xfId="2" builtinId="5"/>
    <cellStyle name="Percent 2" xfId="9" xr:uid="{00000000-0005-0000-0000-000009000000}"/>
    <cellStyle name="Percent 3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C0B8-238C-447E-A13D-72E209DF4A5C}">
  <sheetPr>
    <pageSetUpPr fitToPage="1"/>
  </sheetPr>
  <dimension ref="A1:J34"/>
  <sheetViews>
    <sheetView showGridLines="0" tabSelected="1" zoomScaleNormal="100" workbookViewId="0">
      <selection activeCell="L18" sqref="L18"/>
    </sheetView>
  </sheetViews>
  <sheetFormatPr defaultColWidth="11.7109375" defaultRowHeight="14.25" x14ac:dyDescent="0.2"/>
  <cols>
    <col min="1" max="1" width="30.28515625" style="74" customWidth="1"/>
    <col min="2" max="2" width="13.42578125" style="75" customWidth="1"/>
    <col min="3" max="3" width="16" style="75" customWidth="1"/>
    <col min="4" max="4" width="9.28515625" style="75" bestFit="1" customWidth="1"/>
    <col min="5" max="5" width="11.7109375" style="75"/>
    <col min="6" max="6" width="16.28515625" style="75" customWidth="1"/>
    <col min="7" max="8" width="11.7109375" style="75"/>
    <col min="9" max="16384" width="11.7109375" style="74"/>
  </cols>
  <sheetData>
    <row r="1" spans="1:10" ht="15" x14ac:dyDescent="0.25">
      <c r="A1" s="1" t="str">
        <f>PGTVA!A1</f>
        <v>EPCOR Natural Gas Limited Partnership</v>
      </c>
    </row>
    <row r="2" spans="1:10" ht="15" x14ac:dyDescent="0.25">
      <c r="A2" s="1" t="str">
        <f>PGTVA!A2</f>
        <v>EB-2026-0148</v>
      </c>
    </row>
    <row r="4" spans="1:10" ht="15" x14ac:dyDescent="0.25">
      <c r="A4" s="232" t="s">
        <v>81</v>
      </c>
      <c r="B4" s="257">
        <v>2025</v>
      </c>
      <c r="C4" s="258"/>
      <c r="D4" s="257" t="s">
        <v>82</v>
      </c>
      <c r="E4" s="259"/>
      <c r="F4" s="259"/>
      <c r="G4" s="258"/>
      <c r="H4" s="78"/>
    </row>
    <row r="5" spans="1:10" s="77" customFormat="1" ht="28.5" customHeight="1" x14ac:dyDescent="0.2">
      <c r="A5" s="83"/>
      <c r="B5" s="255" t="s">
        <v>58</v>
      </c>
      <c r="C5" s="260" t="s">
        <v>59</v>
      </c>
      <c r="D5" s="79" t="s">
        <v>65</v>
      </c>
      <c r="E5" s="79" t="s">
        <v>66</v>
      </c>
      <c r="F5" s="79" t="s">
        <v>67</v>
      </c>
      <c r="G5" s="79" t="s">
        <v>68</v>
      </c>
      <c r="H5" s="255" t="s">
        <v>20</v>
      </c>
      <c r="J5" s="85" t="s">
        <v>71</v>
      </c>
    </row>
    <row r="6" spans="1:10" s="76" customFormat="1" x14ac:dyDescent="0.2">
      <c r="A6" s="214"/>
      <c r="B6" s="256"/>
      <c r="C6" s="261"/>
      <c r="D6" s="80">
        <v>2.5499999999999998E-2</v>
      </c>
      <c r="E6" s="80">
        <v>2.5499999999999998E-2</v>
      </c>
      <c r="F6" s="80">
        <v>2.5499999999999998E-2</v>
      </c>
      <c r="G6" s="80">
        <f>F6</f>
        <v>2.5499999999999998E-2</v>
      </c>
      <c r="H6" s="256"/>
      <c r="J6" s="86"/>
    </row>
    <row r="7" spans="1:10" x14ac:dyDescent="0.2">
      <c r="A7" s="82" t="s">
        <v>69</v>
      </c>
      <c r="B7" s="81">
        <f>PGTVA!M28</f>
        <v>149180.21097542485</v>
      </c>
      <c r="C7" s="81">
        <f>PGTVA!M35</f>
        <v>1103.6619964124015</v>
      </c>
      <c r="D7" s="81">
        <f>$B7*D$6/4</f>
        <v>951.02384496833338</v>
      </c>
      <c r="E7" s="81">
        <f t="shared" ref="E7:G10" si="0">$B7*E$6/4</f>
        <v>951.02384496833338</v>
      </c>
      <c r="F7" s="81">
        <f t="shared" si="0"/>
        <v>951.02384496833338</v>
      </c>
      <c r="G7" s="81">
        <f t="shared" si="0"/>
        <v>951.02384496833338</v>
      </c>
      <c r="H7" s="81">
        <f>SUM(B7:G7)</f>
        <v>154087.96835171056</v>
      </c>
      <c r="J7" s="87">
        <f>H7-PGTVA!D42</f>
        <v>0</v>
      </c>
    </row>
    <row r="8" spans="1:10" x14ac:dyDescent="0.2">
      <c r="A8" s="83" t="s">
        <v>70</v>
      </c>
      <c r="B8" s="81">
        <f>UFGVA!B38</f>
        <v>228115.60406188981</v>
      </c>
      <c r="C8" s="81">
        <f>UFGVA!B39</f>
        <v>1690.436907512254</v>
      </c>
      <c r="D8" s="81">
        <f>$B8*D$6/4</f>
        <v>1454.2369758945474</v>
      </c>
      <c r="E8" s="81">
        <f>$B8*E$6/4</f>
        <v>1454.2369758945474</v>
      </c>
      <c r="F8" s="81">
        <f>$B8*F$6/4</f>
        <v>1454.2369758945474</v>
      </c>
      <c r="G8" s="81">
        <f>$B8*G$6/4</f>
        <v>1454.2369758945474</v>
      </c>
      <c r="H8" s="81">
        <f>SUM(B8:G8)</f>
        <v>235622.98887298023</v>
      </c>
      <c r="J8" s="87">
        <f>H8-UFGVA!D40</f>
        <v>0</v>
      </c>
    </row>
    <row r="9" spans="1:10" x14ac:dyDescent="0.2">
      <c r="A9" s="82" t="s">
        <v>83</v>
      </c>
      <c r="B9" s="81">
        <f>ADVADA!BI17</f>
        <v>-25845.161579811451</v>
      </c>
      <c r="C9" s="81">
        <f>ADVADA!BI24</f>
        <v>4687.8368015564265</v>
      </c>
      <c r="D9" s="81">
        <f>$B9*D$6/4</f>
        <v>-164.76290507129798</v>
      </c>
      <c r="E9" s="81">
        <f t="shared" si="0"/>
        <v>-164.76290507129798</v>
      </c>
      <c r="F9" s="81">
        <f t="shared" si="0"/>
        <v>-164.76290507129798</v>
      </c>
      <c r="G9" s="81">
        <f t="shared" si="0"/>
        <v>-164.76290507129798</v>
      </c>
      <c r="H9" s="81">
        <f t="shared" ref="H9:H10" si="1">SUM(B9:G9)</f>
        <v>-21816.376398540211</v>
      </c>
      <c r="J9" s="87">
        <f>H9-ADVADA!AZ31</f>
        <v>0</v>
      </c>
    </row>
    <row r="10" spans="1:10" x14ac:dyDescent="0.2">
      <c r="A10" s="83" t="s">
        <v>84</v>
      </c>
      <c r="B10" s="81">
        <f>ESMDA!M13</f>
        <v>-77248.960000000006</v>
      </c>
      <c r="C10" s="81">
        <f>ESMDA!M20</f>
        <v>0</v>
      </c>
      <c r="D10" s="81">
        <f t="shared" ref="D10" si="2">$B10*D$6/4</f>
        <v>-492.46212000000003</v>
      </c>
      <c r="E10" s="81">
        <f t="shared" si="0"/>
        <v>-492.46212000000003</v>
      </c>
      <c r="F10" s="81">
        <f t="shared" si="0"/>
        <v>-492.46212000000003</v>
      </c>
      <c r="G10" s="81">
        <f t="shared" si="0"/>
        <v>-492.46212000000003</v>
      </c>
      <c r="H10" s="81">
        <f t="shared" si="1"/>
        <v>-79218.808479999992</v>
      </c>
      <c r="J10" s="87">
        <f>H10-ESMDA!D27</f>
        <v>0</v>
      </c>
    </row>
    <row r="11" spans="1:10" s="55" customFormat="1" ht="15" x14ac:dyDescent="0.25">
      <c r="A11" s="89" t="s">
        <v>20</v>
      </c>
      <c r="B11" s="84">
        <f t="shared" ref="B11:H11" si="3">SUM(B7:B10)</f>
        <v>274201.69345750316</v>
      </c>
      <c r="C11" s="84">
        <f t="shared" si="3"/>
        <v>7481.9357054810826</v>
      </c>
      <c r="D11" s="84">
        <f t="shared" si="3"/>
        <v>1748.0357957915826</v>
      </c>
      <c r="E11" s="84">
        <f t="shared" si="3"/>
        <v>1748.0357957915826</v>
      </c>
      <c r="F11" s="84">
        <f t="shared" si="3"/>
        <v>1748.0357957915826</v>
      </c>
      <c r="G11" s="84">
        <f t="shared" si="3"/>
        <v>1748.0357957915826</v>
      </c>
      <c r="H11" s="84">
        <f t="shared" si="3"/>
        <v>288675.7723461506</v>
      </c>
      <c r="J11" s="88"/>
    </row>
    <row r="15" spans="1:10" customFormat="1" ht="15" x14ac:dyDescent="0.25">
      <c r="A15" s="232" t="s">
        <v>162</v>
      </c>
      <c r="B15" s="212" t="str">
        <f>Summary!$A$7</f>
        <v>PGTVA</v>
      </c>
      <c r="C15" s="212" t="str">
        <f>Summary!$A$8</f>
        <v>UFGVA</v>
      </c>
      <c r="D15" s="212" t="str">
        <f>Summary!$A$9</f>
        <v>ADVADA</v>
      </c>
      <c r="E15" s="212" t="str">
        <f>Summary!$A$10</f>
        <v>ESMDA</v>
      </c>
      <c r="F15" s="212" t="str">
        <f>E15</f>
        <v>ESMDA</v>
      </c>
    </row>
    <row r="16" spans="1:10" s="223" customFormat="1" ht="15" x14ac:dyDescent="0.25">
      <c r="A16" s="222"/>
      <c r="B16" s="213" t="s">
        <v>157</v>
      </c>
      <c r="C16" s="213" t="s">
        <v>157</v>
      </c>
      <c r="D16" s="213" t="s">
        <v>157</v>
      </c>
      <c r="E16" s="213" t="s">
        <v>157</v>
      </c>
      <c r="F16" s="213" t="s">
        <v>156</v>
      </c>
    </row>
    <row r="17" spans="1:9" customFormat="1" ht="15" x14ac:dyDescent="0.25">
      <c r="A17" s="216" t="s">
        <v>131</v>
      </c>
      <c r="B17" s="224">
        <f>PGTVA!$D$57</f>
        <v>0.41180597315888734</v>
      </c>
      <c r="C17" s="224">
        <f>UFGVA!$D$54</f>
        <v>0.6297114256835884</v>
      </c>
      <c r="D17" s="224">
        <f>ADVADA!$AZ$46</f>
        <v>-6.6237432629779741E-2</v>
      </c>
      <c r="E17" s="224">
        <f>ESMDA!$D$42</f>
        <v>-0.26148694239424014</v>
      </c>
      <c r="F17" s="217"/>
      <c r="I17" s="226"/>
    </row>
    <row r="18" spans="1:9" customFormat="1" ht="15" x14ac:dyDescent="0.25">
      <c r="A18" s="216" t="s">
        <v>132</v>
      </c>
      <c r="B18" s="225">
        <f>PGTVA!$E$57</f>
        <v>0.39682145575008143</v>
      </c>
      <c r="C18" s="225">
        <f>UFGVA!$E$54</f>
        <v>0.60679791195211308</v>
      </c>
      <c r="D18" s="225">
        <f>ADVADA!$BA$46</f>
        <v>-5.2308408756863364E-2</v>
      </c>
      <c r="E18" s="225">
        <f>ESMDA!$E$42</f>
        <v>-0.12483686173397812</v>
      </c>
      <c r="F18" s="218"/>
    </row>
    <row r="19" spans="1:9" customFormat="1" ht="15" x14ac:dyDescent="0.25">
      <c r="A19" s="216" t="s">
        <v>158</v>
      </c>
      <c r="B19" s="225">
        <f>PGTVA!$F$57</f>
        <v>0.40795578085159051</v>
      </c>
      <c r="C19" s="225">
        <f>UFGVA!$F$54</f>
        <v>0.62382391980700791</v>
      </c>
      <c r="D19" s="225">
        <f>ADVADA!$BB$46</f>
        <v>-4.7338010997150924E-2</v>
      </c>
      <c r="E19" s="225">
        <f>ESMDA!$F$42</f>
        <v>-0.10829703877907255</v>
      </c>
      <c r="F19" s="218"/>
    </row>
    <row r="20" spans="1:9" customFormat="1" ht="15" x14ac:dyDescent="0.25">
      <c r="A20" s="216" t="s">
        <v>159</v>
      </c>
      <c r="B20" s="225">
        <f>B19</f>
        <v>0.40795578085159051</v>
      </c>
      <c r="C20" s="225">
        <f>C19</f>
        <v>0.62382391980700791</v>
      </c>
      <c r="D20" s="225">
        <f>D19</f>
        <v>-4.7338010997150924E-2</v>
      </c>
      <c r="E20" s="225">
        <f t="shared" ref="E20" si="4">E19</f>
        <v>-0.10829703877907255</v>
      </c>
      <c r="F20" s="218"/>
    </row>
    <row r="21" spans="1:9" customFormat="1" ht="15" x14ac:dyDescent="0.25">
      <c r="A21" s="216" t="s">
        <v>133</v>
      </c>
      <c r="B21" s="225">
        <f>PGTVA!$G$57</f>
        <v>0.40808776343612141</v>
      </c>
      <c r="C21" s="225">
        <f>UFGVA!$G$54</f>
        <v>0.62402574043829406</v>
      </c>
      <c r="D21" s="225">
        <f>ADVADA!$BC$46</f>
        <v>-2.7808761299304829E-2</v>
      </c>
      <c r="E21" s="225">
        <f>ESMDA!$G$42</f>
        <v>-7.866067651587702E-2</v>
      </c>
      <c r="F21" s="218"/>
    </row>
    <row r="22" spans="1:9" customFormat="1" ht="15" x14ac:dyDescent="0.25">
      <c r="A22" s="216" t="s">
        <v>160</v>
      </c>
      <c r="B22" s="225">
        <f>PGTVA!$H$57</f>
        <v>0.40795578085159045</v>
      </c>
      <c r="C22" s="225">
        <f>UFGVA!$H$54</f>
        <v>0.62382391980700791</v>
      </c>
      <c r="D22" s="225">
        <f>ADVADA!$BD$46</f>
        <v>-6.0337511612396588E-2</v>
      </c>
      <c r="E22" s="225">
        <f>ESMDA!$H$42</f>
        <v>-9.2792828651832568E-2</v>
      </c>
      <c r="F22" s="218"/>
    </row>
    <row r="23" spans="1:9" customFormat="1" ht="15" x14ac:dyDescent="0.25">
      <c r="A23" s="216" t="s">
        <v>161</v>
      </c>
      <c r="B23" s="225">
        <f>B22</f>
        <v>0.40795578085159045</v>
      </c>
      <c r="C23" s="225">
        <f>C22</f>
        <v>0.62382391980700791</v>
      </c>
      <c r="D23" s="225">
        <f>D22</f>
        <v>-6.0337511612396588E-2</v>
      </c>
      <c r="E23" s="225">
        <f t="shared" ref="E23" si="5">E22</f>
        <v>-9.2792828651832568E-2</v>
      </c>
      <c r="F23" s="218"/>
    </row>
    <row r="24" spans="1:9" customFormat="1" ht="15" x14ac:dyDescent="0.25">
      <c r="A24" s="216" t="s">
        <v>134</v>
      </c>
      <c r="B24" s="225">
        <f>PGTVA!$I$57</f>
        <v>0.40795578085159051</v>
      </c>
      <c r="C24" s="225">
        <f>UFGVA!$I$54</f>
        <v>0.62382391980700791</v>
      </c>
      <c r="D24" s="225">
        <f>ADVADA!$BE$46</f>
        <v>-6.7654698649440542E-2</v>
      </c>
      <c r="E24" s="225">
        <f>ESMDA!$I$42</f>
        <v>-5.0338799120369669E-2</v>
      </c>
      <c r="F24" s="218"/>
    </row>
    <row r="25" spans="1:9" customFormat="1" ht="15" x14ac:dyDescent="0.25">
      <c r="A25" s="215" t="s">
        <v>135</v>
      </c>
      <c r="B25" s="219"/>
      <c r="C25" s="220"/>
      <c r="D25" s="219"/>
      <c r="E25" s="221"/>
      <c r="F25" s="231">
        <f>ESMDA!$K$42</f>
        <v>-769.6831345752704</v>
      </c>
    </row>
    <row r="26" spans="1:9" customFormat="1" ht="15" x14ac:dyDescent="0.25"/>
    <row r="27" spans="1:9" customFormat="1" ht="15" x14ac:dyDescent="0.25">
      <c r="A27" s="227" t="s">
        <v>71</v>
      </c>
      <c r="B27" s="229" t="str">
        <f>IF(SUM(PGTVA!$D$57:$I$57)-SUM(B17:B19,B21,B23:B24)=0,"Ok","Check")</f>
        <v>Ok</v>
      </c>
      <c r="C27" s="228" t="str">
        <f>IF(SUM(UFGVA!$D$54:$I$54)-SUM(C17:C19,C21,C22,C24)=0,"Ok","Check")</f>
        <v>Ok</v>
      </c>
      <c r="D27" s="229" t="str">
        <f>IF(SUM(ADVADA!$AZ$46:$BE$46)-SUM(D17:D19,D21,D22,D24)=0,"Ok","Check")</f>
        <v>Ok</v>
      </c>
      <c r="E27" s="228" t="str">
        <f>IF(SUM(ESMDA!$D$42:$I$42)-SUM(E17:E19,E21,E22,E24)=0,"Ok","Check")</f>
        <v>Ok</v>
      </c>
      <c r="F27" s="230" t="str">
        <f>IF(SUM(ESMDA!$K$42)-F25=0,"Ok","Check")</f>
        <v>Ok</v>
      </c>
    </row>
    <row r="30" spans="1:9" ht="30" x14ac:dyDescent="0.25">
      <c r="A30" s="242" t="s">
        <v>172</v>
      </c>
      <c r="B30" s="237" t="s">
        <v>173</v>
      </c>
      <c r="C30" s="249" t="s">
        <v>174</v>
      </c>
      <c r="D30" s="250"/>
      <c r="E30" s="249" t="s">
        <v>175</v>
      </c>
      <c r="F30" s="250"/>
    </row>
    <row r="31" spans="1:9" x14ac:dyDescent="0.2">
      <c r="A31" s="243" t="str">
        <f>Summary!$A$7</f>
        <v>PGTVA</v>
      </c>
      <c r="B31" s="244">
        <v>2024</v>
      </c>
      <c r="C31" s="251" t="s">
        <v>178</v>
      </c>
      <c r="D31" s="251"/>
      <c r="E31" s="251" t="s">
        <v>177</v>
      </c>
      <c r="F31" s="251"/>
    </row>
    <row r="32" spans="1:9" x14ac:dyDescent="0.2">
      <c r="A32" s="245" t="str">
        <f>Summary!$A$8</f>
        <v>UFGVA</v>
      </c>
      <c r="B32" s="246">
        <v>2024</v>
      </c>
      <c r="C32" s="252" t="s">
        <v>178</v>
      </c>
      <c r="D32" s="252"/>
      <c r="E32" s="252" t="s">
        <v>177</v>
      </c>
      <c r="F32" s="252"/>
    </row>
    <row r="33" spans="1:6" x14ac:dyDescent="0.2">
      <c r="A33" s="245" t="str">
        <f>Summary!$A$9</f>
        <v>ADVADA</v>
      </c>
      <c r="B33" s="246">
        <v>2020</v>
      </c>
      <c r="C33" s="252" t="s">
        <v>179</v>
      </c>
      <c r="D33" s="252"/>
      <c r="E33" s="252" t="s">
        <v>177</v>
      </c>
      <c r="F33" s="252"/>
    </row>
    <row r="34" spans="1:6" ht="27" customHeight="1" x14ac:dyDescent="0.2">
      <c r="A34" s="247" t="str">
        <f>Summary!$A$10</f>
        <v>ESMDA</v>
      </c>
      <c r="B34" s="248" t="s">
        <v>176</v>
      </c>
      <c r="C34" s="253" t="s">
        <v>180</v>
      </c>
      <c r="D34" s="253"/>
      <c r="E34" s="254" t="s">
        <v>177</v>
      </c>
      <c r="F34" s="254"/>
    </row>
  </sheetData>
  <sheetProtection sheet="1" objects="1" scenarios="1"/>
  <mergeCells count="15">
    <mergeCell ref="H5:H6"/>
    <mergeCell ref="B4:C4"/>
    <mergeCell ref="D4:G4"/>
    <mergeCell ref="B5:B6"/>
    <mergeCell ref="C5:C6"/>
    <mergeCell ref="E30:F30"/>
    <mergeCell ref="E31:F31"/>
    <mergeCell ref="E32:F32"/>
    <mergeCell ref="E33:F33"/>
    <mergeCell ref="E34:F34"/>
    <mergeCell ref="C30:D30"/>
    <mergeCell ref="C31:D31"/>
    <mergeCell ref="C32:D32"/>
    <mergeCell ref="C33:D33"/>
    <mergeCell ref="C34:D3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showGridLines="0" zoomScale="80" zoomScaleNormal="80" zoomScaleSheetLayoutView="85" workbookViewId="0">
      <selection activeCell="Q46" sqref="Q46"/>
    </sheetView>
  </sheetViews>
  <sheetFormatPr defaultColWidth="12.5703125" defaultRowHeight="15" x14ac:dyDescent="0.25"/>
  <cols>
    <col min="1" max="1" width="48.140625" customWidth="1"/>
    <col min="2" max="2" width="11.7109375" bestFit="1" customWidth="1"/>
    <col min="3" max="3" width="13.5703125" customWidth="1"/>
    <col min="4" max="4" width="12.42578125" customWidth="1"/>
    <col min="5" max="11" width="13.7109375" bestFit="1" customWidth="1"/>
    <col min="12" max="13" width="15.140625" bestFit="1" customWidth="1"/>
    <col min="14" max="14" width="1.5703125" customWidth="1"/>
    <col min="15" max="15" width="12.28515625" bestFit="1" customWidth="1"/>
  </cols>
  <sheetData>
    <row r="1" spans="1:15" s="1" customFormat="1" x14ac:dyDescent="0.25">
      <c r="A1" s="1" t="s">
        <v>0</v>
      </c>
    </row>
    <row r="2" spans="1:15" s="1" customFormat="1" x14ac:dyDescent="0.25">
      <c r="A2" s="1" t="s">
        <v>80</v>
      </c>
    </row>
    <row r="3" spans="1:15" s="1" customFormat="1" ht="15.75" thickBot="1" x14ac:dyDescent="0.3">
      <c r="A3" s="1" t="s">
        <v>63</v>
      </c>
    </row>
    <row r="4" spans="1:15" s="1" customFormat="1" x14ac:dyDescent="0.25">
      <c r="A4" s="1" t="s">
        <v>62</v>
      </c>
      <c r="B4" s="262" t="s">
        <v>89</v>
      </c>
      <c r="C4" s="263"/>
      <c r="D4" s="262" t="s">
        <v>87</v>
      </c>
      <c r="E4" s="263"/>
      <c r="F4" s="263"/>
      <c r="G4" s="263"/>
      <c r="H4" s="263"/>
      <c r="I4" s="263"/>
      <c r="J4" s="263"/>
      <c r="K4" s="263"/>
      <c r="L4" s="263"/>
      <c r="M4" s="264"/>
    </row>
    <row r="5" spans="1:15" x14ac:dyDescent="0.25">
      <c r="A5" s="104"/>
      <c r="B5" s="111">
        <v>2025</v>
      </c>
      <c r="C5" s="103">
        <v>2025</v>
      </c>
      <c r="D5" s="111">
        <v>2025</v>
      </c>
      <c r="E5" s="2">
        <v>2025</v>
      </c>
      <c r="F5" s="2">
        <v>2025</v>
      </c>
      <c r="G5" s="2">
        <v>2025</v>
      </c>
      <c r="H5" s="2">
        <v>2025</v>
      </c>
      <c r="I5" s="2">
        <v>2025</v>
      </c>
      <c r="J5" s="2">
        <v>2025</v>
      </c>
      <c r="K5" s="2">
        <v>2025</v>
      </c>
      <c r="L5" s="2">
        <v>2025</v>
      </c>
      <c r="M5" s="112">
        <v>2025</v>
      </c>
      <c r="O5" s="2">
        <v>2026</v>
      </c>
    </row>
    <row r="6" spans="1:15" x14ac:dyDescent="0.25">
      <c r="A6" s="105"/>
      <c r="B6" s="113" t="s">
        <v>1</v>
      </c>
      <c r="C6" s="144" t="s">
        <v>2</v>
      </c>
      <c r="D6" s="11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114" t="s">
        <v>12</v>
      </c>
      <c r="O6" s="3" t="s">
        <v>32</v>
      </c>
    </row>
    <row r="7" spans="1:15" x14ac:dyDescent="0.25">
      <c r="A7" s="106" t="s">
        <v>35</v>
      </c>
      <c r="B7" s="115"/>
      <c r="C7" s="145"/>
      <c r="D7" s="115"/>
      <c r="E7" s="37"/>
      <c r="F7" s="38"/>
      <c r="G7" s="38"/>
      <c r="H7" s="39"/>
      <c r="I7" s="38"/>
      <c r="J7" s="38"/>
      <c r="K7" s="38"/>
      <c r="L7" s="38"/>
      <c r="M7" s="161"/>
      <c r="O7" s="38"/>
    </row>
    <row r="8" spans="1:15" x14ac:dyDescent="0.25">
      <c r="A8" s="106" t="s">
        <v>36</v>
      </c>
      <c r="B8" s="116">
        <v>13373.93</v>
      </c>
      <c r="C8" s="146">
        <v>11145.35</v>
      </c>
      <c r="D8" s="116">
        <v>7939.27</v>
      </c>
      <c r="E8" s="5">
        <v>5490.41</v>
      </c>
      <c r="F8" s="5">
        <v>2911.59</v>
      </c>
      <c r="G8" s="5">
        <v>1618.04</v>
      </c>
      <c r="H8" s="5">
        <v>1092.3700000000001</v>
      </c>
      <c r="I8" s="5">
        <v>1977.57</v>
      </c>
      <c r="J8" s="5">
        <v>2701.39</v>
      </c>
      <c r="K8" s="5">
        <v>6225.4800000000005</v>
      </c>
      <c r="L8" s="5">
        <v>14660.48</v>
      </c>
      <c r="M8" s="117">
        <v>13826.1</v>
      </c>
      <c r="O8" s="4"/>
    </row>
    <row r="9" spans="1:15" hidden="1" x14ac:dyDescent="0.25">
      <c r="A9" s="106" t="s">
        <v>37</v>
      </c>
      <c r="B9" s="116">
        <v>0</v>
      </c>
      <c r="C9" s="146">
        <v>0</v>
      </c>
      <c r="D9" s="116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117">
        <v>0</v>
      </c>
      <c r="O9" s="4"/>
    </row>
    <row r="10" spans="1:15" x14ac:dyDescent="0.25">
      <c r="A10" s="106" t="s">
        <v>38</v>
      </c>
      <c r="B10" s="116">
        <v>65389.15</v>
      </c>
      <c r="C10" s="146">
        <v>65389.15</v>
      </c>
      <c r="D10" s="116">
        <v>65389.15</v>
      </c>
      <c r="E10" s="5">
        <v>65389.15</v>
      </c>
      <c r="F10" s="5">
        <v>65389.15</v>
      </c>
      <c r="G10" s="5">
        <v>65389.15</v>
      </c>
      <c r="H10" s="5">
        <v>65389.15</v>
      </c>
      <c r="I10" s="5">
        <v>65389.15</v>
      </c>
      <c r="J10" s="5">
        <v>65389.15</v>
      </c>
      <c r="K10" s="5">
        <v>65389.15</v>
      </c>
      <c r="L10" s="5">
        <v>69479.16</v>
      </c>
      <c r="M10" s="117">
        <v>69479.16</v>
      </c>
      <c r="O10" s="4"/>
    </row>
    <row r="11" spans="1:15" x14ac:dyDescent="0.25">
      <c r="A11" s="107" t="s">
        <v>39</v>
      </c>
      <c r="B11" s="116">
        <v>13575.66</v>
      </c>
      <c r="C11" s="146">
        <v>13575.66</v>
      </c>
      <c r="D11" s="116">
        <v>13432.45</v>
      </c>
      <c r="E11" s="5">
        <v>13600.01</v>
      </c>
      <c r="F11" s="5">
        <v>13600.01</v>
      </c>
      <c r="G11" s="5">
        <v>13596.939999999999</v>
      </c>
      <c r="H11" s="5">
        <v>13600</v>
      </c>
      <c r="I11" s="5">
        <v>13600</v>
      </c>
      <c r="J11" s="5">
        <v>13744.839930825025</v>
      </c>
      <c r="K11" s="5">
        <v>13600</v>
      </c>
      <c r="L11" s="5">
        <v>13600</v>
      </c>
      <c r="M11" s="117">
        <v>13471.550000000001</v>
      </c>
      <c r="O11" s="4"/>
    </row>
    <row r="12" spans="1:15" x14ac:dyDescent="0.25">
      <c r="A12" s="107" t="s">
        <v>40</v>
      </c>
      <c r="B12" s="118">
        <v>3253.91</v>
      </c>
      <c r="C12" s="147">
        <v>2712.59</v>
      </c>
      <c r="D12" s="118">
        <v>1999.23</v>
      </c>
      <c r="E12" s="102">
        <v>2000.08</v>
      </c>
      <c r="F12" s="102">
        <v>651.47</v>
      </c>
      <c r="G12" s="102">
        <v>-3.1000000000000227</v>
      </c>
      <c r="H12" s="102">
        <v>0</v>
      </c>
      <c r="I12" s="102">
        <v>0</v>
      </c>
      <c r="J12" s="102">
        <v>0</v>
      </c>
      <c r="K12" s="102">
        <v>1191.46</v>
      </c>
      <c r="L12" s="102">
        <v>3643.44</v>
      </c>
      <c r="M12" s="119">
        <v>3396.5000000000005</v>
      </c>
      <c r="O12" s="4"/>
    </row>
    <row r="13" spans="1:15" hidden="1" x14ac:dyDescent="0.25">
      <c r="A13" s="107" t="s">
        <v>85</v>
      </c>
      <c r="B13" s="118">
        <v>0</v>
      </c>
      <c r="C13" s="147">
        <v>0</v>
      </c>
      <c r="D13" s="118">
        <v>0</v>
      </c>
      <c r="E13" s="102">
        <v>0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19">
        <v>0</v>
      </c>
      <c r="O13" s="4"/>
    </row>
    <row r="14" spans="1:15" x14ac:dyDescent="0.25">
      <c r="A14" s="107" t="s">
        <v>86</v>
      </c>
      <c r="B14" s="120">
        <v>4228.66</v>
      </c>
      <c r="C14" s="148">
        <v>4139.07</v>
      </c>
      <c r="D14" s="120">
        <v>4129.09</v>
      </c>
      <c r="E14" s="30">
        <v>4373.1000000000004</v>
      </c>
      <c r="F14" s="30">
        <v>4466.3</v>
      </c>
      <c r="G14" s="30">
        <v>4182.8071625617849</v>
      </c>
      <c r="H14" s="30">
        <v>3563.5699999999997</v>
      </c>
      <c r="I14" s="30">
        <v>3526.2</v>
      </c>
      <c r="J14" s="30">
        <v>3494.473</v>
      </c>
      <c r="K14" s="30">
        <v>3783.73</v>
      </c>
      <c r="L14" s="30">
        <v>3951.7599999999998</v>
      </c>
      <c r="M14" s="121">
        <v>4344.25</v>
      </c>
      <c r="O14" s="4"/>
    </row>
    <row r="15" spans="1:15" x14ac:dyDescent="0.25">
      <c r="A15" s="106" t="s">
        <v>42</v>
      </c>
      <c r="B15" s="116">
        <f>SUM(B8:B14)</f>
        <v>99821.310000000012</v>
      </c>
      <c r="C15" s="146">
        <f t="shared" ref="C15:M15" si="0">SUM(C8:C14)</f>
        <v>96961.82</v>
      </c>
      <c r="D15" s="116">
        <f t="shared" si="0"/>
        <v>92889.189999999988</v>
      </c>
      <c r="E15" s="5">
        <f t="shared" si="0"/>
        <v>90852.75</v>
      </c>
      <c r="F15" s="5">
        <f t="shared" si="0"/>
        <v>87018.52</v>
      </c>
      <c r="G15" s="5">
        <f t="shared" si="0"/>
        <v>84783.837162561787</v>
      </c>
      <c r="H15" s="5">
        <f t="shared" si="0"/>
        <v>83645.09</v>
      </c>
      <c r="I15" s="5">
        <f t="shared" si="0"/>
        <v>84492.92</v>
      </c>
      <c r="J15" s="5">
        <f t="shared" si="0"/>
        <v>85329.852930825029</v>
      </c>
      <c r="K15" s="5">
        <f t="shared" si="0"/>
        <v>90189.82</v>
      </c>
      <c r="L15" s="5">
        <f t="shared" si="0"/>
        <v>105334.84</v>
      </c>
      <c r="M15" s="117">
        <f t="shared" si="0"/>
        <v>104517.56000000001</v>
      </c>
      <c r="O15" s="4"/>
    </row>
    <row r="16" spans="1:15" x14ac:dyDescent="0.25">
      <c r="A16" s="106"/>
      <c r="B16" s="122"/>
      <c r="C16" s="149"/>
      <c r="D16" s="122"/>
      <c r="E16" s="6"/>
      <c r="F16" s="6"/>
      <c r="G16" s="6"/>
      <c r="H16" s="6"/>
      <c r="I16" s="6"/>
      <c r="J16" s="6"/>
      <c r="K16" s="6"/>
      <c r="L16" s="6"/>
      <c r="M16" s="123"/>
      <c r="O16" s="4"/>
    </row>
    <row r="17" spans="1:15" ht="17.25" x14ac:dyDescent="0.25">
      <c r="A17" s="163" t="s">
        <v>88</v>
      </c>
      <c r="B17" s="164">
        <v>6276107.2552099992</v>
      </c>
      <c r="C17" s="165">
        <v>5236763.6400000006</v>
      </c>
      <c r="D17" s="124"/>
      <c r="E17" s="31"/>
      <c r="F17" s="31"/>
      <c r="G17" s="31"/>
      <c r="H17" s="31"/>
      <c r="I17" s="31"/>
      <c r="J17" s="31"/>
      <c r="K17" s="31"/>
      <c r="L17" s="31"/>
      <c r="M17" s="125"/>
      <c r="N17" s="110"/>
      <c r="O17" s="7"/>
    </row>
    <row r="18" spans="1:15" x14ac:dyDescent="0.25">
      <c r="A18" s="106" t="s">
        <v>99</v>
      </c>
      <c r="B18" s="124"/>
      <c r="C18" s="150"/>
      <c r="D18" s="116">
        <v>66314.789999999994</v>
      </c>
      <c r="E18" s="5">
        <v>99218.31</v>
      </c>
      <c r="F18" s="5">
        <v>70510.3</v>
      </c>
      <c r="G18" s="5">
        <v>46599.14</v>
      </c>
      <c r="H18" s="5">
        <v>28459.8</v>
      </c>
      <c r="I18" s="5">
        <v>20627.57</v>
      </c>
      <c r="J18" s="5">
        <v>26559.25</v>
      </c>
      <c r="K18" s="5">
        <v>43682.62</v>
      </c>
      <c r="L18" s="5">
        <v>110975.62</v>
      </c>
      <c r="M18" s="117">
        <v>170578.55</v>
      </c>
      <c r="N18" s="110"/>
      <c r="O18" s="7"/>
    </row>
    <row r="19" spans="1:15" x14ac:dyDescent="0.25">
      <c r="A19" s="108"/>
      <c r="B19" s="126"/>
      <c r="C19" s="151"/>
      <c r="D19" s="126"/>
      <c r="E19" s="8"/>
      <c r="F19" s="8"/>
      <c r="G19" s="8"/>
      <c r="H19" s="8"/>
      <c r="I19" s="8"/>
      <c r="J19" s="8"/>
      <c r="K19" s="8"/>
      <c r="L19" s="8"/>
      <c r="M19" s="127"/>
      <c r="N19" s="110"/>
      <c r="O19" s="7"/>
    </row>
    <row r="20" spans="1:15" ht="17.25" x14ac:dyDescent="0.25">
      <c r="A20" s="106" t="s">
        <v>44</v>
      </c>
      <c r="B20" s="128">
        <f>B15/B17</f>
        <v>1.5904971974010661E-2</v>
      </c>
      <c r="C20" s="152">
        <f>C15/C17</f>
        <v>1.8515599837154385E-2</v>
      </c>
      <c r="D20" s="128"/>
      <c r="E20" s="32"/>
      <c r="F20" s="32"/>
      <c r="G20" s="32"/>
      <c r="H20" s="32"/>
      <c r="I20" s="32"/>
      <c r="J20" s="32"/>
      <c r="K20" s="32"/>
      <c r="L20" s="32"/>
      <c r="M20" s="129"/>
      <c r="N20" s="110"/>
      <c r="O20" s="7"/>
    </row>
    <row r="21" spans="1:15" x14ac:dyDescent="0.25">
      <c r="A21" s="106" t="s">
        <v>73</v>
      </c>
      <c r="B21" s="130">
        <v>2.3723999999999999E-2</v>
      </c>
      <c r="C21" s="153">
        <v>2.3723999999999999E-2</v>
      </c>
      <c r="D21" s="130"/>
      <c r="E21" s="34"/>
      <c r="F21" s="34"/>
      <c r="G21" s="34"/>
      <c r="H21" s="34"/>
      <c r="I21" s="34"/>
      <c r="J21" s="34"/>
      <c r="K21" s="34"/>
      <c r="L21" s="34"/>
      <c r="M21" s="131"/>
      <c r="N21" s="110"/>
      <c r="O21" s="7"/>
    </row>
    <row r="22" spans="1:15" x14ac:dyDescent="0.25">
      <c r="A22" s="106" t="s">
        <v>43</v>
      </c>
      <c r="B22" s="132">
        <f t="shared" ref="B22:C22" si="1">B20-B21</f>
        <v>-7.8190280259893379E-3</v>
      </c>
      <c r="C22" s="154">
        <f t="shared" si="1"/>
        <v>-5.2084001628456139E-3</v>
      </c>
      <c r="D22" s="132"/>
      <c r="E22" s="33"/>
      <c r="F22" s="33"/>
      <c r="G22" s="33"/>
      <c r="H22" s="33"/>
      <c r="I22" s="33"/>
      <c r="J22" s="33"/>
      <c r="K22" s="33"/>
      <c r="L22" s="33"/>
      <c r="M22" s="133"/>
      <c r="O22" s="5"/>
    </row>
    <row r="23" spans="1:15" x14ac:dyDescent="0.25">
      <c r="A23" s="106"/>
      <c r="B23" s="122"/>
      <c r="C23" s="149"/>
      <c r="D23" s="122"/>
      <c r="E23" s="6"/>
      <c r="F23" s="6"/>
      <c r="G23" s="6"/>
      <c r="H23" s="6"/>
      <c r="I23" s="6"/>
      <c r="J23" s="6"/>
      <c r="K23" s="6"/>
      <c r="L23" s="6"/>
      <c r="M23" s="123"/>
      <c r="O23" s="6"/>
    </row>
    <row r="24" spans="1:15" x14ac:dyDescent="0.25">
      <c r="A24" s="106" t="s">
        <v>100</v>
      </c>
      <c r="B24" s="134">
        <f t="shared" ref="B24:C24" si="2">B17*B22</f>
        <v>-49073.058522601998</v>
      </c>
      <c r="C24" s="155">
        <f t="shared" si="2"/>
        <v>-27275.160595359994</v>
      </c>
      <c r="D24" s="134">
        <f>D15-D18</f>
        <v>26574.399999999994</v>
      </c>
      <c r="E24" s="7">
        <f t="shared" ref="E24:M24" si="3">E15-E18</f>
        <v>-8365.5599999999977</v>
      </c>
      <c r="F24" s="7">
        <f t="shared" si="3"/>
        <v>16508.22</v>
      </c>
      <c r="G24" s="7">
        <f t="shared" si="3"/>
        <v>38184.697162561788</v>
      </c>
      <c r="H24" s="7">
        <f t="shared" si="3"/>
        <v>55185.289999999994</v>
      </c>
      <c r="I24" s="7">
        <f t="shared" si="3"/>
        <v>63865.35</v>
      </c>
      <c r="J24" s="7">
        <f t="shared" si="3"/>
        <v>58770.602930825029</v>
      </c>
      <c r="K24" s="7">
        <f t="shared" si="3"/>
        <v>46507.200000000004</v>
      </c>
      <c r="L24" s="7">
        <f t="shared" si="3"/>
        <v>-5640.7799999999988</v>
      </c>
      <c r="M24" s="135">
        <f t="shared" si="3"/>
        <v>-66060.989999999976</v>
      </c>
      <c r="O24" s="7"/>
    </row>
    <row r="25" spans="1:15" x14ac:dyDescent="0.25">
      <c r="A25" s="106"/>
      <c r="B25" s="136"/>
      <c r="C25" s="156"/>
      <c r="D25" s="136"/>
      <c r="E25" s="9"/>
      <c r="F25" s="9"/>
      <c r="G25" s="9"/>
      <c r="H25" s="9"/>
      <c r="I25" s="9"/>
      <c r="J25" s="9"/>
      <c r="K25" s="9"/>
      <c r="L25" s="9"/>
      <c r="M25" s="137"/>
      <c r="O25" s="9"/>
    </row>
    <row r="26" spans="1:15" x14ac:dyDescent="0.25">
      <c r="A26" s="106" t="s">
        <v>13</v>
      </c>
      <c r="B26" s="138">
        <v>0</v>
      </c>
      <c r="C26" s="157">
        <f>B28</f>
        <v>-49073.058522601998</v>
      </c>
      <c r="D26" s="138">
        <f t="shared" ref="D26:M26" si="4">C28</f>
        <v>-76348.219117961999</v>
      </c>
      <c r="E26" s="35">
        <f t="shared" si="4"/>
        <v>-49773.819117962004</v>
      </c>
      <c r="F26" s="35">
        <f t="shared" si="4"/>
        <v>-58139.379117962002</v>
      </c>
      <c r="G26" s="35">
        <f t="shared" si="4"/>
        <v>-41631.159117962001</v>
      </c>
      <c r="H26" s="35">
        <f t="shared" si="4"/>
        <v>-3446.4619554002129</v>
      </c>
      <c r="I26" s="35">
        <f t="shared" si="4"/>
        <v>51738.828044599781</v>
      </c>
      <c r="J26" s="35">
        <f>I28</f>
        <v>115604.17804459977</v>
      </c>
      <c r="K26" s="35">
        <f t="shared" si="4"/>
        <v>174374.7809754248</v>
      </c>
      <c r="L26" s="35">
        <f t="shared" si="4"/>
        <v>220881.98097542481</v>
      </c>
      <c r="M26" s="139">
        <f t="shared" si="4"/>
        <v>215241.20097542481</v>
      </c>
      <c r="N26" s="160"/>
      <c r="O26" s="7"/>
    </row>
    <row r="27" spans="1:15" x14ac:dyDescent="0.25">
      <c r="A27" s="106" t="s">
        <v>14</v>
      </c>
      <c r="B27" s="120">
        <f>B24</f>
        <v>-49073.058522601998</v>
      </c>
      <c r="C27" s="148">
        <f t="shared" ref="C27:M27" si="5">C24</f>
        <v>-27275.160595359994</v>
      </c>
      <c r="D27" s="120">
        <f t="shared" si="5"/>
        <v>26574.399999999994</v>
      </c>
      <c r="E27" s="30">
        <f t="shared" si="5"/>
        <v>-8365.5599999999977</v>
      </c>
      <c r="F27" s="30">
        <f t="shared" si="5"/>
        <v>16508.22</v>
      </c>
      <c r="G27" s="30">
        <f t="shared" si="5"/>
        <v>38184.697162561788</v>
      </c>
      <c r="H27" s="30">
        <f t="shared" si="5"/>
        <v>55185.289999999994</v>
      </c>
      <c r="I27" s="30">
        <f t="shared" si="5"/>
        <v>63865.35</v>
      </c>
      <c r="J27" s="30">
        <f t="shared" si="5"/>
        <v>58770.602930825029</v>
      </c>
      <c r="K27" s="30">
        <f t="shared" si="5"/>
        <v>46507.200000000004</v>
      </c>
      <c r="L27" s="30">
        <f t="shared" si="5"/>
        <v>-5640.7799999999988</v>
      </c>
      <c r="M27" s="121">
        <f t="shared" si="5"/>
        <v>-66060.989999999976</v>
      </c>
      <c r="N27" s="160"/>
      <c r="O27" s="7"/>
    </row>
    <row r="28" spans="1:15" x14ac:dyDescent="0.25">
      <c r="A28" s="106" t="s">
        <v>15</v>
      </c>
      <c r="B28" s="134">
        <f>SUM(B26:B27)</f>
        <v>-49073.058522601998</v>
      </c>
      <c r="C28" s="155">
        <f t="shared" ref="C28:M28" si="6">SUM(C26:C27)</f>
        <v>-76348.219117961999</v>
      </c>
      <c r="D28" s="134">
        <f t="shared" si="6"/>
        <v>-49773.819117962004</v>
      </c>
      <c r="E28" s="7">
        <f t="shared" si="6"/>
        <v>-58139.379117962002</v>
      </c>
      <c r="F28" s="7">
        <f t="shared" si="6"/>
        <v>-41631.159117962001</v>
      </c>
      <c r="G28" s="7">
        <f t="shared" si="6"/>
        <v>-3446.4619554002129</v>
      </c>
      <c r="H28" s="7">
        <f t="shared" si="6"/>
        <v>51738.828044599781</v>
      </c>
      <c r="I28" s="7">
        <f t="shared" si="6"/>
        <v>115604.17804459977</v>
      </c>
      <c r="J28" s="7">
        <f t="shared" si="6"/>
        <v>174374.7809754248</v>
      </c>
      <c r="K28" s="7">
        <f t="shared" si="6"/>
        <v>220881.98097542481</v>
      </c>
      <c r="L28" s="7">
        <f t="shared" si="6"/>
        <v>215241.20097542481</v>
      </c>
      <c r="M28" s="135">
        <f t="shared" si="6"/>
        <v>149180.21097542485</v>
      </c>
      <c r="N28" s="160"/>
      <c r="O28" s="7"/>
    </row>
    <row r="29" spans="1:15" x14ac:dyDescent="0.25">
      <c r="A29" s="106"/>
      <c r="B29" s="134"/>
      <c r="C29" s="155"/>
      <c r="D29" s="134"/>
      <c r="E29" s="7"/>
      <c r="F29" s="7"/>
      <c r="G29" s="7"/>
      <c r="H29" s="7"/>
      <c r="I29" s="7"/>
      <c r="J29" s="7"/>
      <c r="K29" s="7"/>
      <c r="L29" s="7"/>
      <c r="M29" s="135"/>
      <c r="N29" s="160"/>
      <c r="O29" s="7"/>
    </row>
    <row r="30" spans="1:15" x14ac:dyDescent="0.25">
      <c r="A30" s="106" t="s">
        <v>41</v>
      </c>
      <c r="B30" s="134"/>
      <c r="C30" s="155"/>
      <c r="D30" s="134"/>
      <c r="E30" s="7"/>
      <c r="F30" s="7"/>
      <c r="G30" s="7"/>
      <c r="H30" s="7"/>
      <c r="I30" s="7"/>
      <c r="J30" s="7"/>
      <c r="K30" s="7"/>
      <c r="L30" s="7"/>
      <c r="M30" s="135"/>
      <c r="N30" s="160"/>
      <c r="O30" s="7"/>
    </row>
    <row r="31" spans="1:15" x14ac:dyDescent="0.25">
      <c r="A31" s="106" t="s">
        <v>16</v>
      </c>
      <c r="B31" s="140">
        <v>3.6400000000000002E-2</v>
      </c>
      <c r="C31" s="158">
        <v>3.6400000000000002E-2</v>
      </c>
      <c r="D31" s="140">
        <v>3.6400000000000002E-2</v>
      </c>
      <c r="E31" s="93">
        <v>3.1600000000000003E-2</v>
      </c>
      <c r="F31" s="93">
        <v>3.1600000000000003E-2</v>
      </c>
      <c r="G31" s="93">
        <v>3.1600000000000003E-2</v>
      </c>
      <c r="H31" s="93">
        <v>2.9100000000000001E-2</v>
      </c>
      <c r="I31" s="93">
        <v>2.9100000000000001E-2</v>
      </c>
      <c r="J31" s="93">
        <v>2.9100000000000001E-2</v>
      </c>
      <c r="K31" s="93">
        <v>2.9100000000000001E-2</v>
      </c>
      <c r="L31" s="93">
        <v>2.9100000000000001E-2</v>
      </c>
      <c r="M31" s="141">
        <v>2.9100000000000001E-2</v>
      </c>
      <c r="N31" s="160"/>
      <c r="O31" s="36">
        <f>(Summary!D6+Summary!E6+Summary!F6+Summary!G6)/4</f>
        <v>2.5499999999999998E-2</v>
      </c>
    </row>
    <row r="32" spans="1:15" x14ac:dyDescent="0.25">
      <c r="A32" s="106"/>
      <c r="B32" s="134"/>
      <c r="C32" s="155"/>
      <c r="D32" s="134"/>
      <c r="E32" s="7"/>
      <c r="F32" s="7"/>
      <c r="G32" s="7"/>
      <c r="H32" s="7"/>
      <c r="I32" s="7"/>
      <c r="J32" s="7"/>
      <c r="K32" s="7"/>
      <c r="L32" s="7"/>
      <c r="M32" s="135"/>
      <c r="N32" s="160"/>
      <c r="O32" s="7"/>
    </row>
    <row r="33" spans="1:15" x14ac:dyDescent="0.25">
      <c r="A33" s="106" t="s">
        <v>17</v>
      </c>
      <c r="B33" s="138">
        <v>0</v>
      </c>
      <c r="C33" s="157">
        <f>B35</f>
        <v>0</v>
      </c>
      <c r="D33" s="138">
        <f t="shared" ref="D33:M33" si="7">C35</f>
        <v>-148.85494418522606</v>
      </c>
      <c r="E33" s="35">
        <f t="shared" si="7"/>
        <v>-380.44454217637747</v>
      </c>
      <c r="F33" s="35">
        <f t="shared" si="7"/>
        <v>-511.51559918701076</v>
      </c>
      <c r="G33" s="35">
        <f t="shared" si="7"/>
        <v>-664.61596419764408</v>
      </c>
      <c r="H33" s="35">
        <f t="shared" si="7"/>
        <v>-774.24468320827737</v>
      </c>
      <c r="I33" s="35">
        <f t="shared" si="7"/>
        <v>-782.60235345012291</v>
      </c>
      <c r="J33" s="35">
        <f t="shared" si="7"/>
        <v>-657.13569544196844</v>
      </c>
      <c r="K33" s="35">
        <f t="shared" si="7"/>
        <v>-376.79556368381401</v>
      </c>
      <c r="L33" s="35">
        <f t="shared" si="7"/>
        <v>46.063280181591153</v>
      </c>
      <c r="M33" s="139">
        <f t="shared" si="7"/>
        <v>581.70208404699633</v>
      </c>
      <c r="N33" s="160"/>
      <c r="O33" s="35">
        <f t="shared" ref="O33" si="8">M35</f>
        <v>1103.6619964124015</v>
      </c>
    </row>
    <row r="34" spans="1:15" x14ac:dyDescent="0.25">
      <c r="A34" s="106" t="s">
        <v>18</v>
      </c>
      <c r="B34" s="120">
        <f t="shared" ref="B34:M34" si="9">B26*B31/12</f>
        <v>0</v>
      </c>
      <c r="C34" s="148">
        <f t="shared" si="9"/>
        <v>-148.85494418522606</v>
      </c>
      <c r="D34" s="120">
        <f t="shared" si="9"/>
        <v>-231.58959799115141</v>
      </c>
      <c r="E34" s="30">
        <f t="shared" si="9"/>
        <v>-131.0710570106333</v>
      </c>
      <c r="F34" s="30">
        <f t="shared" si="9"/>
        <v>-153.10036501063328</v>
      </c>
      <c r="G34" s="30">
        <f t="shared" si="9"/>
        <v>-109.62871901063328</v>
      </c>
      <c r="H34" s="30">
        <f t="shared" si="9"/>
        <v>-8.3576702418455167</v>
      </c>
      <c r="I34" s="30">
        <f t="shared" si="9"/>
        <v>125.46665800815447</v>
      </c>
      <c r="J34" s="30">
        <f t="shared" si="9"/>
        <v>280.34013175815443</v>
      </c>
      <c r="K34" s="30">
        <f t="shared" si="9"/>
        <v>422.85884386540516</v>
      </c>
      <c r="L34" s="30">
        <f t="shared" si="9"/>
        <v>535.63880386540518</v>
      </c>
      <c r="M34" s="121">
        <f t="shared" si="9"/>
        <v>521.95991236540522</v>
      </c>
      <c r="N34" s="160"/>
      <c r="O34" s="30">
        <f>M28*O31</f>
        <v>3804.0953798733335</v>
      </c>
    </row>
    <row r="35" spans="1:15" ht="15.75" thickBot="1" x14ac:dyDescent="0.3">
      <c r="A35" s="109" t="s">
        <v>19</v>
      </c>
      <c r="B35" s="142">
        <f>SUM(B33:B34)</f>
        <v>0</v>
      </c>
      <c r="C35" s="159">
        <f t="shared" ref="C35:M35" si="10">SUM(C33:C34)</f>
        <v>-148.85494418522606</v>
      </c>
      <c r="D35" s="142">
        <f t="shared" si="10"/>
        <v>-380.44454217637747</v>
      </c>
      <c r="E35" s="162">
        <f t="shared" si="10"/>
        <v>-511.51559918701076</v>
      </c>
      <c r="F35" s="162">
        <f t="shared" si="10"/>
        <v>-664.61596419764408</v>
      </c>
      <c r="G35" s="162">
        <f t="shared" si="10"/>
        <v>-774.24468320827737</v>
      </c>
      <c r="H35" s="162">
        <f t="shared" si="10"/>
        <v>-782.60235345012291</v>
      </c>
      <c r="I35" s="162">
        <f t="shared" si="10"/>
        <v>-657.13569544196844</v>
      </c>
      <c r="J35" s="162">
        <f t="shared" si="10"/>
        <v>-376.79556368381401</v>
      </c>
      <c r="K35" s="162">
        <f t="shared" si="10"/>
        <v>46.063280181591153</v>
      </c>
      <c r="L35" s="162">
        <f t="shared" si="10"/>
        <v>581.70208404699633</v>
      </c>
      <c r="M35" s="143">
        <f t="shared" si="10"/>
        <v>1103.6619964124015</v>
      </c>
      <c r="N35" s="160"/>
      <c r="O35" s="10">
        <f>SUM(O33:O34)</f>
        <v>4907.7573762857355</v>
      </c>
    </row>
    <row r="36" spans="1:15" x14ac:dyDescent="0.25">
      <c r="A36" s="1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O36" s="29"/>
    </row>
    <row r="37" spans="1:15" x14ac:dyDescent="0.25">
      <c r="E37" s="12"/>
      <c r="F37" s="12"/>
      <c r="G37" s="12"/>
      <c r="H37" s="12"/>
      <c r="I37" s="12"/>
    </row>
    <row r="38" spans="1:15" x14ac:dyDescent="0.25">
      <c r="A38" s="11" t="s">
        <v>57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5" ht="45" x14ac:dyDescent="0.25">
      <c r="A39" s="13"/>
      <c r="B39" s="13" t="s">
        <v>72</v>
      </c>
      <c r="C39" s="13" t="s">
        <v>82</v>
      </c>
      <c r="D39" s="13" t="s">
        <v>92</v>
      </c>
      <c r="E39" s="12"/>
      <c r="F39" s="12"/>
      <c r="G39" s="12"/>
      <c r="H39" s="12"/>
      <c r="I39" s="12"/>
      <c r="J39" s="14"/>
      <c r="K39" s="14"/>
      <c r="L39" s="12"/>
    </row>
    <row r="40" spans="1:15" x14ac:dyDescent="0.25">
      <c r="A40" s="67" t="s">
        <v>58</v>
      </c>
      <c r="B40" s="68">
        <f>M28</f>
        <v>149180.21097542485</v>
      </c>
      <c r="C40" s="68"/>
      <c r="D40" s="68">
        <f>B40+C40</f>
        <v>149180.21097542485</v>
      </c>
      <c r="E40" s="12"/>
      <c r="F40" s="12"/>
      <c r="G40" s="12"/>
      <c r="H40" s="12"/>
      <c r="I40" s="12"/>
      <c r="J40" s="12"/>
      <c r="K40" s="12"/>
      <c r="L40" s="12"/>
    </row>
    <row r="41" spans="1:15" x14ac:dyDescent="0.25">
      <c r="A41" s="15" t="s">
        <v>59</v>
      </c>
      <c r="B41" s="72">
        <f>M35</f>
        <v>1103.6619964124015</v>
      </c>
      <c r="C41" s="72">
        <f>O34</f>
        <v>3804.0953798733335</v>
      </c>
      <c r="D41" s="72">
        <f t="shared" ref="D41:D42" si="11">B41+C41</f>
        <v>4907.7573762857355</v>
      </c>
      <c r="E41" s="12"/>
      <c r="F41" s="12"/>
      <c r="G41" s="12"/>
      <c r="H41" s="12"/>
      <c r="I41" s="12"/>
      <c r="J41" s="20"/>
      <c r="K41" s="20"/>
      <c r="L41" s="12"/>
    </row>
    <row r="42" spans="1:15" x14ac:dyDescent="0.25">
      <c r="A42" s="21" t="s">
        <v>20</v>
      </c>
      <c r="B42" s="69">
        <f>B41+B40</f>
        <v>150283.87297183726</v>
      </c>
      <c r="C42" s="69">
        <f t="shared" ref="C42" si="12">C41+C40</f>
        <v>3804.0953798733335</v>
      </c>
      <c r="D42" s="69">
        <f t="shared" si="11"/>
        <v>154087.96835171059</v>
      </c>
      <c r="E42" s="12"/>
      <c r="F42" s="12"/>
      <c r="G42" s="12"/>
      <c r="H42" s="12"/>
      <c r="I42" s="12"/>
      <c r="J42" s="12"/>
      <c r="K42" s="12"/>
      <c r="L42" s="12"/>
    </row>
    <row r="43" spans="1:1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5" spans="1:15" x14ac:dyDescent="0.25">
      <c r="A45" s="11" t="s">
        <v>144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5" ht="30" x14ac:dyDescent="0.25">
      <c r="A46" s="13"/>
      <c r="B46" s="13" t="s">
        <v>21</v>
      </c>
      <c r="C46" s="13" t="s">
        <v>22</v>
      </c>
      <c r="D46" s="13" t="s">
        <v>90</v>
      </c>
      <c r="E46" s="13" t="s">
        <v>91</v>
      </c>
      <c r="F46" s="13" t="s">
        <v>23</v>
      </c>
      <c r="G46" s="13" t="s">
        <v>24</v>
      </c>
      <c r="H46" s="13" t="s">
        <v>25</v>
      </c>
      <c r="I46" s="13" t="s">
        <v>26</v>
      </c>
      <c r="J46" s="14"/>
      <c r="K46" s="14"/>
      <c r="L46" s="14"/>
      <c r="M46" s="12"/>
    </row>
    <row r="47" spans="1:15" ht="16.5" x14ac:dyDescent="0.25">
      <c r="A47" s="15" t="s">
        <v>31</v>
      </c>
      <c r="B47" s="16" t="s">
        <v>33</v>
      </c>
      <c r="C47" s="17">
        <f>SUM(D47:I47)</f>
        <v>37770.752513926498</v>
      </c>
      <c r="D47" s="17">
        <f>Allocations!G17/1000</f>
        <v>19091.614000000001</v>
      </c>
      <c r="E47" s="17">
        <f>Allocations!H17/1000</f>
        <v>10841.757</v>
      </c>
      <c r="F47" s="17">
        <f>Allocations!I17/1000</f>
        <v>1254.453</v>
      </c>
      <c r="G47" s="17">
        <f>Allocations!J17/1000</f>
        <v>3586.45</v>
      </c>
      <c r="H47" s="17">
        <f>Allocations!K17/1000</f>
        <v>2180.8765139264988</v>
      </c>
      <c r="I47" s="17">
        <f>Allocations!L17/1000</f>
        <v>815.60199999999998</v>
      </c>
      <c r="J47" s="12"/>
      <c r="K47" s="12"/>
      <c r="L47" s="12"/>
      <c r="M47" s="12"/>
    </row>
    <row r="48" spans="1:15" x14ac:dyDescent="0.25">
      <c r="A48" s="15" t="s">
        <v>29</v>
      </c>
      <c r="B48" s="18" t="s">
        <v>27</v>
      </c>
      <c r="C48" s="19">
        <f>SUM(D48:I48)</f>
        <v>1.0000000000000002</v>
      </c>
      <c r="D48" s="19">
        <f>D47/$C$47</f>
        <v>0.5054602497782037</v>
      </c>
      <c r="E48" s="19">
        <f t="shared" ref="E48:I48" si="13">E47/$C$47</f>
        <v>0.28704106427327658</v>
      </c>
      <c r="F48" s="19">
        <f t="shared" si="13"/>
        <v>3.3212285075270055E-2</v>
      </c>
      <c r="G48" s="19">
        <f t="shared" si="13"/>
        <v>9.4953098926944479E-2</v>
      </c>
      <c r="H48" s="19">
        <f t="shared" si="13"/>
        <v>5.7739821654926922E-2</v>
      </c>
      <c r="I48" s="19">
        <f t="shared" si="13"/>
        <v>2.1593480291378319E-2</v>
      </c>
      <c r="J48" s="20"/>
      <c r="K48" s="20"/>
      <c r="L48" s="20"/>
      <c r="M48" s="12"/>
    </row>
    <row r="49" spans="1:13" x14ac:dyDescent="0.25">
      <c r="A49" s="21" t="s">
        <v>20</v>
      </c>
      <c r="B49" s="22" t="s">
        <v>28</v>
      </c>
      <c r="C49" s="23">
        <f>SUM(D49:I49)</f>
        <v>154087.96835171059</v>
      </c>
      <c r="D49" s="23">
        <f>D48*($O$35+$M$28)</f>
        <v>77885.342970871585</v>
      </c>
      <c r="E49" s="23">
        <f t="shared" ref="E49:I49" si="14">E48*($O$35+$M$28)</f>
        <v>44229.574427381966</v>
      </c>
      <c r="F49" s="23">
        <f t="shared" si="14"/>
        <v>5117.6135315662023</v>
      </c>
      <c r="G49" s="23">
        <f t="shared" si="14"/>
        <v>14631.130102351866</v>
      </c>
      <c r="H49" s="23">
        <f t="shared" si="14"/>
        <v>8897.0118117977927</v>
      </c>
      <c r="I49" s="23">
        <f t="shared" si="14"/>
        <v>3327.2955077411889</v>
      </c>
      <c r="J49" s="12"/>
      <c r="K49" s="12"/>
      <c r="L49" s="12"/>
      <c r="M49" s="12"/>
    </row>
    <row r="50" spans="1:13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2" spans="1:13" x14ac:dyDescent="0.25">
      <c r="A52" s="11" t="s">
        <v>93</v>
      </c>
      <c r="B52" s="12"/>
      <c r="C52" s="12"/>
      <c r="D52" s="12"/>
      <c r="E52" s="12"/>
      <c r="F52" s="12"/>
      <c r="G52" s="12"/>
      <c r="H52" s="12"/>
      <c r="I52" s="12"/>
    </row>
    <row r="53" spans="1:13" ht="30" x14ac:dyDescent="0.25">
      <c r="A53" s="13"/>
      <c r="B53" s="13" t="s">
        <v>21</v>
      </c>
      <c r="C53" s="13" t="s">
        <v>22</v>
      </c>
      <c r="D53" s="13" t="s">
        <v>90</v>
      </c>
      <c r="E53" s="13" t="s">
        <v>91</v>
      </c>
      <c r="F53" s="13" t="s">
        <v>23</v>
      </c>
      <c r="G53" s="13" t="s">
        <v>24</v>
      </c>
      <c r="H53" s="13" t="s">
        <v>25</v>
      </c>
      <c r="I53" s="13" t="s">
        <v>26</v>
      </c>
    </row>
    <row r="54" spans="1:13" ht="16.5" x14ac:dyDescent="0.25">
      <c r="A54" s="15" t="s">
        <v>31</v>
      </c>
      <c r="B54" s="16" t="s">
        <v>33</v>
      </c>
      <c r="C54" s="17">
        <f>SUM(D54:I54)</f>
        <v>37895.301428237697</v>
      </c>
      <c r="D54" s="17">
        <f>Allocations!G7/1000</f>
        <v>18913.116381830874</v>
      </c>
      <c r="E54" s="17">
        <f>Allocations!H7/1000</f>
        <v>11145.96345194545</v>
      </c>
      <c r="F54" s="17">
        <f>Allocations!I7/1000</f>
        <v>1254.453</v>
      </c>
      <c r="G54" s="17">
        <f>Allocations!J7/1000</f>
        <v>3585.29008053487</v>
      </c>
      <c r="H54" s="17">
        <f>Allocations!K7/1000</f>
        <v>2180.8765139264988</v>
      </c>
      <c r="I54" s="17">
        <f>Allocations!L7/1000</f>
        <v>815.60199999999998</v>
      </c>
    </row>
    <row r="55" spans="1:13" x14ac:dyDescent="0.25">
      <c r="A55" s="15" t="s">
        <v>29</v>
      </c>
      <c r="B55" s="18" t="s">
        <v>27</v>
      </c>
      <c r="C55" s="19">
        <f>SUM(D55:I55)</f>
        <v>1.0000000000000002</v>
      </c>
      <c r="D55" s="24">
        <f t="shared" ref="D55" si="15">D48</f>
        <v>0.5054602497782037</v>
      </c>
      <c r="E55" s="24">
        <f t="shared" ref="E55:I55" si="16">E48</f>
        <v>0.28704106427327658</v>
      </c>
      <c r="F55" s="24">
        <f t="shared" si="16"/>
        <v>3.3212285075270055E-2</v>
      </c>
      <c r="G55" s="24">
        <f t="shared" si="16"/>
        <v>9.4953098926944479E-2</v>
      </c>
      <c r="H55" s="24">
        <f t="shared" si="16"/>
        <v>5.7739821654926922E-2</v>
      </c>
      <c r="I55" s="24">
        <f t="shared" si="16"/>
        <v>2.1593480291378319E-2</v>
      </c>
    </row>
    <row r="56" spans="1:13" x14ac:dyDescent="0.25">
      <c r="A56" s="25" t="s">
        <v>20</v>
      </c>
      <c r="B56" s="26" t="s">
        <v>28</v>
      </c>
      <c r="C56" s="73">
        <f>SUM(D56:I56)</f>
        <v>154087.96835171059</v>
      </c>
      <c r="D56" s="27">
        <f>D54*D57*10</f>
        <v>77885.34297087157</v>
      </c>
      <c r="E56" s="27">
        <f t="shared" ref="E56:I56" si="17">E54*E57*10</f>
        <v>44229.574427381966</v>
      </c>
      <c r="F56" s="27">
        <f t="shared" si="17"/>
        <v>5117.6135315662023</v>
      </c>
      <c r="G56" s="27">
        <f t="shared" si="17"/>
        <v>14631.130102351868</v>
      </c>
      <c r="H56" s="27">
        <f t="shared" si="17"/>
        <v>8897.0118117977927</v>
      </c>
      <c r="I56" s="27">
        <f t="shared" si="17"/>
        <v>3327.2955077411893</v>
      </c>
    </row>
    <row r="57" spans="1:13" ht="17.25" x14ac:dyDescent="0.25">
      <c r="A57" s="21" t="s">
        <v>30</v>
      </c>
      <c r="B57" s="22" t="s">
        <v>34</v>
      </c>
      <c r="C57" s="28"/>
      <c r="D57" s="28">
        <f>D49/D54/10</f>
        <v>0.41180597315888734</v>
      </c>
      <c r="E57" s="28">
        <f t="shared" ref="E57:I57" si="18">E49/E54/10</f>
        <v>0.39682145575008143</v>
      </c>
      <c r="F57" s="28">
        <f t="shared" si="18"/>
        <v>0.40795578085159051</v>
      </c>
      <c r="G57" s="28">
        <f t="shared" si="18"/>
        <v>0.40808776343612141</v>
      </c>
      <c r="H57" s="28">
        <f t="shared" si="18"/>
        <v>0.40795578085159045</v>
      </c>
      <c r="I57" s="28">
        <f t="shared" si="18"/>
        <v>0.40795578085159051</v>
      </c>
    </row>
  </sheetData>
  <sheetProtection sheet="1" objects="1" scenarios="1"/>
  <mergeCells count="2">
    <mergeCell ref="B4:C4"/>
    <mergeCell ref="D4:M4"/>
  </mergeCells>
  <pageMargins left="0.70866141732283505" right="0.70866141732283505" top="0.74803149606299202" bottom="0.74803149606299202" header="0.31496062992126" footer="0.31496062992126"/>
  <pageSetup scale="59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54"/>
  <sheetViews>
    <sheetView showGridLines="0" zoomScale="90" zoomScaleNormal="90" zoomScaleSheetLayoutView="80" workbookViewId="0">
      <pane xSplit="1" ySplit="6" topLeftCell="B7" activePane="bottomRight" state="frozen"/>
      <selection activeCell="R31" sqref="R31"/>
      <selection pane="topRight" activeCell="R31" sqref="R31"/>
      <selection pane="bottomLeft" activeCell="R31" sqref="R31"/>
      <selection pane="bottomRight" activeCell="M37" sqref="M37"/>
    </sheetView>
  </sheetViews>
  <sheetFormatPr defaultColWidth="9.140625" defaultRowHeight="14.25" x14ac:dyDescent="0.2"/>
  <cols>
    <col min="1" max="1" width="50.42578125" style="40" customWidth="1"/>
    <col min="2" max="7" width="12.5703125" style="40" bestFit="1" customWidth="1"/>
    <col min="8" max="8" width="12" style="40" bestFit="1" customWidth="1"/>
    <col min="9" max="13" width="12.5703125" style="40" bestFit="1" customWidth="1"/>
    <col min="14" max="14" width="2" style="40" customWidth="1"/>
    <col min="15" max="15" width="13.7109375" style="40" bestFit="1" customWidth="1"/>
    <col min="16" max="19" width="11.7109375" style="40" customWidth="1"/>
    <col min="20" max="20" width="10.7109375" style="40" customWidth="1"/>
    <col min="21" max="22" width="10" style="40" customWidth="1"/>
    <col min="23" max="26" width="11.7109375" style="40" customWidth="1"/>
    <col min="27" max="27" width="11.7109375" style="40" customWidth="1" collapsed="1"/>
    <col min="28" max="31" width="11.7109375" style="40" customWidth="1"/>
    <col min="32" max="32" width="11" style="40" customWidth="1"/>
    <col min="33" max="33" width="10.7109375" style="40" customWidth="1"/>
    <col min="34" max="34" width="10" style="40" customWidth="1"/>
    <col min="35" max="38" width="11.7109375" style="40" customWidth="1"/>
    <col min="39" max="43" width="11.7109375" style="40" bestFit="1" customWidth="1"/>
    <col min="44" max="44" width="10" style="40" bestFit="1" customWidth="1"/>
    <col min="45" max="45" width="10.7109375" style="40" bestFit="1" customWidth="1"/>
    <col min="46" max="49" width="11.7109375" style="40" bestFit="1" customWidth="1"/>
    <col min="50" max="50" width="12.140625" style="40" bestFit="1" customWidth="1"/>
    <col min="51" max="51" width="10" style="40" bestFit="1" customWidth="1"/>
    <col min="52" max="52" width="9.28515625" style="40" bestFit="1" customWidth="1"/>
    <col min="53" max="16384" width="9.140625" style="40"/>
  </cols>
  <sheetData>
    <row r="1" spans="1:16" ht="15" x14ac:dyDescent="0.25">
      <c r="A1" s="1" t="str">
        <f>PGTVA!A1</f>
        <v>EPCOR Natural Gas Limited Partnership</v>
      </c>
    </row>
    <row r="2" spans="1:16" ht="15" x14ac:dyDescent="0.25">
      <c r="A2" s="1" t="str">
        <f>PGTVA!A2</f>
        <v>EB-2026-0148</v>
      </c>
    </row>
    <row r="3" spans="1:16" ht="15" x14ac:dyDescent="0.25">
      <c r="A3" s="1" t="s">
        <v>64</v>
      </c>
    </row>
    <row r="4" spans="1:16" ht="15" x14ac:dyDescent="0.25">
      <c r="A4" s="1" t="str">
        <f>PGTVA!A4</f>
        <v>Continuity Schedule</v>
      </c>
    </row>
    <row r="5" spans="1:16" ht="15" x14ac:dyDescent="0.25">
      <c r="A5" s="43"/>
      <c r="B5" s="2">
        <v>2025</v>
      </c>
      <c r="C5" s="2">
        <v>2025</v>
      </c>
      <c r="D5" s="2">
        <v>2025</v>
      </c>
      <c r="E5" s="2">
        <v>2025</v>
      </c>
      <c r="F5" s="2">
        <v>2025</v>
      </c>
      <c r="G5" s="2">
        <v>2025</v>
      </c>
      <c r="H5" s="2">
        <v>2025</v>
      </c>
      <c r="I5" s="2">
        <v>2025</v>
      </c>
      <c r="J5" s="2">
        <v>2025</v>
      </c>
      <c r="K5" s="2">
        <v>2025</v>
      </c>
      <c r="L5" s="2">
        <v>2025</v>
      </c>
      <c r="M5" s="2">
        <v>2025</v>
      </c>
      <c r="N5" s="181"/>
      <c r="O5" s="2">
        <v>2026</v>
      </c>
    </row>
    <row r="6" spans="1:16" ht="15" x14ac:dyDescent="0.25">
      <c r="A6" s="44"/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182"/>
      <c r="O6" s="3" t="s">
        <v>45</v>
      </c>
    </row>
    <row r="7" spans="1:16" ht="15" x14ac:dyDescent="0.25">
      <c r="A7" s="49" t="s">
        <v>46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6" x14ac:dyDescent="0.2">
      <c r="A8" s="97" t="s">
        <v>113</v>
      </c>
      <c r="B8" s="45">
        <v>3678987.9</v>
      </c>
      <c r="C8" s="45">
        <v>3047185.6</v>
      </c>
      <c r="D8" s="45">
        <v>2129400.7000000002</v>
      </c>
      <c r="E8" s="45">
        <v>1048913.8999999999</v>
      </c>
      <c r="F8" s="45">
        <v>382912.6</v>
      </c>
      <c r="G8" s="45">
        <v>113118.7</v>
      </c>
      <c r="H8" s="45">
        <v>209191.9</v>
      </c>
      <c r="I8" s="45">
        <v>478676.4</v>
      </c>
      <c r="J8" s="45">
        <v>535334</v>
      </c>
      <c r="K8" s="45">
        <v>1419601.7</v>
      </c>
      <c r="L8" s="45">
        <v>3040086.4</v>
      </c>
      <c r="M8" s="45">
        <v>3393951.8</v>
      </c>
      <c r="N8" s="45"/>
      <c r="O8" s="44"/>
    </row>
    <row r="9" spans="1:16" x14ac:dyDescent="0.2">
      <c r="A9" s="97" t="s">
        <v>114</v>
      </c>
      <c r="B9" s="45">
        <v>865454.9</v>
      </c>
      <c r="C9" s="45">
        <v>713050.8</v>
      </c>
      <c r="D9" s="45">
        <v>549168.1</v>
      </c>
      <c r="E9" s="45">
        <v>531516</v>
      </c>
      <c r="F9" s="45">
        <v>455197.8</v>
      </c>
      <c r="G9" s="45">
        <v>352638</v>
      </c>
      <c r="H9" s="45">
        <v>114281.5</v>
      </c>
      <c r="I9" s="45">
        <v>106925.2</v>
      </c>
      <c r="J9" s="45">
        <v>264600</v>
      </c>
      <c r="K9" s="45">
        <v>517990.40000000002</v>
      </c>
      <c r="L9" s="45">
        <v>1522776</v>
      </c>
      <c r="M9" s="45">
        <v>909223.8</v>
      </c>
      <c r="N9" s="45"/>
      <c r="O9" s="44"/>
    </row>
    <row r="10" spans="1:16" x14ac:dyDescent="0.2">
      <c r="A10" s="97" t="s">
        <v>115</v>
      </c>
      <c r="B10" s="45">
        <v>1104023.2</v>
      </c>
      <c r="C10" s="45">
        <v>920359.13</v>
      </c>
      <c r="D10" s="45">
        <v>687112.01</v>
      </c>
      <c r="E10" s="45">
        <v>577949.97</v>
      </c>
      <c r="F10" s="45">
        <v>188251.42</v>
      </c>
      <c r="G10" s="45">
        <v>0</v>
      </c>
      <c r="H10" s="45">
        <v>0</v>
      </c>
      <c r="I10" s="45">
        <v>0</v>
      </c>
      <c r="J10" s="45">
        <v>0</v>
      </c>
      <c r="K10" s="45">
        <v>372255.28</v>
      </c>
      <c r="L10" s="45">
        <v>1138343.3999999999</v>
      </c>
      <c r="M10" s="45">
        <v>1073355.8899999999</v>
      </c>
      <c r="N10" s="45"/>
      <c r="O10" s="44"/>
    </row>
    <row r="11" spans="1:16" x14ac:dyDescent="0.2">
      <c r="A11" s="97" t="s">
        <v>116</v>
      </c>
      <c r="B11" s="45">
        <v>50121.528200000001</v>
      </c>
      <c r="C11" s="45">
        <v>49163.61</v>
      </c>
      <c r="D11" s="45">
        <v>53586.928999999996</v>
      </c>
      <c r="E11" s="45">
        <v>56798.763800000001</v>
      </c>
      <c r="F11" s="45">
        <v>44092.294399999999</v>
      </c>
      <c r="G11" s="45">
        <v>43838.7284</v>
      </c>
      <c r="H11" s="45">
        <v>58291.985000000001</v>
      </c>
      <c r="I11" s="45">
        <v>55756.326200000003</v>
      </c>
      <c r="J11" s="45">
        <v>46064.47</v>
      </c>
      <c r="K11" s="45">
        <v>54770.236599999997</v>
      </c>
      <c r="L11" s="45">
        <v>59278.074999999997</v>
      </c>
      <c r="M11" s="45">
        <v>55474.586300000003</v>
      </c>
      <c r="N11" s="45"/>
      <c r="O11" s="44"/>
    </row>
    <row r="12" spans="1:16" x14ac:dyDescent="0.2">
      <c r="A12" s="97" t="s">
        <v>117</v>
      </c>
      <c r="B12" s="45">
        <v>335242.30700999999</v>
      </c>
      <c r="C12" s="45">
        <v>295122.55</v>
      </c>
      <c r="D12" s="45">
        <v>396858.82</v>
      </c>
      <c r="E12" s="45">
        <v>376714.42028999998</v>
      </c>
      <c r="F12" s="45">
        <v>372431.97381</v>
      </c>
      <c r="G12" s="45">
        <v>269061.60450000002</v>
      </c>
      <c r="H12" s="45">
        <v>334228.04337000003</v>
      </c>
      <c r="I12" s="45">
        <v>362627.42528999998</v>
      </c>
      <c r="J12" s="45">
        <v>409227.2</v>
      </c>
      <c r="K12" s="45">
        <v>425483.59697999997</v>
      </c>
      <c r="L12" s="45">
        <v>410945.81813999987</v>
      </c>
      <c r="M12" s="45">
        <v>382236.52</v>
      </c>
      <c r="N12" s="45"/>
      <c r="O12" s="44"/>
    </row>
    <row r="13" spans="1:16" x14ac:dyDescent="0.2">
      <c r="A13" s="97" t="s">
        <v>118</v>
      </c>
      <c r="B13" s="46">
        <v>242277.42</v>
      </c>
      <c r="C13" s="46">
        <v>211881.95</v>
      </c>
      <c r="D13" s="46">
        <v>193727.92</v>
      </c>
      <c r="E13" s="46">
        <v>246258.79</v>
      </c>
      <c r="F13" s="46">
        <v>273188.26</v>
      </c>
      <c r="G13" s="46">
        <v>191663.61</v>
      </c>
      <c r="H13" s="46">
        <v>12686.02</v>
      </c>
      <c r="I13" s="46">
        <v>1577.26</v>
      </c>
      <c r="J13" s="46">
        <v>3344.24</v>
      </c>
      <c r="K13" s="46">
        <v>82119.3</v>
      </c>
      <c r="L13" s="46">
        <v>134619.01999999999</v>
      </c>
      <c r="M13" s="46">
        <v>270093.21000000002</v>
      </c>
      <c r="N13" s="45"/>
      <c r="O13" s="44"/>
    </row>
    <row r="14" spans="1:16" ht="15" x14ac:dyDescent="0.25">
      <c r="A14" s="97" t="s">
        <v>74</v>
      </c>
      <c r="B14" s="45">
        <f t="shared" ref="B14:M14" si="0">SUM(B8:B13)</f>
        <v>6276107.2552099992</v>
      </c>
      <c r="C14" s="45">
        <f t="shared" si="0"/>
        <v>5236763.6400000006</v>
      </c>
      <c r="D14" s="45">
        <f t="shared" si="0"/>
        <v>4009854.4790000003</v>
      </c>
      <c r="E14" s="45">
        <f t="shared" si="0"/>
        <v>2838151.8440899998</v>
      </c>
      <c r="F14" s="45">
        <f t="shared" si="0"/>
        <v>1716074.3482099997</v>
      </c>
      <c r="G14" s="45">
        <f t="shared" si="0"/>
        <v>970320.64289999998</v>
      </c>
      <c r="H14" s="45">
        <f t="shared" si="0"/>
        <v>728679.44837000011</v>
      </c>
      <c r="I14" s="45">
        <f t="shared" si="0"/>
        <v>1005562.61149</v>
      </c>
      <c r="J14" s="45">
        <f t="shared" si="0"/>
        <v>1258569.9099999999</v>
      </c>
      <c r="K14" s="45">
        <f t="shared" si="0"/>
        <v>2872220.5135799996</v>
      </c>
      <c r="L14" s="45">
        <f t="shared" si="0"/>
        <v>6306048.7131400006</v>
      </c>
      <c r="M14" s="45">
        <f t="shared" si="0"/>
        <v>6084335.8062999984</v>
      </c>
      <c r="N14" s="45"/>
      <c r="O14" s="44"/>
      <c r="P14" s="41"/>
    </row>
    <row r="15" spans="1:16" ht="8.25" customHeight="1" x14ac:dyDescent="0.2">
      <c r="A15" s="83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4"/>
    </row>
    <row r="16" spans="1:16" ht="15" x14ac:dyDescent="0.25">
      <c r="A16" s="83" t="s">
        <v>75</v>
      </c>
      <c r="B16" s="45">
        <v>5199708</v>
      </c>
      <c r="C16" s="45">
        <v>5227361</v>
      </c>
      <c r="D16" s="45">
        <v>4633199</v>
      </c>
      <c r="E16" s="45">
        <v>2659846.3432480982</v>
      </c>
      <c r="F16" s="45">
        <v>2122346.982008216</v>
      </c>
      <c r="G16" s="45">
        <v>1130909.8264512087</v>
      </c>
      <c r="H16" s="45">
        <v>767214.63890577259</v>
      </c>
      <c r="I16" s="45">
        <v>953507.82561488752</v>
      </c>
      <c r="J16" s="45">
        <v>1333653.8976983153</v>
      </c>
      <c r="K16" s="45">
        <v>2529593</v>
      </c>
      <c r="L16" s="45">
        <v>5552296</v>
      </c>
      <c r="M16" s="45">
        <v>5661116</v>
      </c>
      <c r="N16" s="45"/>
      <c r="O16" s="233">
        <f>SUM(B16:M16)</f>
        <v>37770752.513926499</v>
      </c>
      <c r="P16" s="41"/>
    </row>
    <row r="17" spans="1:15" ht="15" x14ac:dyDescent="0.25">
      <c r="A17" s="83" t="s">
        <v>76</v>
      </c>
      <c r="B17" s="47">
        <f t="shared" ref="B17:M17" si="1">B14-B16</f>
        <v>1076399.2552099992</v>
      </c>
      <c r="C17" s="47">
        <f t="shared" si="1"/>
        <v>9402.640000000596</v>
      </c>
      <c r="D17" s="47">
        <f t="shared" si="1"/>
        <v>-623344.52099999972</v>
      </c>
      <c r="E17" s="47">
        <f t="shared" si="1"/>
        <v>178305.50084190164</v>
      </c>
      <c r="F17" s="47">
        <f t="shared" si="1"/>
        <v>-406272.63379821624</v>
      </c>
      <c r="G17" s="47">
        <f t="shared" si="1"/>
        <v>-160589.1835512087</v>
      </c>
      <c r="H17" s="47">
        <f t="shared" si="1"/>
        <v>-38535.190535772475</v>
      </c>
      <c r="I17" s="47">
        <f t="shared" si="1"/>
        <v>52054.785875112517</v>
      </c>
      <c r="J17" s="47">
        <f t="shared" si="1"/>
        <v>-75083.98769831541</v>
      </c>
      <c r="K17" s="47">
        <f t="shared" si="1"/>
        <v>342627.51357999956</v>
      </c>
      <c r="L17" s="47">
        <f t="shared" si="1"/>
        <v>753752.71314000059</v>
      </c>
      <c r="M17" s="47">
        <f t="shared" si="1"/>
        <v>423219.80629999842</v>
      </c>
      <c r="N17" s="45"/>
      <c r="O17" s="233">
        <f>SUM(B17:M17)</f>
        <v>1531936.6983634999</v>
      </c>
    </row>
    <row r="18" spans="1:15" x14ac:dyDescent="0.2">
      <c r="A18" s="83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234">
        <f>O17/O16</f>
        <v>4.0558807977115564E-2</v>
      </c>
    </row>
    <row r="19" spans="1:15" ht="15" x14ac:dyDescent="0.25">
      <c r="A19" s="83" t="s">
        <v>77</v>
      </c>
      <c r="B19" s="187">
        <v>0.14018700000000001</v>
      </c>
      <c r="C19" s="187">
        <v>0.14018700000000001</v>
      </c>
      <c r="D19" s="187">
        <v>0.14018700000000001</v>
      </c>
      <c r="E19" s="187">
        <v>0.202733</v>
      </c>
      <c r="F19" s="187">
        <v>0.202733</v>
      </c>
      <c r="G19" s="187">
        <v>0.202733</v>
      </c>
      <c r="H19" s="187">
        <v>0.18423999999999999</v>
      </c>
      <c r="I19" s="187">
        <v>0.18423999999999999</v>
      </c>
      <c r="J19" s="187">
        <v>0.18423999999999999</v>
      </c>
      <c r="K19" s="187">
        <v>0.16675499999999999</v>
      </c>
      <c r="L19" s="187">
        <v>0.16675499999999999</v>
      </c>
      <c r="M19" s="187">
        <v>0.16675499999999999</v>
      </c>
      <c r="N19" s="48"/>
      <c r="O19" s="44"/>
    </row>
    <row r="20" spans="1:15" ht="15" x14ac:dyDescent="0.25">
      <c r="A20" s="83" t="s">
        <v>78</v>
      </c>
      <c r="B20" s="47">
        <f t="shared" ref="B20:M20" si="2">B17*B19</f>
        <v>150897.18239012416</v>
      </c>
      <c r="C20" s="47">
        <f t="shared" si="2"/>
        <v>1318.1278936800836</v>
      </c>
      <c r="D20" s="47">
        <f t="shared" si="2"/>
        <v>-87384.798365426963</v>
      </c>
      <c r="E20" s="47">
        <f t="shared" si="2"/>
        <v>36148.409102181242</v>
      </c>
      <c r="F20" s="47">
        <f t="shared" si="2"/>
        <v>-82364.869867813773</v>
      </c>
      <c r="G20" s="47">
        <f t="shared" si="2"/>
        <v>-32556.726948887193</v>
      </c>
      <c r="H20" s="47">
        <f t="shared" si="2"/>
        <v>-7099.7235043107203</v>
      </c>
      <c r="I20" s="47">
        <f t="shared" si="2"/>
        <v>9590.5737496307302</v>
      </c>
      <c r="J20" s="47">
        <f t="shared" si="2"/>
        <v>-13833.47389353763</v>
      </c>
      <c r="K20" s="47">
        <f t="shared" si="2"/>
        <v>57134.851027032819</v>
      </c>
      <c r="L20" s="47">
        <f t="shared" si="2"/>
        <v>125692.03367966079</v>
      </c>
      <c r="M20" s="47">
        <f t="shared" si="2"/>
        <v>70574.01879955623</v>
      </c>
      <c r="N20" s="45"/>
      <c r="O20" s="44"/>
    </row>
    <row r="21" spans="1:15" x14ac:dyDescent="0.2">
      <c r="A21" s="83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4"/>
    </row>
    <row r="22" spans="1:15" x14ac:dyDescent="0.2">
      <c r="A22" s="83" t="s">
        <v>47</v>
      </c>
      <c r="B22" s="90">
        <v>0</v>
      </c>
      <c r="C22" s="90">
        <f t="shared" ref="C22:M22" si="3">B24</f>
        <v>150897.18239012416</v>
      </c>
      <c r="D22" s="90">
        <f t="shared" si="3"/>
        <v>152215.31028380425</v>
      </c>
      <c r="E22" s="90">
        <f t="shared" si="3"/>
        <v>64830.511918377291</v>
      </c>
      <c r="F22" s="90">
        <f t="shared" si="3"/>
        <v>100978.92102055854</v>
      </c>
      <c r="G22" s="90">
        <f t="shared" si="3"/>
        <v>18614.051152744767</v>
      </c>
      <c r="H22" s="90">
        <f t="shared" si="3"/>
        <v>-13942.675796142426</v>
      </c>
      <c r="I22" s="90">
        <f t="shared" si="3"/>
        <v>-21042.399300453148</v>
      </c>
      <c r="J22" s="90">
        <f t="shared" si="3"/>
        <v>-11451.825550822417</v>
      </c>
      <c r="K22" s="90">
        <f t="shared" si="3"/>
        <v>-25285.299444360047</v>
      </c>
      <c r="L22" s="90">
        <f t="shared" si="3"/>
        <v>31849.551582672771</v>
      </c>
      <c r="M22" s="90">
        <f t="shared" si="3"/>
        <v>157541.58526233357</v>
      </c>
      <c r="N22" s="90"/>
      <c r="O22" s="44"/>
    </row>
    <row r="23" spans="1:15" ht="15" x14ac:dyDescent="0.25">
      <c r="A23" s="83" t="s">
        <v>79</v>
      </c>
      <c r="B23" s="90">
        <f t="shared" ref="B23:M23" si="4">B20</f>
        <v>150897.18239012416</v>
      </c>
      <c r="C23" s="90">
        <f t="shared" si="4"/>
        <v>1318.1278936800836</v>
      </c>
      <c r="D23" s="90">
        <f t="shared" si="4"/>
        <v>-87384.798365426963</v>
      </c>
      <c r="E23" s="90">
        <f t="shared" si="4"/>
        <v>36148.409102181242</v>
      </c>
      <c r="F23" s="90">
        <f t="shared" si="4"/>
        <v>-82364.869867813773</v>
      </c>
      <c r="G23" s="90">
        <f t="shared" si="4"/>
        <v>-32556.726948887193</v>
      </c>
      <c r="H23" s="90">
        <f t="shared" si="4"/>
        <v>-7099.7235043107203</v>
      </c>
      <c r="I23" s="90">
        <f t="shared" si="4"/>
        <v>9590.5737496307302</v>
      </c>
      <c r="J23" s="90">
        <f t="shared" si="4"/>
        <v>-13833.47389353763</v>
      </c>
      <c r="K23" s="90">
        <f t="shared" si="4"/>
        <v>57134.851027032819</v>
      </c>
      <c r="L23" s="90">
        <f t="shared" si="4"/>
        <v>125692.03367966079</v>
      </c>
      <c r="M23" s="90">
        <f t="shared" si="4"/>
        <v>70574.01879955623</v>
      </c>
      <c r="N23" s="90"/>
      <c r="O23" s="44"/>
    </row>
    <row r="24" spans="1:15" ht="15" x14ac:dyDescent="0.25">
      <c r="A24" s="83" t="s">
        <v>48</v>
      </c>
      <c r="B24" s="91">
        <f t="shared" ref="B24:M24" si="5">B22+B23</f>
        <v>150897.18239012416</v>
      </c>
      <c r="C24" s="91">
        <f t="shared" si="5"/>
        <v>152215.31028380425</v>
      </c>
      <c r="D24" s="91">
        <f t="shared" si="5"/>
        <v>64830.511918377291</v>
      </c>
      <c r="E24" s="91">
        <f t="shared" si="5"/>
        <v>100978.92102055854</v>
      </c>
      <c r="F24" s="91">
        <f t="shared" si="5"/>
        <v>18614.051152744767</v>
      </c>
      <c r="G24" s="91">
        <f t="shared" si="5"/>
        <v>-13942.675796142426</v>
      </c>
      <c r="H24" s="91">
        <f t="shared" si="5"/>
        <v>-21042.399300453148</v>
      </c>
      <c r="I24" s="91">
        <f t="shared" si="5"/>
        <v>-11451.825550822417</v>
      </c>
      <c r="J24" s="91">
        <f t="shared" si="5"/>
        <v>-25285.299444360047</v>
      </c>
      <c r="K24" s="91">
        <f t="shared" si="5"/>
        <v>31849.551582672771</v>
      </c>
      <c r="L24" s="91">
        <f t="shared" si="5"/>
        <v>157541.58526233357</v>
      </c>
      <c r="M24" s="92">
        <f t="shared" si="5"/>
        <v>228115.60406188981</v>
      </c>
      <c r="N24" s="180"/>
      <c r="O24" s="44"/>
    </row>
    <row r="25" spans="1:15" x14ac:dyDescent="0.2">
      <c r="A25" s="83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4"/>
    </row>
    <row r="26" spans="1:15" ht="15" x14ac:dyDescent="0.25">
      <c r="A26" s="49" t="s">
        <v>49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4"/>
    </row>
    <row r="27" spans="1:15" x14ac:dyDescent="0.2">
      <c r="A27" s="98" t="s">
        <v>16</v>
      </c>
      <c r="B27" s="93">
        <f>PGTVA!B31</f>
        <v>3.6400000000000002E-2</v>
      </c>
      <c r="C27" s="93">
        <f>PGTVA!C31</f>
        <v>3.6400000000000002E-2</v>
      </c>
      <c r="D27" s="93">
        <f>PGTVA!D31</f>
        <v>3.6400000000000002E-2</v>
      </c>
      <c r="E27" s="93">
        <f>PGTVA!E31</f>
        <v>3.1600000000000003E-2</v>
      </c>
      <c r="F27" s="93">
        <f>PGTVA!F31</f>
        <v>3.1600000000000003E-2</v>
      </c>
      <c r="G27" s="93">
        <f>PGTVA!G31</f>
        <v>3.1600000000000003E-2</v>
      </c>
      <c r="H27" s="93">
        <f>PGTVA!H31</f>
        <v>2.9100000000000001E-2</v>
      </c>
      <c r="I27" s="93">
        <f>PGTVA!I31</f>
        <v>2.9100000000000001E-2</v>
      </c>
      <c r="J27" s="93">
        <f>PGTVA!J31</f>
        <v>2.9100000000000001E-2</v>
      </c>
      <c r="K27" s="93">
        <f>PGTVA!K31</f>
        <v>2.9100000000000001E-2</v>
      </c>
      <c r="L27" s="93">
        <f>PGTVA!L31</f>
        <v>2.9100000000000001E-2</v>
      </c>
      <c r="M27" s="93">
        <f>PGTVA!M31</f>
        <v>2.9100000000000001E-2</v>
      </c>
      <c r="N27" s="93"/>
      <c r="O27" s="93">
        <f>PGTVA!O31</f>
        <v>2.5499999999999998E-2</v>
      </c>
    </row>
    <row r="28" spans="1:15" x14ac:dyDescent="0.2">
      <c r="A28" s="9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50"/>
    </row>
    <row r="29" spans="1:15" x14ac:dyDescent="0.2">
      <c r="A29" s="98" t="s">
        <v>17</v>
      </c>
      <c r="B29" s="90">
        <v>0</v>
      </c>
      <c r="C29" s="90">
        <f t="shared" ref="C29:M29" si="6">B31</f>
        <v>0</v>
      </c>
      <c r="D29" s="90">
        <f t="shared" si="6"/>
        <v>457.72145325004334</v>
      </c>
      <c r="E29" s="90">
        <f t="shared" si="6"/>
        <v>919.44122777758298</v>
      </c>
      <c r="F29" s="90">
        <f t="shared" si="6"/>
        <v>1090.1615758293099</v>
      </c>
      <c r="G29" s="90">
        <f t="shared" si="6"/>
        <v>1356.0727345167807</v>
      </c>
      <c r="H29" s="90">
        <f t="shared" si="6"/>
        <v>1405.0897358856753</v>
      </c>
      <c r="I29" s="90">
        <f t="shared" si="6"/>
        <v>1371.2787470800299</v>
      </c>
      <c r="J29" s="90">
        <f t="shared" si="6"/>
        <v>1320.250928776431</v>
      </c>
      <c r="K29" s="90">
        <f t="shared" si="6"/>
        <v>1292.4802518156866</v>
      </c>
      <c r="L29" s="90">
        <f t="shared" si="6"/>
        <v>1231.1634006631136</v>
      </c>
      <c r="M29" s="90">
        <f t="shared" si="6"/>
        <v>1308.3985632510951</v>
      </c>
      <c r="N29" s="90"/>
      <c r="O29" s="90">
        <f>M31</f>
        <v>1690.436907512254</v>
      </c>
    </row>
    <row r="30" spans="1:15" x14ac:dyDescent="0.2">
      <c r="A30" s="100" t="s">
        <v>18</v>
      </c>
      <c r="B30" s="96">
        <f t="shared" ref="B30:M30" si="7">B22*B27/12</f>
        <v>0</v>
      </c>
      <c r="C30" s="96">
        <f t="shared" si="7"/>
        <v>457.72145325004334</v>
      </c>
      <c r="D30" s="96">
        <f t="shared" si="7"/>
        <v>461.71977452753958</v>
      </c>
      <c r="E30" s="96">
        <f t="shared" si="7"/>
        <v>170.72034805172689</v>
      </c>
      <c r="F30" s="96">
        <f t="shared" si="7"/>
        <v>265.91115868747085</v>
      </c>
      <c r="G30" s="96">
        <f t="shared" si="7"/>
        <v>49.017001368894562</v>
      </c>
      <c r="H30" s="96">
        <f t="shared" si="7"/>
        <v>-33.810988805645387</v>
      </c>
      <c r="I30" s="96">
        <f t="shared" si="7"/>
        <v>-51.027818303598885</v>
      </c>
      <c r="J30" s="96">
        <f t="shared" si="7"/>
        <v>-27.770676960744364</v>
      </c>
      <c r="K30" s="96">
        <f t="shared" si="7"/>
        <v>-61.316851152573115</v>
      </c>
      <c r="L30" s="96">
        <f t="shared" si="7"/>
        <v>77.235162587981478</v>
      </c>
      <c r="M30" s="96">
        <f t="shared" si="7"/>
        <v>382.0383442611589</v>
      </c>
      <c r="N30" s="96"/>
      <c r="O30" s="96">
        <f>O27*M24</f>
        <v>5816.9479035781897</v>
      </c>
    </row>
    <row r="31" spans="1:15" ht="15" x14ac:dyDescent="0.25">
      <c r="A31" s="98" t="s">
        <v>19</v>
      </c>
      <c r="B31" s="94">
        <f t="shared" ref="B31:O31" si="8">B29+B30</f>
        <v>0</v>
      </c>
      <c r="C31" s="94">
        <f t="shared" si="8"/>
        <v>457.72145325004334</v>
      </c>
      <c r="D31" s="94">
        <f t="shared" si="8"/>
        <v>919.44122777758298</v>
      </c>
      <c r="E31" s="94">
        <f t="shared" si="8"/>
        <v>1090.1615758293099</v>
      </c>
      <c r="F31" s="94">
        <f t="shared" si="8"/>
        <v>1356.0727345167807</v>
      </c>
      <c r="G31" s="94">
        <f t="shared" si="8"/>
        <v>1405.0897358856753</v>
      </c>
      <c r="H31" s="94">
        <f t="shared" si="8"/>
        <v>1371.2787470800299</v>
      </c>
      <c r="I31" s="94">
        <f t="shared" si="8"/>
        <v>1320.250928776431</v>
      </c>
      <c r="J31" s="94">
        <f t="shared" si="8"/>
        <v>1292.4802518156866</v>
      </c>
      <c r="K31" s="94">
        <f t="shared" si="8"/>
        <v>1231.1634006631136</v>
      </c>
      <c r="L31" s="94">
        <f t="shared" si="8"/>
        <v>1308.3985632510951</v>
      </c>
      <c r="M31" s="94">
        <f t="shared" si="8"/>
        <v>1690.436907512254</v>
      </c>
      <c r="N31" s="90"/>
      <c r="O31" s="95">
        <f t="shared" si="8"/>
        <v>7507.3848110904437</v>
      </c>
    </row>
    <row r="32" spans="1:15" x14ac:dyDescent="0.2">
      <c r="A32" s="8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49" x14ac:dyDescent="0.2">
      <c r="A33" s="51" t="s">
        <v>50</v>
      </c>
      <c r="B33" s="184">
        <f>B17/B14</f>
        <v>0.17150746656160878</v>
      </c>
      <c r="C33" s="184">
        <f t="shared" ref="C33:M33" si="9">C17/C14</f>
        <v>1.7955058976082783E-3</v>
      </c>
      <c r="D33" s="184">
        <f t="shared" si="9"/>
        <v>-0.15545315279258035</v>
      </c>
      <c r="E33" s="184">
        <f t="shared" si="9"/>
        <v>6.2824510680496007E-2</v>
      </c>
      <c r="F33" s="184">
        <f t="shared" si="9"/>
        <v>-0.23674535676265454</v>
      </c>
      <c r="G33" s="184">
        <f t="shared" si="9"/>
        <v>-0.165501151321748</v>
      </c>
      <c r="H33" s="184">
        <f t="shared" si="9"/>
        <v>-5.288359733758477E-2</v>
      </c>
      <c r="I33" s="184">
        <f t="shared" si="9"/>
        <v>5.1766827127730952E-2</v>
      </c>
      <c r="J33" s="184">
        <f t="shared" si="9"/>
        <v>-5.9658177985770701E-2</v>
      </c>
      <c r="K33" s="184">
        <f t="shared" si="9"/>
        <v>0.11929011437667821</v>
      </c>
      <c r="L33" s="184">
        <f t="shared" si="9"/>
        <v>0.11952852688394171</v>
      </c>
      <c r="M33" s="184">
        <f t="shared" si="9"/>
        <v>6.9558916498622142E-2</v>
      </c>
      <c r="N33" s="185"/>
      <c r="O33" s="186">
        <f>SUM(B17:M17)/SUM(B14:M14)</f>
        <v>3.897791039409236E-2</v>
      </c>
    </row>
    <row r="34" spans="1:49" x14ac:dyDescent="0.2">
      <c r="J34" s="42"/>
      <c r="K34" s="42"/>
      <c r="L34" s="42"/>
      <c r="M34" s="42"/>
      <c r="N34" s="183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</row>
    <row r="35" spans="1:49" x14ac:dyDescent="0.2">
      <c r="J35" s="42"/>
      <c r="K35" s="42"/>
      <c r="L35" s="42"/>
      <c r="M35" s="42"/>
      <c r="N35" s="183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</row>
    <row r="36" spans="1:49" customFormat="1" ht="15" x14ac:dyDescent="0.25">
      <c r="A36" s="11" t="s">
        <v>60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49" customFormat="1" ht="45" x14ac:dyDescent="0.25">
      <c r="A37" s="13"/>
      <c r="B37" s="13" t="s">
        <v>72</v>
      </c>
      <c r="C37" s="13" t="s">
        <v>82</v>
      </c>
      <c r="D37" s="13" t="s">
        <v>92</v>
      </c>
      <c r="E37" s="12"/>
      <c r="F37" s="12"/>
      <c r="G37" s="12"/>
      <c r="H37" s="12"/>
      <c r="I37" s="12"/>
      <c r="J37" s="14"/>
      <c r="K37" s="14"/>
      <c r="L37" s="12"/>
    </row>
    <row r="38" spans="1:49" customFormat="1" ht="15" x14ac:dyDescent="0.25">
      <c r="A38" s="67" t="s">
        <v>58</v>
      </c>
      <c r="B38" s="68">
        <f>M24</f>
        <v>228115.60406188981</v>
      </c>
      <c r="C38" s="68"/>
      <c r="D38" s="68">
        <f>B38+C38</f>
        <v>228115.60406188981</v>
      </c>
      <c r="E38" s="12"/>
      <c r="F38" s="12"/>
      <c r="G38" s="12"/>
      <c r="H38" s="12"/>
      <c r="I38" s="12"/>
      <c r="J38" s="12"/>
      <c r="K38" s="12"/>
      <c r="L38" s="12"/>
    </row>
    <row r="39" spans="1:49" customFormat="1" ht="15" x14ac:dyDescent="0.25">
      <c r="A39" s="15" t="s">
        <v>59</v>
      </c>
      <c r="B39" s="72">
        <f>M31</f>
        <v>1690.436907512254</v>
      </c>
      <c r="C39" s="72">
        <f>O30</f>
        <v>5816.9479035781897</v>
      </c>
      <c r="D39" s="72">
        <f t="shared" ref="D39:D40" si="10">B39+C39</f>
        <v>7507.3848110904437</v>
      </c>
      <c r="E39" s="12"/>
      <c r="F39" s="12"/>
      <c r="G39" s="12"/>
      <c r="H39" s="12"/>
      <c r="I39" s="12"/>
      <c r="J39" s="20"/>
      <c r="K39" s="20"/>
      <c r="L39" s="12"/>
    </row>
    <row r="40" spans="1:49" customFormat="1" ht="15" x14ac:dyDescent="0.25">
      <c r="A40" s="21" t="s">
        <v>20</v>
      </c>
      <c r="B40" s="69">
        <f>B39+B38</f>
        <v>229806.04096940206</v>
      </c>
      <c r="C40" s="69">
        <f t="shared" ref="C40" si="11">C39+C38</f>
        <v>5816.9479035781897</v>
      </c>
      <c r="D40" s="69">
        <f t="shared" si="10"/>
        <v>235622.98887298026</v>
      </c>
      <c r="E40" s="12"/>
      <c r="F40" s="12"/>
      <c r="G40" s="12"/>
      <c r="H40" s="12"/>
      <c r="I40" s="12"/>
      <c r="J40" s="12"/>
      <c r="K40" s="12"/>
      <c r="L40" s="12"/>
    </row>
    <row r="41" spans="1:49" customFormat="1" ht="15" x14ac:dyDescent="0.25">
      <c r="A41" s="70"/>
      <c r="B41" s="71"/>
      <c r="C41" s="71"/>
      <c r="D41" s="71"/>
      <c r="E41" s="12"/>
      <c r="F41" s="12"/>
      <c r="G41" s="12"/>
      <c r="H41" s="12"/>
      <c r="I41" s="12"/>
      <c r="J41" s="12"/>
      <c r="K41" s="12"/>
      <c r="L41" s="12"/>
    </row>
    <row r="42" spans="1:49" customFormat="1" ht="15" x14ac:dyDescent="0.25">
      <c r="A42" s="11" t="s">
        <v>154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49" customFormat="1" ht="30" x14ac:dyDescent="0.25">
      <c r="A43" s="13"/>
      <c r="B43" s="13" t="s">
        <v>21</v>
      </c>
      <c r="C43" s="13" t="s">
        <v>22</v>
      </c>
      <c r="D43" s="13" t="str">
        <f>PGTVA!D46</f>
        <v>Rate 1 - Residential</v>
      </c>
      <c r="E43" s="13" t="str">
        <f>PGTVA!E46</f>
        <v>Rate 1 - GS</v>
      </c>
      <c r="F43" s="13" t="str">
        <f>PGTVA!F46</f>
        <v>Rate 2</v>
      </c>
      <c r="G43" s="13" t="str">
        <f>PGTVA!G46</f>
        <v>Rate 3</v>
      </c>
      <c r="H43" s="13" t="str">
        <f>PGTVA!H46</f>
        <v>Rate 4</v>
      </c>
      <c r="I43" s="13" t="str">
        <f>PGTVA!I46</f>
        <v>Rate 5</v>
      </c>
      <c r="J43" s="14"/>
      <c r="K43" s="14"/>
      <c r="L43" s="14"/>
      <c r="M43" s="12"/>
    </row>
    <row r="44" spans="1:49" customFormat="1" ht="16.5" x14ac:dyDescent="0.25">
      <c r="A44" s="15" t="s">
        <v>31</v>
      </c>
      <c r="B44" s="16" t="s">
        <v>33</v>
      </c>
      <c r="C44" s="17">
        <f>SUM(D44:I44)</f>
        <v>37770.752513926498</v>
      </c>
      <c r="D44" s="17">
        <f>Allocations!G17/1000</f>
        <v>19091.614000000001</v>
      </c>
      <c r="E44" s="17">
        <f>Allocations!H17/1000</f>
        <v>10841.757</v>
      </c>
      <c r="F44" s="17">
        <f>Allocations!I17/1000</f>
        <v>1254.453</v>
      </c>
      <c r="G44" s="17">
        <f>Allocations!J17/1000</f>
        <v>3586.45</v>
      </c>
      <c r="H44" s="17">
        <f>Allocations!K17/1000</f>
        <v>2180.8765139264988</v>
      </c>
      <c r="I44" s="17">
        <f>Allocations!L17/1000</f>
        <v>815.60199999999998</v>
      </c>
      <c r="J44" s="12"/>
      <c r="K44" s="12"/>
      <c r="L44" s="12"/>
      <c r="M44" s="12"/>
    </row>
    <row r="45" spans="1:49" customFormat="1" ht="15" x14ac:dyDescent="0.25">
      <c r="A45" s="15" t="s">
        <v>29</v>
      </c>
      <c r="B45" s="18" t="s">
        <v>27</v>
      </c>
      <c r="C45" s="19">
        <f>SUM(D45:I45)</f>
        <v>1.0000000000000002</v>
      </c>
      <c r="D45" s="19">
        <f>D44/$C$44</f>
        <v>0.5054602497782037</v>
      </c>
      <c r="E45" s="19">
        <f t="shared" ref="E45:I45" si="12">E44/$C$44</f>
        <v>0.28704106427327658</v>
      </c>
      <c r="F45" s="19">
        <f t="shared" si="12"/>
        <v>3.3212285075270055E-2</v>
      </c>
      <c r="G45" s="19">
        <f t="shared" si="12"/>
        <v>9.4953098926944479E-2</v>
      </c>
      <c r="H45" s="19">
        <f t="shared" si="12"/>
        <v>5.7739821654926922E-2</v>
      </c>
      <c r="I45" s="19">
        <f t="shared" si="12"/>
        <v>2.1593480291378319E-2</v>
      </c>
      <c r="J45" s="20"/>
      <c r="K45" s="20"/>
      <c r="L45" s="20"/>
      <c r="M45" s="12"/>
    </row>
    <row r="46" spans="1:49" customFormat="1" ht="15" x14ac:dyDescent="0.25">
      <c r="A46" s="21" t="s">
        <v>20</v>
      </c>
      <c r="B46" s="22" t="s">
        <v>28</v>
      </c>
      <c r="C46" s="23">
        <f>SUM(D46:I46)</f>
        <v>235622.98887298029</v>
      </c>
      <c r="D46" s="23">
        <f>D45*($D$40)</f>
        <v>119098.05480922351</v>
      </c>
      <c r="E46" s="23">
        <f t="shared" ref="E46:I46" si="13">E45*($D$40)</f>
        <v>67633.473493350655</v>
      </c>
      <c r="F46" s="23">
        <f t="shared" si="13"/>
        <v>7825.5778767366046</v>
      </c>
      <c r="G46" s="23">
        <f t="shared" si="13"/>
        <v>22373.132971918432</v>
      </c>
      <c r="H46" s="23">
        <f t="shared" si="13"/>
        <v>13604.82935532671</v>
      </c>
      <c r="I46" s="23">
        <f t="shared" si="13"/>
        <v>5087.9203664243523</v>
      </c>
      <c r="J46" s="12"/>
      <c r="K46" s="12"/>
      <c r="L46" s="12"/>
      <c r="M46" s="12"/>
    </row>
    <row r="47" spans="1:49" customFormat="1" ht="15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49" customFormat="1" ht="15" x14ac:dyDescent="0.25"/>
    <row r="49" spans="1:9" customFormat="1" ht="15" x14ac:dyDescent="0.25">
      <c r="A49" s="11" t="s">
        <v>126</v>
      </c>
      <c r="B49" s="12"/>
      <c r="C49" s="12"/>
      <c r="D49" s="12"/>
      <c r="E49" s="12"/>
      <c r="F49" s="12"/>
      <c r="G49" s="12"/>
      <c r="H49" s="12"/>
      <c r="I49" s="12"/>
    </row>
    <row r="50" spans="1:9" customFormat="1" ht="30" x14ac:dyDescent="0.25">
      <c r="A50" s="13"/>
      <c r="B50" s="13" t="s">
        <v>21</v>
      </c>
      <c r="C50" s="13" t="s">
        <v>22</v>
      </c>
      <c r="D50" s="13" t="str">
        <f>PGTVA!D53</f>
        <v>Rate 1 - Residential</v>
      </c>
      <c r="E50" s="13" t="str">
        <f>PGTVA!E53</f>
        <v>Rate 1 - GS</v>
      </c>
      <c r="F50" s="13" t="str">
        <f>PGTVA!F53</f>
        <v>Rate 2</v>
      </c>
      <c r="G50" s="13" t="str">
        <f>PGTVA!G53</f>
        <v>Rate 3</v>
      </c>
      <c r="H50" s="13" t="str">
        <f>PGTVA!H53</f>
        <v>Rate 4</v>
      </c>
      <c r="I50" s="13" t="str">
        <f>PGTVA!I53</f>
        <v>Rate 5</v>
      </c>
    </row>
    <row r="51" spans="1:9" customFormat="1" ht="16.5" x14ac:dyDescent="0.25">
      <c r="A51" s="15" t="s">
        <v>31</v>
      </c>
      <c r="B51" s="16" t="s">
        <v>33</v>
      </c>
      <c r="C51" s="17">
        <f>SUM(D51:I51)</f>
        <v>37895.301428237697</v>
      </c>
      <c r="D51" s="17">
        <f>Allocations!G7/1000</f>
        <v>18913.116381830874</v>
      </c>
      <c r="E51" s="17">
        <f>Allocations!H7/1000</f>
        <v>11145.96345194545</v>
      </c>
      <c r="F51" s="17">
        <f>Allocations!I7/1000</f>
        <v>1254.453</v>
      </c>
      <c r="G51" s="17">
        <f>Allocations!J7/1000</f>
        <v>3585.29008053487</v>
      </c>
      <c r="H51" s="17">
        <f>Allocations!K7/1000</f>
        <v>2180.8765139264988</v>
      </c>
      <c r="I51" s="17">
        <f>Allocations!L7/1000</f>
        <v>815.60199999999998</v>
      </c>
    </row>
    <row r="52" spans="1:9" customFormat="1" ht="15" x14ac:dyDescent="0.25">
      <c r="A52" s="15" t="s">
        <v>29</v>
      </c>
      <c r="B52" s="18" t="s">
        <v>27</v>
      </c>
      <c r="C52" s="19">
        <f>SUM(D52:I52)</f>
        <v>1.0000000000000002</v>
      </c>
      <c r="D52" s="24">
        <f t="shared" ref="D52" si="14">D45</f>
        <v>0.5054602497782037</v>
      </c>
      <c r="E52" s="24">
        <f t="shared" ref="E52:I52" si="15">E45</f>
        <v>0.28704106427327658</v>
      </c>
      <c r="F52" s="24">
        <f t="shared" si="15"/>
        <v>3.3212285075270055E-2</v>
      </c>
      <c r="G52" s="24">
        <f t="shared" si="15"/>
        <v>9.4953098926944479E-2</v>
      </c>
      <c r="H52" s="24">
        <f t="shared" si="15"/>
        <v>5.7739821654926922E-2</v>
      </c>
      <c r="I52" s="24">
        <f t="shared" si="15"/>
        <v>2.1593480291378319E-2</v>
      </c>
    </row>
    <row r="53" spans="1:9" customFormat="1" ht="15" x14ac:dyDescent="0.25">
      <c r="A53" s="25" t="s">
        <v>20</v>
      </c>
      <c r="B53" s="26" t="s">
        <v>28</v>
      </c>
      <c r="C53" s="27">
        <f>SUM(D53:I53)</f>
        <v>235622.98887298026</v>
      </c>
      <c r="D53" s="27">
        <f>D51*D54*10</f>
        <v>119098.05480922351</v>
      </c>
      <c r="E53" s="27">
        <f t="shared" ref="E53:I53" si="16">E51*E54*10</f>
        <v>67633.473493350655</v>
      </c>
      <c r="F53" s="27">
        <f t="shared" si="16"/>
        <v>7825.5778767366055</v>
      </c>
      <c r="G53" s="27">
        <f t="shared" si="16"/>
        <v>22373.132971918429</v>
      </c>
      <c r="H53" s="27">
        <f t="shared" si="16"/>
        <v>13604.82935532671</v>
      </c>
      <c r="I53" s="27">
        <f t="shared" si="16"/>
        <v>5087.9203664243523</v>
      </c>
    </row>
    <row r="54" spans="1:9" customFormat="1" ht="17.25" x14ac:dyDescent="0.25">
      <c r="A54" s="21" t="s">
        <v>30</v>
      </c>
      <c r="B54" s="22" t="s">
        <v>34</v>
      </c>
      <c r="C54" s="28"/>
      <c r="D54" s="28">
        <f>D46/D51/10</f>
        <v>0.6297114256835884</v>
      </c>
      <c r="E54" s="28">
        <f t="shared" ref="E54:I54" si="17">E46/E51/10</f>
        <v>0.60679791195211308</v>
      </c>
      <c r="F54" s="28">
        <f t="shared" si="17"/>
        <v>0.62382391980700791</v>
      </c>
      <c r="G54" s="28">
        <f t="shared" si="17"/>
        <v>0.62402574043829406</v>
      </c>
      <c r="H54" s="28">
        <f t="shared" si="17"/>
        <v>0.62382391980700791</v>
      </c>
      <c r="I54" s="28">
        <f t="shared" si="17"/>
        <v>0.62382391980700791</v>
      </c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56" orientation="landscape" r:id="rId1"/>
  <rowBreaks count="1" manualBreakCount="1">
    <brk id="7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8882D-104B-439C-ADBE-8484DB860D7E}">
  <sheetPr>
    <pageSetUpPr fitToPage="1"/>
  </sheetPr>
  <dimension ref="A1:BQ46"/>
  <sheetViews>
    <sheetView showGridLines="0" zoomScale="80" zoomScaleNormal="80" zoomScaleSheetLayoutView="85" workbookViewId="0">
      <selection activeCell="AX42" sqref="AX42:BE46"/>
    </sheetView>
  </sheetViews>
  <sheetFormatPr defaultColWidth="12.5703125" defaultRowHeight="15" outlineLevelCol="1" x14ac:dyDescent="0.25"/>
  <cols>
    <col min="1" max="1" width="48.140625" customWidth="1"/>
    <col min="2" max="2" width="11.7109375" hidden="1" customWidth="1" outlineLevel="1"/>
    <col min="3" max="3" width="13.5703125" hidden="1" customWidth="1" outlineLevel="1"/>
    <col min="4" max="4" width="12.42578125" hidden="1" customWidth="1" outlineLevel="1"/>
    <col min="5" max="11" width="13.7109375" hidden="1" customWidth="1" outlineLevel="1"/>
    <col min="12" max="12" width="15.140625" hidden="1" customWidth="1" outlineLevel="1"/>
    <col min="13" max="13" width="11.7109375" customWidth="1" collapsed="1"/>
    <col min="14" max="14" width="12.42578125" hidden="1" customWidth="1" outlineLevel="1"/>
    <col min="15" max="15" width="12.28515625" hidden="1" customWidth="1" outlineLevel="1"/>
    <col min="16" max="24" width="12.5703125" hidden="1" customWidth="1" outlineLevel="1"/>
    <col min="25" max="25" width="12.5703125" collapsed="1"/>
    <col min="26" max="36" width="12.5703125" hidden="1" customWidth="1" outlineLevel="1"/>
    <col min="37" max="37" width="12.5703125" collapsed="1"/>
    <col min="38" max="48" width="12.5703125" hidden="1" customWidth="1" outlineLevel="1"/>
    <col min="49" max="49" width="12.5703125" collapsed="1"/>
    <col min="62" max="62" width="2.7109375" customWidth="1"/>
    <col min="66" max="66" width="16.28515625" bestFit="1" customWidth="1"/>
    <col min="67" max="67" width="14.5703125" customWidth="1"/>
    <col min="68" max="68" width="16.28515625" customWidth="1"/>
    <col min="69" max="69" width="15.42578125" customWidth="1"/>
  </cols>
  <sheetData>
    <row r="1" spans="1:69" s="1" customFormat="1" x14ac:dyDescent="0.25">
      <c r="A1" s="1" t="s">
        <v>0</v>
      </c>
    </row>
    <row r="2" spans="1:69" s="1" customFormat="1" x14ac:dyDescent="0.25">
      <c r="A2" s="1" t="s">
        <v>80</v>
      </c>
    </row>
    <row r="3" spans="1:69" s="1" customFormat="1" x14ac:dyDescent="0.25">
      <c r="A3" s="1" t="s">
        <v>107</v>
      </c>
    </row>
    <row r="4" spans="1:69" s="1" customFormat="1" ht="45" x14ac:dyDescent="0.25">
      <c r="A4" s="1" t="s">
        <v>62</v>
      </c>
      <c r="BN4" s="237" t="s">
        <v>168</v>
      </c>
      <c r="BO4" s="237" t="s">
        <v>169</v>
      </c>
      <c r="BP4" s="237" t="s">
        <v>171</v>
      </c>
      <c r="BQ4" s="237" t="s">
        <v>170</v>
      </c>
    </row>
    <row r="5" spans="1:69" x14ac:dyDescent="0.25">
      <c r="A5" s="104"/>
      <c r="B5" s="168">
        <v>2021</v>
      </c>
      <c r="C5" s="168">
        <v>2021</v>
      </c>
      <c r="D5" s="168">
        <v>2021</v>
      </c>
      <c r="E5" s="168">
        <v>2021</v>
      </c>
      <c r="F5" s="168">
        <v>2021</v>
      </c>
      <c r="G5" s="168">
        <v>2021</v>
      </c>
      <c r="H5" s="168">
        <v>2021</v>
      </c>
      <c r="I5" s="168">
        <v>2021</v>
      </c>
      <c r="J5" s="168">
        <v>2021</v>
      </c>
      <c r="K5" s="168">
        <v>2021</v>
      </c>
      <c r="L5" s="168">
        <v>2021</v>
      </c>
      <c r="M5" s="168">
        <v>2021</v>
      </c>
      <c r="N5" s="168">
        <v>2022</v>
      </c>
      <c r="O5" s="168">
        <v>2022</v>
      </c>
      <c r="P5" s="168">
        <v>2022</v>
      </c>
      <c r="Q5" s="168">
        <v>2022</v>
      </c>
      <c r="R5" s="168">
        <v>2022</v>
      </c>
      <c r="S5" s="168">
        <v>2022</v>
      </c>
      <c r="T5" s="168">
        <v>2022</v>
      </c>
      <c r="U5" s="168">
        <v>2022</v>
      </c>
      <c r="V5" s="168">
        <v>2022</v>
      </c>
      <c r="W5" s="168">
        <v>2022</v>
      </c>
      <c r="X5" s="168">
        <v>2022</v>
      </c>
      <c r="Y5" s="168">
        <v>2022</v>
      </c>
      <c r="Z5" s="168">
        <v>2023</v>
      </c>
      <c r="AA5" s="168">
        <v>2023</v>
      </c>
      <c r="AB5" s="168">
        <v>2023</v>
      </c>
      <c r="AC5" s="168">
        <v>2023</v>
      </c>
      <c r="AD5" s="168">
        <v>2023</v>
      </c>
      <c r="AE5" s="168">
        <v>2023</v>
      </c>
      <c r="AF5" s="168">
        <v>2023</v>
      </c>
      <c r="AG5" s="168">
        <v>2023</v>
      </c>
      <c r="AH5" s="168">
        <v>2023</v>
      </c>
      <c r="AI5" s="168">
        <v>2023</v>
      </c>
      <c r="AJ5" s="168">
        <v>2023</v>
      </c>
      <c r="AK5" s="168">
        <v>2023</v>
      </c>
      <c r="AL5" s="168">
        <v>2024</v>
      </c>
      <c r="AM5" s="168">
        <v>2024</v>
      </c>
      <c r="AN5" s="168">
        <v>2024</v>
      </c>
      <c r="AO5" s="168">
        <v>2024</v>
      </c>
      <c r="AP5" s="168">
        <v>2024</v>
      </c>
      <c r="AQ5" s="168">
        <v>2024</v>
      </c>
      <c r="AR5" s="168">
        <v>2024</v>
      </c>
      <c r="AS5" s="168">
        <v>2024</v>
      </c>
      <c r="AT5" s="168">
        <v>2024</v>
      </c>
      <c r="AU5" s="168">
        <v>2024</v>
      </c>
      <c r="AV5" s="168">
        <v>2024</v>
      </c>
      <c r="AW5" s="168">
        <v>2024</v>
      </c>
      <c r="AX5" s="2">
        <v>2025</v>
      </c>
      <c r="AY5" s="2">
        <v>2025</v>
      </c>
      <c r="AZ5" s="2">
        <v>2025</v>
      </c>
      <c r="BA5" s="2">
        <v>2025</v>
      </c>
      <c r="BB5" s="2">
        <v>2025</v>
      </c>
      <c r="BC5" s="2">
        <v>2025</v>
      </c>
      <c r="BD5" s="2">
        <v>2025</v>
      </c>
      <c r="BE5" s="2">
        <v>2025</v>
      </c>
      <c r="BF5" s="2">
        <v>2025</v>
      </c>
      <c r="BG5" s="2">
        <v>2025</v>
      </c>
      <c r="BH5" s="2">
        <v>2025</v>
      </c>
      <c r="BI5" s="2">
        <v>2025</v>
      </c>
      <c r="BK5" s="2">
        <v>2026</v>
      </c>
      <c r="BN5" s="235" t="s">
        <v>167</v>
      </c>
      <c r="BO5" s="238">
        <f>86261+68206+58805</f>
        <v>213272</v>
      </c>
      <c r="BP5" s="239">
        <v>44651</v>
      </c>
      <c r="BQ5" s="239">
        <f>BP5+720</f>
        <v>45371</v>
      </c>
    </row>
    <row r="6" spans="1:69" x14ac:dyDescent="0.25">
      <c r="A6" s="105"/>
      <c r="B6" s="169" t="s">
        <v>1</v>
      </c>
      <c r="C6" s="169" t="s">
        <v>2</v>
      </c>
      <c r="D6" s="169" t="s">
        <v>3</v>
      </c>
      <c r="E6" s="169" t="s">
        <v>4</v>
      </c>
      <c r="F6" s="169" t="s">
        <v>5</v>
      </c>
      <c r="G6" s="169" t="s">
        <v>6</v>
      </c>
      <c r="H6" s="169" t="s">
        <v>7</v>
      </c>
      <c r="I6" s="169" t="s">
        <v>8</v>
      </c>
      <c r="J6" s="169" t="s">
        <v>9</v>
      </c>
      <c r="K6" s="169" t="s">
        <v>10</v>
      </c>
      <c r="L6" s="169" t="s">
        <v>11</v>
      </c>
      <c r="M6" s="169" t="s">
        <v>12</v>
      </c>
      <c r="N6" s="169" t="s">
        <v>1</v>
      </c>
      <c r="O6" s="169" t="s">
        <v>2</v>
      </c>
      <c r="P6" s="169" t="s">
        <v>3</v>
      </c>
      <c r="Q6" s="169" t="s">
        <v>4</v>
      </c>
      <c r="R6" s="169" t="s">
        <v>5</v>
      </c>
      <c r="S6" s="169" t="s">
        <v>6</v>
      </c>
      <c r="T6" s="169" t="s">
        <v>7</v>
      </c>
      <c r="U6" s="169" t="s">
        <v>8</v>
      </c>
      <c r="V6" s="169" t="s">
        <v>9</v>
      </c>
      <c r="W6" s="169" t="s">
        <v>10</v>
      </c>
      <c r="X6" s="169" t="s">
        <v>11</v>
      </c>
      <c r="Y6" s="169" t="s">
        <v>12</v>
      </c>
      <c r="Z6" s="169" t="s">
        <v>1</v>
      </c>
      <c r="AA6" s="169" t="s">
        <v>2</v>
      </c>
      <c r="AB6" s="169" t="s">
        <v>3</v>
      </c>
      <c r="AC6" s="169" t="s">
        <v>4</v>
      </c>
      <c r="AD6" s="169" t="s">
        <v>5</v>
      </c>
      <c r="AE6" s="169" t="s">
        <v>6</v>
      </c>
      <c r="AF6" s="169" t="s">
        <v>7</v>
      </c>
      <c r="AG6" s="169" t="s">
        <v>8</v>
      </c>
      <c r="AH6" s="169" t="s">
        <v>9</v>
      </c>
      <c r="AI6" s="169" t="s">
        <v>10</v>
      </c>
      <c r="AJ6" s="169" t="s">
        <v>11</v>
      </c>
      <c r="AK6" s="169" t="s">
        <v>12</v>
      </c>
      <c r="AL6" s="169" t="s">
        <v>1</v>
      </c>
      <c r="AM6" s="169" t="s">
        <v>2</v>
      </c>
      <c r="AN6" s="169" t="s">
        <v>3</v>
      </c>
      <c r="AO6" s="169" t="s">
        <v>4</v>
      </c>
      <c r="AP6" s="169" t="s">
        <v>5</v>
      </c>
      <c r="AQ6" s="169" t="s">
        <v>6</v>
      </c>
      <c r="AR6" s="169" t="s">
        <v>7</v>
      </c>
      <c r="AS6" s="169" t="s">
        <v>8</v>
      </c>
      <c r="AT6" s="169" t="s">
        <v>9</v>
      </c>
      <c r="AU6" s="169" t="s">
        <v>10</v>
      </c>
      <c r="AV6" s="169" t="s">
        <v>11</v>
      </c>
      <c r="AW6" s="169" t="s">
        <v>12</v>
      </c>
      <c r="AX6" s="3" t="s">
        <v>1</v>
      </c>
      <c r="AY6" s="3" t="s">
        <v>2</v>
      </c>
      <c r="AZ6" s="3" t="s">
        <v>3</v>
      </c>
      <c r="BA6" s="3" t="s">
        <v>4</v>
      </c>
      <c r="BB6" s="3" t="s">
        <v>5</v>
      </c>
      <c r="BC6" s="3" t="s">
        <v>6</v>
      </c>
      <c r="BD6" s="3" t="s">
        <v>7</v>
      </c>
      <c r="BE6" s="3" t="s">
        <v>8</v>
      </c>
      <c r="BF6" s="3" t="s">
        <v>9</v>
      </c>
      <c r="BG6" s="3" t="s">
        <v>10</v>
      </c>
      <c r="BH6" s="3" t="s">
        <v>11</v>
      </c>
      <c r="BI6" s="3" t="s">
        <v>12</v>
      </c>
      <c r="BK6" s="3" t="s">
        <v>32</v>
      </c>
      <c r="BN6" s="235" t="s">
        <v>163</v>
      </c>
      <c r="BO6" s="238">
        <f>295789+1491+86421</f>
        <v>383701</v>
      </c>
      <c r="BP6" s="239">
        <v>44651</v>
      </c>
      <c r="BQ6" s="239">
        <f t="shared" ref="BQ6:BQ8" si="0">BP6+720</f>
        <v>45371</v>
      </c>
    </row>
    <row r="7" spans="1:69" x14ac:dyDescent="0.25">
      <c r="A7" s="106"/>
      <c r="B7" s="171"/>
      <c r="C7" s="171"/>
      <c r="D7" s="171"/>
      <c r="E7" s="171"/>
      <c r="F7" s="170"/>
      <c r="G7" s="170"/>
      <c r="H7" s="172"/>
      <c r="I7" s="170"/>
      <c r="J7" s="170"/>
      <c r="K7" s="170"/>
      <c r="L7" s="170"/>
      <c r="M7" s="170"/>
      <c r="N7" s="171"/>
      <c r="O7" s="171"/>
      <c r="P7" s="171"/>
      <c r="Q7" s="171"/>
      <c r="R7" s="170"/>
      <c r="S7" s="170"/>
      <c r="T7" s="172"/>
      <c r="U7" s="170"/>
      <c r="V7" s="170"/>
      <c r="W7" s="170"/>
      <c r="X7" s="170"/>
      <c r="Y7" s="170"/>
      <c r="Z7" s="171"/>
      <c r="AA7" s="171"/>
      <c r="AB7" s="171"/>
      <c r="AC7" s="171"/>
      <c r="AD7" s="170"/>
      <c r="AE7" s="170"/>
      <c r="AF7" s="172"/>
      <c r="AG7" s="170"/>
      <c r="AH7" s="170"/>
      <c r="AI7" s="170"/>
      <c r="AJ7" s="170"/>
      <c r="AK7" s="170"/>
      <c r="AL7" s="171"/>
      <c r="AM7" s="171"/>
      <c r="AN7" s="171"/>
      <c r="AO7" s="171"/>
      <c r="AP7" s="170"/>
      <c r="AQ7" s="170"/>
      <c r="AR7" s="172"/>
      <c r="AS7" s="170"/>
      <c r="AT7" s="170"/>
      <c r="AU7" s="170"/>
      <c r="AV7" s="170"/>
      <c r="AW7" s="170"/>
      <c r="AX7" s="37"/>
      <c r="AY7" s="37"/>
      <c r="AZ7" s="37"/>
      <c r="BA7" s="37"/>
      <c r="BB7" s="38"/>
      <c r="BC7" s="38"/>
      <c r="BD7" s="39"/>
      <c r="BE7" s="38"/>
      <c r="BF7" s="38"/>
      <c r="BG7" s="38"/>
      <c r="BH7" s="38"/>
      <c r="BI7" s="38"/>
      <c r="BK7" s="38"/>
      <c r="BN7" s="235" t="s">
        <v>164</v>
      </c>
      <c r="BO7" s="238">
        <v>352527</v>
      </c>
      <c r="BP7" s="239">
        <v>44926</v>
      </c>
      <c r="BQ7" s="239">
        <f t="shared" si="0"/>
        <v>45646</v>
      </c>
    </row>
    <row r="8" spans="1:69" x14ac:dyDescent="0.25">
      <c r="A8" s="106" t="s">
        <v>108</v>
      </c>
      <c r="B8" s="173"/>
      <c r="C8" s="173"/>
      <c r="D8" s="173">
        <v>296583</v>
      </c>
      <c r="E8" s="173">
        <v>-36851.756809541199</v>
      </c>
      <c r="F8" s="173">
        <v>-34645.432898669183</v>
      </c>
      <c r="G8" s="173">
        <v>-27283.337145713933</v>
      </c>
      <c r="H8" s="173">
        <v>-11713.059969417525</v>
      </c>
      <c r="I8" s="173">
        <v>-11123.484314875544</v>
      </c>
      <c r="J8" s="173">
        <v>-11006.28645829495</v>
      </c>
      <c r="K8" s="173">
        <v>-15078.228974331492</v>
      </c>
      <c r="L8" s="173">
        <v>-25176.289167774848</v>
      </c>
      <c r="M8" s="173">
        <v>-28786.642804409505</v>
      </c>
      <c r="N8" s="173">
        <v>-31742.64981668747</v>
      </c>
      <c r="O8" s="173">
        <v>-30866.628888720221</v>
      </c>
      <c r="P8" s="173">
        <v>-28153.791918748142</v>
      </c>
      <c r="Q8" s="173">
        <v>-6157.2439065668268</v>
      </c>
      <c r="R8" s="173">
        <v>0</v>
      </c>
      <c r="S8" s="173">
        <v>0</v>
      </c>
      <c r="T8" s="173">
        <v>0</v>
      </c>
      <c r="U8" s="173">
        <v>0</v>
      </c>
      <c r="V8" s="173">
        <v>0</v>
      </c>
      <c r="W8" s="173">
        <v>0</v>
      </c>
      <c r="X8" s="173">
        <v>0</v>
      </c>
      <c r="Y8" s="173">
        <v>0</v>
      </c>
      <c r="Z8" s="173">
        <v>0</v>
      </c>
      <c r="AA8" s="173">
        <v>0</v>
      </c>
      <c r="AB8" s="173">
        <v>0</v>
      </c>
      <c r="AC8" s="173">
        <v>0</v>
      </c>
      <c r="AD8" s="173">
        <v>0</v>
      </c>
      <c r="AE8" s="173">
        <v>0</v>
      </c>
      <c r="AF8" s="173">
        <v>0</v>
      </c>
      <c r="AG8" s="173">
        <v>0</v>
      </c>
      <c r="AH8" s="173">
        <v>0</v>
      </c>
      <c r="AI8" s="173">
        <v>0</v>
      </c>
      <c r="AJ8" s="173">
        <v>0</v>
      </c>
      <c r="AK8" s="173">
        <v>0</v>
      </c>
      <c r="AL8" s="173">
        <v>0</v>
      </c>
      <c r="AM8" s="173">
        <v>0</v>
      </c>
      <c r="AN8" s="173">
        <v>0</v>
      </c>
      <c r="AO8" s="173">
        <v>0</v>
      </c>
      <c r="AP8" s="173">
        <v>0</v>
      </c>
      <c r="AQ8" s="173">
        <v>0</v>
      </c>
      <c r="AR8" s="173">
        <v>0</v>
      </c>
      <c r="AS8" s="173">
        <v>0</v>
      </c>
      <c r="AT8" s="173">
        <v>0</v>
      </c>
      <c r="AU8" s="173">
        <v>0</v>
      </c>
      <c r="AV8" s="173">
        <v>0</v>
      </c>
      <c r="AW8" s="173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K8" s="4"/>
      <c r="BN8" s="235" t="s">
        <v>165</v>
      </c>
      <c r="BO8" s="238">
        <f>3053+3243</f>
        <v>6296</v>
      </c>
      <c r="BP8" s="239">
        <v>45016</v>
      </c>
      <c r="BQ8" s="239">
        <f t="shared" si="0"/>
        <v>45736</v>
      </c>
    </row>
    <row r="9" spans="1:69" x14ac:dyDescent="0.25">
      <c r="A9" s="106" t="s">
        <v>109</v>
      </c>
      <c r="B9" s="173"/>
      <c r="C9" s="173"/>
      <c r="D9" s="173">
        <v>373517.59314000001</v>
      </c>
      <c r="E9" s="173">
        <v>-21242.251314876074</v>
      </c>
      <c r="F9" s="173">
        <v>-23606.513197985529</v>
      </c>
      <c r="G9" s="173">
        <v>-15426.752326606516</v>
      </c>
      <c r="H9" s="173">
        <v>-13401.955430765225</v>
      </c>
      <c r="I9" s="173">
        <v>-12736.41053186247</v>
      </c>
      <c r="J9" s="173">
        <v>-14354.096701833671</v>
      </c>
      <c r="K9" s="173">
        <v>-18743.350172793635</v>
      </c>
      <c r="L9" s="173">
        <v>-40759.891608319784</v>
      </c>
      <c r="M9" s="173">
        <v>-47933.766479486418</v>
      </c>
      <c r="N9" s="173">
        <v>-47748.810645609054</v>
      </c>
      <c r="O9" s="173">
        <v>-51188.116574154104</v>
      </c>
      <c r="P9" s="173">
        <v>-45951.142027831149</v>
      </c>
      <c r="Q9" s="173">
        <v>-27921.09265673731</v>
      </c>
      <c r="R9" s="173">
        <v>0</v>
      </c>
      <c r="S9" s="173">
        <v>0</v>
      </c>
      <c r="T9" s="173">
        <v>0</v>
      </c>
      <c r="U9" s="173">
        <v>0</v>
      </c>
      <c r="V9" s="173">
        <v>0</v>
      </c>
      <c r="W9" s="173">
        <v>0</v>
      </c>
      <c r="X9" s="173">
        <v>0</v>
      </c>
      <c r="Y9" s="173">
        <v>0</v>
      </c>
      <c r="Z9" s="173">
        <v>0</v>
      </c>
      <c r="AA9" s="173">
        <v>0</v>
      </c>
      <c r="AB9" s="173">
        <v>0</v>
      </c>
      <c r="AC9" s="173">
        <v>0</v>
      </c>
      <c r="AD9" s="173">
        <v>0</v>
      </c>
      <c r="AE9" s="173">
        <v>0</v>
      </c>
      <c r="AF9" s="173">
        <v>0</v>
      </c>
      <c r="AG9" s="173">
        <v>0</v>
      </c>
      <c r="AH9" s="173">
        <v>0</v>
      </c>
      <c r="AI9" s="173">
        <v>0</v>
      </c>
      <c r="AJ9" s="173">
        <v>0</v>
      </c>
      <c r="AK9" s="173">
        <v>0</v>
      </c>
      <c r="AL9" s="173">
        <v>0</v>
      </c>
      <c r="AM9" s="173">
        <v>0</v>
      </c>
      <c r="AN9" s="173">
        <v>0</v>
      </c>
      <c r="AO9" s="173">
        <v>0</v>
      </c>
      <c r="AP9" s="173">
        <v>0</v>
      </c>
      <c r="AQ9" s="173">
        <v>0</v>
      </c>
      <c r="AR9" s="173">
        <v>0</v>
      </c>
      <c r="AS9" s="173">
        <v>0</v>
      </c>
      <c r="AT9" s="173">
        <v>0</v>
      </c>
      <c r="AU9" s="173">
        <v>0</v>
      </c>
      <c r="AV9" s="173">
        <v>0</v>
      </c>
      <c r="AW9" s="173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K9" s="4"/>
      <c r="BN9" s="236" t="s">
        <v>166</v>
      </c>
      <c r="BO9" s="240">
        <v>129500</v>
      </c>
      <c r="BP9" s="241">
        <v>45291</v>
      </c>
      <c r="BQ9" s="241">
        <f>BP9+720</f>
        <v>46011</v>
      </c>
    </row>
    <row r="10" spans="1:69" x14ac:dyDescent="0.25">
      <c r="A10" s="106" t="s">
        <v>110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>
        <v>348520</v>
      </c>
      <c r="N10" s="173">
        <v>-38919.974151253053</v>
      </c>
      <c r="O10" s="173">
        <v>-42762.612534182961</v>
      </c>
      <c r="P10" s="173">
        <v>-39486.560420034781</v>
      </c>
      <c r="Q10" s="173">
        <v>-25469.113484579098</v>
      </c>
      <c r="R10" s="173">
        <v>-26892.620764765383</v>
      </c>
      <c r="S10" s="173">
        <v>-20993.48394270143</v>
      </c>
      <c r="T10" s="173">
        <v>-19734.947818647521</v>
      </c>
      <c r="U10" s="173">
        <v>-19495.846013763003</v>
      </c>
      <c r="V10" s="173">
        <v>-20502.576849255347</v>
      </c>
      <c r="W10" s="173">
        <v>-24404.534958151213</v>
      </c>
      <c r="X10" s="173">
        <v>-33063.272595457296</v>
      </c>
      <c r="Y10" s="173">
        <v>-41203.116897596854</v>
      </c>
      <c r="Z10" s="173">
        <v>0</v>
      </c>
      <c r="AA10" s="173">
        <v>0</v>
      </c>
      <c r="AB10" s="173">
        <v>0</v>
      </c>
      <c r="AC10" s="173">
        <v>0</v>
      </c>
      <c r="AD10" s="173">
        <v>0</v>
      </c>
      <c r="AE10" s="173">
        <v>0</v>
      </c>
      <c r="AF10" s="173">
        <v>0</v>
      </c>
      <c r="AG10" s="173">
        <v>0</v>
      </c>
      <c r="AH10" s="173">
        <v>0</v>
      </c>
      <c r="AI10" s="173">
        <v>0</v>
      </c>
      <c r="AJ10" s="173">
        <v>0</v>
      </c>
      <c r="AK10" s="173">
        <v>0</v>
      </c>
      <c r="AL10" s="173">
        <v>0</v>
      </c>
      <c r="AM10" s="173">
        <v>0</v>
      </c>
      <c r="AN10" s="173">
        <v>0</v>
      </c>
      <c r="AO10" s="173">
        <v>0</v>
      </c>
      <c r="AP10" s="173">
        <v>0</v>
      </c>
      <c r="AQ10" s="173">
        <v>0</v>
      </c>
      <c r="AR10" s="173">
        <v>0</v>
      </c>
      <c r="AS10" s="173">
        <v>0</v>
      </c>
      <c r="AT10" s="173">
        <v>0</v>
      </c>
      <c r="AU10" s="173">
        <v>0</v>
      </c>
      <c r="AV10" s="173">
        <v>0</v>
      </c>
      <c r="AW10" s="173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K10" s="4"/>
    </row>
    <row r="11" spans="1:69" x14ac:dyDescent="0.25">
      <c r="A11" s="106" t="s">
        <v>111</v>
      </c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>
        <v>6227</v>
      </c>
      <c r="Q11" s="173">
        <v>0</v>
      </c>
      <c r="R11" s="173">
        <v>-581.15529396742454</v>
      </c>
      <c r="S11" s="173">
        <v>-580.31159751429743</v>
      </c>
      <c r="T11" s="173">
        <v>-579.25234587953332</v>
      </c>
      <c r="U11" s="173">
        <v>-580.37180140291878</v>
      </c>
      <c r="V11" s="173">
        <v>-582.78753505962675</v>
      </c>
      <c r="W11" s="173">
        <v>-583.89478140280255</v>
      </c>
      <c r="X11" s="173">
        <v>-587.21546791679441</v>
      </c>
      <c r="Y11" s="173">
        <v>-588.60752496383259</v>
      </c>
      <c r="Z11" s="173">
        <v>-1491.0021379869675</v>
      </c>
      <c r="AA11" s="173">
        <v>-591.71918189250027</v>
      </c>
      <c r="AB11" s="173">
        <v>-591.52130897180825</v>
      </c>
      <c r="AC11" s="173">
        <v>0</v>
      </c>
      <c r="AD11" s="173">
        <v>0</v>
      </c>
      <c r="AE11" s="173">
        <v>0</v>
      </c>
      <c r="AF11" s="173">
        <v>0</v>
      </c>
      <c r="AG11" s="173">
        <v>0</v>
      </c>
      <c r="AH11" s="173">
        <v>0</v>
      </c>
      <c r="AI11" s="173">
        <v>0</v>
      </c>
      <c r="AJ11" s="173">
        <v>0</v>
      </c>
      <c r="AK11" s="173">
        <v>0</v>
      </c>
      <c r="AL11" s="173">
        <v>0</v>
      </c>
      <c r="AM11" s="173">
        <v>0</v>
      </c>
      <c r="AN11" s="173">
        <v>0</v>
      </c>
      <c r="AO11" s="173">
        <v>0</v>
      </c>
      <c r="AP11" s="173">
        <v>0</v>
      </c>
      <c r="AQ11" s="173">
        <v>0</v>
      </c>
      <c r="AR11" s="173">
        <v>0</v>
      </c>
      <c r="AS11" s="173">
        <v>0</v>
      </c>
      <c r="AT11" s="173">
        <v>0</v>
      </c>
      <c r="AU11" s="173">
        <v>0</v>
      </c>
      <c r="AV11" s="173">
        <v>0</v>
      </c>
      <c r="AW11" s="173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K11" s="4"/>
    </row>
    <row r="12" spans="1:69" x14ac:dyDescent="0.25">
      <c r="A12" s="106" t="s">
        <v>112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>
        <v>127360.41929185322</v>
      </c>
      <c r="Z12" s="174">
        <v>-20078.021767425846</v>
      </c>
      <c r="AA12" s="174">
        <v>-17922.502079097856</v>
      </c>
      <c r="AB12" s="174">
        <v>-16883.329020245717</v>
      </c>
      <c r="AC12" s="174">
        <v>-13155.590838147111</v>
      </c>
      <c r="AD12" s="174">
        <v>-9003.5701263839273</v>
      </c>
      <c r="AE12" s="174">
        <v>-4190.4353883092026</v>
      </c>
      <c r="AF12" s="174">
        <v>-3116.2308195090595</v>
      </c>
      <c r="AG12" s="174">
        <v>-3440.1886908414162</v>
      </c>
      <c r="AH12" s="174">
        <v>-3993.9658559592694</v>
      </c>
      <c r="AI12" s="174">
        <v>-6257.2846404522588</v>
      </c>
      <c r="AJ12" s="174">
        <v>-15772.253836399326</v>
      </c>
      <c r="AK12" s="174">
        <v>-24374.318798935474</v>
      </c>
      <c r="AL12" s="174">
        <v>0</v>
      </c>
      <c r="AM12" s="174">
        <v>0</v>
      </c>
      <c r="AN12" s="174">
        <v>0</v>
      </c>
      <c r="AO12" s="174">
        <v>0</v>
      </c>
      <c r="AP12" s="174">
        <v>0</v>
      </c>
      <c r="AQ12" s="174">
        <v>0</v>
      </c>
      <c r="AR12" s="174">
        <v>0</v>
      </c>
      <c r="AS12" s="174">
        <v>0</v>
      </c>
      <c r="AT12" s="174">
        <v>0</v>
      </c>
      <c r="AU12" s="174">
        <v>0</v>
      </c>
      <c r="AV12" s="174">
        <v>0</v>
      </c>
      <c r="AW12" s="174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K12" s="4"/>
    </row>
    <row r="13" spans="1:69" x14ac:dyDescent="0.25">
      <c r="A13" s="167" t="s">
        <v>20</v>
      </c>
      <c r="B13" s="175">
        <f t="shared" ref="B13:M13" si="1">SUM(B8:B12)</f>
        <v>0</v>
      </c>
      <c r="C13" s="175">
        <f t="shared" si="1"/>
        <v>0</v>
      </c>
      <c r="D13" s="175">
        <f t="shared" si="1"/>
        <v>670100.59314000001</v>
      </c>
      <c r="E13" s="175">
        <f t="shared" si="1"/>
        <v>-58094.008124417276</v>
      </c>
      <c r="F13" s="175">
        <f t="shared" si="1"/>
        <v>-58251.946096654712</v>
      </c>
      <c r="G13" s="175">
        <f t="shared" si="1"/>
        <v>-42710.089472320447</v>
      </c>
      <c r="H13" s="175">
        <f t="shared" si="1"/>
        <v>-25115.01540018275</v>
      </c>
      <c r="I13" s="175">
        <f t="shared" si="1"/>
        <v>-23859.894846738014</v>
      </c>
      <c r="J13" s="175">
        <f t="shared" si="1"/>
        <v>-25360.383160128622</v>
      </c>
      <c r="K13" s="175">
        <f t="shared" si="1"/>
        <v>-33821.579147125129</v>
      </c>
      <c r="L13" s="175">
        <f t="shared" si="1"/>
        <v>-65936.180776094639</v>
      </c>
      <c r="M13" s="175">
        <f t="shared" si="1"/>
        <v>271799.59071610408</v>
      </c>
      <c r="N13" s="175">
        <f t="shared" ref="N13:Y13" si="2">SUM(N8:N12)</f>
        <v>-118411.43461354959</v>
      </c>
      <c r="O13" s="175">
        <f t="shared" si="2"/>
        <v>-124817.35799705729</v>
      </c>
      <c r="P13" s="175">
        <f t="shared" si="2"/>
        <v>-107364.49436661406</v>
      </c>
      <c r="Q13" s="175">
        <f t="shared" si="2"/>
        <v>-59547.450047883234</v>
      </c>
      <c r="R13" s="175">
        <f t="shared" si="2"/>
        <v>-27473.776058732808</v>
      </c>
      <c r="S13" s="175">
        <f t="shared" si="2"/>
        <v>-21573.795540215728</v>
      </c>
      <c r="T13" s="175">
        <f t="shared" si="2"/>
        <v>-20314.200164527054</v>
      </c>
      <c r="U13" s="175">
        <f t="shared" si="2"/>
        <v>-20076.217815165921</v>
      </c>
      <c r="V13" s="175">
        <f t="shared" si="2"/>
        <v>-21085.364384314973</v>
      </c>
      <c r="W13" s="175">
        <f t="shared" si="2"/>
        <v>-24988.429739554016</v>
      </c>
      <c r="X13" s="175">
        <f t="shared" si="2"/>
        <v>-33650.48806337409</v>
      </c>
      <c r="Y13" s="175">
        <f t="shared" si="2"/>
        <v>85568.694869292536</v>
      </c>
      <c r="Z13" s="175">
        <f t="shared" ref="Z13:BI13" si="3">SUM(Z8:Z12)</f>
        <v>-21569.023905412814</v>
      </c>
      <c r="AA13" s="175">
        <f t="shared" si="3"/>
        <v>-18514.221260990358</v>
      </c>
      <c r="AB13" s="175">
        <f t="shared" si="3"/>
        <v>-17474.850329217526</v>
      </c>
      <c r="AC13" s="175">
        <f t="shared" si="3"/>
        <v>-13155.590838147111</v>
      </c>
      <c r="AD13" s="175">
        <f t="shared" si="3"/>
        <v>-9003.5701263839273</v>
      </c>
      <c r="AE13" s="175">
        <f t="shared" si="3"/>
        <v>-4190.4353883092026</v>
      </c>
      <c r="AF13" s="175">
        <f t="shared" si="3"/>
        <v>-3116.2308195090595</v>
      </c>
      <c r="AG13" s="175">
        <f t="shared" si="3"/>
        <v>-3440.1886908414162</v>
      </c>
      <c r="AH13" s="175">
        <f t="shared" si="3"/>
        <v>-3993.9658559592694</v>
      </c>
      <c r="AI13" s="175">
        <f t="shared" si="3"/>
        <v>-6257.2846404522588</v>
      </c>
      <c r="AJ13" s="175">
        <f t="shared" si="3"/>
        <v>-15772.253836399326</v>
      </c>
      <c r="AK13" s="175">
        <f t="shared" si="3"/>
        <v>-24374.318798935474</v>
      </c>
      <c r="AL13" s="175">
        <f t="shared" si="3"/>
        <v>0</v>
      </c>
      <c r="AM13" s="175">
        <f t="shared" si="3"/>
        <v>0</v>
      </c>
      <c r="AN13" s="175">
        <f t="shared" si="3"/>
        <v>0</v>
      </c>
      <c r="AO13" s="175">
        <f t="shared" si="3"/>
        <v>0</v>
      </c>
      <c r="AP13" s="175">
        <f t="shared" si="3"/>
        <v>0</v>
      </c>
      <c r="AQ13" s="175">
        <f t="shared" si="3"/>
        <v>0</v>
      </c>
      <c r="AR13" s="175">
        <f t="shared" si="3"/>
        <v>0</v>
      </c>
      <c r="AS13" s="175">
        <f t="shared" si="3"/>
        <v>0</v>
      </c>
      <c r="AT13" s="175">
        <f t="shared" si="3"/>
        <v>0</v>
      </c>
      <c r="AU13" s="175">
        <f t="shared" si="3"/>
        <v>0</v>
      </c>
      <c r="AV13" s="175">
        <f t="shared" si="3"/>
        <v>0</v>
      </c>
      <c r="AW13" s="175">
        <f t="shared" si="3"/>
        <v>0</v>
      </c>
      <c r="AX13" s="7">
        <f t="shared" si="3"/>
        <v>0</v>
      </c>
      <c r="AY13" s="7">
        <f t="shared" si="3"/>
        <v>0</v>
      </c>
      <c r="AZ13" s="7">
        <f t="shared" si="3"/>
        <v>0</v>
      </c>
      <c r="BA13" s="7">
        <f t="shared" si="3"/>
        <v>0</v>
      </c>
      <c r="BB13" s="7">
        <f t="shared" si="3"/>
        <v>0</v>
      </c>
      <c r="BC13" s="7">
        <f t="shared" si="3"/>
        <v>0</v>
      </c>
      <c r="BD13" s="7">
        <f t="shared" si="3"/>
        <v>0</v>
      </c>
      <c r="BE13" s="7">
        <f t="shared" si="3"/>
        <v>0</v>
      </c>
      <c r="BF13" s="7">
        <f t="shared" si="3"/>
        <v>0</v>
      </c>
      <c r="BG13" s="7">
        <f t="shared" si="3"/>
        <v>0</v>
      </c>
      <c r="BH13" s="7">
        <f t="shared" si="3"/>
        <v>0</v>
      </c>
      <c r="BI13" s="7">
        <f t="shared" si="3"/>
        <v>0</v>
      </c>
      <c r="BK13" s="4"/>
    </row>
    <row r="14" spans="1:69" x14ac:dyDescent="0.25">
      <c r="A14" s="106"/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K14" s="4"/>
    </row>
    <row r="15" spans="1:69" x14ac:dyDescent="0.25">
      <c r="A15" s="106" t="s">
        <v>101</v>
      </c>
      <c r="B15" s="176">
        <v>0</v>
      </c>
      <c r="C15" s="176">
        <f>B17</f>
        <v>0</v>
      </c>
      <c r="D15" s="176">
        <f t="shared" ref="D15:BI15" si="4">C17</f>
        <v>0</v>
      </c>
      <c r="E15" s="176">
        <f t="shared" si="4"/>
        <v>670100.59314000001</v>
      </c>
      <c r="F15" s="176">
        <f t="shared" si="4"/>
        <v>612006.58501558274</v>
      </c>
      <c r="G15" s="176">
        <f t="shared" si="4"/>
        <v>553754.63891892799</v>
      </c>
      <c r="H15" s="176">
        <f t="shared" si="4"/>
        <v>511044.54944660753</v>
      </c>
      <c r="I15" s="176">
        <f t="shared" si="4"/>
        <v>485929.53404642479</v>
      </c>
      <c r="J15" s="176">
        <f t="shared" si="4"/>
        <v>462069.63919968676</v>
      </c>
      <c r="K15" s="176">
        <f t="shared" si="4"/>
        <v>436709.25603955815</v>
      </c>
      <c r="L15" s="176">
        <f t="shared" si="4"/>
        <v>402887.67689243302</v>
      </c>
      <c r="M15" s="176">
        <f t="shared" si="4"/>
        <v>336951.49611633841</v>
      </c>
      <c r="N15" s="176">
        <f t="shared" si="4"/>
        <v>608751.08683244255</v>
      </c>
      <c r="O15" s="176">
        <f t="shared" si="4"/>
        <v>490339.65221889294</v>
      </c>
      <c r="P15" s="176">
        <f t="shared" si="4"/>
        <v>365522.29422183568</v>
      </c>
      <c r="Q15" s="176">
        <f t="shared" si="4"/>
        <v>258157.79985522162</v>
      </c>
      <c r="R15" s="176">
        <f t="shared" si="4"/>
        <v>198610.34980733838</v>
      </c>
      <c r="S15" s="176">
        <f t="shared" si="4"/>
        <v>171136.57374860556</v>
      </c>
      <c r="T15" s="176">
        <f t="shared" si="4"/>
        <v>149562.77820838982</v>
      </c>
      <c r="U15" s="176">
        <f t="shared" si="4"/>
        <v>129248.57804386277</v>
      </c>
      <c r="V15" s="176">
        <f t="shared" si="4"/>
        <v>109172.36022869685</v>
      </c>
      <c r="W15" s="176">
        <f t="shared" si="4"/>
        <v>88086.995844381876</v>
      </c>
      <c r="X15" s="176">
        <f t="shared" si="4"/>
        <v>63098.566104827856</v>
      </c>
      <c r="Y15" s="176">
        <f t="shared" si="4"/>
        <v>29448.078041453766</v>
      </c>
      <c r="Z15" s="176">
        <f t="shared" si="4"/>
        <v>115016.77291074631</v>
      </c>
      <c r="AA15" s="176">
        <f t="shared" si="4"/>
        <v>93447.749005333491</v>
      </c>
      <c r="AB15" s="176">
        <f t="shared" si="4"/>
        <v>74933.527744343126</v>
      </c>
      <c r="AC15" s="176">
        <f t="shared" si="4"/>
        <v>57458.677415125596</v>
      </c>
      <c r="AD15" s="176">
        <f t="shared" si="4"/>
        <v>44303.086576978487</v>
      </c>
      <c r="AE15" s="176">
        <f t="shared" si="4"/>
        <v>35299.516450594558</v>
      </c>
      <c r="AF15" s="176">
        <f t="shared" si="4"/>
        <v>31109.081062285353</v>
      </c>
      <c r="AG15" s="176">
        <f t="shared" si="4"/>
        <v>27992.850242776294</v>
      </c>
      <c r="AH15" s="176">
        <f t="shared" si="4"/>
        <v>24552.661551934878</v>
      </c>
      <c r="AI15" s="176">
        <f t="shared" si="4"/>
        <v>20558.69569597561</v>
      </c>
      <c r="AJ15" s="176">
        <f t="shared" si="4"/>
        <v>14301.411055523351</v>
      </c>
      <c r="AK15" s="176">
        <f t="shared" si="4"/>
        <v>-1470.8427808759752</v>
      </c>
      <c r="AL15" s="176">
        <f t="shared" si="4"/>
        <v>-25845.161579811451</v>
      </c>
      <c r="AM15" s="176">
        <f t="shared" si="4"/>
        <v>-25845.161579811451</v>
      </c>
      <c r="AN15" s="176">
        <f t="shared" si="4"/>
        <v>-25845.161579811451</v>
      </c>
      <c r="AO15" s="176">
        <f t="shared" si="4"/>
        <v>-25845.161579811451</v>
      </c>
      <c r="AP15" s="176">
        <f t="shared" si="4"/>
        <v>-25845.161579811451</v>
      </c>
      <c r="AQ15" s="176">
        <f t="shared" si="4"/>
        <v>-25845.161579811451</v>
      </c>
      <c r="AR15" s="176">
        <f t="shared" si="4"/>
        <v>-25845.161579811451</v>
      </c>
      <c r="AS15" s="176">
        <f t="shared" si="4"/>
        <v>-25845.161579811451</v>
      </c>
      <c r="AT15" s="176">
        <f t="shared" si="4"/>
        <v>-25845.161579811451</v>
      </c>
      <c r="AU15" s="176">
        <f t="shared" si="4"/>
        <v>-25845.161579811451</v>
      </c>
      <c r="AV15" s="176">
        <f t="shared" si="4"/>
        <v>-25845.161579811451</v>
      </c>
      <c r="AW15" s="176">
        <f t="shared" si="4"/>
        <v>-25845.161579811451</v>
      </c>
      <c r="AX15" s="35">
        <f t="shared" si="4"/>
        <v>-25845.161579811451</v>
      </c>
      <c r="AY15" s="35">
        <f t="shared" si="4"/>
        <v>-25845.161579811451</v>
      </c>
      <c r="AZ15" s="35">
        <f t="shared" si="4"/>
        <v>-25845.161579811451</v>
      </c>
      <c r="BA15" s="35">
        <f t="shared" si="4"/>
        <v>-25845.161579811451</v>
      </c>
      <c r="BB15" s="35">
        <f t="shared" si="4"/>
        <v>-25845.161579811451</v>
      </c>
      <c r="BC15" s="35">
        <f t="shared" si="4"/>
        <v>-25845.161579811451</v>
      </c>
      <c r="BD15" s="35">
        <f t="shared" si="4"/>
        <v>-25845.161579811451</v>
      </c>
      <c r="BE15" s="35">
        <f t="shared" si="4"/>
        <v>-25845.161579811451</v>
      </c>
      <c r="BF15" s="35">
        <f t="shared" si="4"/>
        <v>-25845.161579811451</v>
      </c>
      <c r="BG15" s="35">
        <f t="shared" si="4"/>
        <v>-25845.161579811451</v>
      </c>
      <c r="BH15" s="35">
        <f t="shared" si="4"/>
        <v>-25845.161579811451</v>
      </c>
      <c r="BI15" s="35">
        <f t="shared" si="4"/>
        <v>-25845.161579811451</v>
      </c>
      <c r="BJ15" s="160"/>
      <c r="BK15" s="7"/>
    </row>
    <row r="16" spans="1:69" x14ac:dyDescent="0.25">
      <c r="A16" s="106" t="s">
        <v>102</v>
      </c>
      <c r="B16" s="174">
        <f>B15+B13</f>
        <v>0</v>
      </c>
      <c r="C16" s="174">
        <f t="shared" ref="C16" si="5">C15+C13</f>
        <v>0</v>
      </c>
      <c r="D16" s="174">
        <f>D13</f>
        <v>670100.59314000001</v>
      </c>
      <c r="E16" s="174">
        <f t="shared" ref="E16:BI16" si="6">E13</f>
        <v>-58094.008124417276</v>
      </c>
      <c r="F16" s="174">
        <f t="shared" si="6"/>
        <v>-58251.946096654712</v>
      </c>
      <c r="G16" s="174">
        <f t="shared" si="6"/>
        <v>-42710.089472320447</v>
      </c>
      <c r="H16" s="174">
        <f t="shared" si="6"/>
        <v>-25115.01540018275</v>
      </c>
      <c r="I16" s="174">
        <f t="shared" si="6"/>
        <v>-23859.894846738014</v>
      </c>
      <c r="J16" s="174">
        <f t="shared" si="6"/>
        <v>-25360.383160128622</v>
      </c>
      <c r="K16" s="174">
        <f t="shared" si="6"/>
        <v>-33821.579147125129</v>
      </c>
      <c r="L16" s="174">
        <f t="shared" si="6"/>
        <v>-65936.180776094639</v>
      </c>
      <c r="M16" s="174">
        <f t="shared" si="6"/>
        <v>271799.59071610408</v>
      </c>
      <c r="N16" s="174">
        <f t="shared" si="6"/>
        <v>-118411.43461354959</v>
      </c>
      <c r="O16" s="174">
        <f t="shared" si="6"/>
        <v>-124817.35799705729</v>
      </c>
      <c r="P16" s="174">
        <f t="shared" si="6"/>
        <v>-107364.49436661406</v>
      </c>
      <c r="Q16" s="174">
        <f t="shared" si="6"/>
        <v>-59547.450047883234</v>
      </c>
      <c r="R16" s="174">
        <f t="shared" si="6"/>
        <v>-27473.776058732808</v>
      </c>
      <c r="S16" s="174">
        <f t="shared" si="6"/>
        <v>-21573.795540215728</v>
      </c>
      <c r="T16" s="174">
        <f t="shared" si="6"/>
        <v>-20314.200164527054</v>
      </c>
      <c r="U16" s="174">
        <f t="shared" si="6"/>
        <v>-20076.217815165921</v>
      </c>
      <c r="V16" s="174">
        <f t="shared" si="6"/>
        <v>-21085.364384314973</v>
      </c>
      <c r="W16" s="174">
        <f t="shared" si="6"/>
        <v>-24988.429739554016</v>
      </c>
      <c r="X16" s="174">
        <f t="shared" si="6"/>
        <v>-33650.48806337409</v>
      </c>
      <c r="Y16" s="174">
        <f t="shared" si="6"/>
        <v>85568.694869292536</v>
      </c>
      <c r="Z16" s="174">
        <f t="shared" si="6"/>
        <v>-21569.023905412814</v>
      </c>
      <c r="AA16" s="174">
        <f t="shared" si="6"/>
        <v>-18514.221260990358</v>
      </c>
      <c r="AB16" s="174">
        <f t="shared" si="6"/>
        <v>-17474.850329217526</v>
      </c>
      <c r="AC16" s="174">
        <f t="shared" si="6"/>
        <v>-13155.590838147111</v>
      </c>
      <c r="AD16" s="174">
        <f t="shared" si="6"/>
        <v>-9003.5701263839273</v>
      </c>
      <c r="AE16" s="174">
        <f t="shared" si="6"/>
        <v>-4190.4353883092026</v>
      </c>
      <c r="AF16" s="174">
        <f t="shared" si="6"/>
        <v>-3116.2308195090595</v>
      </c>
      <c r="AG16" s="174">
        <f t="shared" si="6"/>
        <v>-3440.1886908414162</v>
      </c>
      <c r="AH16" s="174">
        <f t="shared" si="6"/>
        <v>-3993.9658559592694</v>
      </c>
      <c r="AI16" s="174">
        <f t="shared" si="6"/>
        <v>-6257.2846404522588</v>
      </c>
      <c r="AJ16" s="174">
        <f t="shared" si="6"/>
        <v>-15772.253836399326</v>
      </c>
      <c r="AK16" s="174">
        <f t="shared" si="6"/>
        <v>-24374.318798935474</v>
      </c>
      <c r="AL16" s="174">
        <f t="shared" si="6"/>
        <v>0</v>
      </c>
      <c r="AM16" s="174">
        <f t="shared" si="6"/>
        <v>0</v>
      </c>
      <c r="AN16" s="174">
        <f t="shared" si="6"/>
        <v>0</v>
      </c>
      <c r="AO16" s="174">
        <f t="shared" si="6"/>
        <v>0</v>
      </c>
      <c r="AP16" s="174">
        <f t="shared" si="6"/>
        <v>0</v>
      </c>
      <c r="AQ16" s="174">
        <f t="shared" si="6"/>
        <v>0</v>
      </c>
      <c r="AR16" s="174">
        <f t="shared" si="6"/>
        <v>0</v>
      </c>
      <c r="AS16" s="174">
        <f t="shared" si="6"/>
        <v>0</v>
      </c>
      <c r="AT16" s="174">
        <f t="shared" si="6"/>
        <v>0</v>
      </c>
      <c r="AU16" s="174">
        <f t="shared" si="6"/>
        <v>0</v>
      </c>
      <c r="AV16" s="174">
        <f t="shared" si="6"/>
        <v>0</v>
      </c>
      <c r="AW16" s="174">
        <f t="shared" si="6"/>
        <v>0</v>
      </c>
      <c r="AX16" s="30">
        <f t="shared" si="6"/>
        <v>0</v>
      </c>
      <c r="AY16" s="30">
        <f t="shared" si="6"/>
        <v>0</v>
      </c>
      <c r="AZ16" s="30">
        <f t="shared" si="6"/>
        <v>0</v>
      </c>
      <c r="BA16" s="30">
        <f t="shared" si="6"/>
        <v>0</v>
      </c>
      <c r="BB16" s="30">
        <f t="shared" si="6"/>
        <v>0</v>
      </c>
      <c r="BC16" s="30">
        <f t="shared" si="6"/>
        <v>0</v>
      </c>
      <c r="BD16" s="30">
        <f t="shared" si="6"/>
        <v>0</v>
      </c>
      <c r="BE16" s="30">
        <f t="shared" si="6"/>
        <v>0</v>
      </c>
      <c r="BF16" s="30">
        <f t="shared" si="6"/>
        <v>0</v>
      </c>
      <c r="BG16" s="30">
        <f t="shared" si="6"/>
        <v>0</v>
      </c>
      <c r="BH16" s="30">
        <f t="shared" si="6"/>
        <v>0</v>
      </c>
      <c r="BI16" s="30">
        <f t="shared" si="6"/>
        <v>0</v>
      </c>
      <c r="BJ16" s="160"/>
      <c r="BK16" s="7"/>
    </row>
    <row r="17" spans="1:63" x14ac:dyDescent="0.25">
      <c r="A17" s="106" t="s">
        <v>103</v>
      </c>
      <c r="B17" s="175">
        <f>SUM(B15:B16)</f>
        <v>0</v>
      </c>
      <c r="C17" s="175">
        <f t="shared" ref="C17" si="7">SUM(C15:C16)</f>
        <v>0</v>
      </c>
      <c r="D17" s="175">
        <f t="shared" ref="D17:BI17" si="8">SUM(D15:D16)</f>
        <v>670100.59314000001</v>
      </c>
      <c r="E17" s="175">
        <f t="shared" si="8"/>
        <v>612006.58501558274</v>
      </c>
      <c r="F17" s="175">
        <f t="shared" si="8"/>
        <v>553754.63891892799</v>
      </c>
      <c r="G17" s="175">
        <f t="shared" si="8"/>
        <v>511044.54944660753</v>
      </c>
      <c r="H17" s="175">
        <f t="shared" si="8"/>
        <v>485929.53404642479</v>
      </c>
      <c r="I17" s="175">
        <f t="shared" si="8"/>
        <v>462069.63919968676</v>
      </c>
      <c r="J17" s="175">
        <f t="shared" si="8"/>
        <v>436709.25603955815</v>
      </c>
      <c r="K17" s="175">
        <f t="shared" si="8"/>
        <v>402887.67689243302</v>
      </c>
      <c r="L17" s="175">
        <f t="shared" si="8"/>
        <v>336951.49611633841</v>
      </c>
      <c r="M17" s="175">
        <f t="shared" si="8"/>
        <v>608751.08683244255</v>
      </c>
      <c r="N17" s="175">
        <f t="shared" si="8"/>
        <v>490339.65221889294</v>
      </c>
      <c r="O17" s="175">
        <f t="shared" si="8"/>
        <v>365522.29422183568</v>
      </c>
      <c r="P17" s="175">
        <f t="shared" si="8"/>
        <v>258157.79985522162</v>
      </c>
      <c r="Q17" s="175">
        <f t="shared" si="8"/>
        <v>198610.34980733838</v>
      </c>
      <c r="R17" s="175">
        <f t="shared" si="8"/>
        <v>171136.57374860556</v>
      </c>
      <c r="S17" s="175">
        <f t="shared" si="8"/>
        <v>149562.77820838982</v>
      </c>
      <c r="T17" s="175">
        <f t="shared" si="8"/>
        <v>129248.57804386277</v>
      </c>
      <c r="U17" s="175">
        <f t="shared" si="8"/>
        <v>109172.36022869685</v>
      </c>
      <c r="V17" s="175">
        <f t="shared" si="8"/>
        <v>88086.995844381876</v>
      </c>
      <c r="W17" s="175">
        <f t="shared" si="8"/>
        <v>63098.566104827856</v>
      </c>
      <c r="X17" s="175">
        <f t="shared" si="8"/>
        <v>29448.078041453766</v>
      </c>
      <c r="Y17" s="175">
        <f t="shared" si="8"/>
        <v>115016.77291074631</v>
      </c>
      <c r="Z17" s="175">
        <f t="shared" si="8"/>
        <v>93447.749005333491</v>
      </c>
      <c r="AA17" s="175">
        <f t="shared" si="8"/>
        <v>74933.527744343126</v>
      </c>
      <c r="AB17" s="175">
        <f t="shared" si="8"/>
        <v>57458.677415125596</v>
      </c>
      <c r="AC17" s="175">
        <f t="shared" si="8"/>
        <v>44303.086576978487</v>
      </c>
      <c r="AD17" s="175">
        <f t="shared" si="8"/>
        <v>35299.516450594558</v>
      </c>
      <c r="AE17" s="175">
        <f t="shared" si="8"/>
        <v>31109.081062285353</v>
      </c>
      <c r="AF17" s="175">
        <f t="shared" si="8"/>
        <v>27992.850242776294</v>
      </c>
      <c r="AG17" s="175">
        <f t="shared" si="8"/>
        <v>24552.661551934878</v>
      </c>
      <c r="AH17" s="175">
        <f t="shared" si="8"/>
        <v>20558.69569597561</v>
      </c>
      <c r="AI17" s="175">
        <f t="shared" si="8"/>
        <v>14301.411055523351</v>
      </c>
      <c r="AJ17" s="175">
        <f t="shared" si="8"/>
        <v>-1470.8427808759752</v>
      </c>
      <c r="AK17" s="175">
        <f t="shared" si="8"/>
        <v>-25845.161579811451</v>
      </c>
      <c r="AL17" s="175">
        <f t="shared" si="8"/>
        <v>-25845.161579811451</v>
      </c>
      <c r="AM17" s="175">
        <f t="shared" si="8"/>
        <v>-25845.161579811451</v>
      </c>
      <c r="AN17" s="175">
        <f t="shared" si="8"/>
        <v>-25845.161579811451</v>
      </c>
      <c r="AO17" s="175">
        <f t="shared" si="8"/>
        <v>-25845.161579811451</v>
      </c>
      <c r="AP17" s="175">
        <f t="shared" si="8"/>
        <v>-25845.161579811451</v>
      </c>
      <c r="AQ17" s="175">
        <f t="shared" si="8"/>
        <v>-25845.161579811451</v>
      </c>
      <c r="AR17" s="175">
        <f t="shared" si="8"/>
        <v>-25845.161579811451</v>
      </c>
      <c r="AS17" s="175">
        <f t="shared" si="8"/>
        <v>-25845.161579811451</v>
      </c>
      <c r="AT17" s="175">
        <f t="shared" si="8"/>
        <v>-25845.161579811451</v>
      </c>
      <c r="AU17" s="175">
        <f t="shared" si="8"/>
        <v>-25845.161579811451</v>
      </c>
      <c r="AV17" s="175">
        <f t="shared" si="8"/>
        <v>-25845.161579811451</v>
      </c>
      <c r="AW17" s="175">
        <f t="shared" si="8"/>
        <v>-25845.161579811451</v>
      </c>
      <c r="AX17" s="7">
        <f t="shared" si="8"/>
        <v>-25845.161579811451</v>
      </c>
      <c r="AY17" s="7">
        <f t="shared" si="8"/>
        <v>-25845.161579811451</v>
      </c>
      <c r="AZ17" s="7">
        <f t="shared" si="8"/>
        <v>-25845.161579811451</v>
      </c>
      <c r="BA17" s="7">
        <f t="shared" si="8"/>
        <v>-25845.161579811451</v>
      </c>
      <c r="BB17" s="7">
        <f t="shared" si="8"/>
        <v>-25845.161579811451</v>
      </c>
      <c r="BC17" s="7">
        <f t="shared" si="8"/>
        <v>-25845.161579811451</v>
      </c>
      <c r="BD17" s="7">
        <f t="shared" si="8"/>
        <v>-25845.161579811451</v>
      </c>
      <c r="BE17" s="7">
        <f t="shared" si="8"/>
        <v>-25845.161579811451</v>
      </c>
      <c r="BF17" s="7">
        <f t="shared" si="8"/>
        <v>-25845.161579811451</v>
      </c>
      <c r="BG17" s="7">
        <f t="shared" si="8"/>
        <v>-25845.161579811451</v>
      </c>
      <c r="BH17" s="7">
        <f t="shared" si="8"/>
        <v>-25845.161579811451</v>
      </c>
      <c r="BI17" s="7">
        <f t="shared" si="8"/>
        <v>-25845.161579811451</v>
      </c>
      <c r="BJ17" s="160"/>
      <c r="BK17" s="7"/>
    </row>
    <row r="18" spans="1:63" x14ac:dyDescent="0.25">
      <c r="A18" s="106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160"/>
      <c r="BK18" s="7"/>
    </row>
    <row r="19" spans="1:63" x14ac:dyDescent="0.25">
      <c r="A19" s="106" t="s">
        <v>104</v>
      </c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160"/>
      <c r="BK19" s="7"/>
    </row>
    <row r="20" spans="1:63" x14ac:dyDescent="0.25">
      <c r="A20" s="106" t="s">
        <v>16</v>
      </c>
      <c r="B20" s="177">
        <v>5.7000000000000002E-3</v>
      </c>
      <c r="C20" s="177">
        <v>5.7000000000000002E-3</v>
      </c>
      <c r="D20" s="177">
        <v>5.7000000000000002E-3</v>
      </c>
      <c r="E20" s="177">
        <v>5.7000000000000002E-3</v>
      </c>
      <c r="F20" s="177">
        <v>5.7000000000000002E-3</v>
      </c>
      <c r="G20" s="177">
        <v>5.7000000000000002E-3</v>
      </c>
      <c r="H20" s="177">
        <v>5.7000000000000002E-3</v>
      </c>
      <c r="I20" s="177">
        <v>5.7000000000000002E-3</v>
      </c>
      <c r="J20" s="177">
        <v>5.7000000000000002E-3</v>
      </c>
      <c r="K20" s="177">
        <v>5.7000000000000002E-3</v>
      </c>
      <c r="L20" s="177">
        <v>5.7000000000000002E-3</v>
      </c>
      <c r="M20" s="177">
        <v>5.7000000000000002E-3</v>
      </c>
      <c r="N20" s="177">
        <v>5.7000000000000002E-3</v>
      </c>
      <c r="O20" s="177">
        <v>5.7000000000000002E-3</v>
      </c>
      <c r="P20" s="177">
        <v>5.7000000000000002E-3</v>
      </c>
      <c r="Q20" s="177">
        <v>1.0200000000000001E-2</v>
      </c>
      <c r="R20" s="177">
        <v>1.0200000000000001E-2</v>
      </c>
      <c r="S20" s="177">
        <v>1.0200000000000001E-2</v>
      </c>
      <c r="T20" s="177">
        <v>2.1999999999999999E-2</v>
      </c>
      <c r="U20" s="177">
        <v>2.1999999999999999E-2</v>
      </c>
      <c r="V20" s="177">
        <v>2.1999999999999999E-2</v>
      </c>
      <c r="W20" s="177">
        <v>3.8699999999999998E-2</v>
      </c>
      <c r="X20" s="177">
        <v>3.8699999999999998E-2</v>
      </c>
      <c r="Y20" s="177">
        <v>3.8699999999999998E-2</v>
      </c>
      <c r="Z20" s="177">
        <v>4.7300000000000002E-2</v>
      </c>
      <c r="AA20" s="177">
        <v>4.7300000000000002E-2</v>
      </c>
      <c r="AB20" s="177">
        <v>4.7300000000000002E-2</v>
      </c>
      <c r="AC20" s="177">
        <v>4.9799999999999997E-2</v>
      </c>
      <c r="AD20" s="177">
        <v>4.9799999999999997E-2</v>
      </c>
      <c r="AE20" s="177">
        <v>4.9799999999999997E-2</v>
      </c>
      <c r="AF20" s="177">
        <v>4.9799999999999997E-2</v>
      </c>
      <c r="AG20" s="177">
        <v>4.9799999999999997E-2</v>
      </c>
      <c r="AH20" s="177">
        <v>4.9799999999999997E-2</v>
      </c>
      <c r="AI20" s="177">
        <v>5.4899999999999997E-2</v>
      </c>
      <c r="AJ20" s="177">
        <v>5.4899999999999997E-2</v>
      </c>
      <c r="AK20" s="177">
        <v>5.4899999999999997E-2</v>
      </c>
      <c r="AL20" s="177">
        <v>5.4899999999999997E-2</v>
      </c>
      <c r="AM20" s="177">
        <v>5.4899999999999997E-2</v>
      </c>
      <c r="AN20" s="177">
        <v>5.4899999999999997E-2</v>
      </c>
      <c r="AO20" s="177">
        <v>5.4899999999999997E-2</v>
      </c>
      <c r="AP20" s="177">
        <v>5.4899999999999997E-2</v>
      </c>
      <c r="AQ20" s="177">
        <v>5.4899999999999997E-2</v>
      </c>
      <c r="AR20" s="177">
        <v>5.1999999999999998E-2</v>
      </c>
      <c r="AS20" s="177">
        <v>5.1999999999999998E-2</v>
      </c>
      <c r="AT20" s="177">
        <v>5.1999999999999998E-2</v>
      </c>
      <c r="AU20" s="177">
        <v>4.3999999999999997E-2</v>
      </c>
      <c r="AV20" s="177">
        <v>4.3999999999999997E-2</v>
      </c>
      <c r="AW20" s="177">
        <v>4.3999999999999997E-2</v>
      </c>
      <c r="AX20" s="93">
        <v>3.6400000000000002E-2</v>
      </c>
      <c r="AY20" s="93">
        <v>3.6400000000000002E-2</v>
      </c>
      <c r="AZ20" s="93">
        <v>3.6400000000000002E-2</v>
      </c>
      <c r="BA20" s="93">
        <v>3.1600000000000003E-2</v>
      </c>
      <c r="BB20" s="93">
        <v>3.1600000000000003E-2</v>
      </c>
      <c r="BC20" s="93">
        <v>3.1600000000000003E-2</v>
      </c>
      <c r="BD20" s="93">
        <v>2.9100000000000001E-2</v>
      </c>
      <c r="BE20" s="93">
        <v>2.9100000000000001E-2</v>
      </c>
      <c r="BF20" s="93">
        <v>2.9100000000000001E-2</v>
      </c>
      <c r="BG20" s="93">
        <v>2.9100000000000001E-2</v>
      </c>
      <c r="BH20" s="93">
        <v>2.9100000000000001E-2</v>
      </c>
      <c r="BI20" s="93">
        <v>2.9100000000000001E-2</v>
      </c>
      <c r="BJ20" s="160"/>
      <c r="BK20" s="36">
        <f>(Summary!D6+Summary!E6+Summary!F6+Summary!G6)/4</f>
        <v>2.5499999999999998E-2</v>
      </c>
    </row>
    <row r="21" spans="1:63" x14ac:dyDescent="0.25">
      <c r="A21" s="106"/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160"/>
      <c r="BK21" s="7"/>
    </row>
    <row r="22" spans="1:63" x14ac:dyDescent="0.25">
      <c r="A22" s="106" t="s">
        <v>17</v>
      </c>
      <c r="B22" s="176">
        <v>0</v>
      </c>
      <c r="C22" s="176">
        <f>B24</f>
        <v>0</v>
      </c>
      <c r="D22" s="176">
        <f t="shared" ref="D22" si="9">C24</f>
        <v>0</v>
      </c>
      <c r="E22" s="176">
        <f t="shared" ref="E22" si="10">D24</f>
        <v>0</v>
      </c>
      <c r="F22" s="176">
        <f t="shared" ref="F22" si="11">E24</f>
        <v>318.29778174150005</v>
      </c>
      <c r="G22" s="176">
        <f t="shared" ref="G22" si="12">F24</f>
        <v>609.00090962390186</v>
      </c>
      <c r="H22" s="176">
        <f t="shared" ref="H22" si="13">G24</f>
        <v>872.03436311039263</v>
      </c>
      <c r="I22" s="176">
        <f t="shared" ref="I22" si="14">H24</f>
        <v>1114.7805240975313</v>
      </c>
      <c r="J22" s="176">
        <f t="shared" ref="J22" si="15">I24</f>
        <v>1345.5970527695831</v>
      </c>
      <c r="K22" s="176">
        <f t="shared" ref="K22" si="16">J24</f>
        <v>1565.0801313894344</v>
      </c>
      <c r="L22" s="176">
        <f t="shared" ref="L22" si="17">K24</f>
        <v>1772.5170280082245</v>
      </c>
      <c r="M22" s="176">
        <f t="shared" ref="M22" si="18">L24</f>
        <v>1963.8886745321302</v>
      </c>
      <c r="N22" s="176">
        <f>M24</f>
        <v>2123.9406351873909</v>
      </c>
      <c r="O22" s="176">
        <f>N24</f>
        <v>2413.0974014328012</v>
      </c>
      <c r="P22" s="176">
        <f t="shared" ref="P22" si="19">O24</f>
        <v>2646.0087362367753</v>
      </c>
      <c r="Q22" s="176">
        <f t="shared" ref="Q22" si="20">P24</f>
        <v>2819.6318259921472</v>
      </c>
      <c r="R22" s="176">
        <f t="shared" ref="R22" si="21">Q24</f>
        <v>3039.0659558690854</v>
      </c>
      <c r="S22" s="176">
        <f t="shared" ref="S22" si="22">R24</f>
        <v>3207.8847532053232</v>
      </c>
      <c r="T22" s="176">
        <f t="shared" ref="T22" si="23">S24</f>
        <v>3353.3508408916382</v>
      </c>
      <c r="U22" s="176">
        <f t="shared" ref="U22" si="24">T24</f>
        <v>3627.5492676070194</v>
      </c>
      <c r="V22" s="176">
        <f t="shared" ref="V22" si="25">U24</f>
        <v>3864.5049940207678</v>
      </c>
      <c r="W22" s="176">
        <f t="shared" ref="W22" si="26">V24</f>
        <v>4064.6543211067119</v>
      </c>
      <c r="X22" s="176">
        <f t="shared" ref="X22" si="27">W24</f>
        <v>4348.7348827048436</v>
      </c>
      <c r="Y22" s="176">
        <f t="shared" ref="Y22" si="28">X24</f>
        <v>4552.2277583929135</v>
      </c>
      <c r="Z22" s="176">
        <f>Y24</f>
        <v>4647.1978100766019</v>
      </c>
      <c r="AA22" s="176">
        <f>Z24</f>
        <v>5100.5555899664605</v>
      </c>
      <c r="AB22" s="176">
        <f t="shared" ref="AB22" si="29">AA24</f>
        <v>5468.8954672958171</v>
      </c>
      <c r="AC22" s="176">
        <f t="shared" ref="AC22" si="30">AB24</f>
        <v>5764.2584558214367</v>
      </c>
      <c r="AD22" s="176">
        <f t="shared" ref="AD22" si="31">AC24</f>
        <v>6002.7119670942075</v>
      </c>
      <c r="AE22" s="176">
        <f t="shared" ref="AE22" si="32">AD24</f>
        <v>6186.5697763886683</v>
      </c>
      <c r="AF22" s="176">
        <f t="shared" ref="AF22" si="33">AE24</f>
        <v>6333.0627696586353</v>
      </c>
      <c r="AG22" s="176">
        <f t="shared" ref="AG22" si="34">AF24</f>
        <v>6462.1654560671195</v>
      </c>
      <c r="AH22" s="176">
        <f t="shared" ref="AH22" si="35">AG24</f>
        <v>6578.3357845746414</v>
      </c>
      <c r="AI22" s="176">
        <f t="shared" ref="AI22" si="36">AH24</f>
        <v>6680.2293300151714</v>
      </c>
      <c r="AJ22" s="176">
        <f t="shared" ref="AJ22" si="37">AI24</f>
        <v>6774.2853628242601</v>
      </c>
      <c r="AK22" s="176">
        <f t="shared" ref="AK22" si="38">AJ24</f>
        <v>6839.7143184032793</v>
      </c>
      <c r="AL22" s="176">
        <f>AK24</f>
        <v>6832.9852126807718</v>
      </c>
      <c r="AM22" s="176">
        <f>AL24</f>
        <v>6714.7435984531348</v>
      </c>
      <c r="AN22" s="176">
        <f t="shared" ref="AN22" si="39">AM24</f>
        <v>6596.5019842254978</v>
      </c>
      <c r="AO22" s="176">
        <f t="shared" ref="AO22" si="40">AN24</f>
        <v>6478.2603699978608</v>
      </c>
      <c r="AP22" s="176">
        <f t="shared" ref="AP22" si="41">AO24</f>
        <v>6360.0187557702238</v>
      </c>
      <c r="AQ22" s="176">
        <f t="shared" ref="AQ22" si="42">AP24</f>
        <v>6241.7771415425868</v>
      </c>
      <c r="AR22" s="176">
        <f t="shared" ref="AR22" si="43">AQ24</f>
        <v>6123.5355273149498</v>
      </c>
      <c r="AS22" s="176">
        <f t="shared" ref="AS22" si="44">AR24</f>
        <v>6011.5398271357672</v>
      </c>
      <c r="AT22" s="176">
        <f t="shared" ref="AT22" si="45">AS24</f>
        <v>5899.5441269565845</v>
      </c>
      <c r="AU22" s="176">
        <f t="shared" ref="AU22" si="46">AT24</f>
        <v>5787.5484267774018</v>
      </c>
      <c r="AV22" s="176">
        <f t="shared" ref="AV22" si="47">AU24</f>
        <v>5692.7828343180936</v>
      </c>
      <c r="AW22" s="176">
        <f t="shared" ref="AW22" si="48">AV24</f>
        <v>5598.0172418587854</v>
      </c>
      <c r="AX22" s="35">
        <f>AW24</f>
        <v>5503.2516493994772</v>
      </c>
      <c r="AY22" s="35">
        <f>AX24</f>
        <v>5424.8546592740495</v>
      </c>
      <c r="AZ22" s="35">
        <f t="shared" ref="AZ22:BI22" si="49">AY24</f>
        <v>5346.4576691486218</v>
      </c>
      <c r="BA22" s="35">
        <f t="shared" si="49"/>
        <v>5268.0606790231941</v>
      </c>
      <c r="BB22" s="35">
        <f t="shared" si="49"/>
        <v>5200.0017535296902</v>
      </c>
      <c r="BC22" s="35">
        <f t="shared" si="49"/>
        <v>5131.9428280361863</v>
      </c>
      <c r="BD22" s="35">
        <f t="shared" si="49"/>
        <v>5063.8839025426823</v>
      </c>
      <c r="BE22" s="35">
        <f t="shared" si="49"/>
        <v>5001.2093857116397</v>
      </c>
      <c r="BF22" s="35">
        <f t="shared" si="49"/>
        <v>4938.5348688805971</v>
      </c>
      <c r="BG22" s="35">
        <f t="shared" si="49"/>
        <v>4875.8603520495544</v>
      </c>
      <c r="BH22" s="35">
        <f t="shared" si="49"/>
        <v>4813.1858352185118</v>
      </c>
      <c r="BI22" s="35">
        <f t="shared" si="49"/>
        <v>4750.5113183874691</v>
      </c>
      <c r="BJ22" s="160"/>
      <c r="BK22" s="35">
        <f t="shared" ref="BK22" si="50">BI24</f>
        <v>4687.8368015564265</v>
      </c>
    </row>
    <row r="23" spans="1:63" x14ac:dyDescent="0.25">
      <c r="A23" s="106" t="s">
        <v>18</v>
      </c>
      <c r="B23" s="174">
        <f t="shared" ref="B23:M23" si="51">B15*B20/12</f>
        <v>0</v>
      </c>
      <c r="C23" s="174">
        <f t="shared" si="51"/>
        <v>0</v>
      </c>
      <c r="D23" s="174">
        <f t="shared" si="51"/>
        <v>0</v>
      </c>
      <c r="E23" s="174">
        <f t="shared" si="51"/>
        <v>318.29778174150005</v>
      </c>
      <c r="F23" s="174">
        <f t="shared" si="51"/>
        <v>290.70312788240182</v>
      </c>
      <c r="G23" s="174">
        <f t="shared" si="51"/>
        <v>263.03345348649083</v>
      </c>
      <c r="H23" s="174">
        <f t="shared" si="51"/>
        <v>242.74616098713861</v>
      </c>
      <c r="I23" s="174">
        <f t="shared" si="51"/>
        <v>230.81652867205176</v>
      </c>
      <c r="J23" s="174">
        <f t="shared" si="51"/>
        <v>219.48307861985123</v>
      </c>
      <c r="K23" s="174">
        <f t="shared" si="51"/>
        <v>207.43689661879012</v>
      </c>
      <c r="L23" s="174">
        <f t="shared" si="51"/>
        <v>191.3716465239057</v>
      </c>
      <c r="M23" s="174">
        <f t="shared" si="51"/>
        <v>160.05196065526076</v>
      </c>
      <c r="N23" s="174">
        <f t="shared" ref="N23:AW23" si="52">N15*N20/12</f>
        <v>289.15676624541021</v>
      </c>
      <c r="O23" s="174">
        <f t="shared" si="52"/>
        <v>232.91133480397414</v>
      </c>
      <c r="P23" s="174">
        <f t="shared" si="52"/>
        <v>173.62308975537198</v>
      </c>
      <c r="Q23" s="174">
        <f t="shared" si="52"/>
        <v>219.43412987693839</v>
      </c>
      <c r="R23" s="174">
        <f t="shared" si="52"/>
        <v>168.81879733623762</v>
      </c>
      <c r="S23" s="174">
        <f t="shared" si="52"/>
        <v>145.46608768631475</v>
      </c>
      <c r="T23" s="174">
        <f t="shared" si="52"/>
        <v>274.19842671538134</v>
      </c>
      <c r="U23" s="174">
        <f t="shared" si="52"/>
        <v>236.95572641374838</v>
      </c>
      <c r="V23" s="174">
        <f t="shared" si="52"/>
        <v>200.14932708594424</v>
      </c>
      <c r="W23" s="174">
        <f t="shared" si="52"/>
        <v>284.08056159813151</v>
      </c>
      <c r="X23" s="174">
        <f t="shared" si="52"/>
        <v>203.49287568806983</v>
      </c>
      <c r="Y23" s="174">
        <f t="shared" si="52"/>
        <v>94.970051683688382</v>
      </c>
      <c r="Z23" s="174">
        <f t="shared" ref="Z23:AK23" si="53">Z15*Z20/12</f>
        <v>453.35777988985842</v>
      </c>
      <c r="AA23" s="174">
        <f t="shared" si="53"/>
        <v>368.33987732935617</v>
      </c>
      <c r="AB23" s="174">
        <f t="shared" si="53"/>
        <v>295.36298852561919</v>
      </c>
      <c r="AC23" s="174">
        <f t="shared" si="53"/>
        <v>238.45351127277118</v>
      </c>
      <c r="AD23" s="174">
        <f t="shared" si="53"/>
        <v>183.85780929446071</v>
      </c>
      <c r="AE23" s="174">
        <f t="shared" si="53"/>
        <v>146.4929932699674</v>
      </c>
      <c r="AF23" s="174">
        <f t="shared" si="53"/>
        <v>129.1026864084842</v>
      </c>
      <c r="AG23" s="174">
        <f t="shared" si="53"/>
        <v>116.17032850752162</v>
      </c>
      <c r="AH23" s="174">
        <f t="shared" si="53"/>
        <v>101.89354544052973</v>
      </c>
      <c r="AI23" s="174">
        <f t="shared" si="53"/>
        <v>94.056032809088421</v>
      </c>
      <c r="AJ23" s="174">
        <f t="shared" si="53"/>
        <v>65.42895557901933</v>
      </c>
      <c r="AK23" s="174">
        <f t="shared" si="53"/>
        <v>-6.7291057225075868</v>
      </c>
      <c r="AL23" s="174">
        <f t="shared" si="52"/>
        <v>-118.24161422763738</v>
      </c>
      <c r="AM23" s="174">
        <f t="shared" si="52"/>
        <v>-118.24161422763738</v>
      </c>
      <c r="AN23" s="174">
        <f t="shared" si="52"/>
        <v>-118.24161422763738</v>
      </c>
      <c r="AO23" s="174">
        <f t="shared" si="52"/>
        <v>-118.24161422763738</v>
      </c>
      <c r="AP23" s="174">
        <f t="shared" si="52"/>
        <v>-118.24161422763738</v>
      </c>
      <c r="AQ23" s="174">
        <f t="shared" si="52"/>
        <v>-118.24161422763738</v>
      </c>
      <c r="AR23" s="174">
        <f t="shared" si="52"/>
        <v>-111.99570017918295</v>
      </c>
      <c r="AS23" s="174">
        <f t="shared" si="52"/>
        <v>-111.99570017918295</v>
      </c>
      <c r="AT23" s="174">
        <f t="shared" si="52"/>
        <v>-111.99570017918295</v>
      </c>
      <c r="AU23" s="174">
        <f t="shared" si="52"/>
        <v>-94.76559245930865</v>
      </c>
      <c r="AV23" s="174">
        <f t="shared" si="52"/>
        <v>-94.76559245930865</v>
      </c>
      <c r="AW23" s="174">
        <f t="shared" si="52"/>
        <v>-94.76559245930865</v>
      </c>
      <c r="AX23" s="30">
        <f t="shared" ref="AX23:BI23" si="54">AX15*AX20/12</f>
        <v>-78.396990125428076</v>
      </c>
      <c r="AY23" s="30">
        <f t="shared" si="54"/>
        <v>-78.396990125428076</v>
      </c>
      <c r="AZ23" s="30">
        <f t="shared" si="54"/>
        <v>-78.396990125428076</v>
      </c>
      <c r="BA23" s="30">
        <f t="shared" si="54"/>
        <v>-68.058925493503494</v>
      </c>
      <c r="BB23" s="30">
        <f t="shared" si="54"/>
        <v>-68.058925493503494</v>
      </c>
      <c r="BC23" s="30">
        <f t="shared" si="54"/>
        <v>-68.058925493503494</v>
      </c>
      <c r="BD23" s="30">
        <f t="shared" si="54"/>
        <v>-62.674516831042773</v>
      </c>
      <c r="BE23" s="30">
        <f t="shared" si="54"/>
        <v>-62.674516831042773</v>
      </c>
      <c r="BF23" s="30">
        <f t="shared" si="54"/>
        <v>-62.674516831042773</v>
      </c>
      <c r="BG23" s="30">
        <f t="shared" si="54"/>
        <v>-62.674516831042773</v>
      </c>
      <c r="BH23" s="30">
        <f t="shared" si="54"/>
        <v>-62.674516831042773</v>
      </c>
      <c r="BI23" s="30">
        <f t="shared" si="54"/>
        <v>-62.674516831042773</v>
      </c>
      <c r="BJ23" s="160"/>
      <c r="BK23" s="30">
        <f>BI17*BK20</f>
        <v>-659.05162028519192</v>
      </c>
    </row>
    <row r="24" spans="1:63" x14ac:dyDescent="0.25">
      <c r="A24" s="109" t="s">
        <v>19</v>
      </c>
      <c r="B24" s="178">
        <f>SUM(B22:B23)</f>
        <v>0</v>
      </c>
      <c r="C24" s="178">
        <f t="shared" ref="C24:M24" si="55">SUM(C22:C23)</f>
        <v>0</v>
      </c>
      <c r="D24" s="178">
        <f t="shared" si="55"/>
        <v>0</v>
      </c>
      <c r="E24" s="178">
        <f t="shared" si="55"/>
        <v>318.29778174150005</v>
      </c>
      <c r="F24" s="178">
        <f t="shared" si="55"/>
        <v>609.00090962390186</v>
      </c>
      <c r="G24" s="178">
        <f t="shared" si="55"/>
        <v>872.03436311039263</v>
      </c>
      <c r="H24" s="178">
        <f t="shared" si="55"/>
        <v>1114.7805240975313</v>
      </c>
      <c r="I24" s="178">
        <f t="shared" si="55"/>
        <v>1345.5970527695831</v>
      </c>
      <c r="J24" s="178">
        <f t="shared" si="55"/>
        <v>1565.0801313894344</v>
      </c>
      <c r="K24" s="178">
        <f t="shared" si="55"/>
        <v>1772.5170280082245</v>
      </c>
      <c r="L24" s="178">
        <f t="shared" si="55"/>
        <v>1963.8886745321302</v>
      </c>
      <c r="M24" s="178">
        <f t="shared" si="55"/>
        <v>2123.9406351873909</v>
      </c>
      <c r="N24" s="178">
        <f>SUM(N22:N23)</f>
        <v>2413.0974014328012</v>
      </c>
      <c r="O24" s="178">
        <f t="shared" ref="O24:Y24" si="56">SUM(O22:O23)</f>
        <v>2646.0087362367753</v>
      </c>
      <c r="P24" s="178">
        <f t="shared" si="56"/>
        <v>2819.6318259921472</v>
      </c>
      <c r="Q24" s="178">
        <f t="shared" si="56"/>
        <v>3039.0659558690854</v>
      </c>
      <c r="R24" s="178">
        <f t="shared" si="56"/>
        <v>3207.8847532053232</v>
      </c>
      <c r="S24" s="178">
        <f t="shared" si="56"/>
        <v>3353.3508408916382</v>
      </c>
      <c r="T24" s="178">
        <f t="shared" si="56"/>
        <v>3627.5492676070194</v>
      </c>
      <c r="U24" s="178">
        <f t="shared" si="56"/>
        <v>3864.5049940207678</v>
      </c>
      <c r="V24" s="178">
        <f t="shared" si="56"/>
        <v>4064.6543211067119</v>
      </c>
      <c r="W24" s="178">
        <f t="shared" si="56"/>
        <v>4348.7348827048436</v>
      </c>
      <c r="X24" s="178">
        <f t="shared" si="56"/>
        <v>4552.2277583929135</v>
      </c>
      <c r="Y24" s="178">
        <f t="shared" si="56"/>
        <v>4647.1978100766019</v>
      </c>
      <c r="Z24" s="178">
        <f>SUM(Z22:Z23)</f>
        <v>5100.5555899664605</v>
      </c>
      <c r="AA24" s="178">
        <f t="shared" ref="AA24:AK24" si="57">SUM(AA22:AA23)</f>
        <v>5468.8954672958171</v>
      </c>
      <c r="AB24" s="178">
        <f t="shared" si="57"/>
        <v>5764.2584558214367</v>
      </c>
      <c r="AC24" s="178">
        <f t="shared" si="57"/>
        <v>6002.7119670942075</v>
      </c>
      <c r="AD24" s="178">
        <f t="shared" si="57"/>
        <v>6186.5697763886683</v>
      </c>
      <c r="AE24" s="178">
        <f t="shared" si="57"/>
        <v>6333.0627696586353</v>
      </c>
      <c r="AF24" s="178">
        <f t="shared" si="57"/>
        <v>6462.1654560671195</v>
      </c>
      <c r="AG24" s="178">
        <f t="shared" si="57"/>
        <v>6578.3357845746414</v>
      </c>
      <c r="AH24" s="178">
        <f t="shared" si="57"/>
        <v>6680.2293300151714</v>
      </c>
      <c r="AI24" s="178">
        <f t="shared" si="57"/>
        <v>6774.2853628242601</v>
      </c>
      <c r="AJ24" s="178">
        <f t="shared" si="57"/>
        <v>6839.7143184032793</v>
      </c>
      <c r="AK24" s="178">
        <f t="shared" si="57"/>
        <v>6832.9852126807718</v>
      </c>
      <c r="AL24" s="178">
        <f>SUM(AL22:AL23)</f>
        <v>6714.7435984531348</v>
      </c>
      <c r="AM24" s="178">
        <f t="shared" ref="AM24:AW24" si="58">SUM(AM22:AM23)</f>
        <v>6596.5019842254978</v>
      </c>
      <c r="AN24" s="178">
        <f t="shared" si="58"/>
        <v>6478.2603699978608</v>
      </c>
      <c r="AO24" s="178">
        <f t="shared" si="58"/>
        <v>6360.0187557702238</v>
      </c>
      <c r="AP24" s="178">
        <f t="shared" si="58"/>
        <v>6241.7771415425868</v>
      </c>
      <c r="AQ24" s="178">
        <f t="shared" si="58"/>
        <v>6123.5355273149498</v>
      </c>
      <c r="AR24" s="178">
        <f t="shared" si="58"/>
        <v>6011.5398271357672</v>
      </c>
      <c r="AS24" s="178">
        <f t="shared" si="58"/>
        <v>5899.5441269565845</v>
      </c>
      <c r="AT24" s="178">
        <f t="shared" si="58"/>
        <v>5787.5484267774018</v>
      </c>
      <c r="AU24" s="178">
        <f t="shared" si="58"/>
        <v>5692.7828343180936</v>
      </c>
      <c r="AV24" s="178">
        <f t="shared" si="58"/>
        <v>5598.0172418587854</v>
      </c>
      <c r="AW24" s="178">
        <f t="shared" si="58"/>
        <v>5503.2516493994772</v>
      </c>
      <c r="AX24" s="10">
        <f>SUM(AX22:AX23)</f>
        <v>5424.8546592740495</v>
      </c>
      <c r="AY24" s="10">
        <f t="shared" ref="AY24:BI24" si="59">SUM(AY22:AY23)</f>
        <v>5346.4576691486218</v>
      </c>
      <c r="AZ24" s="10">
        <f t="shared" si="59"/>
        <v>5268.0606790231941</v>
      </c>
      <c r="BA24" s="10">
        <f t="shared" si="59"/>
        <v>5200.0017535296902</v>
      </c>
      <c r="BB24" s="10">
        <f t="shared" si="59"/>
        <v>5131.9428280361863</v>
      </c>
      <c r="BC24" s="10">
        <f t="shared" si="59"/>
        <v>5063.8839025426823</v>
      </c>
      <c r="BD24" s="10">
        <f t="shared" si="59"/>
        <v>5001.2093857116397</v>
      </c>
      <c r="BE24" s="10">
        <f t="shared" si="59"/>
        <v>4938.5348688805971</v>
      </c>
      <c r="BF24" s="10">
        <f t="shared" si="59"/>
        <v>4875.8603520495544</v>
      </c>
      <c r="BG24" s="10">
        <f t="shared" si="59"/>
        <v>4813.1858352185118</v>
      </c>
      <c r="BH24" s="10">
        <f t="shared" si="59"/>
        <v>4750.5113183874691</v>
      </c>
      <c r="BI24" s="10">
        <f t="shared" si="59"/>
        <v>4687.8368015564265</v>
      </c>
      <c r="BJ24" s="160"/>
      <c r="BK24" s="10">
        <f>SUM(BK22:BK23)</f>
        <v>4028.7851812712347</v>
      </c>
    </row>
    <row r="25" spans="1:63" x14ac:dyDescent="0.25">
      <c r="A25" s="1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O25" s="29"/>
    </row>
    <row r="26" spans="1:63" x14ac:dyDescent="0.25">
      <c r="E26" s="12"/>
      <c r="F26" s="12"/>
      <c r="G26" s="12"/>
      <c r="H26" s="12"/>
      <c r="I26" s="12"/>
    </row>
    <row r="27" spans="1:63" x14ac:dyDescent="0.25">
      <c r="A27" s="11" t="s">
        <v>105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63" ht="45" x14ac:dyDescent="0.25">
      <c r="A28" s="13"/>
      <c r="J28" s="14"/>
      <c r="K28" s="14"/>
      <c r="L28" s="12"/>
      <c r="AX28" s="13" t="s">
        <v>72</v>
      </c>
      <c r="AY28" s="13" t="s">
        <v>82</v>
      </c>
      <c r="AZ28" s="13" t="s">
        <v>92</v>
      </c>
      <c r="BA28" s="12"/>
      <c r="BB28" s="12"/>
      <c r="BC28" s="12"/>
      <c r="BD28" s="12"/>
      <c r="BE28" s="12"/>
    </row>
    <row r="29" spans="1:63" x14ac:dyDescent="0.25">
      <c r="A29" s="67" t="s">
        <v>58</v>
      </c>
      <c r="J29" s="12"/>
      <c r="K29" s="12"/>
      <c r="L29" s="12"/>
      <c r="AX29" s="68">
        <f>BI17</f>
        <v>-25845.161579811451</v>
      </c>
      <c r="AY29" s="68"/>
      <c r="AZ29" s="68">
        <f>AX29+AY29</f>
        <v>-25845.161579811451</v>
      </c>
      <c r="BA29" s="12"/>
      <c r="BB29" s="12"/>
      <c r="BC29" s="12"/>
      <c r="BD29" s="12"/>
      <c r="BE29" s="12"/>
    </row>
    <row r="30" spans="1:63" x14ac:dyDescent="0.25">
      <c r="A30" s="15" t="s">
        <v>59</v>
      </c>
      <c r="J30" s="20"/>
      <c r="K30" s="20"/>
      <c r="L30" s="12"/>
      <c r="AX30" s="72">
        <f>BI24</f>
        <v>4687.8368015564265</v>
      </c>
      <c r="AY30" s="72">
        <f>BK23</f>
        <v>-659.05162028519192</v>
      </c>
      <c r="AZ30" s="72">
        <f t="shared" ref="AZ30:AZ31" si="60">AX30+AY30</f>
        <v>4028.7851812712347</v>
      </c>
      <c r="BA30" s="12"/>
      <c r="BB30" s="12"/>
      <c r="BC30" s="12"/>
      <c r="BD30" s="12"/>
      <c r="BE30" s="12"/>
    </row>
    <row r="31" spans="1:63" x14ac:dyDescent="0.25">
      <c r="A31" s="21" t="s">
        <v>20</v>
      </c>
      <c r="J31" s="12"/>
      <c r="K31" s="12"/>
      <c r="L31" s="12"/>
      <c r="AX31" s="69">
        <f>AX30+AX29</f>
        <v>-21157.324778255024</v>
      </c>
      <c r="AY31" s="69">
        <f t="shared" ref="AY31" si="61">AY30+AY29</f>
        <v>-659.05162028519192</v>
      </c>
      <c r="AZ31" s="69">
        <f t="shared" si="60"/>
        <v>-21816.376398540215</v>
      </c>
      <c r="BA31" s="12"/>
      <c r="BB31" s="12"/>
      <c r="BC31" s="12"/>
      <c r="BD31" s="12"/>
      <c r="BE31" s="12"/>
    </row>
    <row r="32" spans="1:63" x14ac:dyDescent="0.25">
      <c r="A32" s="12"/>
      <c r="J32" s="12"/>
      <c r="K32" s="12"/>
      <c r="L32" s="12"/>
      <c r="AX32" s="12"/>
      <c r="AY32" s="12"/>
      <c r="AZ32" s="12"/>
      <c r="BA32" s="12"/>
      <c r="BB32" s="12"/>
      <c r="BC32" s="12"/>
      <c r="BD32" s="12"/>
      <c r="BE32" s="12"/>
    </row>
    <row r="34" spans="1:57" x14ac:dyDescent="0.25">
      <c r="A34" s="11" t="s">
        <v>152</v>
      </c>
      <c r="J34" s="12"/>
      <c r="K34" s="12"/>
      <c r="L34" s="12"/>
      <c r="AX34" s="12"/>
      <c r="AY34" s="12"/>
      <c r="AZ34" s="12"/>
      <c r="BA34" s="12"/>
      <c r="BB34" s="12"/>
      <c r="BC34" s="12"/>
      <c r="BD34" s="12"/>
      <c r="BE34" s="12"/>
    </row>
    <row r="35" spans="1:57" ht="30" x14ac:dyDescent="0.25">
      <c r="A35" s="13"/>
      <c r="J35" s="14"/>
      <c r="K35" s="14"/>
      <c r="L35" s="14"/>
      <c r="M35" s="12"/>
      <c r="AX35" s="13" t="s">
        <v>21</v>
      </c>
      <c r="AY35" s="13" t="s">
        <v>22</v>
      </c>
      <c r="AZ35" s="13" t="s">
        <v>90</v>
      </c>
      <c r="BA35" s="13" t="s">
        <v>91</v>
      </c>
      <c r="BB35" s="13" t="s">
        <v>23</v>
      </c>
      <c r="BC35" s="13" t="s">
        <v>24</v>
      </c>
      <c r="BD35" s="13" t="s">
        <v>25</v>
      </c>
      <c r="BE35" s="13" t="s">
        <v>26</v>
      </c>
    </row>
    <row r="36" spans="1:57" ht="16.5" x14ac:dyDescent="0.25">
      <c r="A36" s="15" t="s">
        <v>31</v>
      </c>
      <c r="J36" s="12"/>
      <c r="K36" s="12"/>
      <c r="L36" s="12"/>
      <c r="M36" s="12"/>
      <c r="AX36" s="16" t="s">
        <v>33</v>
      </c>
      <c r="AY36" s="17">
        <f>SUM(AZ36:BE36)</f>
        <v>93214.737371218886</v>
      </c>
      <c r="AZ36" s="17">
        <f>Allocations!G50/1000</f>
        <v>53526.463224855783</v>
      </c>
      <c r="BA36" s="17">
        <f>Allocations!H50/1000</f>
        <v>24910.995649187545</v>
      </c>
      <c r="BB36" s="17">
        <f>Allocations!I50/1000</f>
        <v>2537.2681220377385</v>
      </c>
      <c r="BC36" s="17">
        <f>Allocations!J50/1000</f>
        <v>4259.9833947666029</v>
      </c>
      <c r="BD36" s="17">
        <f>Allocations!K50/1000</f>
        <v>5622.383086822826</v>
      </c>
      <c r="BE36" s="17">
        <f>Allocations!L50/1000</f>
        <v>2357.643893548387</v>
      </c>
    </row>
    <row r="37" spans="1:57" x14ac:dyDescent="0.25">
      <c r="A37" s="15" t="s">
        <v>29</v>
      </c>
      <c r="J37" s="20"/>
      <c r="K37" s="20"/>
      <c r="L37" s="20"/>
      <c r="M37" s="12"/>
      <c r="AX37" s="18" t="s">
        <v>27</v>
      </c>
      <c r="AY37" s="19">
        <f>SUM(AZ37:BE37)</f>
        <v>0.99999999999999989</v>
      </c>
      <c r="AZ37" s="19">
        <f t="shared" ref="AZ37:BE37" si="62">AZ36/$AY$36</f>
        <v>0.57422747447854405</v>
      </c>
      <c r="BA37" s="19">
        <f t="shared" si="62"/>
        <v>0.2672431028795571</v>
      </c>
      <c r="BB37" s="19">
        <f t="shared" si="62"/>
        <v>2.7219602753728821E-2</v>
      </c>
      <c r="BC37" s="19">
        <f t="shared" si="62"/>
        <v>4.5700749848187859E-2</v>
      </c>
      <c r="BD37" s="19">
        <f t="shared" si="62"/>
        <v>6.0316461166781132E-2</v>
      </c>
      <c r="BE37" s="19">
        <f t="shared" si="62"/>
        <v>2.529260887320095E-2</v>
      </c>
    </row>
    <row r="38" spans="1:57" x14ac:dyDescent="0.25">
      <c r="A38" s="21" t="s">
        <v>20</v>
      </c>
      <c r="J38" s="12"/>
      <c r="K38" s="12"/>
      <c r="L38" s="12"/>
      <c r="M38" s="12"/>
      <c r="AX38" s="22" t="s">
        <v>28</v>
      </c>
      <c r="AY38" s="23">
        <f>SUM(AZ38:BE38)</f>
        <v>-21816.376398540211</v>
      </c>
      <c r="AZ38" s="23">
        <f>AZ37*($BK$24+$BI$17)</f>
        <v>-12527.562721607062</v>
      </c>
      <c r="BA38" s="23">
        <f t="shared" ref="BA38:BE38" si="63">BA37*($BK$24+$BI$17)</f>
        <v>-5830.2761223342241</v>
      </c>
      <c r="BB38" s="23">
        <f t="shared" si="63"/>
        <v>-593.83309909408968</v>
      </c>
      <c r="BC38" s="23">
        <f t="shared" si="63"/>
        <v>-997.02476038359589</v>
      </c>
      <c r="BD38" s="23">
        <f t="shared" si="63"/>
        <v>-1315.8866198424312</v>
      </c>
      <c r="BE38" s="23">
        <f t="shared" si="63"/>
        <v>-551.79307527881008</v>
      </c>
    </row>
    <row r="39" spans="1:57" x14ac:dyDescent="0.25">
      <c r="A39" s="12"/>
      <c r="J39" s="12"/>
      <c r="K39" s="12"/>
      <c r="L39" s="12"/>
      <c r="M39" s="12"/>
      <c r="AX39" s="12"/>
      <c r="AY39" s="12"/>
      <c r="AZ39" s="12"/>
      <c r="BA39" s="12"/>
      <c r="BB39" s="12"/>
      <c r="BC39" s="12"/>
      <c r="BD39" s="12"/>
      <c r="BE39" s="12"/>
    </row>
    <row r="41" spans="1:57" x14ac:dyDescent="0.25">
      <c r="A41" s="11" t="s">
        <v>106</v>
      </c>
      <c r="AX41" s="12"/>
      <c r="AY41" s="12"/>
      <c r="AZ41" s="12"/>
      <c r="BA41" s="12"/>
      <c r="BB41" s="12"/>
      <c r="BC41" s="12"/>
      <c r="BD41" s="12"/>
      <c r="BE41" s="12"/>
    </row>
    <row r="42" spans="1:57" ht="30" x14ac:dyDescent="0.25">
      <c r="A42" s="13"/>
      <c r="AX42" s="13" t="s">
        <v>21</v>
      </c>
      <c r="AY42" s="13" t="s">
        <v>22</v>
      </c>
      <c r="AZ42" s="13" t="s">
        <v>90</v>
      </c>
      <c r="BA42" s="13" t="s">
        <v>91</v>
      </c>
      <c r="BB42" s="13" t="s">
        <v>23</v>
      </c>
      <c r="BC42" s="13" t="s">
        <v>24</v>
      </c>
      <c r="BD42" s="13" t="s">
        <v>25</v>
      </c>
      <c r="BE42" s="13" t="s">
        <v>26</v>
      </c>
    </row>
    <row r="43" spans="1:57" ht="16.5" x14ac:dyDescent="0.25">
      <c r="A43" s="15" t="s">
        <v>31</v>
      </c>
      <c r="AX43" s="16" t="s">
        <v>33</v>
      </c>
      <c r="AY43" s="17">
        <f>SUM(AZ43:BE43)</f>
        <v>37895.301428237697</v>
      </c>
      <c r="AZ43" s="17">
        <f>Allocations!G7/1000</f>
        <v>18913.116381830874</v>
      </c>
      <c r="BA43" s="17">
        <f>Allocations!H7/1000</f>
        <v>11145.96345194545</v>
      </c>
      <c r="BB43" s="17">
        <f>Allocations!I7/1000</f>
        <v>1254.453</v>
      </c>
      <c r="BC43" s="17">
        <f>Allocations!J7/1000</f>
        <v>3585.29008053487</v>
      </c>
      <c r="BD43" s="17">
        <f>Allocations!K7/1000</f>
        <v>2180.8765139264988</v>
      </c>
      <c r="BE43" s="17">
        <f>Allocations!L7/1000</f>
        <v>815.60199999999998</v>
      </c>
    </row>
    <row r="44" spans="1:57" x14ac:dyDescent="0.25">
      <c r="A44" s="15" t="s">
        <v>29</v>
      </c>
      <c r="AX44" s="18" t="s">
        <v>27</v>
      </c>
      <c r="AY44" s="19">
        <f>SUM(AZ44:BE44)</f>
        <v>0.99999999999999989</v>
      </c>
      <c r="AZ44" s="24">
        <f t="shared" ref="AZ44:BE44" si="64">AZ37</f>
        <v>0.57422747447854405</v>
      </c>
      <c r="BA44" s="24">
        <f t="shared" si="64"/>
        <v>0.2672431028795571</v>
      </c>
      <c r="BB44" s="24">
        <f t="shared" si="64"/>
        <v>2.7219602753728821E-2</v>
      </c>
      <c r="BC44" s="24">
        <f t="shared" si="64"/>
        <v>4.5700749848187859E-2</v>
      </c>
      <c r="BD44" s="24">
        <f t="shared" si="64"/>
        <v>6.0316461166781132E-2</v>
      </c>
      <c r="BE44" s="24">
        <f t="shared" si="64"/>
        <v>2.529260887320095E-2</v>
      </c>
    </row>
    <row r="45" spans="1:57" x14ac:dyDescent="0.25">
      <c r="A45" s="25" t="s">
        <v>20</v>
      </c>
      <c r="AX45" s="26" t="s">
        <v>28</v>
      </c>
      <c r="AY45" s="73">
        <f>SUM(AZ45:BE45)</f>
        <v>-21816.376398540211</v>
      </c>
      <c r="AZ45" s="27">
        <f t="shared" ref="AZ45:BE45" si="65">AZ43*AZ46*10</f>
        <v>-12527.562721607062</v>
      </c>
      <c r="BA45" s="27">
        <f t="shared" si="65"/>
        <v>-5830.2761223342241</v>
      </c>
      <c r="BB45" s="27">
        <f t="shared" si="65"/>
        <v>-593.83309909408968</v>
      </c>
      <c r="BC45" s="27">
        <f t="shared" si="65"/>
        <v>-997.02476038359578</v>
      </c>
      <c r="BD45" s="27">
        <f t="shared" si="65"/>
        <v>-1315.8866198424312</v>
      </c>
      <c r="BE45" s="27">
        <f t="shared" si="65"/>
        <v>-551.79307527880997</v>
      </c>
    </row>
    <row r="46" spans="1:57" ht="17.25" x14ac:dyDescent="0.25">
      <c r="A46" s="21" t="s">
        <v>30</v>
      </c>
      <c r="AX46" s="22" t="s">
        <v>34</v>
      </c>
      <c r="AY46" s="28"/>
      <c r="AZ46" s="28">
        <f t="shared" ref="AZ46:BE46" si="66">AZ38/AZ43/10</f>
        <v>-6.6237432629779741E-2</v>
      </c>
      <c r="BA46" s="28">
        <f t="shared" si="66"/>
        <v>-5.2308408756863364E-2</v>
      </c>
      <c r="BB46" s="28">
        <f t="shared" si="66"/>
        <v>-4.7338010997150924E-2</v>
      </c>
      <c r="BC46" s="28">
        <f t="shared" si="66"/>
        <v>-2.7808761299304829E-2</v>
      </c>
      <c r="BD46" s="28">
        <f t="shared" si="66"/>
        <v>-6.0337511612396588E-2</v>
      </c>
      <c r="BE46" s="28">
        <f t="shared" si="66"/>
        <v>-6.7654698649440542E-2</v>
      </c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5C5B-90F6-478E-BE91-939200B921BB}">
  <sheetPr>
    <pageSetUpPr fitToPage="1"/>
  </sheetPr>
  <dimension ref="A1:O42"/>
  <sheetViews>
    <sheetView showGridLines="0" zoomScale="80" zoomScaleNormal="80" zoomScaleSheetLayoutView="85" workbookViewId="0">
      <selection activeCell="C16" sqref="C16:J20"/>
    </sheetView>
  </sheetViews>
  <sheetFormatPr defaultColWidth="12.5703125" defaultRowHeight="15" x14ac:dyDescent="0.25"/>
  <cols>
    <col min="1" max="1" width="48.140625" customWidth="1"/>
    <col min="2" max="2" width="11.7109375" bestFit="1" customWidth="1"/>
    <col min="3" max="3" width="13.5703125" customWidth="1"/>
    <col min="4" max="4" width="12.42578125" customWidth="1"/>
    <col min="5" max="11" width="13.7109375" bestFit="1" customWidth="1"/>
    <col min="12" max="12" width="15.140625" bestFit="1" customWidth="1"/>
    <col min="13" max="13" width="13.28515625" customWidth="1"/>
    <col min="14" max="14" width="1.5703125" customWidth="1"/>
    <col min="15" max="15" width="12.28515625" bestFit="1" customWidth="1"/>
  </cols>
  <sheetData>
    <row r="1" spans="1:15" s="1" customFormat="1" x14ac:dyDescent="0.25">
      <c r="A1" s="1" t="s">
        <v>0</v>
      </c>
    </row>
    <row r="2" spans="1:15" s="1" customFormat="1" x14ac:dyDescent="0.25">
      <c r="A2" s="1" t="s">
        <v>80</v>
      </c>
    </row>
    <row r="3" spans="1:15" s="1" customFormat="1" x14ac:dyDescent="0.25">
      <c r="A3" s="1" t="s">
        <v>120</v>
      </c>
    </row>
    <row r="4" spans="1:15" s="1" customFormat="1" x14ac:dyDescent="0.25">
      <c r="A4" s="1" t="s">
        <v>62</v>
      </c>
    </row>
    <row r="5" spans="1:15" x14ac:dyDescent="0.25">
      <c r="A5" s="104"/>
      <c r="B5" s="2">
        <v>2025</v>
      </c>
      <c r="C5" s="2">
        <v>2025</v>
      </c>
      <c r="D5" s="2">
        <v>2025</v>
      </c>
      <c r="E5" s="2">
        <v>2025</v>
      </c>
      <c r="F5" s="2">
        <v>2025</v>
      </c>
      <c r="G5" s="2">
        <v>2025</v>
      </c>
      <c r="H5" s="2">
        <v>2025</v>
      </c>
      <c r="I5" s="2">
        <v>2025</v>
      </c>
      <c r="J5" s="2">
        <v>2025</v>
      </c>
      <c r="K5" s="2">
        <v>2025</v>
      </c>
      <c r="L5" s="2">
        <v>2025</v>
      </c>
      <c r="M5" s="2">
        <v>2025</v>
      </c>
      <c r="O5" s="2">
        <v>2026</v>
      </c>
    </row>
    <row r="6" spans="1:15" x14ac:dyDescent="0.25">
      <c r="A6" s="105"/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O6" s="3" t="s">
        <v>32</v>
      </c>
    </row>
    <row r="7" spans="1:15" x14ac:dyDescent="0.25">
      <c r="A7" s="106"/>
      <c r="B7" s="37"/>
      <c r="C7" s="37"/>
      <c r="D7" s="37"/>
      <c r="E7" s="37"/>
      <c r="F7" s="38"/>
      <c r="G7" s="38"/>
      <c r="H7" s="39"/>
      <c r="I7" s="38"/>
      <c r="J7" s="38"/>
      <c r="K7" s="38"/>
      <c r="L7" s="38"/>
      <c r="M7" s="38"/>
      <c r="O7" s="38"/>
    </row>
    <row r="8" spans="1:15" x14ac:dyDescent="0.25">
      <c r="A8" s="106" t="s">
        <v>119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-77248.960000000006</v>
      </c>
      <c r="O8" s="4"/>
    </row>
    <row r="9" spans="1:15" x14ac:dyDescent="0.25">
      <c r="A9" s="10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O9" s="4"/>
    </row>
    <row r="10" spans="1:15" x14ac:dyDescent="0.25">
      <c r="A10" s="10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O10" s="9"/>
    </row>
    <row r="11" spans="1:15" x14ac:dyDescent="0.25">
      <c r="A11" s="106" t="s">
        <v>121</v>
      </c>
      <c r="B11" s="35">
        <v>0</v>
      </c>
      <c r="C11" s="35">
        <f>B13</f>
        <v>0</v>
      </c>
      <c r="D11" s="35">
        <f t="shared" ref="D11:M11" si="0">C13</f>
        <v>0</v>
      </c>
      <c r="E11" s="35">
        <f t="shared" si="0"/>
        <v>0</v>
      </c>
      <c r="F11" s="35">
        <f t="shared" si="0"/>
        <v>0</v>
      </c>
      <c r="G11" s="35">
        <f t="shared" si="0"/>
        <v>0</v>
      </c>
      <c r="H11" s="35">
        <f t="shared" si="0"/>
        <v>0</v>
      </c>
      <c r="I11" s="35">
        <f t="shared" si="0"/>
        <v>0</v>
      </c>
      <c r="J11" s="35">
        <f>I13</f>
        <v>0</v>
      </c>
      <c r="K11" s="35">
        <f t="shared" si="0"/>
        <v>0</v>
      </c>
      <c r="L11" s="35">
        <f t="shared" si="0"/>
        <v>0</v>
      </c>
      <c r="M11" s="35">
        <f t="shared" si="0"/>
        <v>0</v>
      </c>
      <c r="N11" s="160"/>
      <c r="O11" s="7"/>
    </row>
    <row r="12" spans="1:15" x14ac:dyDescent="0.25">
      <c r="A12" s="106" t="s">
        <v>122</v>
      </c>
      <c r="B12" s="30">
        <f>B8</f>
        <v>0</v>
      </c>
      <c r="C12" s="30">
        <f t="shared" ref="C12:M12" si="1">C8</f>
        <v>0</v>
      </c>
      <c r="D12" s="30">
        <f t="shared" si="1"/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0</v>
      </c>
      <c r="I12" s="30">
        <f t="shared" si="1"/>
        <v>0</v>
      </c>
      <c r="J12" s="30">
        <f t="shared" si="1"/>
        <v>0</v>
      </c>
      <c r="K12" s="30">
        <f t="shared" si="1"/>
        <v>0</v>
      </c>
      <c r="L12" s="30">
        <f t="shared" si="1"/>
        <v>0</v>
      </c>
      <c r="M12" s="30">
        <f t="shared" si="1"/>
        <v>-77248.960000000006</v>
      </c>
      <c r="N12" s="160"/>
      <c r="O12" s="7"/>
    </row>
    <row r="13" spans="1:15" x14ac:dyDescent="0.25">
      <c r="A13" s="106" t="s">
        <v>123</v>
      </c>
      <c r="B13" s="7">
        <f>SUM(B11:B12)</f>
        <v>0</v>
      </c>
      <c r="C13" s="7">
        <f t="shared" ref="C13:M13" si="2">SUM(C11:C12)</f>
        <v>0</v>
      </c>
      <c r="D13" s="7">
        <f t="shared" si="2"/>
        <v>0</v>
      </c>
      <c r="E13" s="7">
        <f t="shared" si="2"/>
        <v>0</v>
      </c>
      <c r="F13" s="7">
        <f t="shared" si="2"/>
        <v>0</v>
      </c>
      <c r="G13" s="7">
        <f t="shared" si="2"/>
        <v>0</v>
      </c>
      <c r="H13" s="7">
        <f t="shared" si="2"/>
        <v>0</v>
      </c>
      <c r="I13" s="7">
        <f t="shared" si="2"/>
        <v>0</v>
      </c>
      <c r="J13" s="7">
        <f t="shared" si="2"/>
        <v>0</v>
      </c>
      <c r="K13" s="7">
        <f t="shared" si="2"/>
        <v>0</v>
      </c>
      <c r="L13" s="7">
        <f t="shared" si="2"/>
        <v>0</v>
      </c>
      <c r="M13" s="7">
        <f t="shared" si="2"/>
        <v>-77248.960000000006</v>
      </c>
      <c r="N13" s="160"/>
      <c r="O13" s="7"/>
    </row>
    <row r="14" spans="1:15" x14ac:dyDescent="0.25">
      <c r="A14" s="10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60"/>
      <c r="O14" s="7"/>
    </row>
    <row r="15" spans="1:15" x14ac:dyDescent="0.25">
      <c r="A15" s="106" t="s">
        <v>124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60"/>
      <c r="O15" s="7"/>
    </row>
    <row r="16" spans="1:15" x14ac:dyDescent="0.25">
      <c r="A16" s="106" t="s">
        <v>16</v>
      </c>
      <c r="B16" s="93">
        <v>0</v>
      </c>
      <c r="C16" s="93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160"/>
      <c r="O16" s="179">
        <f>(Summary!D6+Summary!E6+Summary!F6+Summary!G6)/4</f>
        <v>2.5499999999999998E-2</v>
      </c>
    </row>
    <row r="17" spans="1:15" x14ac:dyDescent="0.25">
      <c r="A17" s="10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60"/>
      <c r="O17" s="7"/>
    </row>
    <row r="18" spans="1:15" x14ac:dyDescent="0.25">
      <c r="A18" s="106" t="s">
        <v>17</v>
      </c>
      <c r="B18" s="35">
        <v>0</v>
      </c>
      <c r="C18" s="35">
        <f>B20</f>
        <v>0</v>
      </c>
      <c r="D18" s="35">
        <f t="shared" ref="D18:M18" si="3">C20</f>
        <v>0</v>
      </c>
      <c r="E18" s="35">
        <f t="shared" si="3"/>
        <v>0</v>
      </c>
      <c r="F18" s="35">
        <f t="shared" si="3"/>
        <v>0</v>
      </c>
      <c r="G18" s="35">
        <f t="shared" si="3"/>
        <v>0</v>
      </c>
      <c r="H18" s="35">
        <f t="shared" si="3"/>
        <v>0</v>
      </c>
      <c r="I18" s="35">
        <f t="shared" si="3"/>
        <v>0</v>
      </c>
      <c r="J18" s="35">
        <f t="shared" si="3"/>
        <v>0</v>
      </c>
      <c r="K18" s="35">
        <f t="shared" si="3"/>
        <v>0</v>
      </c>
      <c r="L18" s="35">
        <f t="shared" si="3"/>
        <v>0</v>
      </c>
      <c r="M18" s="35">
        <f t="shared" si="3"/>
        <v>0</v>
      </c>
      <c r="N18" s="160"/>
      <c r="O18" s="35">
        <f t="shared" ref="O18" si="4">M20</f>
        <v>0</v>
      </c>
    </row>
    <row r="19" spans="1:15" x14ac:dyDescent="0.25">
      <c r="A19" s="106" t="s">
        <v>18</v>
      </c>
      <c r="B19" s="30">
        <f t="shared" ref="B19:M19" si="5">B11*B16/12</f>
        <v>0</v>
      </c>
      <c r="C19" s="30">
        <f t="shared" si="5"/>
        <v>0</v>
      </c>
      <c r="D19" s="30">
        <f t="shared" si="5"/>
        <v>0</v>
      </c>
      <c r="E19" s="30">
        <f t="shared" si="5"/>
        <v>0</v>
      </c>
      <c r="F19" s="30">
        <f t="shared" si="5"/>
        <v>0</v>
      </c>
      <c r="G19" s="30">
        <f t="shared" si="5"/>
        <v>0</v>
      </c>
      <c r="H19" s="30">
        <f t="shared" si="5"/>
        <v>0</v>
      </c>
      <c r="I19" s="30">
        <f t="shared" si="5"/>
        <v>0</v>
      </c>
      <c r="J19" s="30">
        <f t="shared" si="5"/>
        <v>0</v>
      </c>
      <c r="K19" s="30">
        <f t="shared" si="5"/>
        <v>0</v>
      </c>
      <c r="L19" s="30">
        <f t="shared" si="5"/>
        <v>0</v>
      </c>
      <c r="M19" s="30">
        <f t="shared" si="5"/>
        <v>0</v>
      </c>
      <c r="N19" s="160"/>
      <c r="O19" s="30">
        <f>M13*O16</f>
        <v>-1969.8484800000001</v>
      </c>
    </row>
    <row r="20" spans="1:15" x14ac:dyDescent="0.25">
      <c r="A20" s="109" t="s">
        <v>19</v>
      </c>
      <c r="B20" s="10">
        <f>SUM(B18:B19)</f>
        <v>0</v>
      </c>
      <c r="C20" s="10">
        <f t="shared" ref="C20:M20" si="6">SUM(C18:C19)</f>
        <v>0</v>
      </c>
      <c r="D20" s="10">
        <f t="shared" si="6"/>
        <v>0</v>
      </c>
      <c r="E20" s="10">
        <f t="shared" si="6"/>
        <v>0</v>
      </c>
      <c r="F20" s="10">
        <f t="shared" si="6"/>
        <v>0</v>
      </c>
      <c r="G20" s="10">
        <f t="shared" si="6"/>
        <v>0</v>
      </c>
      <c r="H20" s="10">
        <f t="shared" si="6"/>
        <v>0</v>
      </c>
      <c r="I20" s="10">
        <f t="shared" si="6"/>
        <v>0</v>
      </c>
      <c r="J20" s="10">
        <f t="shared" si="6"/>
        <v>0</v>
      </c>
      <c r="K20" s="10">
        <f t="shared" si="6"/>
        <v>0</v>
      </c>
      <c r="L20" s="10">
        <f t="shared" si="6"/>
        <v>0</v>
      </c>
      <c r="M20" s="10">
        <f t="shared" si="6"/>
        <v>0</v>
      </c>
      <c r="N20" s="160"/>
      <c r="O20" s="10">
        <f>SUM(O18:O19)</f>
        <v>-1969.8484800000001</v>
      </c>
    </row>
    <row r="21" spans="1:15" x14ac:dyDescent="0.25">
      <c r="A21" s="1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O21" s="29"/>
    </row>
    <row r="22" spans="1:15" x14ac:dyDescent="0.25">
      <c r="E22" s="12"/>
      <c r="F22" s="12"/>
      <c r="G22" s="12"/>
      <c r="H22" s="12"/>
      <c r="I22" s="12"/>
    </row>
    <row r="23" spans="1:15" x14ac:dyDescent="0.25">
      <c r="A23" s="11" t="s">
        <v>125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5" ht="45" x14ac:dyDescent="0.25">
      <c r="A24" s="13"/>
      <c r="B24" s="13" t="s">
        <v>72</v>
      </c>
      <c r="C24" s="13" t="s">
        <v>82</v>
      </c>
      <c r="D24" s="13" t="s">
        <v>92</v>
      </c>
      <c r="E24" s="12"/>
      <c r="F24" s="12"/>
      <c r="G24" s="12"/>
      <c r="H24" s="12"/>
      <c r="I24" s="12"/>
      <c r="J24" s="14"/>
      <c r="K24" s="14"/>
      <c r="L24" s="12"/>
    </row>
    <row r="25" spans="1:15" x14ac:dyDescent="0.25">
      <c r="A25" s="67" t="s">
        <v>58</v>
      </c>
      <c r="B25" s="68">
        <f>M13</f>
        <v>-77248.960000000006</v>
      </c>
      <c r="C25" s="68"/>
      <c r="D25" s="68">
        <f>B25+C25</f>
        <v>-77248.960000000006</v>
      </c>
      <c r="E25" s="12"/>
      <c r="F25" s="12"/>
      <c r="G25" s="12"/>
      <c r="H25" s="12"/>
      <c r="I25" s="12"/>
      <c r="J25" s="12"/>
      <c r="K25" s="12"/>
      <c r="L25" s="12"/>
    </row>
    <row r="26" spans="1:15" x14ac:dyDescent="0.25">
      <c r="A26" s="15" t="s">
        <v>59</v>
      </c>
      <c r="B26" s="72">
        <f>M20</f>
        <v>0</v>
      </c>
      <c r="C26" s="72">
        <f>O19</f>
        <v>-1969.8484800000001</v>
      </c>
      <c r="D26" s="72">
        <f t="shared" ref="D26:D27" si="7">B26+C26</f>
        <v>-1969.8484800000001</v>
      </c>
      <c r="E26" s="12"/>
      <c r="F26" s="12"/>
      <c r="G26" s="12"/>
      <c r="H26" s="12"/>
      <c r="I26" s="12"/>
      <c r="J26" s="20"/>
      <c r="K26" s="20"/>
      <c r="L26" s="12"/>
    </row>
    <row r="27" spans="1:15" x14ac:dyDescent="0.25">
      <c r="A27" s="21" t="s">
        <v>20</v>
      </c>
      <c r="B27" s="69">
        <f>B26+B25</f>
        <v>-77248.960000000006</v>
      </c>
      <c r="C27" s="69">
        <f t="shared" ref="C27" si="8">C26+C25</f>
        <v>-1969.8484800000001</v>
      </c>
      <c r="D27" s="69">
        <f t="shared" si="7"/>
        <v>-79218.808480000007</v>
      </c>
      <c r="E27" s="12"/>
      <c r="F27" s="12"/>
      <c r="G27" s="12"/>
      <c r="H27" s="12"/>
      <c r="I27" s="12"/>
      <c r="J27" s="12"/>
      <c r="K27" s="12"/>
      <c r="L27" s="12"/>
    </row>
    <row r="28" spans="1:1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30" spans="1:15" x14ac:dyDescent="0.25">
      <c r="A30" s="11" t="s">
        <v>139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5" ht="45" x14ac:dyDescent="0.25">
      <c r="A31" s="13"/>
      <c r="B31" s="13" t="s">
        <v>21</v>
      </c>
      <c r="C31" s="13" t="s">
        <v>22</v>
      </c>
      <c r="D31" s="13" t="s">
        <v>90</v>
      </c>
      <c r="E31" s="13" t="s">
        <v>91</v>
      </c>
      <c r="F31" s="13" t="s">
        <v>23</v>
      </c>
      <c r="G31" s="13" t="s">
        <v>24</v>
      </c>
      <c r="H31" s="13" t="s">
        <v>25</v>
      </c>
      <c r="I31" s="13" t="s">
        <v>26</v>
      </c>
      <c r="J31" s="13" t="s">
        <v>140</v>
      </c>
      <c r="K31" s="14"/>
      <c r="L31" s="14"/>
      <c r="M31" s="12"/>
    </row>
    <row r="32" spans="1:15" ht="16.5" x14ac:dyDescent="0.25">
      <c r="A32" s="15" t="s">
        <v>31</v>
      </c>
      <c r="B32" s="16" t="s">
        <v>33</v>
      </c>
      <c r="C32" s="17">
        <f>SUM(D32:J32)</f>
        <v>7363213.5493907416</v>
      </c>
      <c r="D32" s="17">
        <f>Allocations!G38</f>
        <v>4596763.8368440429</v>
      </c>
      <c r="E32" s="17">
        <f>Allocations!H38</f>
        <v>1293300.8031913848</v>
      </c>
      <c r="F32" s="17">
        <f>Allocations!I38</f>
        <v>126272.87431495376</v>
      </c>
      <c r="G32" s="17">
        <f>Allocations!J38</f>
        <v>262132.61921130228</v>
      </c>
      <c r="H32" s="17">
        <f>Allocations!K38</f>
        <v>188098.17397315757</v>
      </c>
      <c r="I32" s="17">
        <f>Allocations!L38</f>
        <v>38161.041855899995</v>
      </c>
      <c r="J32" s="17">
        <f>Allocations!M38</f>
        <v>858484.20000000007</v>
      </c>
      <c r="K32" s="12"/>
      <c r="L32" s="12"/>
      <c r="M32" s="12"/>
    </row>
    <row r="33" spans="1:13" x14ac:dyDescent="0.25">
      <c r="A33" s="15" t="s">
        <v>29</v>
      </c>
      <c r="B33" s="18" t="s">
        <v>27</v>
      </c>
      <c r="C33" s="19">
        <f>SUM(D33:J33)</f>
        <v>1</v>
      </c>
      <c r="D33" s="19">
        <f>D32/$C$32</f>
        <v>0.62428772519091147</v>
      </c>
      <c r="E33" s="19">
        <f t="shared" ref="E33:I33" si="9">E32/$C$32</f>
        <v>0.17564352772281025</v>
      </c>
      <c r="F33" s="19">
        <f t="shared" si="9"/>
        <v>1.714915280779844E-2</v>
      </c>
      <c r="G33" s="19">
        <f t="shared" si="9"/>
        <v>3.5600301071397292E-2</v>
      </c>
      <c r="H33" s="19">
        <f t="shared" si="9"/>
        <v>2.5545663277513047E-2</v>
      </c>
      <c r="I33" s="19">
        <f t="shared" si="9"/>
        <v>5.1826612931873441E-3</v>
      </c>
      <c r="J33" s="19">
        <f t="shared" ref="J33" si="10">J32/$C$32</f>
        <v>0.11659096863638216</v>
      </c>
      <c r="K33" s="20"/>
      <c r="L33" s="20"/>
      <c r="M33" s="12"/>
    </row>
    <row r="34" spans="1:13" x14ac:dyDescent="0.25">
      <c r="A34" s="21" t="s">
        <v>20</v>
      </c>
      <c r="B34" s="22" t="s">
        <v>28</v>
      </c>
      <c r="C34" s="23">
        <f>SUM(D34:J34)</f>
        <v>-79218.808479999992</v>
      </c>
      <c r="D34" s="23">
        <f>D33*($O$20+$M$13)</f>
        <v>-49455.329738313689</v>
      </c>
      <c r="E34" s="23">
        <f t="shared" ref="E34:I34" si="11">E33*($O$20+$M$13)</f>
        <v>-13914.270983424876</v>
      </c>
      <c r="F34" s="23">
        <f t="shared" si="11"/>
        <v>-1358.535451875239</v>
      </c>
      <c r="G34" s="23">
        <f t="shared" si="11"/>
        <v>-2820.2134324053609</v>
      </c>
      <c r="H34" s="23">
        <f t="shared" si="11"/>
        <v>-2023.6970066758754</v>
      </c>
      <c r="I34" s="23">
        <f t="shared" si="11"/>
        <v>-410.5642524017174</v>
      </c>
      <c r="J34" s="23">
        <f t="shared" ref="J34" si="12">J33*($O$20+$M$13)</f>
        <v>-9236.1976149032453</v>
      </c>
      <c r="K34" s="12"/>
      <c r="L34" s="12"/>
      <c r="M34" s="12"/>
    </row>
    <row r="35" spans="1:13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7" spans="1:13" x14ac:dyDescent="0.25">
      <c r="A37" s="11" t="s">
        <v>141</v>
      </c>
      <c r="B37" s="12"/>
      <c r="C37" s="12"/>
      <c r="D37" s="12"/>
      <c r="E37" s="12"/>
      <c r="F37" s="12"/>
      <c r="G37" s="12"/>
      <c r="H37" s="12"/>
      <c r="I37" s="12"/>
    </row>
    <row r="38" spans="1:13" ht="45" x14ac:dyDescent="0.25">
      <c r="A38" s="13"/>
      <c r="B38" s="200" t="s">
        <v>21</v>
      </c>
      <c r="C38" s="13" t="s">
        <v>22</v>
      </c>
      <c r="D38" s="13" t="s">
        <v>90</v>
      </c>
      <c r="E38" s="13" t="s">
        <v>91</v>
      </c>
      <c r="F38" s="13" t="s">
        <v>23</v>
      </c>
      <c r="G38" s="13" t="s">
        <v>24</v>
      </c>
      <c r="H38" s="13" t="s">
        <v>25</v>
      </c>
      <c r="I38" s="13" t="s">
        <v>26</v>
      </c>
      <c r="J38" s="195" t="s">
        <v>21</v>
      </c>
      <c r="K38" s="13" t="s">
        <v>140</v>
      </c>
    </row>
    <row r="39" spans="1:13" ht="16.5" x14ac:dyDescent="0.25">
      <c r="A39" s="15" t="s">
        <v>31</v>
      </c>
      <c r="B39" s="201" t="s">
        <v>33</v>
      </c>
      <c r="C39" s="17">
        <f>SUM(D39:I39)</f>
        <v>37895.301428237697</v>
      </c>
      <c r="D39" s="17">
        <f>Allocations!G7/1000</f>
        <v>18913.116381830874</v>
      </c>
      <c r="E39" s="17">
        <f>Allocations!H7/1000</f>
        <v>11145.96345194545</v>
      </c>
      <c r="F39" s="17">
        <f>Allocations!I7/1000</f>
        <v>1254.453</v>
      </c>
      <c r="G39" s="17">
        <f>Allocations!J7/1000</f>
        <v>3585.29008053487</v>
      </c>
      <c r="H39" s="17">
        <f>Allocations!K7/1000</f>
        <v>2180.8765139264988</v>
      </c>
      <c r="I39" s="17">
        <f>Allocations!L7/1000</f>
        <v>815.60199999999998</v>
      </c>
      <c r="J39" s="196" t="s">
        <v>142</v>
      </c>
      <c r="K39" s="17">
        <v>12</v>
      </c>
    </row>
    <row r="40" spans="1:13" x14ac:dyDescent="0.25">
      <c r="A40" s="15" t="s">
        <v>29</v>
      </c>
      <c r="B40" s="202" t="s">
        <v>27</v>
      </c>
      <c r="C40" s="19">
        <f>SUM(D40:K40)</f>
        <v>1</v>
      </c>
      <c r="D40" s="24">
        <f t="shared" ref="D40:I40" si="13">D33</f>
        <v>0.62428772519091147</v>
      </c>
      <c r="E40" s="24">
        <f t="shared" si="13"/>
        <v>0.17564352772281025</v>
      </c>
      <c r="F40" s="24">
        <f t="shared" si="13"/>
        <v>1.714915280779844E-2</v>
      </c>
      <c r="G40" s="24">
        <f t="shared" si="13"/>
        <v>3.5600301071397292E-2</v>
      </c>
      <c r="H40" s="24">
        <f t="shared" si="13"/>
        <v>2.5545663277513047E-2</v>
      </c>
      <c r="I40" s="24">
        <f t="shared" si="13"/>
        <v>5.1826612931873441E-3</v>
      </c>
      <c r="J40" s="197" t="s">
        <v>27</v>
      </c>
      <c r="K40" s="24">
        <f>J33</f>
        <v>0.11659096863638216</v>
      </c>
    </row>
    <row r="41" spans="1:13" x14ac:dyDescent="0.25">
      <c r="A41" s="25" t="s">
        <v>20</v>
      </c>
      <c r="B41" s="203" t="s">
        <v>28</v>
      </c>
      <c r="C41" s="73">
        <f>SUM(D41:K41)</f>
        <v>-79218.808480000007</v>
      </c>
      <c r="D41" s="27">
        <f>D39*D42*10</f>
        <v>-49455.329738313696</v>
      </c>
      <c r="E41" s="27">
        <f t="shared" ref="E41:I41" si="14">E39*E42*10</f>
        <v>-13914.270983424876</v>
      </c>
      <c r="F41" s="27">
        <f t="shared" si="14"/>
        <v>-1358.535451875239</v>
      </c>
      <c r="G41" s="27">
        <f t="shared" si="14"/>
        <v>-2820.2134324053604</v>
      </c>
      <c r="H41" s="27">
        <f t="shared" si="14"/>
        <v>-2023.6970066758754</v>
      </c>
      <c r="I41" s="27">
        <f t="shared" si="14"/>
        <v>-410.5642524017174</v>
      </c>
      <c r="J41" s="198" t="s">
        <v>28</v>
      </c>
      <c r="K41" s="27">
        <f>K39*K42</f>
        <v>-9236.1976149032453</v>
      </c>
    </row>
    <row r="42" spans="1:13" ht="17.25" x14ac:dyDescent="0.25">
      <c r="A42" s="21" t="s">
        <v>30</v>
      </c>
      <c r="B42" s="204" t="s">
        <v>34</v>
      </c>
      <c r="C42" s="28"/>
      <c r="D42" s="28">
        <f>D34/D39/10</f>
        <v>-0.26148694239424014</v>
      </c>
      <c r="E42" s="28">
        <f t="shared" ref="E42:I42" si="15">E34/E39/10</f>
        <v>-0.12483686173397812</v>
      </c>
      <c r="F42" s="28">
        <f t="shared" si="15"/>
        <v>-0.10829703877907255</v>
      </c>
      <c r="G42" s="28">
        <f t="shared" si="15"/>
        <v>-7.866067651587702E-2</v>
      </c>
      <c r="H42" s="28">
        <f t="shared" si="15"/>
        <v>-9.2792828651832568E-2</v>
      </c>
      <c r="I42" s="28">
        <f t="shared" si="15"/>
        <v>-5.0338799120369669E-2</v>
      </c>
      <c r="J42" s="199" t="s">
        <v>143</v>
      </c>
      <c r="K42" s="194">
        <f>J34/12</f>
        <v>-769.6831345752704</v>
      </c>
    </row>
  </sheetData>
  <sheetProtection sheet="1" objects="1" scenarios="1"/>
  <phoneticPr fontId="20" type="noConversion"/>
  <pageMargins left="0.70866141732283505" right="0.70866141732283505" top="0.74803149606299202" bottom="0.74803149606299202" header="0.31496062992126" footer="0.31496062992126"/>
  <pageSetup scale="54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9"/>
  <sheetViews>
    <sheetView showGridLines="0" workbookViewId="0">
      <selection activeCell="I72" sqref="I72"/>
    </sheetView>
  </sheetViews>
  <sheetFormatPr defaultColWidth="9.140625" defaultRowHeight="14.25" x14ac:dyDescent="0.2"/>
  <cols>
    <col min="1" max="1" width="26.85546875" style="52" customWidth="1"/>
    <col min="2" max="2" width="15.28515625" style="52" customWidth="1"/>
    <col min="3" max="3" width="12.7109375" style="52" bestFit="1" customWidth="1"/>
    <col min="4" max="4" width="13.140625" style="52" customWidth="1"/>
    <col min="5" max="5" width="12.42578125" style="52" bestFit="1" customWidth="1"/>
    <col min="6" max="6" width="12.85546875" style="52" bestFit="1" customWidth="1"/>
    <col min="7" max="7" width="12.7109375" style="52" bestFit="1" customWidth="1"/>
    <col min="8" max="9" width="12.85546875" style="52" bestFit="1" customWidth="1"/>
    <col min="10" max="11" width="11.5703125" style="52" bestFit="1" customWidth="1"/>
    <col min="12" max="12" width="10.85546875" style="52" bestFit="1" customWidth="1"/>
    <col min="13" max="13" width="10.28515625" style="52" bestFit="1" customWidth="1"/>
    <col min="14" max="16384" width="9.140625" style="52"/>
  </cols>
  <sheetData>
    <row r="1" spans="1:12" ht="15" x14ac:dyDescent="0.25">
      <c r="A1" s="55" t="str">
        <f>PGTVA!A1</f>
        <v>EPCOR Natural Gas Limited Partnership</v>
      </c>
    </row>
    <row r="2" spans="1:12" ht="15" x14ac:dyDescent="0.25">
      <c r="A2" s="55" t="str">
        <f>PGTVA!A2</f>
        <v>EB-2026-0148</v>
      </c>
    </row>
    <row r="3" spans="1:12" ht="15" x14ac:dyDescent="0.25">
      <c r="A3" s="55" t="s">
        <v>61</v>
      </c>
    </row>
    <row r="4" spans="1:12" ht="15" x14ac:dyDescent="0.25">
      <c r="A4" s="55"/>
    </row>
    <row r="5" spans="1:12" ht="15" x14ac:dyDescent="0.25">
      <c r="A5" s="56" t="s">
        <v>150</v>
      </c>
    </row>
    <row r="6" spans="1:12" ht="15" x14ac:dyDescent="0.25">
      <c r="A6" s="58"/>
      <c r="B6" s="211">
        <v>2025</v>
      </c>
      <c r="C6" s="57"/>
      <c r="D6" s="57"/>
      <c r="G6" s="53" t="s">
        <v>96</v>
      </c>
      <c r="H6" s="53" t="s">
        <v>97</v>
      </c>
      <c r="I6" s="53" t="s">
        <v>56</v>
      </c>
      <c r="J6" s="53" t="s">
        <v>53</v>
      </c>
      <c r="K6" s="53" t="s">
        <v>54</v>
      </c>
      <c r="L6" s="53" t="s">
        <v>55</v>
      </c>
    </row>
    <row r="7" spans="1:12" ht="15" x14ac:dyDescent="0.25">
      <c r="A7" s="60" t="s">
        <v>51</v>
      </c>
      <c r="B7" s="61">
        <v>18913116.381830875</v>
      </c>
      <c r="C7" s="57"/>
      <c r="D7" s="57"/>
      <c r="G7" s="54">
        <f>B7</f>
        <v>18913116.381830875</v>
      </c>
      <c r="H7" s="54">
        <f>B8</f>
        <v>11145963.45194545</v>
      </c>
      <c r="I7" s="54">
        <f>B9</f>
        <v>1254453</v>
      </c>
      <c r="J7" s="54">
        <f>B10</f>
        <v>3585290.0805348698</v>
      </c>
      <c r="K7" s="54">
        <f>B11</f>
        <v>2180876.5139264986</v>
      </c>
      <c r="L7" s="54">
        <f>B12</f>
        <v>815602</v>
      </c>
    </row>
    <row r="8" spans="1:12" ht="15" x14ac:dyDescent="0.25">
      <c r="A8" s="62" t="s">
        <v>94</v>
      </c>
      <c r="B8" s="63">
        <v>11145963.45194545</v>
      </c>
      <c r="C8" s="57"/>
      <c r="D8" s="57"/>
      <c r="G8" s="66">
        <f>G7/SUM($F$5:$I7)</f>
        <v>0.60399177832244633</v>
      </c>
      <c r="H8" s="66">
        <f>H7/SUM($F$5:$I7)</f>
        <v>0.35594717182223728</v>
      </c>
      <c r="I8" s="66">
        <f>I7/SUM($F$5:$I7)</f>
        <v>4.0061049855316389E-2</v>
      </c>
      <c r="J8" s="66">
        <f>J7/SUM($F$5:$I7)</f>
        <v>0.11449650537890119</v>
      </c>
      <c r="K8" s="66">
        <f>K7/SUM($F$5:$I7)</f>
        <v>6.9646453675584544E-2</v>
      </c>
      <c r="L8" s="66">
        <f>L7/SUM($F$5:$I7)</f>
        <v>2.6046310530642245E-2</v>
      </c>
    </row>
    <row r="9" spans="1:12" ht="15" x14ac:dyDescent="0.25">
      <c r="A9" s="62" t="s">
        <v>52</v>
      </c>
      <c r="B9" s="61">
        <v>1254453</v>
      </c>
      <c r="C9" s="57"/>
      <c r="D9" s="57"/>
    </row>
    <row r="10" spans="1:12" ht="15" x14ac:dyDescent="0.25">
      <c r="A10" s="62" t="s">
        <v>53</v>
      </c>
      <c r="B10" s="63">
        <v>3585290.0805348698</v>
      </c>
      <c r="C10" s="57"/>
      <c r="D10" s="57"/>
    </row>
    <row r="11" spans="1:12" ht="15" x14ac:dyDescent="0.25">
      <c r="A11" s="62" t="s">
        <v>54</v>
      </c>
      <c r="B11" s="61">
        <v>2180876.5139264986</v>
      </c>
      <c r="C11" s="57"/>
      <c r="D11" s="57"/>
    </row>
    <row r="12" spans="1:12" ht="15" x14ac:dyDescent="0.25">
      <c r="A12" s="62" t="s">
        <v>55</v>
      </c>
      <c r="B12" s="61">
        <v>815602</v>
      </c>
      <c r="C12" s="57"/>
      <c r="D12" s="57"/>
    </row>
    <row r="13" spans="1:12" ht="15" x14ac:dyDescent="0.25">
      <c r="A13" s="64" t="s">
        <v>20</v>
      </c>
      <c r="B13" s="65">
        <f>SUM(B7:B12)</f>
        <v>37895301.428237692</v>
      </c>
      <c r="C13" s="57"/>
      <c r="D13" s="57"/>
    </row>
    <row r="14" spans="1:12" x14ac:dyDescent="0.2">
      <c r="C14" s="57"/>
      <c r="D14" s="57"/>
    </row>
    <row r="15" spans="1:12" ht="15" x14ac:dyDescent="0.25">
      <c r="A15" s="56" t="s">
        <v>151</v>
      </c>
    </row>
    <row r="16" spans="1:12" ht="15" x14ac:dyDescent="0.25">
      <c r="A16" s="58"/>
      <c r="B16" s="211">
        <f>B6</f>
        <v>2025</v>
      </c>
      <c r="G16" s="53" t="s">
        <v>96</v>
      </c>
      <c r="H16" s="53" t="s">
        <v>97</v>
      </c>
      <c r="I16" s="53" t="s">
        <v>56</v>
      </c>
      <c r="J16" s="53" t="s">
        <v>53</v>
      </c>
      <c r="K16" s="53" t="s">
        <v>54</v>
      </c>
      <c r="L16" s="53" t="s">
        <v>55</v>
      </c>
    </row>
    <row r="17" spans="1:12" ht="15" x14ac:dyDescent="0.25">
      <c r="A17" s="60" t="s">
        <v>51</v>
      </c>
      <c r="B17" s="61">
        <f>F72</f>
        <v>19091614</v>
      </c>
      <c r="G17" s="166">
        <f>B17</f>
        <v>19091614</v>
      </c>
      <c r="H17" s="166">
        <f>B18</f>
        <v>10841757</v>
      </c>
      <c r="I17" s="166">
        <f>B19</f>
        <v>1254453</v>
      </c>
      <c r="J17" s="166">
        <f>B20</f>
        <v>3586450</v>
      </c>
      <c r="K17" s="166">
        <f>B21</f>
        <v>2180876.5139264986</v>
      </c>
      <c r="L17" s="166">
        <f>B22</f>
        <v>815602</v>
      </c>
    </row>
    <row r="18" spans="1:12" ht="15" x14ac:dyDescent="0.25">
      <c r="A18" s="62" t="s">
        <v>94</v>
      </c>
      <c r="B18" s="61">
        <f t="shared" ref="B18:B22" si="0">F73</f>
        <v>10841757</v>
      </c>
      <c r="C18" s="57"/>
      <c r="D18" s="57"/>
      <c r="G18" s="66">
        <f>G17/SUM($G17:$L$17)</f>
        <v>0.50546024977820359</v>
      </c>
      <c r="H18" s="66">
        <f>H17/SUM($G17:$L$17)</f>
        <v>0.28704106427327658</v>
      </c>
      <c r="I18" s="66">
        <f>I17/SUM($G17:$L$17)</f>
        <v>3.3212285075270055E-2</v>
      </c>
      <c r="J18" s="66">
        <f>J17/SUM($G17:$L$17)</f>
        <v>9.4953098926944493E-2</v>
      </c>
      <c r="K18" s="66">
        <f>K17/SUM($G17:$L$17)</f>
        <v>5.7739821654926922E-2</v>
      </c>
      <c r="L18" s="66">
        <f>L17/SUM($G17:$L$17)</f>
        <v>2.1593480291378319E-2</v>
      </c>
    </row>
    <row r="19" spans="1:12" ht="15" x14ac:dyDescent="0.25">
      <c r="A19" s="62" t="s">
        <v>52</v>
      </c>
      <c r="B19" s="61">
        <f t="shared" si="0"/>
        <v>1254453</v>
      </c>
      <c r="C19" s="57"/>
      <c r="D19" s="57"/>
    </row>
    <row r="20" spans="1:12" ht="15" x14ac:dyDescent="0.25">
      <c r="A20" s="62" t="s">
        <v>53</v>
      </c>
      <c r="B20" s="61">
        <f t="shared" si="0"/>
        <v>3586450</v>
      </c>
      <c r="C20" s="57"/>
      <c r="D20" s="57"/>
    </row>
    <row r="21" spans="1:12" ht="15" x14ac:dyDescent="0.25">
      <c r="A21" s="62" t="s">
        <v>54</v>
      </c>
      <c r="B21" s="61">
        <f t="shared" si="0"/>
        <v>2180876.5139264986</v>
      </c>
      <c r="C21" s="57"/>
      <c r="D21" s="57"/>
    </row>
    <row r="22" spans="1:12" ht="15" x14ac:dyDescent="0.25">
      <c r="A22" s="62" t="s">
        <v>55</v>
      </c>
      <c r="B22" s="61">
        <f t="shared" si="0"/>
        <v>815602</v>
      </c>
    </row>
    <row r="23" spans="1:12" ht="15" x14ac:dyDescent="0.25">
      <c r="A23" s="64" t="s">
        <v>20</v>
      </c>
      <c r="B23" s="65">
        <f>SUM(B17:B22)</f>
        <v>37770752.513926499</v>
      </c>
    </row>
    <row r="25" spans="1:12" ht="15" x14ac:dyDescent="0.25">
      <c r="A25" s="56" t="s">
        <v>95</v>
      </c>
    </row>
    <row r="26" spans="1:12" ht="15" x14ac:dyDescent="0.25">
      <c r="A26" s="58"/>
      <c r="B26" s="211">
        <f>B6</f>
        <v>2025</v>
      </c>
      <c r="G26" s="53" t="s">
        <v>96</v>
      </c>
      <c r="H26" s="53" t="s">
        <v>97</v>
      </c>
      <c r="I26" s="53" t="s">
        <v>56</v>
      </c>
      <c r="J26" s="53" t="s">
        <v>53</v>
      </c>
      <c r="K26" s="53" t="s">
        <v>54</v>
      </c>
      <c r="L26" s="53" t="s">
        <v>55</v>
      </c>
    </row>
    <row r="27" spans="1:12" ht="15" x14ac:dyDescent="0.25">
      <c r="A27" s="60" t="s">
        <v>51</v>
      </c>
      <c r="B27" s="61">
        <v>9820</v>
      </c>
      <c r="G27" s="166">
        <f>B27</f>
        <v>9820</v>
      </c>
      <c r="H27" s="166">
        <f>B28</f>
        <v>782</v>
      </c>
      <c r="I27" s="166">
        <f>B29</f>
        <v>51</v>
      </c>
      <c r="J27" s="166">
        <f>B30</f>
        <v>5</v>
      </c>
      <c r="K27" s="166">
        <f>B31</f>
        <v>43</v>
      </c>
      <c r="L27" s="166">
        <f>B32</f>
        <v>4</v>
      </c>
    </row>
    <row r="28" spans="1:12" ht="15" x14ac:dyDescent="0.25">
      <c r="A28" s="62" t="s">
        <v>94</v>
      </c>
      <c r="B28" s="63">
        <v>782</v>
      </c>
      <c r="C28" s="57"/>
      <c r="D28" s="57"/>
      <c r="G28" s="101">
        <f>G27/SUM($G$27:$L27)</f>
        <v>0.91732835123773937</v>
      </c>
      <c r="H28" s="101">
        <f>H27/SUM($G$27:$L27)</f>
        <v>7.3049976646426901E-2</v>
      </c>
      <c r="I28" s="101">
        <f>I27/SUM($G$27:$L27)</f>
        <v>4.7641289117234939E-3</v>
      </c>
      <c r="J28" s="101">
        <f>J27/SUM($G$27:$L27)</f>
        <v>4.6707146193367583E-4</v>
      </c>
      <c r="K28" s="101">
        <f>K27/SUM($G$27:$L27)</f>
        <v>4.0168145726296126E-3</v>
      </c>
      <c r="L28" s="101">
        <f>L27/SUM($G$27:$L27)</f>
        <v>3.7365716954694067E-4</v>
      </c>
    </row>
    <row r="29" spans="1:12" ht="15" x14ac:dyDescent="0.25">
      <c r="A29" s="62" t="s">
        <v>52</v>
      </c>
      <c r="B29" s="61">
        <v>51</v>
      </c>
      <c r="C29" s="57"/>
      <c r="D29" s="57"/>
    </row>
    <row r="30" spans="1:12" ht="15" x14ac:dyDescent="0.25">
      <c r="A30" s="62" t="s">
        <v>53</v>
      </c>
      <c r="B30" s="63">
        <v>5</v>
      </c>
      <c r="C30" s="57"/>
      <c r="D30" s="57"/>
    </row>
    <row r="31" spans="1:12" ht="15" x14ac:dyDescent="0.25">
      <c r="A31" s="62" t="s">
        <v>54</v>
      </c>
      <c r="B31" s="61">
        <v>43</v>
      </c>
      <c r="C31" s="57"/>
      <c r="D31" s="57"/>
    </row>
    <row r="32" spans="1:12" ht="15" x14ac:dyDescent="0.25">
      <c r="A32" s="62" t="s">
        <v>55</v>
      </c>
      <c r="B32" s="61">
        <v>4</v>
      </c>
    </row>
    <row r="33" spans="1:13" ht="15" x14ac:dyDescent="0.25">
      <c r="A33" s="64" t="s">
        <v>20</v>
      </c>
      <c r="B33" s="65">
        <f>SUM(B27:B32)</f>
        <v>10705</v>
      </c>
    </row>
    <row r="36" spans="1:13" x14ac:dyDescent="0.2">
      <c r="A36" s="191" t="s">
        <v>136</v>
      </c>
    </row>
    <row r="37" spans="1:13" ht="15" x14ac:dyDescent="0.25">
      <c r="A37" s="58" t="s">
        <v>127</v>
      </c>
      <c r="B37" s="59"/>
      <c r="G37" s="53" t="s">
        <v>96</v>
      </c>
      <c r="H37" s="53" t="s">
        <v>97</v>
      </c>
      <c r="I37" s="53" t="s">
        <v>56</v>
      </c>
      <c r="J37" s="53" t="s">
        <v>53</v>
      </c>
      <c r="K37" s="53" t="s">
        <v>54</v>
      </c>
      <c r="L37" s="53" t="s">
        <v>55</v>
      </c>
      <c r="M37" s="53" t="s">
        <v>138</v>
      </c>
    </row>
    <row r="38" spans="1:13" ht="15" x14ac:dyDescent="0.25">
      <c r="A38" s="60" t="s">
        <v>131</v>
      </c>
      <c r="B38" s="205">
        <v>4596763.8368440429</v>
      </c>
      <c r="G38" s="193">
        <f>B38</f>
        <v>4596763.8368440429</v>
      </c>
      <c r="H38" s="193">
        <f>B39</f>
        <v>1293300.8031913848</v>
      </c>
      <c r="I38" s="193">
        <f>B40</f>
        <v>126272.87431495376</v>
      </c>
      <c r="J38" s="193">
        <f>B41</f>
        <v>262132.61921130228</v>
      </c>
      <c r="K38" s="193">
        <f>B42</f>
        <v>188098.17397315757</v>
      </c>
      <c r="L38" s="193">
        <f>B43</f>
        <v>38161.041855899995</v>
      </c>
      <c r="M38" s="193">
        <f>B44</f>
        <v>858484.20000000007</v>
      </c>
    </row>
    <row r="39" spans="1:13" ht="15" x14ac:dyDescent="0.25">
      <c r="A39" s="62" t="s">
        <v>132</v>
      </c>
      <c r="B39" s="189">
        <v>1293300.8031913848</v>
      </c>
      <c r="G39" s="101">
        <f>G38/SUM($G$38:$M38)</f>
        <v>0.62428772519091147</v>
      </c>
      <c r="H39" s="101">
        <f>H38/SUM($G$38:$M38)</f>
        <v>0.17564352772281025</v>
      </c>
      <c r="I39" s="101">
        <f>I38/SUM($G$38:$M38)</f>
        <v>1.714915280779844E-2</v>
      </c>
      <c r="J39" s="101">
        <f>J38/SUM($G$38:$M38)</f>
        <v>3.5600301071397292E-2</v>
      </c>
      <c r="K39" s="101">
        <f>K38/SUM($G$38:$M38)</f>
        <v>2.5545663277513047E-2</v>
      </c>
      <c r="L39" s="101">
        <f>L38/SUM($G$38:$M38)</f>
        <v>5.1826612931873441E-3</v>
      </c>
      <c r="M39" s="101">
        <f>M38/SUM($G$38:$M38)</f>
        <v>0.11659096863638216</v>
      </c>
    </row>
    <row r="40" spans="1:13" ht="15" x14ac:dyDescent="0.25">
      <c r="A40" s="62" t="s">
        <v>128</v>
      </c>
      <c r="B40" s="188">
        <v>126272.87431495376</v>
      </c>
    </row>
    <row r="41" spans="1:13" ht="15" x14ac:dyDescent="0.25">
      <c r="A41" s="62" t="s">
        <v>133</v>
      </c>
      <c r="B41" s="189">
        <v>262132.61921130228</v>
      </c>
    </row>
    <row r="42" spans="1:13" ht="15" x14ac:dyDescent="0.25">
      <c r="A42" s="62" t="s">
        <v>129</v>
      </c>
      <c r="B42" s="188">
        <v>188098.17397315757</v>
      </c>
    </row>
    <row r="43" spans="1:13" ht="15" x14ac:dyDescent="0.25">
      <c r="A43" s="62" t="s">
        <v>134</v>
      </c>
      <c r="B43" s="188">
        <v>38161.041855899995</v>
      </c>
    </row>
    <row r="44" spans="1:13" ht="15" x14ac:dyDescent="0.25">
      <c r="A44" s="206" t="s">
        <v>135</v>
      </c>
      <c r="B44" s="207">
        <v>858484.20000000007</v>
      </c>
    </row>
    <row r="45" spans="1:13" ht="15" x14ac:dyDescent="0.2">
      <c r="A45" s="58" t="s">
        <v>130</v>
      </c>
      <c r="B45" s="190">
        <v>7363213.5493907416</v>
      </c>
    </row>
    <row r="46" spans="1:13" x14ac:dyDescent="0.2">
      <c r="A46" s="192" t="s">
        <v>137</v>
      </c>
    </row>
    <row r="48" spans="1:13" ht="15" x14ac:dyDescent="0.25">
      <c r="A48" s="55" t="s">
        <v>149</v>
      </c>
    </row>
    <row r="49" spans="1:12" ht="15" x14ac:dyDescent="0.25">
      <c r="A49" s="208"/>
      <c r="B49" s="59" t="s">
        <v>145</v>
      </c>
      <c r="C49" s="59" t="s">
        <v>146</v>
      </c>
      <c r="D49" s="59" t="s">
        <v>147</v>
      </c>
      <c r="E49" s="59" t="s">
        <v>153</v>
      </c>
      <c r="G49" s="53" t="s">
        <v>96</v>
      </c>
      <c r="H49" s="53" t="s">
        <v>97</v>
      </c>
      <c r="I49" s="53" t="s">
        <v>56</v>
      </c>
      <c r="J49" s="53" t="s">
        <v>53</v>
      </c>
      <c r="K49" s="53" t="s">
        <v>54</v>
      </c>
      <c r="L49" s="53" t="s">
        <v>55</v>
      </c>
    </row>
    <row r="50" spans="1:12" ht="15" x14ac:dyDescent="0.25">
      <c r="A50" s="209" t="s">
        <v>131</v>
      </c>
      <c r="B50" s="63">
        <v>17299257.272323839</v>
      </c>
      <c r="C50" s="63">
        <v>18760439.217100989</v>
      </c>
      <c r="D50" s="63">
        <v>17466766.735430952</v>
      </c>
      <c r="E50" s="63">
        <f>SUM(B50:D50)</f>
        <v>53526463.224855781</v>
      </c>
      <c r="G50" s="166">
        <f>E50</f>
        <v>53526463.224855781</v>
      </c>
      <c r="H50" s="166">
        <f>E51</f>
        <v>24910995.649187546</v>
      </c>
      <c r="I50" s="166">
        <f>E52</f>
        <v>2537268.1220377386</v>
      </c>
      <c r="J50" s="166">
        <f>E53</f>
        <v>4259983.3947666027</v>
      </c>
      <c r="K50" s="166">
        <f>E54</f>
        <v>5622383.0868228264</v>
      </c>
      <c r="L50" s="166">
        <f>E55</f>
        <v>2357643.8935483871</v>
      </c>
    </row>
    <row r="51" spans="1:12" ht="15" x14ac:dyDescent="0.25">
      <c r="A51" s="25" t="s">
        <v>132</v>
      </c>
      <c r="B51" s="63">
        <v>7533060.9480455536</v>
      </c>
      <c r="C51" s="63">
        <v>8541177.4900659043</v>
      </c>
      <c r="D51" s="63">
        <v>8836757.2110760882</v>
      </c>
      <c r="E51" s="63">
        <f t="shared" ref="E51:E55" si="1">SUM(B51:D51)</f>
        <v>24910995.649187546</v>
      </c>
      <c r="G51" s="101">
        <f>G50/SUM($F$38:$J50)</f>
        <v>0.58490440851678127</v>
      </c>
      <c r="H51" s="101">
        <f>H50/SUM($F$38:$J50)</f>
        <v>0.27221210403055568</v>
      </c>
      <c r="I51" s="101">
        <f>I50/SUM($F$38:$J50)</f>
        <v>2.7725712119903781E-2</v>
      </c>
      <c r="J51" s="101">
        <f>J50/SUM($F$38:$J50)</f>
        <v>4.6550489565135716E-2</v>
      </c>
      <c r="K51" s="101">
        <f>K50/SUM($F$38:$J50)</f>
        <v>6.1437959015490713E-2</v>
      </c>
      <c r="L51" s="101">
        <f>L50/SUM($F$38:$J50)</f>
        <v>2.5762888559555788E-2</v>
      </c>
    </row>
    <row r="52" spans="1:12" ht="15" x14ac:dyDescent="0.25">
      <c r="A52" s="25" t="s">
        <v>128</v>
      </c>
      <c r="B52" s="63">
        <v>829095.55663752439</v>
      </c>
      <c r="C52" s="63">
        <v>839041.46469385759</v>
      </c>
      <c r="D52" s="63">
        <v>869131.10070635669</v>
      </c>
      <c r="E52" s="63">
        <f t="shared" si="1"/>
        <v>2537268.1220377386</v>
      </c>
    </row>
    <row r="53" spans="1:12" ht="15" x14ac:dyDescent="0.25">
      <c r="A53" s="25" t="s">
        <v>133</v>
      </c>
      <c r="B53" s="63">
        <v>1372372.2315408932</v>
      </c>
      <c r="C53" s="63">
        <v>1551993.0112518335</v>
      </c>
      <c r="D53" s="63">
        <v>1335618.1519738757</v>
      </c>
      <c r="E53" s="63">
        <f t="shared" si="1"/>
        <v>4259983.3947666027</v>
      </c>
    </row>
    <row r="54" spans="1:12" ht="15" x14ac:dyDescent="0.25">
      <c r="A54" s="25" t="s">
        <v>129</v>
      </c>
      <c r="B54" s="63">
        <v>1793580.3249656223</v>
      </c>
      <c r="C54" s="63">
        <v>1601474.1363226094</v>
      </c>
      <c r="D54" s="63">
        <v>2227328.625534595</v>
      </c>
      <c r="E54" s="63">
        <f t="shared" si="1"/>
        <v>5622383.0868228264</v>
      </c>
    </row>
    <row r="55" spans="1:12" ht="15" x14ac:dyDescent="0.25">
      <c r="A55" s="25" t="s">
        <v>134</v>
      </c>
      <c r="B55" s="63">
        <v>791529.8935483871</v>
      </c>
      <c r="C55" s="63">
        <v>585953.80000000005</v>
      </c>
      <c r="D55" s="63">
        <v>980160.2</v>
      </c>
      <c r="E55" s="63">
        <f t="shared" si="1"/>
        <v>2357643.8935483871</v>
      </c>
    </row>
    <row r="56" spans="1:12" ht="15" x14ac:dyDescent="0.25">
      <c r="A56" s="210" t="s">
        <v>20</v>
      </c>
      <c r="B56" s="59">
        <f>SUM(B50:B55)</f>
        <v>29618896.227061819</v>
      </c>
      <c r="C56" s="59">
        <f>SUM(C50:C55)</f>
        <v>31880079.119435199</v>
      </c>
      <c r="D56" s="59">
        <f>SUM(D50:D55)</f>
        <v>31715762.024721868</v>
      </c>
      <c r="E56" s="59">
        <f>SUM(E50:E55)</f>
        <v>93214737.371218875</v>
      </c>
    </row>
    <row r="57" spans="1:12" x14ac:dyDescent="0.2">
      <c r="A57" s="74"/>
    </row>
    <row r="59" spans="1:12" ht="15" x14ac:dyDescent="0.25">
      <c r="A59" s="55" t="s">
        <v>149</v>
      </c>
    </row>
    <row r="60" spans="1:12" ht="15" x14ac:dyDescent="0.25">
      <c r="A60" s="208"/>
      <c r="B60" s="59" t="str">
        <f>E71</f>
        <v>2024 Actual</v>
      </c>
      <c r="C60" s="59" t="str">
        <f>F71</f>
        <v>2025 Actual</v>
      </c>
      <c r="D60" s="59" t="s">
        <v>155</v>
      </c>
      <c r="G60" s="53" t="s">
        <v>96</v>
      </c>
      <c r="H60" s="53" t="s">
        <v>97</v>
      </c>
      <c r="I60" s="53" t="s">
        <v>56</v>
      </c>
      <c r="J60" s="53" t="s">
        <v>53</v>
      </c>
      <c r="K60" s="53" t="s">
        <v>54</v>
      </c>
      <c r="L60" s="53" t="s">
        <v>55</v>
      </c>
    </row>
    <row r="61" spans="1:12" ht="15" x14ac:dyDescent="0.25">
      <c r="A61" s="209" t="s">
        <v>131</v>
      </c>
      <c r="B61" s="63">
        <f t="shared" ref="B61:C66" si="2">E72</f>
        <v>15583554.901420092</v>
      </c>
      <c r="C61" s="63">
        <f t="shared" si="2"/>
        <v>19091614</v>
      </c>
      <c r="D61" s="63">
        <f t="shared" ref="D61:D66" si="3">SUM(B61:C61)</f>
        <v>34675168.901420094</v>
      </c>
      <c r="G61" s="166">
        <f>D61</f>
        <v>34675168.901420094</v>
      </c>
      <c r="H61" s="166">
        <f>D62</f>
        <v>20203075.52561786</v>
      </c>
      <c r="I61" s="166">
        <f>D63</f>
        <v>2349062.6003819746</v>
      </c>
      <c r="J61" s="166">
        <f>D64</f>
        <v>6231844.8876231033</v>
      </c>
      <c r="K61" s="166">
        <f>D65</f>
        <v>3669265.304133568</v>
      </c>
      <c r="L61" s="166">
        <f>D66</f>
        <v>1319564.3</v>
      </c>
    </row>
    <row r="62" spans="1:12" ht="15" x14ac:dyDescent="0.25">
      <c r="A62" s="25" t="s">
        <v>132</v>
      </c>
      <c r="B62" s="63">
        <f t="shared" si="2"/>
        <v>9361318.5256178621</v>
      </c>
      <c r="C62" s="63">
        <f t="shared" si="2"/>
        <v>10841757</v>
      </c>
      <c r="D62" s="63">
        <f t="shared" si="3"/>
        <v>20203075.52561786</v>
      </c>
      <c r="G62" s="101">
        <f>G61/SUM($G$61:$L61)</f>
        <v>0.50659154779758386</v>
      </c>
      <c r="H62" s="101">
        <f>H61/SUM($G$61:$L61)</f>
        <v>0.29515955149031975</v>
      </c>
      <c r="I62" s="101">
        <f>I61/SUM($G$61:$L61)</f>
        <v>3.4318946274900071E-2</v>
      </c>
      <c r="J62" s="101">
        <f>J61/SUM($G$61:$L61)</f>
        <v>9.1044976773744166E-2</v>
      </c>
      <c r="K62" s="101">
        <f>K61/SUM($G$61:$L61)</f>
        <v>5.3606625391949284E-2</v>
      </c>
      <c r="L62" s="101">
        <f>L61/SUM($G$61:$L61)</f>
        <v>1.9278352271502801E-2</v>
      </c>
    </row>
    <row r="63" spans="1:12" ht="15" x14ac:dyDescent="0.25">
      <c r="A63" s="25" t="s">
        <v>128</v>
      </c>
      <c r="B63" s="63">
        <f t="shared" si="2"/>
        <v>1094609.6003819746</v>
      </c>
      <c r="C63" s="63">
        <f t="shared" si="2"/>
        <v>1254453</v>
      </c>
      <c r="D63" s="63">
        <f t="shared" si="3"/>
        <v>2349062.6003819746</v>
      </c>
    </row>
    <row r="64" spans="1:12" ht="15" x14ac:dyDescent="0.25">
      <c r="A64" s="25" t="s">
        <v>133</v>
      </c>
      <c r="B64" s="63">
        <f t="shared" si="2"/>
        <v>2645394.8876231033</v>
      </c>
      <c r="C64" s="63">
        <f t="shared" si="2"/>
        <v>3586450</v>
      </c>
      <c r="D64" s="63">
        <f t="shared" si="3"/>
        <v>6231844.8876231033</v>
      </c>
    </row>
    <row r="65" spans="1:6" ht="15" x14ac:dyDescent="0.25">
      <c r="A65" s="25" t="s">
        <v>129</v>
      </c>
      <c r="B65" s="63">
        <f t="shared" si="2"/>
        <v>1488388.7902070691</v>
      </c>
      <c r="C65" s="63">
        <f t="shared" si="2"/>
        <v>2180876.5139264986</v>
      </c>
      <c r="D65" s="63">
        <f t="shared" si="3"/>
        <v>3669265.304133568</v>
      </c>
    </row>
    <row r="66" spans="1:6" ht="15" x14ac:dyDescent="0.25">
      <c r="A66" s="25" t="s">
        <v>134</v>
      </c>
      <c r="B66" s="63">
        <f t="shared" si="2"/>
        <v>503962.3</v>
      </c>
      <c r="C66" s="63">
        <f t="shared" si="2"/>
        <v>815602</v>
      </c>
      <c r="D66" s="63">
        <f t="shared" si="3"/>
        <v>1319564.3</v>
      </c>
    </row>
    <row r="67" spans="1:6" ht="15" x14ac:dyDescent="0.25">
      <c r="A67" s="210" t="s">
        <v>20</v>
      </c>
      <c r="B67" s="59">
        <f>SUM(B61:B66)</f>
        <v>30677229.005250104</v>
      </c>
      <c r="C67" s="59">
        <f>SUM(C61:C66)</f>
        <v>37770752.513926499</v>
      </c>
      <c r="D67" s="59">
        <f>SUM(D61:D66)</f>
        <v>68447981.519176602</v>
      </c>
    </row>
    <row r="68" spans="1:6" x14ac:dyDescent="0.2">
      <c r="A68" s="74"/>
    </row>
    <row r="70" spans="1:6" ht="15" x14ac:dyDescent="0.25">
      <c r="A70" s="55" t="s">
        <v>149</v>
      </c>
    </row>
    <row r="71" spans="1:6" ht="15" x14ac:dyDescent="0.2">
      <c r="A71" s="208"/>
      <c r="B71" s="59" t="s">
        <v>145</v>
      </c>
      <c r="C71" s="59" t="s">
        <v>146</v>
      </c>
      <c r="D71" s="59" t="s">
        <v>147</v>
      </c>
      <c r="E71" s="59" t="s">
        <v>148</v>
      </c>
      <c r="F71" s="59" t="s">
        <v>98</v>
      </c>
    </row>
    <row r="72" spans="1:6" ht="15" x14ac:dyDescent="0.25">
      <c r="A72" s="209" t="s">
        <v>131</v>
      </c>
      <c r="B72" s="63">
        <v>17299257.272323839</v>
      </c>
      <c r="C72" s="63">
        <v>18760439.217100989</v>
      </c>
      <c r="D72" s="63">
        <v>17466766.735430952</v>
      </c>
      <c r="E72" s="63">
        <v>15583554.901420092</v>
      </c>
      <c r="F72" s="63">
        <v>19091614</v>
      </c>
    </row>
    <row r="73" spans="1:6" ht="15" x14ac:dyDescent="0.25">
      <c r="A73" s="25" t="s">
        <v>132</v>
      </c>
      <c r="B73" s="63">
        <v>7533060.9480455536</v>
      </c>
      <c r="C73" s="63">
        <v>8541177.4900659043</v>
      </c>
      <c r="D73" s="63">
        <v>8836757.2110760882</v>
      </c>
      <c r="E73" s="63">
        <v>9361318.5256178621</v>
      </c>
      <c r="F73" s="63">
        <v>10841757</v>
      </c>
    </row>
    <row r="74" spans="1:6" ht="15" x14ac:dyDescent="0.25">
      <c r="A74" s="25" t="s">
        <v>128</v>
      </c>
      <c r="B74" s="63">
        <v>829095.55663752439</v>
      </c>
      <c r="C74" s="63">
        <v>839041.46469385759</v>
      </c>
      <c r="D74" s="63">
        <v>869131.10070635669</v>
      </c>
      <c r="E74" s="63">
        <v>1094609.6003819746</v>
      </c>
      <c r="F74" s="63">
        <v>1254453</v>
      </c>
    </row>
    <row r="75" spans="1:6" ht="15" x14ac:dyDescent="0.25">
      <c r="A75" s="25" t="s">
        <v>133</v>
      </c>
      <c r="B75" s="63">
        <v>1372372.2315408932</v>
      </c>
      <c r="C75" s="63">
        <v>1551993.0112518335</v>
      </c>
      <c r="D75" s="63">
        <v>1335618.1519738757</v>
      </c>
      <c r="E75" s="63">
        <v>2645394.8876231033</v>
      </c>
      <c r="F75" s="63">
        <v>3586450</v>
      </c>
    </row>
    <row r="76" spans="1:6" ht="15" x14ac:dyDescent="0.25">
      <c r="A76" s="25" t="s">
        <v>129</v>
      </c>
      <c r="B76" s="63">
        <v>1793580.3249656223</v>
      </c>
      <c r="C76" s="63">
        <v>1601474.1363226094</v>
      </c>
      <c r="D76" s="63">
        <v>2227328.625534595</v>
      </c>
      <c r="E76" s="63">
        <v>1488388.7902070691</v>
      </c>
      <c r="F76" s="63">
        <v>2180876.5139264986</v>
      </c>
    </row>
    <row r="77" spans="1:6" ht="15" x14ac:dyDescent="0.25">
      <c r="A77" s="25" t="s">
        <v>134</v>
      </c>
      <c r="B77" s="63">
        <v>791529.8935483871</v>
      </c>
      <c r="C77" s="63">
        <v>585953.80000000005</v>
      </c>
      <c r="D77" s="63">
        <v>980160.2</v>
      </c>
      <c r="E77" s="63">
        <v>503962.3</v>
      </c>
      <c r="F77" s="63">
        <v>815602</v>
      </c>
    </row>
    <row r="78" spans="1:6" ht="15" x14ac:dyDescent="0.25">
      <c r="A78" s="21" t="s">
        <v>135</v>
      </c>
      <c r="B78" s="63">
        <v>65376687.464516126</v>
      </c>
      <c r="C78" s="63">
        <v>62040423</v>
      </c>
      <c r="D78" s="63">
        <v>65345852.20000001</v>
      </c>
      <c r="E78" s="63">
        <v>65859321.799999997</v>
      </c>
      <c r="F78" s="63">
        <v>67645411.799999997</v>
      </c>
    </row>
    <row r="79" spans="1:6" ht="15" x14ac:dyDescent="0.25">
      <c r="A79" s="210" t="s">
        <v>20</v>
      </c>
      <c r="B79" s="59">
        <f>SUM(B72:B78)</f>
        <v>94995583.691577941</v>
      </c>
      <c r="C79" s="59">
        <f t="shared" ref="C79" si="4">SUM(C72:C78)</f>
        <v>93920502.119435191</v>
      </c>
      <c r="D79" s="59">
        <f t="shared" ref="D79" si="5">SUM(D72:D78)</f>
        <v>97061614.224721879</v>
      </c>
      <c r="E79" s="59">
        <f t="shared" ref="E79" si="6">SUM(E72:E78)</f>
        <v>96536550.805250108</v>
      </c>
      <c r="F79" s="59">
        <f t="shared" ref="F79" si="7">SUM(F72:F78)</f>
        <v>105416164.31392649</v>
      </c>
    </row>
  </sheetData>
  <sheetProtection sheet="1" objects="1" scenarios="1"/>
  <phoneticPr fontId="20" type="noConversion"/>
  <pageMargins left="0.7" right="0.7" top="0.75" bottom="0.75" header="0.3" footer="0.3"/>
  <pageSetup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D137378F81F4FB318B1B24AB80438" ma:contentTypeVersion="3" ma:contentTypeDescription="Create a new document." ma:contentTypeScope="" ma:versionID="24e2e42336a1cd1f4ee2fe0de8a61d67">
  <xsd:schema xmlns:xsd="http://www.w3.org/2001/XMLSchema" xmlns:xs="http://www.w3.org/2001/XMLSchema" xmlns:p="http://schemas.microsoft.com/office/2006/metadata/properties" xmlns:ns2="2bc3004b-9ad1-483e-becf-bfd5ad8c6084" xmlns:ns3="5439dcb1-57cb-40ed-87e6-3a760137f3f8" targetNamespace="http://schemas.microsoft.com/office/2006/metadata/properties" ma:root="true" ma:fieldsID="123afb3d4e45bb2ee51a4b9193e9fa35" ns2:_="" ns3:_="">
    <xsd:import namespace="2bc3004b-9ad1-483e-becf-bfd5ad8c6084"/>
    <xsd:import namespace="5439dcb1-57cb-40ed-87e6-3a760137f3f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nm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004b-9ad1-483e-becf-bfd5ad8c6084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9dcb1-57cb-40ed-87e6-3a760137f3f8" elementFormDefault="qualified">
    <xsd:import namespace="http://schemas.microsoft.com/office/2006/documentManagement/types"/>
    <xsd:import namespace="http://schemas.microsoft.com/office/infopath/2007/PartnerControls"/>
    <xsd:element name="snms" ma:index="11" nillable="true" ma:displayName="Description" ma:internalName="snm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ms xmlns="5439dcb1-57cb-40ed-87e6-3a760137f3f8" xsi:nil="true"/>
    <_dlc_DocId xmlns="2bc3004b-9ad1-483e-becf-bfd5ad8c6084">6YNFE3WTN53P-2032442789-1772</_dlc_DocId>
    <_dlc_DocIdUrl xmlns="2bc3004b-9ad1-483e-becf-bfd5ad8c6084">
      <Url>https://epcorweb/en-ca/departments/natgas/sites/ON/ONReg/_layouts/15/DocIdRedir.aspx?ID=6YNFE3WTN53P-2032442789-1772</Url>
      <Description>6YNFE3WTN53P-2032442789-1772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D72353-3813-4448-8C89-85C332DDED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004b-9ad1-483e-becf-bfd5ad8c6084"/>
    <ds:schemaRef ds:uri="5439dcb1-57cb-40ed-87e6-3a760137f3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986EE0-454F-4433-AD87-B9903AF2359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386503-EB7C-497A-B47A-1F8E240A2856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2bc3004b-9ad1-483e-becf-bfd5ad8c6084"/>
    <ds:schemaRef ds:uri="http://schemas.microsoft.com/office/infopath/2007/PartnerControls"/>
    <ds:schemaRef ds:uri="http://schemas.openxmlformats.org/package/2006/metadata/core-properties"/>
    <ds:schemaRef ds:uri="5439dcb1-57cb-40ed-87e6-3a760137f3f8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FC7372A-094C-469B-900D-C2462FF8E8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Summary</vt:lpstr>
      <vt:lpstr>PGTVA</vt:lpstr>
      <vt:lpstr>UFGVA</vt:lpstr>
      <vt:lpstr>ADVADA</vt:lpstr>
      <vt:lpstr>ESMDA</vt:lpstr>
      <vt:lpstr>Allocations</vt:lpstr>
      <vt:lpstr>ESMDA!Print_Area</vt:lpstr>
      <vt:lpstr>PGTVA!Print_Area</vt:lpstr>
      <vt:lpstr>Summary!Print_Area</vt:lpstr>
    </vt:vector>
  </TitlesOfParts>
  <Company>EPCOR Utilities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Leung, George</dc:creator>
  <cp:lastModifiedBy>Hesselink, Tim</cp:lastModifiedBy>
  <cp:lastPrinted>2026-05-29T14:06:52Z</cp:lastPrinted>
  <dcterms:created xsi:type="dcterms:W3CDTF">2021-09-07T13:08:27Z</dcterms:created>
  <dcterms:modified xsi:type="dcterms:W3CDTF">2026-07-10T14:20:23Z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0x0101002BAD137378F81F4FB318B1B24AB80438</vt:lpwstr>
  </property>
  <property fmtid="{D5CDD505-2E9C-101B-9397-08002B2CF9AE}" pid="3" name="_dlc_DocIdItemGuid">
    <vt:lpwstr>d1839256-d856-4e51-abae-da2ecffe28ad</vt:lpwstr>
  </property>
</Properties>
</file>