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369" documentId="13_ncr:1_{D8184700-8EC0-46E4-9D2B-32FA60A50D14}" xr6:coauthVersionLast="47" xr6:coauthVersionMax="47" xr10:uidLastSave="{4D01335A-A6EF-4B31-AC7D-78FB158ED7F9}"/>
  <bookViews>
    <workbookView xWindow="-108" yWindow="-108" windowWidth="23256" windowHeight="12456" tabRatio="870" firstSheet="5" activeTab="2" xr2:uid="{00000000-000D-0000-FFFF-FFFF00000000}"/>
  </bookViews>
  <sheets>
    <sheet name="Exhibit 3" sheetId="114" r:id="rId1"/>
    <sheet name="Inputs" sheetId="73" r:id="rId2"/>
    <sheet name="Load Forecast Summary" sheetId="11" r:id="rId3"/>
    <sheet name="Power Purchased Model" sheetId="72" r:id="rId4"/>
    <sheet name="Power Purchased Model (WN)" sheetId="113" r:id="rId5"/>
    <sheet name="Rate Class Energy Model" sheetId="9" r:id="rId6"/>
    <sheet name="Rate Class Customer Model" sheetId="17" r:id="rId7"/>
    <sheet name="Rate Class Load Model" sheetId="18" r:id="rId8"/>
    <sheet name="LV Consumption" sheetId="115" r:id="rId9"/>
    <sheet name="Selected" sheetId="112" r:id="rId10"/>
    <sheet name="Results" sheetId="107" state="hidden" r:id="rId11"/>
  </sheets>
  <definedNames>
    <definedName name="__CAP1000" localSheetId="3">#REF!</definedName>
    <definedName name="__CAP1000" localSheetId="4">#REF!</definedName>
    <definedName name="__CAP1000">#REF!</definedName>
    <definedName name="__OP1000" localSheetId="3">#REF!</definedName>
    <definedName name="__OP1000" localSheetId="4">#REF!</definedName>
    <definedName name="__OP1000">#REF!</definedName>
    <definedName name="_110" localSheetId="3">#REF!</definedName>
    <definedName name="_110" localSheetId="4">#REF!</definedName>
    <definedName name="_110">#REF!</definedName>
    <definedName name="_110INPT" localSheetId="3">#REF!</definedName>
    <definedName name="_110INPT" localSheetId="4">#REF!</definedName>
    <definedName name="_110INPT">#REF!</definedName>
    <definedName name="_115" localSheetId="3">#REF!</definedName>
    <definedName name="_115" localSheetId="4">#REF!</definedName>
    <definedName name="_115">#REF!</definedName>
    <definedName name="_115INPT" localSheetId="3">#REF!</definedName>
    <definedName name="_115INPT" localSheetId="4">#REF!</definedName>
    <definedName name="_115INPT">#REF!</definedName>
    <definedName name="_120" localSheetId="3">#REF!</definedName>
    <definedName name="_120" localSheetId="4">#REF!</definedName>
    <definedName name="_120">#REF!</definedName>
    <definedName name="_140" localSheetId="3">#REF!</definedName>
    <definedName name="_140" localSheetId="4">#REF!</definedName>
    <definedName name="_140">#REF!</definedName>
    <definedName name="_140INPT" localSheetId="3">#REF!</definedName>
    <definedName name="_140INPT" localSheetId="4">#REF!</definedName>
    <definedName name="_140INPT">#REF!</definedName>
    <definedName name="_CAP1000" localSheetId="3">#REF!</definedName>
    <definedName name="_CAP1000" localSheetId="4">#REF!</definedName>
    <definedName name="_CAP1000">#REF!</definedName>
    <definedName name="_Fill" hidden="1">#REF!</definedName>
    <definedName name="_OP1000" localSheetId="3">#REF!</definedName>
    <definedName name="_OP1000" localSheetId="4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3">#REF!</definedName>
    <definedName name="ALL" localSheetId="4">#REF!</definedName>
    <definedName name="ALL">#REF!</definedName>
    <definedName name="ApprovedYr">#REF!</definedName>
    <definedName name="CAfile">#REF!</definedName>
    <definedName name="CAPCOSTS" localSheetId="3">#REF!</definedName>
    <definedName name="CAPCOSTS" localSheetId="4">#REF!</definedName>
    <definedName name="CAPCOSTS">#REF!</definedName>
    <definedName name="CAPITAL" localSheetId="3">#REF!</definedName>
    <definedName name="CAPITAL" localSheetId="4">#REF!</definedName>
    <definedName name="CAPITAL">#REF!</definedName>
    <definedName name="CapitalExpListing" localSheetId="3">#REF!</definedName>
    <definedName name="CapitalExpListing" localSheetId="4">#REF!</definedName>
    <definedName name="CapitalExpListing">#REF!</definedName>
    <definedName name="CArevReq">#REF!</definedName>
    <definedName name="CASENUMBER">#REF!</definedName>
    <definedName name="CASHFLOW" localSheetId="3">#REF!</definedName>
    <definedName name="CASHFLOW" localSheetId="4">#REF!</definedName>
    <definedName name="CASHFLOW">#REF!</definedName>
    <definedName name="cc" localSheetId="3">#REF!</definedName>
    <definedName name="cc" localSheetId="4">#REF!</definedName>
    <definedName name="cc">#REF!</definedName>
    <definedName name="ClassRange1">#REF!</definedName>
    <definedName name="ClassRange2">#REF!</definedName>
    <definedName name="contactf" localSheetId="3">#REF!</definedName>
    <definedName name="contactf" localSheetId="4">#REF!</definedName>
    <definedName name="contactf">#REF!</definedName>
    <definedName name="_xlnm.Criteria" localSheetId="3">#REF!</definedName>
    <definedName name="_xlnm.Criteria" localSheetId="4">#REF!</definedName>
    <definedName name="_xlnm.Criteria">#REF!</definedName>
    <definedName name="CRLF">#REF!</definedName>
    <definedName name="_xlnm.Database" localSheetId="3">#REF!</definedName>
    <definedName name="_xlnm.Database" localSheetId="4">#REF!</definedName>
    <definedName name="_xlnm.Database">#REF!</definedName>
    <definedName name="DaysInPreviousYear">#REF!</definedName>
    <definedName name="DaysInYear">#REF!</definedName>
    <definedName name="DEBTREPAY" localSheetId="3">#REF!</definedName>
    <definedName name="DEBTREPAY" localSheetId="4">#REF!</definedName>
    <definedName name="DEBTREPAY">#REF!</definedName>
    <definedName name="DeptDiv" localSheetId="3">#REF!</definedName>
    <definedName name="DeptDiv" localSheetId="4">#REF!</definedName>
    <definedName name="DeptDiv">#REF!</definedName>
    <definedName name="EBNUMBER">#REF!</definedName>
    <definedName name="ExpenseAccountListing" localSheetId="3">#REF!</definedName>
    <definedName name="ExpenseAccountListing" localSheetId="4">#REF!</definedName>
    <definedName name="ExpenseAccountListing">#REF!</definedName>
    <definedName name="_xlnm.Extract" localSheetId="3">#REF!</definedName>
    <definedName name="_xlnm.Extract" localSheetId="4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3">#REF!</definedName>
    <definedName name="Incr2000" localSheetId="4">#REF!</definedName>
    <definedName name="Incr2000">#REF!</definedName>
    <definedName name="INTERIM" localSheetId="3">#REF!</definedName>
    <definedName name="INTERIM" localSheetId="4">#REF!</definedName>
    <definedName name="INTERIM">#REF!</definedName>
    <definedName name="LIMIT" localSheetId="3">#REF!</definedName>
    <definedName name="LIMIT" localSheetId="4">#REF!</definedName>
    <definedName name="LIMIT">#REF!</definedName>
    <definedName name="man_beg_bud" localSheetId="3">#REF!</definedName>
    <definedName name="man_beg_bud" localSheetId="4">#REF!</definedName>
    <definedName name="man_beg_bud">#REF!</definedName>
    <definedName name="man_end_bud" localSheetId="3">#REF!</definedName>
    <definedName name="man_end_bud" localSheetId="4">#REF!</definedName>
    <definedName name="man_end_bud">#REF!</definedName>
    <definedName name="man12ACT" localSheetId="3">#REF!</definedName>
    <definedName name="man12ACT" localSheetId="4">#REF!</definedName>
    <definedName name="man12ACT">#REF!</definedName>
    <definedName name="MANBUD" localSheetId="3">#REF!</definedName>
    <definedName name="MANBUD" localSheetId="4">#REF!</definedName>
    <definedName name="MANBUD">#REF!</definedName>
    <definedName name="manCYACT" localSheetId="3">#REF!</definedName>
    <definedName name="manCYACT" localSheetId="4">#REF!</definedName>
    <definedName name="manCYACT">#REF!</definedName>
    <definedName name="manCYBUD" localSheetId="3">#REF!</definedName>
    <definedName name="manCYBUD" localSheetId="4">#REF!</definedName>
    <definedName name="manCYBUD">#REF!</definedName>
    <definedName name="manCYF" localSheetId="3">#REF!</definedName>
    <definedName name="manCYF" localSheetId="4">#REF!</definedName>
    <definedName name="manCYF">#REF!</definedName>
    <definedName name="MANEND" localSheetId="3">#REF!</definedName>
    <definedName name="MANEND" localSheetId="4">#REF!</definedName>
    <definedName name="MANEND">#REF!</definedName>
    <definedName name="manNYbud" localSheetId="3">#REF!</definedName>
    <definedName name="manNYbud" localSheetId="4">#REF!</definedName>
    <definedName name="manNYbud">#REF!</definedName>
    <definedName name="manpower_costs" localSheetId="3">#REF!</definedName>
    <definedName name="manpower_costs" localSheetId="4">#REF!</definedName>
    <definedName name="manpower_costs">#REF!</definedName>
    <definedName name="manPYACT" localSheetId="3">#REF!</definedName>
    <definedName name="manPYACT" localSheetId="4">#REF!</definedName>
    <definedName name="manPYACT">#REF!</definedName>
    <definedName name="MANSTART" localSheetId="3">#REF!</definedName>
    <definedName name="MANSTART" localSheetId="4">#REF!</definedName>
    <definedName name="MANSTART">#REF!</definedName>
    <definedName name="mat_beg_bud" localSheetId="3">#REF!</definedName>
    <definedName name="mat_beg_bud" localSheetId="4">#REF!</definedName>
    <definedName name="mat_beg_bud">#REF!</definedName>
    <definedName name="mat_end_bud" localSheetId="3">#REF!</definedName>
    <definedName name="mat_end_bud" localSheetId="4">#REF!</definedName>
    <definedName name="mat_end_bud">#REF!</definedName>
    <definedName name="mat12ACT" localSheetId="3">#REF!</definedName>
    <definedName name="mat12ACT" localSheetId="4">#REF!</definedName>
    <definedName name="mat12ACT">#REF!</definedName>
    <definedName name="MATBUD" localSheetId="3">#REF!</definedName>
    <definedName name="MATBUD" localSheetId="4">#REF!</definedName>
    <definedName name="MATBUD">#REF!</definedName>
    <definedName name="matCYACT" localSheetId="3">#REF!</definedName>
    <definedName name="matCYACT" localSheetId="4">#REF!</definedName>
    <definedName name="matCYACT">#REF!</definedName>
    <definedName name="matCYBUD" localSheetId="3">#REF!</definedName>
    <definedName name="matCYBUD" localSheetId="4">#REF!</definedName>
    <definedName name="matCYBUD">#REF!</definedName>
    <definedName name="matCYF" localSheetId="3">#REF!</definedName>
    <definedName name="matCYF" localSheetId="4">#REF!</definedName>
    <definedName name="matCYF">#REF!</definedName>
    <definedName name="MATEND" localSheetId="3">#REF!</definedName>
    <definedName name="MATEND" localSheetId="4">#REF!</definedName>
    <definedName name="MATEND">#REF!</definedName>
    <definedName name="material_costs" localSheetId="3">#REF!</definedName>
    <definedName name="material_costs" localSheetId="4">#REF!</definedName>
    <definedName name="material_costs">#REF!</definedName>
    <definedName name="matNYbud" localSheetId="3">#REF!</definedName>
    <definedName name="matNYbud" localSheetId="4">#REF!</definedName>
    <definedName name="matNYbud">#REF!</definedName>
    <definedName name="matPYACT" localSheetId="3">#REF!</definedName>
    <definedName name="matPYACT" localSheetId="4">#REF!</definedName>
    <definedName name="matPYACT">#REF!</definedName>
    <definedName name="MATSTART" localSheetId="3">#REF!</definedName>
    <definedName name="MATSTART" localSheetId="4">#REF!</definedName>
    <definedName name="MATSTART">#REF!</definedName>
    <definedName name="mea" localSheetId="3">#REF!</definedName>
    <definedName name="mea" localSheetId="4">#REF!</definedName>
    <definedName name="mea">#REF!</definedName>
    <definedName name="MEABAL" localSheetId="3">#REF!</definedName>
    <definedName name="MEABAL" localSheetId="4">#REF!</definedName>
    <definedName name="MEABAL">#REF!</definedName>
    <definedName name="MEACASH" localSheetId="3">#REF!</definedName>
    <definedName name="MEACASH" localSheetId="4">#REF!</definedName>
    <definedName name="MEACASH">#REF!</definedName>
    <definedName name="MEAEQITY" localSheetId="3">#REF!</definedName>
    <definedName name="MEAEQITY" localSheetId="4">#REF!</definedName>
    <definedName name="MEAEQITY">#REF!</definedName>
    <definedName name="MEAOP" localSheetId="3">#REF!</definedName>
    <definedName name="MEAOP" localSheetId="4">#REF!</definedName>
    <definedName name="MEAOP">#REF!</definedName>
    <definedName name="MofF" localSheetId="3">#REF!</definedName>
    <definedName name="MofF" localSheetId="4">#REF!</definedName>
    <definedName name="MofF">#REF!</definedName>
    <definedName name="NewRevReq">#REF!</definedName>
    <definedName name="NOTES" localSheetId="3">#REF!</definedName>
    <definedName name="NOTES" localSheetId="4">#REF!</definedName>
    <definedName name="NOTES">#REF!</definedName>
    <definedName name="OPERATING" localSheetId="3">#REF!</definedName>
    <definedName name="OPERATING" localSheetId="4">#REF!</definedName>
    <definedName name="OPERATING">#REF!</definedName>
    <definedName name="oth_beg_bud" localSheetId="3">#REF!</definedName>
    <definedName name="oth_beg_bud" localSheetId="4">#REF!</definedName>
    <definedName name="oth_beg_bud">#REF!</definedName>
    <definedName name="oth_end_bud" localSheetId="3">#REF!</definedName>
    <definedName name="oth_end_bud" localSheetId="4">#REF!</definedName>
    <definedName name="oth_end_bud">#REF!</definedName>
    <definedName name="oth12ACT" localSheetId="3">#REF!</definedName>
    <definedName name="oth12ACT" localSheetId="4">#REF!</definedName>
    <definedName name="oth12ACT">#REF!</definedName>
    <definedName name="othCYACT" localSheetId="3">#REF!</definedName>
    <definedName name="othCYACT" localSheetId="4">#REF!</definedName>
    <definedName name="othCYACT">#REF!</definedName>
    <definedName name="othCYBUD" localSheetId="3">#REF!</definedName>
    <definedName name="othCYBUD" localSheetId="4">#REF!</definedName>
    <definedName name="othCYBUD">#REF!</definedName>
    <definedName name="othCYF" localSheetId="3">#REF!</definedName>
    <definedName name="othCYF" localSheetId="4">#REF!</definedName>
    <definedName name="othCYF">#REF!</definedName>
    <definedName name="OTHEND" localSheetId="3">#REF!</definedName>
    <definedName name="OTHEND" localSheetId="4">#REF!</definedName>
    <definedName name="OTHEND">#REF!</definedName>
    <definedName name="other_costs" localSheetId="3">#REF!</definedName>
    <definedName name="other_costs" localSheetId="4">#REF!</definedName>
    <definedName name="other_costs">#REF!</definedName>
    <definedName name="OTHERBUD" localSheetId="3">#REF!</definedName>
    <definedName name="OTHERBUD" localSheetId="4">#REF!</definedName>
    <definedName name="OTHERBUD">#REF!</definedName>
    <definedName name="othNYbud" localSheetId="3">#REF!</definedName>
    <definedName name="othNYbud" localSheetId="4">#REF!</definedName>
    <definedName name="othNYbud">#REF!</definedName>
    <definedName name="othPYACT" localSheetId="3">#REF!</definedName>
    <definedName name="othPYACT" localSheetId="4">#REF!</definedName>
    <definedName name="othPYACT">#REF!</definedName>
    <definedName name="OTHSTART" localSheetId="3">#REF!</definedName>
    <definedName name="OTHSTART" localSheetId="4">#REF!</definedName>
    <definedName name="OTHSTART">#REF!</definedName>
    <definedName name="PAGE11" localSheetId="3">#REF!</definedName>
    <definedName name="PAGE11" localSheetId="4">#REF!</definedName>
    <definedName name="PAGE11">#REF!</definedName>
    <definedName name="PAGE2">#REF!</definedName>
    <definedName name="PAGE3" localSheetId="3">#REF!</definedName>
    <definedName name="PAGE3" localSheetId="4">#REF!</definedName>
    <definedName name="PAGE3">#REF!</definedName>
    <definedName name="PAGE4" localSheetId="3">#REF!</definedName>
    <definedName name="PAGE4" localSheetId="4">#REF!</definedName>
    <definedName name="PAGE4">#REF!</definedName>
    <definedName name="PAGE7" localSheetId="3">#REF!</definedName>
    <definedName name="PAGE7" localSheetId="4">#REF!</definedName>
    <definedName name="PAGE7">#REF!</definedName>
    <definedName name="PAGE9" localSheetId="3">#REF!</definedName>
    <definedName name="PAGE9" localSheetId="4">#REF!</definedName>
    <definedName name="PAGE9">#REF!</definedName>
    <definedName name="PageOne" localSheetId="3">#REF!</definedName>
    <definedName name="PageOne" localSheetId="4">#REF!</definedName>
    <definedName name="PageOne">#REF!</definedName>
    <definedName name="PR" localSheetId="3">#REF!</definedName>
    <definedName name="PR" localSheetId="4">#REF!</definedName>
    <definedName name="PR">#REF!</definedName>
    <definedName name="_xlnm.Print_Area" localSheetId="2">'Load Forecast Summary'!$A$3:$M$49</definedName>
    <definedName name="_xlnm.Print_Area" localSheetId="3">'Power Purchased Model'!$A$1:$P$168</definedName>
    <definedName name="_xlnm.Print_Area" localSheetId="4">'Power Purchased Model (WN)'!$A$1:$P$168</definedName>
    <definedName name="_xlnm.Print_Area" localSheetId="6">'Rate Class Customer Model'!$A$1:$L$42</definedName>
    <definedName name="_xlnm.Print_Area" localSheetId="5">'Rate Class Energy Model'!#REF!</definedName>
    <definedName name="_xlnm.Print_Area" localSheetId="7">'Rate Class Load Model'!$A$1:$I$29</definedName>
    <definedName name="Print_Area_MI" localSheetId="3">#REF!</definedName>
    <definedName name="Print_Area_MI" localSheetId="4">#REF!</definedName>
    <definedName name="Print_Area_MI">#REF!</definedName>
    <definedName name="print_end" localSheetId="3">#REF!</definedName>
    <definedName name="print_end" localSheetId="4">#REF!</definedName>
    <definedName name="print_end">#REF!</definedName>
    <definedName name="_xlnm.Print_Titles" localSheetId="3">'Power Purchased Model'!$A:$P,'Power Purchased Model'!$1:$2</definedName>
    <definedName name="_xlnm.Print_Titles" localSheetId="4">'Power Purchased Model (WN)'!$A:$P,'Power Purchased Model (WN)'!$1:$2</definedName>
    <definedName name="PRIOR" localSheetId="3">#REF!</definedName>
    <definedName name="PRIOR" localSheetId="4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3">#REF!</definedName>
    <definedName name="RVCASHPR" localSheetId="4">#REF!</definedName>
    <definedName name="RVCASHPR">#REF!</definedName>
    <definedName name="SALBENF" localSheetId="3">#REF!</definedName>
    <definedName name="SALBENF" localSheetId="4">#REF!</definedName>
    <definedName name="SALBENF">#REF!</definedName>
    <definedName name="salreg" localSheetId="3">#REF!</definedName>
    <definedName name="salreg" localSheetId="4">#REF!</definedName>
    <definedName name="salreg">#REF!</definedName>
    <definedName name="SALREGF" localSheetId="3">#REF!</definedName>
    <definedName name="SALREGF" localSheetId="4">#REF!</definedName>
    <definedName name="SALREGF">#REF!</definedName>
    <definedName name="solver_eng" localSheetId="3" hidden="1">1</definedName>
    <definedName name="solver_eng" localSheetId="4" hidden="1">1</definedName>
    <definedName name="solver_neg" localSheetId="3" hidden="1">1</definedName>
    <definedName name="solver_neg" localSheetId="4" hidden="1">1</definedName>
    <definedName name="solver_num" localSheetId="3" hidden="1">0</definedName>
    <definedName name="solver_num" localSheetId="4" hidden="1">0</definedName>
    <definedName name="solver_opt" localSheetId="3" hidden="1">'Power Purchased Model'!$L$135</definedName>
    <definedName name="solver_opt" localSheetId="4" hidden="1">'Power Purchased Model (WN)'!$L$135</definedName>
    <definedName name="solver_typ" localSheetId="3" hidden="1">1</definedName>
    <definedName name="solver_typ" localSheetId="4" hidden="1">1</definedName>
    <definedName name="solver_val" localSheetId="3" hidden="1">0</definedName>
    <definedName name="solver_val" localSheetId="4" hidden="1">0</definedName>
    <definedName name="solver_ver" localSheetId="3" hidden="1">3</definedName>
    <definedName name="solver_ver" localSheetId="4" hidden="1">3</definedName>
    <definedName name="SOURCEAPP" localSheetId="3">#REF!</definedName>
    <definedName name="SOURCEAPP" localSheetId="4">#REF!</definedName>
    <definedName name="SOURCEAPP">#REF!</definedName>
    <definedName name="STATS1" localSheetId="3">#REF!</definedName>
    <definedName name="STATS1" localSheetId="4">#REF!</definedName>
    <definedName name="STATS1">#REF!</definedName>
    <definedName name="STATS2" localSheetId="3">#REF!</definedName>
    <definedName name="STATS2" localSheetId="4">#REF!</definedName>
    <definedName name="STATS2">#REF!</definedName>
    <definedName name="Surtax" localSheetId="3">#REF!</definedName>
    <definedName name="Surtax" localSheetId="4">#REF!</definedName>
    <definedName name="Surtax">#REF!</definedName>
    <definedName name="TEMPA" localSheetId="3">#REF!</definedName>
    <definedName name="TEMPA" localSheetId="4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3">#REF!</definedName>
    <definedName name="total_dept" localSheetId="4">#REF!</definedName>
    <definedName name="total_dept">#REF!</definedName>
    <definedName name="total_manpower" localSheetId="3">#REF!</definedName>
    <definedName name="total_manpower" localSheetId="4">#REF!</definedName>
    <definedName name="total_manpower">#REF!</definedName>
    <definedName name="total_material" localSheetId="3">#REF!</definedName>
    <definedName name="total_material" localSheetId="4">#REF!</definedName>
    <definedName name="total_material">#REF!</definedName>
    <definedName name="total_other" localSheetId="3">#REF!</definedName>
    <definedName name="total_other" localSheetId="4">#REF!</definedName>
    <definedName name="total_other">#REF!</definedName>
    <definedName name="total_transportation" localSheetId="3">#REF!</definedName>
    <definedName name="total_transportation" localSheetId="4">#REF!</definedName>
    <definedName name="total_transportation">#REF!</definedName>
    <definedName name="TOTCAPADDITIONS" localSheetId="3">#REF!</definedName>
    <definedName name="TOTCAPADDITIONS" localSheetId="4">#REF!</definedName>
    <definedName name="TOTCAPADDITIONS">#REF!</definedName>
    <definedName name="TRANBUD" localSheetId="3">#REF!</definedName>
    <definedName name="TRANBUD" localSheetId="4">#REF!</definedName>
    <definedName name="TRANBUD">#REF!</definedName>
    <definedName name="TRANEND" localSheetId="3">#REF!</definedName>
    <definedName name="TRANEND" localSheetId="4">#REF!</definedName>
    <definedName name="TRANEND">#REF!</definedName>
    <definedName name="TRANSCAP" localSheetId="3">#REF!</definedName>
    <definedName name="TRANSCAP" localSheetId="4">#REF!</definedName>
    <definedName name="TRANSCAP">#REF!</definedName>
    <definedName name="TRANSFER" localSheetId="3">#REF!</definedName>
    <definedName name="TRANSFER" localSheetId="4">#REF!</definedName>
    <definedName name="TRANSFER">#REF!</definedName>
    <definedName name="transportation_costs" localSheetId="3">#REF!</definedName>
    <definedName name="transportation_costs" localSheetId="4">#REF!</definedName>
    <definedName name="transportation_costs">#REF!</definedName>
    <definedName name="TRANSTART" localSheetId="3">#REF!</definedName>
    <definedName name="TRANSTART" localSheetId="4">#REF!</definedName>
    <definedName name="TRANSTART">#REF!</definedName>
    <definedName name="trn_beg_bud" localSheetId="3">#REF!</definedName>
    <definedName name="trn_beg_bud" localSheetId="4">#REF!</definedName>
    <definedName name="trn_beg_bud">#REF!</definedName>
    <definedName name="trn_end_bud" localSheetId="3">#REF!</definedName>
    <definedName name="trn_end_bud" localSheetId="4">#REF!</definedName>
    <definedName name="trn_end_bud">#REF!</definedName>
    <definedName name="trn12ACT" localSheetId="3">#REF!</definedName>
    <definedName name="trn12ACT" localSheetId="4">#REF!</definedName>
    <definedName name="trn12ACT">#REF!</definedName>
    <definedName name="trnCYACT" localSheetId="3">#REF!</definedName>
    <definedName name="trnCYACT" localSheetId="4">#REF!</definedName>
    <definedName name="trnCYACT">#REF!</definedName>
    <definedName name="trnCYBUD" localSheetId="3">#REF!</definedName>
    <definedName name="trnCYBUD" localSheetId="4">#REF!</definedName>
    <definedName name="trnCYBUD">#REF!</definedName>
    <definedName name="trnCYF" localSheetId="3">#REF!</definedName>
    <definedName name="trnCYF" localSheetId="4">#REF!</definedName>
    <definedName name="trnCYF">#REF!</definedName>
    <definedName name="trnNYbud" localSheetId="3">#REF!</definedName>
    <definedName name="trnNYbud" localSheetId="4">#REF!</definedName>
    <definedName name="trnNYbud">#REF!</definedName>
    <definedName name="trnPYACT" localSheetId="3">#REF!</definedName>
    <definedName name="trnPYACT" localSheetId="4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3">#REF!</definedName>
    <definedName name="WAGBENF" localSheetId="4">#REF!</definedName>
    <definedName name="WAGBENF">#REF!</definedName>
    <definedName name="wagdob" localSheetId="3">#REF!</definedName>
    <definedName name="wagdob" localSheetId="4">#REF!</definedName>
    <definedName name="wagdob">#REF!</definedName>
    <definedName name="wagdobf" localSheetId="3">#REF!</definedName>
    <definedName name="wagdobf" localSheetId="4">#REF!</definedName>
    <definedName name="wagdobf">#REF!</definedName>
    <definedName name="wagreg" localSheetId="3">#REF!</definedName>
    <definedName name="wagreg" localSheetId="4">#REF!</definedName>
    <definedName name="wagreg">#REF!</definedName>
    <definedName name="wagregf" localSheetId="3">#REF!</definedName>
    <definedName name="wagregf" localSheetId="4">#REF!</definedName>
    <definedName name="wagregf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1" l="1"/>
  <c r="K15" i="11"/>
  <c r="F16" i="9"/>
  <c r="Q317" i="114" l="1"/>
  <c r="K19" i="17" l="1"/>
  <c r="K11" i="17"/>
  <c r="J12" i="9"/>
  <c r="E294" i="114"/>
  <c r="D294" i="114"/>
  <c r="E293" i="114"/>
  <c r="D293" i="114"/>
  <c r="D292" i="114"/>
  <c r="E291" i="114"/>
  <c r="D291" i="114"/>
  <c r="E290" i="114"/>
  <c r="D290" i="114"/>
  <c r="D289" i="114"/>
  <c r="D288" i="114"/>
  <c r="C293" i="114"/>
  <c r="C292" i="114"/>
  <c r="C291" i="114"/>
  <c r="C290" i="114"/>
  <c r="C289" i="114"/>
  <c r="C288" i="114"/>
  <c r="K31" i="17"/>
  <c r="H159" i="72"/>
  <c r="P323" i="114"/>
  <c r="M323" i="114"/>
  <c r="P335" i="114"/>
  <c r="G323" i="114"/>
  <c r="F323" i="114"/>
  <c r="W135" i="73"/>
  <c r="W133" i="73"/>
  <c r="W122" i="73" l="1"/>
  <c r="W114" i="73"/>
  <c r="W119" i="73"/>
  <c r="W121" i="73"/>
  <c r="W117" i="73"/>
  <c r="W116" i="73"/>
  <c r="W118" i="73"/>
  <c r="W115" i="73"/>
  <c r="F306" i="114" l="1"/>
  <c r="F305" i="114"/>
  <c r="F304" i="114"/>
  <c r="F303" i="114"/>
  <c r="F302" i="114"/>
  <c r="F301" i="114"/>
  <c r="F300" i="114"/>
  <c r="P300" i="114" s="1"/>
  <c r="M300" i="114" l="1" a="1"/>
  <c r="C300" i="114" s="1" a="1"/>
  <c r="P311" i="114"/>
  <c r="P301" i="114"/>
  <c r="P302" i="114"/>
  <c r="P303" i="114"/>
  <c r="P304" i="114"/>
  <c r="P305" i="114"/>
  <c r="P306" i="114"/>
  <c r="H161" i="72"/>
  <c r="I160" i="72"/>
  <c r="H160" i="72"/>
  <c r="W300" i="114" s="1" a="1"/>
  <c r="I159" i="72"/>
  <c r="X301" i="114" l="1"/>
  <c r="X303" i="114"/>
  <c r="X302" i="114"/>
  <c r="I161" i="72"/>
  <c r="Y300" i="114" s="1" a="1"/>
  <c r="Z302" i="114" l="1"/>
  <c r="Z301" i="114"/>
  <c r="Z303" i="114"/>
  <c r="B54" i="114"/>
  <c r="C35" i="114"/>
  <c r="B35" i="114"/>
  <c r="B83" i="114" s="1"/>
  <c r="C232" i="114" l="1" a="1"/>
  <c r="E197" i="114" a="1"/>
  <c r="D197" i="114"/>
  <c r="B106" i="114" a="1"/>
  <c r="B111" i="114"/>
  <c r="B102" i="114"/>
  <c r="B101" i="114"/>
  <c r="B100" i="114"/>
  <c r="B99" i="114"/>
  <c r="A83" i="114"/>
  <c r="G311" i="114"/>
  <c r="F311" i="114"/>
  <c r="E295" i="114"/>
  <c r="D295" i="114"/>
  <c r="C295" i="114"/>
  <c r="B275" i="114"/>
  <c r="B274" i="114"/>
  <c r="B273" i="114"/>
  <c r="F5" i="114" s="1"/>
  <c r="B227" i="114" a="1"/>
  <c r="H54" i="114"/>
  <c r="G54" i="114"/>
  <c r="F54" i="114"/>
  <c r="E54" i="114"/>
  <c r="D54" i="114"/>
  <c r="C54" i="114"/>
  <c r="E51" i="114"/>
  <c r="A141" i="114" s="1" a="1"/>
  <c r="H157" i="114" s="1"/>
  <c r="A48" i="114"/>
  <c r="A96" i="114" s="1"/>
  <c r="A47" i="114"/>
  <c r="A66" i="114" s="1"/>
  <c r="A46" i="114"/>
  <c r="A94" i="114" s="1"/>
  <c r="A45" i="114"/>
  <c r="A64" i="114" s="1"/>
  <c r="A78" i="114" s="1"/>
  <c r="A44" i="114"/>
  <c r="A63" i="114" s="1"/>
  <c r="A77" i="114" s="1"/>
  <c r="A43" i="114"/>
  <c r="A62" i="114" s="1"/>
  <c r="A76" i="114" s="1"/>
  <c r="A42" i="114"/>
  <c r="A90" i="114" s="1"/>
  <c r="A41" i="114"/>
  <c r="A89" i="114" s="1"/>
  <c r="A40" i="114"/>
  <c r="A88" i="114" s="1"/>
  <c r="A39" i="114"/>
  <c r="A58" i="114" s="1"/>
  <c r="A72" i="114" s="1"/>
  <c r="A38" i="114"/>
  <c r="A86" i="114" s="1"/>
  <c r="A37" i="114"/>
  <c r="A56" i="114" s="1"/>
  <c r="A70" i="114" s="1"/>
  <c r="H35" i="114"/>
  <c r="G35" i="114"/>
  <c r="F35" i="114"/>
  <c r="E35" i="114"/>
  <c r="D35" i="114"/>
  <c r="A32" i="114"/>
  <c r="A31" i="114"/>
  <c r="A30" i="114"/>
  <c r="A29" i="114"/>
  <c r="A28" i="114"/>
  <c r="A27" i="114"/>
  <c r="A26" i="114"/>
  <c r="A25" i="114"/>
  <c r="A24" i="114"/>
  <c r="A23" i="114"/>
  <c r="M307" i="114" l="1"/>
  <c r="I54" i="114"/>
  <c r="H83" i="114"/>
  <c r="D83" i="114"/>
  <c r="I35" i="114"/>
  <c r="B5" i="114"/>
  <c r="B237" i="114"/>
  <c r="A92" i="114"/>
  <c r="A150" i="114" s="1"/>
  <c r="A166" i="114" s="1"/>
  <c r="A59" i="114"/>
  <c r="A73" i="114" s="1"/>
  <c r="F83" i="114"/>
  <c r="A93" i="114"/>
  <c r="A123" i="114" s="1"/>
  <c r="A67" i="114"/>
  <c r="A85" i="114"/>
  <c r="A143" i="114" s="1"/>
  <c r="A159" i="114" s="1"/>
  <c r="E83" i="114"/>
  <c r="G83" i="114"/>
  <c r="C83" i="114"/>
  <c r="A146" i="114"/>
  <c r="A162" i="114" s="1"/>
  <c r="A118" i="114"/>
  <c r="A152" i="114"/>
  <c r="A124" i="114"/>
  <c r="A144" i="114"/>
  <c r="A160" i="114" s="1"/>
  <c r="A116" i="114"/>
  <c r="A119" i="114"/>
  <c r="A147" i="114"/>
  <c r="A163" i="114" s="1"/>
  <c r="A148" i="114"/>
  <c r="A164" i="114" s="1"/>
  <c r="A120" i="114"/>
  <c r="A126" i="114"/>
  <c r="A154" i="114"/>
  <c r="A60" i="114"/>
  <c r="A74" i="114" s="1"/>
  <c r="B157" i="114"/>
  <c r="A57" i="114"/>
  <c r="A71" i="114" s="1"/>
  <c r="A61" i="114"/>
  <c r="A75" i="114" s="1"/>
  <c r="A65" i="114"/>
  <c r="A79" i="114" s="1"/>
  <c r="A87" i="114"/>
  <c r="A91" i="114"/>
  <c r="A95" i="114"/>
  <c r="E157" i="114"/>
  <c r="D157" i="114"/>
  <c r="C157" i="114"/>
  <c r="G157" i="114"/>
  <c r="F157" i="114"/>
  <c r="T133" i="73"/>
  <c r="T134" i="73" s="1"/>
  <c r="T135" i="73" s="1"/>
  <c r="T136" i="73" s="1"/>
  <c r="T115" i="73"/>
  <c r="T116" i="73" s="1"/>
  <c r="T117" i="73" s="1"/>
  <c r="N4" i="9"/>
  <c r="N5" i="9"/>
  <c r="N6" i="9"/>
  <c r="N7" i="9"/>
  <c r="N8" i="9"/>
  <c r="N9" i="9"/>
  <c r="N10" i="9"/>
  <c r="N11" i="9"/>
  <c r="N12" i="9"/>
  <c r="M4" i="9"/>
  <c r="M5" i="9"/>
  <c r="M6" i="9"/>
  <c r="M7" i="9"/>
  <c r="M8" i="9"/>
  <c r="M9" i="9"/>
  <c r="M10" i="9"/>
  <c r="M11" i="9"/>
  <c r="M12" i="9"/>
  <c r="L4" i="9"/>
  <c r="L5" i="9"/>
  <c r="L6" i="9"/>
  <c r="L7" i="9"/>
  <c r="L8" i="9"/>
  <c r="L9" i="9"/>
  <c r="L10" i="9"/>
  <c r="L11" i="9"/>
  <c r="L12" i="9"/>
  <c r="K4" i="9"/>
  <c r="K5" i="9"/>
  <c r="K6" i="9"/>
  <c r="K7" i="9"/>
  <c r="K8" i="9"/>
  <c r="K9" i="9"/>
  <c r="K10" i="9"/>
  <c r="K11" i="9"/>
  <c r="G304" i="114" s="1"/>
  <c r="K12" i="9"/>
  <c r="G316" i="114" s="1"/>
  <c r="F328" i="114" s="1"/>
  <c r="J4" i="9"/>
  <c r="J5" i="9"/>
  <c r="J6" i="9"/>
  <c r="J7" i="9"/>
  <c r="J8" i="9"/>
  <c r="J9" i="9"/>
  <c r="J10" i="9"/>
  <c r="J11" i="9"/>
  <c r="I4" i="9"/>
  <c r="I5" i="9"/>
  <c r="I6" i="9"/>
  <c r="I7" i="9"/>
  <c r="I8" i="9"/>
  <c r="I9" i="9"/>
  <c r="I10" i="9"/>
  <c r="I11" i="9"/>
  <c r="I12" i="9"/>
  <c r="G313" i="114" s="1"/>
  <c r="F325" i="114" s="1"/>
  <c r="H4" i="9"/>
  <c r="H5" i="9"/>
  <c r="H6" i="9"/>
  <c r="H7" i="9"/>
  <c r="H8" i="9"/>
  <c r="H9" i="9"/>
  <c r="H10" i="9"/>
  <c r="H11" i="9"/>
  <c r="G300" i="114" s="1" a="1"/>
  <c r="H12" i="9"/>
  <c r="G312" i="114" s="1"/>
  <c r="F324" i="114" s="1"/>
  <c r="E161" i="72"/>
  <c r="F161" i="72"/>
  <c r="A29" i="9"/>
  <c r="A35" i="9" s="1"/>
  <c r="A41" i="9" s="1"/>
  <c r="A47" i="9" s="1"/>
  <c r="A28" i="9"/>
  <c r="A34" i="9" s="1"/>
  <c r="A40" i="9" s="1"/>
  <c r="A46" i="9" s="1"/>
  <c r="H16" i="113"/>
  <c r="I16" i="113"/>
  <c r="H17" i="113"/>
  <c r="I17" i="113"/>
  <c r="H18" i="113"/>
  <c r="I18" i="113"/>
  <c r="H19" i="113"/>
  <c r="I19" i="113"/>
  <c r="H20" i="113"/>
  <c r="I20" i="113"/>
  <c r="H21" i="113"/>
  <c r="I21" i="113"/>
  <c r="H22" i="113"/>
  <c r="I22" i="113"/>
  <c r="H23" i="113"/>
  <c r="I23" i="113"/>
  <c r="H24" i="113"/>
  <c r="I24" i="113"/>
  <c r="H25" i="113"/>
  <c r="I25" i="113"/>
  <c r="H26" i="113"/>
  <c r="I26" i="113"/>
  <c r="H27" i="113"/>
  <c r="I27" i="113"/>
  <c r="H28" i="113"/>
  <c r="I28" i="113"/>
  <c r="H29" i="113"/>
  <c r="I29" i="113"/>
  <c r="H30" i="113"/>
  <c r="I30" i="113"/>
  <c r="H31" i="113"/>
  <c r="I31" i="113"/>
  <c r="H32" i="113"/>
  <c r="I32" i="113"/>
  <c r="H33" i="113"/>
  <c r="I33" i="113"/>
  <c r="H34" i="113"/>
  <c r="I34" i="113"/>
  <c r="H35" i="113"/>
  <c r="I35" i="113"/>
  <c r="H36" i="113"/>
  <c r="I36" i="113"/>
  <c r="H37" i="113"/>
  <c r="I37" i="113"/>
  <c r="H38" i="113"/>
  <c r="I38" i="113"/>
  <c r="H39" i="113"/>
  <c r="I39" i="113"/>
  <c r="H40" i="113"/>
  <c r="I40" i="113"/>
  <c r="H41" i="113"/>
  <c r="I41" i="113"/>
  <c r="H42" i="113"/>
  <c r="I42" i="113"/>
  <c r="H43" i="113"/>
  <c r="I43" i="113"/>
  <c r="H44" i="113"/>
  <c r="H56" i="113" s="1"/>
  <c r="H68" i="113" s="1"/>
  <c r="H80" i="113" s="1"/>
  <c r="H92" i="113" s="1"/>
  <c r="H104" i="113" s="1"/>
  <c r="H116" i="113" s="1"/>
  <c r="H128" i="113" s="1"/>
  <c r="H140" i="113" s="1"/>
  <c r="I44" i="113"/>
  <c r="I56" i="113" s="1"/>
  <c r="I68" i="113" s="1"/>
  <c r="I80" i="113" s="1"/>
  <c r="I92" i="113" s="1"/>
  <c r="I104" i="113" s="1"/>
  <c r="I116" i="113" s="1"/>
  <c r="I128" i="113" s="1"/>
  <c r="I140" i="113" s="1"/>
  <c r="H45" i="113"/>
  <c r="H57" i="113" s="1"/>
  <c r="H69" i="113" s="1"/>
  <c r="H81" i="113" s="1"/>
  <c r="H93" i="113" s="1"/>
  <c r="H105" i="113" s="1"/>
  <c r="H117" i="113" s="1"/>
  <c r="H129" i="113" s="1"/>
  <c r="H141" i="113" s="1"/>
  <c r="I45" i="113"/>
  <c r="I57" i="113" s="1"/>
  <c r="I69" i="113" s="1"/>
  <c r="I81" i="113" s="1"/>
  <c r="I93" i="113" s="1"/>
  <c r="I105" i="113" s="1"/>
  <c r="I117" i="113" s="1"/>
  <c r="I129" i="113" s="1"/>
  <c r="I141" i="113" s="1"/>
  <c r="H46" i="113"/>
  <c r="H58" i="113" s="1"/>
  <c r="H70" i="113" s="1"/>
  <c r="H82" i="113" s="1"/>
  <c r="H94" i="113" s="1"/>
  <c r="H106" i="113" s="1"/>
  <c r="H118" i="113" s="1"/>
  <c r="H130" i="113" s="1"/>
  <c r="H142" i="113" s="1"/>
  <c r="I46" i="113"/>
  <c r="I58" i="113" s="1"/>
  <c r="I70" i="113" s="1"/>
  <c r="I82" i="113" s="1"/>
  <c r="I94" i="113" s="1"/>
  <c r="I106" i="113" s="1"/>
  <c r="I118" i="113" s="1"/>
  <c r="I130" i="113" s="1"/>
  <c r="I142" i="113" s="1"/>
  <c r="H47" i="113"/>
  <c r="H59" i="113" s="1"/>
  <c r="H71" i="113" s="1"/>
  <c r="H83" i="113" s="1"/>
  <c r="H95" i="113" s="1"/>
  <c r="H107" i="113" s="1"/>
  <c r="H119" i="113" s="1"/>
  <c r="H131" i="113" s="1"/>
  <c r="H143" i="113" s="1"/>
  <c r="I47" i="113"/>
  <c r="I59" i="113" s="1"/>
  <c r="I71" i="113" s="1"/>
  <c r="I83" i="113" s="1"/>
  <c r="I95" i="113" s="1"/>
  <c r="I107" i="113" s="1"/>
  <c r="I119" i="113" s="1"/>
  <c r="I131" i="113" s="1"/>
  <c r="I143" i="113" s="1"/>
  <c r="H48" i="113"/>
  <c r="H60" i="113" s="1"/>
  <c r="H72" i="113" s="1"/>
  <c r="H84" i="113" s="1"/>
  <c r="H96" i="113" s="1"/>
  <c r="H108" i="113" s="1"/>
  <c r="H120" i="113" s="1"/>
  <c r="H132" i="113" s="1"/>
  <c r="H144" i="113" s="1"/>
  <c r="I48" i="113"/>
  <c r="I60" i="113" s="1"/>
  <c r="I72" i="113" s="1"/>
  <c r="I84" i="113" s="1"/>
  <c r="I96" i="113" s="1"/>
  <c r="I108" i="113" s="1"/>
  <c r="I120" i="113" s="1"/>
  <c r="I132" i="113" s="1"/>
  <c r="I144" i="113" s="1"/>
  <c r="H49" i="113"/>
  <c r="H61" i="113" s="1"/>
  <c r="H73" i="113" s="1"/>
  <c r="H85" i="113" s="1"/>
  <c r="H97" i="113" s="1"/>
  <c r="H109" i="113" s="1"/>
  <c r="H121" i="113" s="1"/>
  <c r="H133" i="113" s="1"/>
  <c r="H145" i="113" s="1"/>
  <c r="I49" i="113"/>
  <c r="I61" i="113" s="1"/>
  <c r="I73" i="113" s="1"/>
  <c r="I85" i="113" s="1"/>
  <c r="I97" i="113" s="1"/>
  <c r="I109" i="113" s="1"/>
  <c r="I121" i="113" s="1"/>
  <c r="I133" i="113" s="1"/>
  <c r="I145" i="113" s="1"/>
  <c r="H50" i="113"/>
  <c r="H62" i="113" s="1"/>
  <c r="H74" i="113" s="1"/>
  <c r="H86" i="113" s="1"/>
  <c r="H98" i="113" s="1"/>
  <c r="H110" i="113" s="1"/>
  <c r="H122" i="113" s="1"/>
  <c r="H134" i="113" s="1"/>
  <c r="H146" i="113" s="1"/>
  <c r="I50" i="113"/>
  <c r="I62" i="113" s="1"/>
  <c r="I74" i="113" s="1"/>
  <c r="I86" i="113" s="1"/>
  <c r="I98" i="113" s="1"/>
  <c r="I110" i="113" s="1"/>
  <c r="I122" i="113" s="1"/>
  <c r="I134" i="113" s="1"/>
  <c r="I146" i="113" s="1"/>
  <c r="H51" i="113"/>
  <c r="H63" i="113" s="1"/>
  <c r="H75" i="113" s="1"/>
  <c r="H87" i="113" s="1"/>
  <c r="H99" i="113" s="1"/>
  <c r="H111" i="113" s="1"/>
  <c r="H123" i="113" s="1"/>
  <c r="H135" i="113" s="1"/>
  <c r="I51" i="113"/>
  <c r="I63" i="113" s="1"/>
  <c r="I75" i="113" s="1"/>
  <c r="I87" i="113" s="1"/>
  <c r="I99" i="113" s="1"/>
  <c r="I111" i="113" s="1"/>
  <c r="I123" i="113" s="1"/>
  <c r="I135" i="113" s="1"/>
  <c r="H52" i="113"/>
  <c r="H64" i="113" s="1"/>
  <c r="H76" i="113" s="1"/>
  <c r="H88" i="113" s="1"/>
  <c r="H100" i="113" s="1"/>
  <c r="H112" i="113" s="1"/>
  <c r="H124" i="113" s="1"/>
  <c r="H136" i="113" s="1"/>
  <c r="I52" i="113"/>
  <c r="I64" i="113" s="1"/>
  <c r="I76" i="113" s="1"/>
  <c r="I88" i="113" s="1"/>
  <c r="I100" i="113" s="1"/>
  <c r="I112" i="113" s="1"/>
  <c r="I124" i="113" s="1"/>
  <c r="I136" i="113" s="1"/>
  <c r="H53" i="113"/>
  <c r="H65" i="113" s="1"/>
  <c r="H77" i="113" s="1"/>
  <c r="H89" i="113" s="1"/>
  <c r="H101" i="113" s="1"/>
  <c r="H113" i="113" s="1"/>
  <c r="H125" i="113" s="1"/>
  <c r="H137" i="113" s="1"/>
  <c r="I53" i="113"/>
  <c r="I65" i="113" s="1"/>
  <c r="I77" i="113" s="1"/>
  <c r="I89" i="113" s="1"/>
  <c r="I101" i="113" s="1"/>
  <c r="I113" i="113" s="1"/>
  <c r="I125" i="113" s="1"/>
  <c r="I137" i="113" s="1"/>
  <c r="H54" i="113"/>
  <c r="H66" i="113" s="1"/>
  <c r="H78" i="113" s="1"/>
  <c r="H90" i="113" s="1"/>
  <c r="H102" i="113" s="1"/>
  <c r="H114" i="113" s="1"/>
  <c r="H126" i="113" s="1"/>
  <c r="H138" i="113" s="1"/>
  <c r="I54" i="113"/>
  <c r="I66" i="113" s="1"/>
  <c r="I78" i="113" s="1"/>
  <c r="I90" i="113" s="1"/>
  <c r="I102" i="113" s="1"/>
  <c r="I114" i="113" s="1"/>
  <c r="I126" i="113" s="1"/>
  <c r="I138" i="113" s="1"/>
  <c r="H55" i="113"/>
  <c r="H67" i="113" s="1"/>
  <c r="H79" i="113" s="1"/>
  <c r="H91" i="113" s="1"/>
  <c r="H103" i="113" s="1"/>
  <c r="H115" i="113" s="1"/>
  <c r="H127" i="113" s="1"/>
  <c r="H139" i="113" s="1"/>
  <c r="I55" i="113"/>
  <c r="I67" i="113" s="1"/>
  <c r="I79" i="113" s="1"/>
  <c r="I91" i="113" s="1"/>
  <c r="I103" i="113" s="1"/>
  <c r="I115" i="113" s="1"/>
  <c r="I127" i="113" s="1"/>
  <c r="I139" i="113" s="1"/>
  <c r="I15" i="113"/>
  <c r="H15" i="113"/>
  <c r="P163" i="113"/>
  <c r="O163" i="113"/>
  <c r="P162" i="113"/>
  <c r="O162" i="113"/>
  <c r="F161" i="113"/>
  <c r="P161" i="113" s="1"/>
  <c r="E161" i="113"/>
  <c r="O161" i="113" s="1"/>
  <c r="F160" i="113"/>
  <c r="P160" i="113" s="1"/>
  <c r="E160" i="113"/>
  <c r="O160" i="113" s="1"/>
  <c r="F159" i="113"/>
  <c r="P159" i="113" s="1"/>
  <c r="E159" i="113"/>
  <c r="O159" i="113" s="1"/>
  <c r="F158" i="113"/>
  <c r="P158" i="113" s="1"/>
  <c r="E158" i="113"/>
  <c r="O158" i="113" s="1"/>
  <c r="F157" i="113"/>
  <c r="P157" i="113" s="1"/>
  <c r="E157" i="113"/>
  <c r="O157" i="113" s="1"/>
  <c r="F156" i="113"/>
  <c r="P156" i="113" s="1"/>
  <c r="E156" i="113"/>
  <c r="O156" i="113" s="1"/>
  <c r="F155" i="113"/>
  <c r="P155" i="113" s="1"/>
  <c r="E155" i="113"/>
  <c r="O155" i="113" s="1"/>
  <c r="F154" i="113"/>
  <c r="P154" i="113" s="1"/>
  <c r="E154" i="113"/>
  <c r="O154" i="113" s="1"/>
  <c r="F153" i="113"/>
  <c r="P153" i="113" s="1"/>
  <c r="E153" i="113"/>
  <c r="O153" i="113" s="1"/>
  <c r="F152" i="113"/>
  <c r="P152" i="113" s="1"/>
  <c r="E152" i="113"/>
  <c r="E165" i="113" s="1"/>
  <c r="B3" i="113" a="1"/>
  <c r="I304" i="114" l="1"/>
  <c r="J304" i="114" s="1"/>
  <c r="F316" i="114"/>
  <c r="I316" i="114" s="1"/>
  <c r="J316" i="114" s="1"/>
  <c r="I301" i="114"/>
  <c r="J301" i="114" s="1"/>
  <c r="F312" i="114"/>
  <c r="I312" i="114" s="1"/>
  <c r="J312" i="114" s="1"/>
  <c r="F313" i="114"/>
  <c r="I313" i="114" s="1"/>
  <c r="J313" i="114" s="1"/>
  <c r="I300" i="114"/>
  <c r="J300" i="114" s="1"/>
  <c r="D86" i="113"/>
  <c r="G86" i="113" s="1"/>
  <c r="D10" i="113"/>
  <c r="G10" i="113" s="1"/>
  <c r="D40" i="113"/>
  <c r="G40" i="113" s="1"/>
  <c r="D8" i="113"/>
  <c r="G8" i="113" s="1"/>
  <c r="G8" i="9"/>
  <c r="G4" i="9"/>
  <c r="A151" i="114"/>
  <c r="A167" i="114" s="1"/>
  <c r="A115" i="114"/>
  <c r="A122" i="114"/>
  <c r="C307" i="114"/>
  <c r="A153" i="114"/>
  <c r="A125" i="114"/>
  <c r="A149" i="114"/>
  <c r="A165" i="114" s="1"/>
  <c r="A121" i="114"/>
  <c r="A145" i="114"/>
  <c r="A161" i="114" s="1"/>
  <c r="A117" i="114"/>
  <c r="B172" i="114" a="1"/>
  <c r="B178" i="114" a="1"/>
  <c r="D18" i="113"/>
  <c r="G18" i="113" s="1"/>
  <c r="D6" i="113"/>
  <c r="G6" i="113" s="1"/>
  <c r="G6" i="9"/>
  <c r="G11" i="9"/>
  <c r="G7" i="9"/>
  <c r="G9" i="9"/>
  <c r="G5" i="9"/>
  <c r="G10" i="9"/>
  <c r="G12" i="9"/>
  <c r="D11" i="113"/>
  <c r="G11" i="113" s="1"/>
  <c r="D19" i="113"/>
  <c r="G19" i="113" s="1"/>
  <c r="D49" i="113"/>
  <c r="G49" i="113" s="1"/>
  <c r="D61" i="113"/>
  <c r="G61" i="113" s="1"/>
  <c r="D4" i="113"/>
  <c r="G4" i="113" s="1"/>
  <c r="D12" i="113"/>
  <c r="G12" i="113" s="1"/>
  <c r="D20" i="113"/>
  <c r="G20" i="113" s="1"/>
  <c r="D29" i="113"/>
  <c r="G29" i="113" s="1"/>
  <c r="D33" i="113"/>
  <c r="G33" i="113" s="1"/>
  <c r="D83" i="113"/>
  <c r="G83" i="113" s="1"/>
  <c r="D5" i="113"/>
  <c r="G5" i="113" s="1"/>
  <c r="D13" i="113"/>
  <c r="G13" i="113" s="1"/>
  <c r="D21" i="113"/>
  <c r="G21" i="113" s="1"/>
  <c r="D45" i="113"/>
  <c r="G45" i="113" s="1"/>
  <c r="D57" i="113"/>
  <c r="G57" i="113" s="1"/>
  <c r="D97" i="113"/>
  <c r="G97" i="113" s="1"/>
  <c r="D14" i="113"/>
  <c r="G14" i="113" s="1"/>
  <c r="D22" i="113"/>
  <c r="G22" i="113" s="1"/>
  <c r="D35" i="113"/>
  <c r="G35" i="113" s="1"/>
  <c r="D39" i="113"/>
  <c r="D65" i="113"/>
  <c r="G65" i="113" s="1"/>
  <c r="B160" i="113"/>
  <c r="B156" i="113"/>
  <c r="B159" i="113"/>
  <c r="B155" i="113"/>
  <c r="D121" i="113"/>
  <c r="G121" i="113" s="1"/>
  <c r="D119" i="113"/>
  <c r="G119" i="113" s="1"/>
  <c r="D117" i="113"/>
  <c r="G117" i="113" s="1"/>
  <c r="D115" i="113"/>
  <c r="G115" i="113" s="1"/>
  <c r="D113" i="113"/>
  <c r="G113" i="113" s="1"/>
  <c r="D111" i="113"/>
  <c r="D103" i="113"/>
  <c r="G103" i="113" s="1"/>
  <c r="D95" i="113"/>
  <c r="G95" i="113" s="1"/>
  <c r="D87" i="113"/>
  <c r="D79" i="113"/>
  <c r="G79" i="113" s="1"/>
  <c r="D71" i="113"/>
  <c r="G71" i="113" s="1"/>
  <c r="D110" i="113"/>
  <c r="G110" i="113" s="1"/>
  <c r="D102" i="113"/>
  <c r="G102" i="113" s="1"/>
  <c r="D94" i="113"/>
  <c r="G94" i="113" s="1"/>
  <c r="B158" i="113"/>
  <c r="B154" i="113"/>
  <c r="D109" i="113"/>
  <c r="G109" i="113" s="1"/>
  <c r="D101" i="113"/>
  <c r="G101" i="113" s="1"/>
  <c r="D93" i="113"/>
  <c r="G93" i="113" s="1"/>
  <c r="D85" i="113"/>
  <c r="G85" i="113" s="1"/>
  <c r="D77" i="113"/>
  <c r="G77" i="113" s="1"/>
  <c r="D108" i="113"/>
  <c r="G108" i="113" s="1"/>
  <c r="D100" i="113"/>
  <c r="G100" i="113" s="1"/>
  <c r="D92" i="113"/>
  <c r="G92" i="113" s="1"/>
  <c r="D84" i="113"/>
  <c r="G84" i="113" s="1"/>
  <c r="D76" i="113"/>
  <c r="G76" i="113" s="1"/>
  <c r="D68" i="113"/>
  <c r="G68" i="113" s="1"/>
  <c r="B153" i="113"/>
  <c r="D116" i="113"/>
  <c r="G116" i="113" s="1"/>
  <c r="D104" i="113"/>
  <c r="G104" i="113" s="1"/>
  <c r="D90" i="113"/>
  <c r="G90" i="113" s="1"/>
  <c r="D72" i="113"/>
  <c r="G72" i="113" s="1"/>
  <c r="D66" i="113"/>
  <c r="G66" i="113" s="1"/>
  <c r="D60" i="113"/>
  <c r="G60" i="113" s="1"/>
  <c r="D52" i="113"/>
  <c r="G52" i="113" s="1"/>
  <c r="D41" i="113"/>
  <c r="G41" i="113" s="1"/>
  <c r="D36" i="113"/>
  <c r="G36" i="113" s="1"/>
  <c r="D30" i="113"/>
  <c r="G30" i="113" s="1"/>
  <c r="D24" i="113"/>
  <c r="G24" i="113" s="1"/>
  <c r="D107" i="113"/>
  <c r="G107" i="113" s="1"/>
  <c r="D80" i="113"/>
  <c r="G80" i="113" s="1"/>
  <c r="D73" i="113"/>
  <c r="G73" i="113" s="1"/>
  <c r="D67" i="113"/>
  <c r="G67" i="113" s="1"/>
  <c r="D59" i="113"/>
  <c r="G59" i="113" s="1"/>
  <c r="D122" i="113"/>
  <c r="G122" i="113" s="1"/>
  <c r="D114" i="113"/>
  <c r="G114" i="113" s="1"/>
  <c r="D98" i="113"/>
  <c r="G98" i="113" s="1"/>
  <c r="D91" i="113"/>
  <c r="G91" i="113" s="1"/>
  <c r="D74" i="113"/>
  <c r="G74" i="113" s="1"/>
  <c r="D58" i="113"/>
  <c r="G58" i="113" s="1"/>
  <c r="D50" i="113"/>
  <c r="G50" i="113" s="1"/>
  <c r="D34" i="113"/>
  <c r="G34" i="113" s="1"/>
  <c r="D28" i="113"/>
  <c r="G28" i="113" s="1"/>
  <c r="D105" i="113"/>
  <c r="G105" i="113" s="1"/>
  <c r="D81" i="113"/>
  <c r="G81" i="113" s="1"/>
  <c r="B161" i="113"/>
  <c r="D120" i="113"/>
  <c r="G120" i="113" s="1"/>
  <c r="D112" i="113"/>
  <c r="G112" i="113" s="1"/>
  <c r="D96" i="113"/>
  <c r="G96" i="113" s="1"/>
  <c r="D88" i="113"/>
  <c r="G88" i="113" s="1"/>
  <c r="D78" i="113"/>
  <c r="G78" i="113" s="1"/>
  <c r="D75" i="113"/>
  <c r="D69" i="113"/>
  <c r="G69" i="113" s="1"/>
  <c r="D56" i="113"/>
  <c r="G56" i="113" s="1"/>
  <c r="D48" i="113"/>
  <c r="G48" i="113" s="1"/>
  <c r="D43" i="113"/>
  <c r="G43" i="113" s="1"/>
  <c r="D38" i="113"/>
  <c r="G38" i="113" s="1"/>
  <c r="D32" i="113"/>
  <c r="G32" i="113" s="1"/>
  <c r="D99" i="113"/>
  <c r="D82" i="113"/>
  <c r="G82" i="113" s="1"/>
  <c r="D70" i="113"/>
  <c r="G70" i="113" s="1"/>
  <c r="D63" i="113"/>
  <c r="D55" i="113"/>
  <c r="G55" i="113" s="1"/>
  <c r="D47" i="113"/>
  <c r="G47" i="113" s="1"/>
  <c r="D37" i="113"/>
  <c r="G37" i="113" s="1"/>
  <c r="B157" i="113"/>
  <c r="D118" i="113"/>
  <c r="G118" i="113" s="1"/>
  <c r="D106" i="113"/>
  <c r="G106" i="113" s="1"/>
  <c r="D89" i="113"/>
  <c r="G89" i="113" s="1"/>
  <c r="D64" i="113"/>
  <c r="G64" i="113" s="1"/>
  <c r="D62" i="113"/>
  <c r="G62" i="113" s="1"/>
  <c r="D54" i="113"/>
  <c r="G54" i="113" s="1"/>
  <c r="D46" i="113"/>
  <c r="G46" i="113" s="1"/>
  <c r="D42" i="113"/>
  <c r="G42" i="113" s="1"/>
  <c r="D7" i="113"/>
  <c r="G7" i="113" s="1"/>
  <c r="D15" i="113"/>
  <c r="D23" i="113"/>
  <c r="G23" i="113" s="1"/>
  <c r="D25" i="113"/>
  <c r="G25" i="113" s="1"/>
  <c r="D26" i="113"/>
  <c r="G26" i="113" s="1"/>
  <c r="D31" i="113"/>
  <c r="G31" i="113" s="1"/>
  <c r="D16" i="113"/>
  <c r="G16" i="113" s="1"/>
  <c r="D27" i="113"/>
  <c r="D44" i="113"/>
  <c r="G44" i="113" s="1"/>
  <c r="D53" i="113"/>
  <c r="G53" i="113" s="1"/>
  <c r="D9" i="113"/>
  <c r="G9" i="113" s="1"/>
  <c r="D17" i="113"/>
  <c r="G17" i="113" s="1"/>
  <c r="D51" i="113"/>
  <c r="F165" i="113"/>
  <c r="O152" i="113"/>
  <c r="B183" i="114" l="1" a="1"/>
  <c r="D158" i="113"/>
  <c r="G75" i="113"/>
  <c r="G158" i="113" s="1"/>
  <c r="G111" i="113"/>
  <c r="G161" i="113" s="1"/>
  <c r="D161" i="113"/>
  <c r="G99" i="113"/>
  <c r="G160" i="113" s="1"/>
  <c r="D160" i="113"/>
  <c r="G51" i="113"/>
  <c r="G156" i="113" s="1"/>
  <c r="D156" i="113"/>
  <c r="D155" i="113"/>
  <c r="G39" i="113"/>
  <c r="G155" i="113" s="1"/>
  <c r="D154" i="113"/>
  <c r="G27" i="113"/>
  <c r="D159" i="113"/>
  <c r="G87" i="113"/>
  <c r="G159" i="113" s="1"/>
  <c r="B152" i="113"/>
  <c r="B165" i="113" s="1"/>
  <c r="D3" i="113"/>
  <c r="D153" i="113"/>
  <c r="G15" i="113"/>
  <c r="G153" i="113" s="1"/>
  <c r="D157" i="113"/>
  <c r="G63" i="113"/>
  <c r="G157" i="113" s="1"/>
  <c r="G154" i="113" l="1"/>
  <c r="D152" i="113"/>
  <c r="D165" i="113" s="1"/>
  <c r="G3" i="113"/>
  <c r="G152" i="113" s="1"/>
  <c r="G165" i="113" s="1"/>
  <c r="C25" i="73"/>
  <c r="C26" i="73"/>
  <c r="C27" i="73"/>
  <c r="C28" i="73"/>
  <c r="C29" i="73"/>
  <c r="C30" i="73"/>
  <c r="C31" i="73"/>
  <c r="C32" i="73"/>
  <c r="C33" i="73"/>
  <c r="C34" i="73"/>
  <c r="C35" i="73"/>
  <c r="C36" i="73"/>
  <c r="C37" i="73"/>
  <c r="C38" i="73"/>
  <c r="C39" i="73"/>
  <c r="C40" i="73"/>
  <c r="C41" i="73"/>
  <c r="C42" i="73"/>
  <c r="C43" i="73"/>
  <c r="C44" i="73"/>
  <c r="C45" i="73"/>
  <c r="C46" i="73"/>
  <c r="C47" i="73"/>
  <c r="C48" i="73"/>
  <c r="C49" i="73"/>
  <c r="C50" i="73"/>
  <c r="C51" i="73"/>
  <c r="C52" i="73"/>
  <c r="C53" i="73"/>
  <c r="C54" i="73"/>
  <c r="C55" i="73"/>
  <c r="C56" i="73"/>
  <c r="C57" i="73"/>
  <c r="C58" i="73"/>
  <c r="C59" i="73"/>
  <c r="C60" i="73"/>
  <c r="C61" i="73"/>
  <c r="C62" i="73"/>
  <c r="C63" i="73"/>
  <c r="C64" i="73"/>
  <c r="C65" i="73"/>
  <c r="C66" i="73"/>
  <c r="C67" i="73"/>
  <c r="C68" i="73"/>
  <c r="C69" i="73"/>
  <c r="C70" i="73"/>
  <c r="C71" i="73"/>
  <c r="C72" i="73"/>
  <c r="C73" i="73"/>
  <c r="C74" i="73"/>
  <c r="C75" i="73"/>
  <c r="C76" i="73"/>
  <c r="C77" i="73"/>
  <c r="C78" i="73"/>
  <c r="C79" i="73"/>
  <c r="C80" i="73"/>
  <c r="C81" i="73"/>
  <c r="C82" i="73"/>
  <c r="C83" i="73"/>
  <c r="C84" i="73"/>
  <c r="C85" i="73"/>
  <c r="C86" i="73"/>
  <c r="C87" i="73"/>
  <c r="C88" i="73"/>
  <c r="C89" i="73"/>
  <c r="C90" i="73"/>
  <c r="C91" i="73"/>
  <c r="C92" i="73"/>
  <c r="C93" i="73"/>
  <c r="C94" i="73"/>
  <c r="C95" i="73"/>
  <c r="C96" i="73"/>
  <c r="C97" i="73"/>
  <c r="C98" i="73"/>
  <c r="C99" i="73"/>
  <c r="C100" i="73"/>
  <c r="C101" i="73"/>
  <c r="C102" i="73"/>
  <c r="C103" i="73"/>
  <c r="C104" i="73"/>
  <c r="C105" i="73"/>
  <c r="C106" i="73"/>
  <c r="C107" i="73"/>
  <c r="C108" i="73"/>
  <c r="C109" i="73"/>
  <c r="C110" i="73"/>
  <c r="C111" i="73"/>
  <c r="C112" i="73"/>
  <c r="C113" i="73"/>
  <c r="C114" i="73"/>
  <c r="C115" i="73"/>
  <c r="C116" i="73"/>
  <c r="C117" i="73"/>
  <c r="C118" i="73"/>
  <c r="C119" i="73"/>
  <c r="C120" i="73"/>
  <c r="C121" i="73"/>
  <c r="C122" i="73"/>
  <c r="C123" i="73"/>
  <c r="C124" i="73"/>
  <c r="C125" i="73"/>
  <c r="C126" i="73"/>
  <c r="C127" i="73"/>
  <c r="C128" i="73"/>
  <c r="C129" i="73"/>
  <c r="C130" i="73"/>
  <c r="C131" i="73"/>
  <c r="C132" i="73"/>
  <c r="C133" i="73"/>
  <c r="C134" i="73"/>
  <c r="C135" i="73"/>
  <c r="C136" i="73"/>
  <c r="C137" i="73"/>
  <c r="C138" i="73"/>
  <c r="C139" i="73"/>
  <c r="C140" i="73"/>
  <c r="C141" i="73"/>
  <c r="C142" i="73"/>
  <c r="C143" i="73"/>
  <c r="N11" i="17" s="1"/>
  <c r="P12" i="17" s="1"/>
  <c r="C24" i="73"/>
  <c r="L3" i="113" l="1" a="1"/>
  <c r="K42" i="11"/>
  <c r="K28" i="11"/>
  <c r="K37" i="11"/>
  <c r="K19" i="11"/>
  <c r="K23" i="11"/>
  <c r="K32" i="11"/>
  <c r="L3" i="72" a="1"/>
  <c r="M33" i="113" l="1"/>
  <c r="N33" i="113" s="1"/>
  <c r="M8" i="113"/>
  <c r="N8" i="113" s="1"/>
  <c r="M6" i="113"/>
  <c r="N6" i="113" s="1"/>
  <c r="M27" i="113"/>
  <c r="M4" i="113"/>
  <c r="N4" i="113" s="1"/>
  <c r="M55" i="113"/>
  <c r="N55" i="113" s="1"/>
  <c r="M26" i="113"/>
  <c r="N26" i="113" s="1"/>
  <c r="M9" i="113"/>
  <c r="N9" i="113" s="1"/>
  <c r="M51" i="113"/>
  <c r="M115" i="113"/>
  <c r="N115" i="113" s="1"/>
  <c r="M77" i="113"/>
  <c r="N77" i="113" s="1"/>
  <c r="M116" i="113"/>
  <c r="N116" i="113" s="1"/>
  <c r="M106" i="113"/>
  <c r="N106" i="113" s="1"/>
  <c r="M67" i="113"/>
  <c r="N67" i="113" s="1"/>
  <c r="M103" i="113"/>
  <c r="N103" i="113" s="1"/>
  <c r="M79" i="113"/>
  <c r="N79" i="113" s="1"/>
  <c r="M11" i="113"/>
  <c r="N11" i="113" s="1"/>
  <c r="M5" i="113"/>
  <c r="N5" i="113" s="1"/>
  <c r="M58" i="113"/>
  <c r="N58" i="113" s="1"/>
  <c r="M46" i="113"/>
  <c r="N46" i="113" s="1"/>
  <c r="M36" i="113"/>
  <c r="N36" i="113" s="1"/>
  <c r="M23" i="113"/>
  <c r="N23" i="113" s="1"/>
  <c r="M61" i="113"/>
  <c r="N61" i="113" s="1"/>
  <c r="M99" i="113"/>
  <c r="M29" i="113"/>
  <c r="N29" i="113" s="1"/>
  <c r="M118" i="113"/>
  <c r="N118" i="113" s="1"/>
  <c r="M87" i="113"/>
  <c r="M97" i="113"/>
  <c r="N97" i="113" s="1"/>
  <c r="M31" i="113"/>
  <c r="N31" i="113" s="1"/>
  <c r="M16" i="113"/>
  <c r="N16" i="113" s="1"/>
  <c r="M113" i="113"/>
  <c r="N113" i="113" s="1"/>
  <c r="M69" i="113"/>
  <c r="N69" i="113" s="1"/>
  <c r="M114" i="113"/>
  <c r="N114" i="113" s="1"/>
  <c r="M98" i="113"/>
  <c r="N98" i="113" s="1"/>
  <c r="M105" i="113"/>
  <c r="N105" i="113" s="1"/>
  <c r="M78" i="113"/>
  <c r="N78" i="113" s="1"/>
  <c r="M71" i="113"/>
  <c r="N71" i="113" s="1"/>
  <c r="M12" i="113"/>
  <c r="N12" i="113" s="1"/>
  <c r="M35" i="113"/>
  <c r="N35" i="113" s="1"/>
  <c r="M50" i="113"/>
  <c r="N50" i="113" s="1"/>
  <c r="M42" i="113"/>
  <c r="N42" i="113" s="1"/>
  <c r="M86" i="113"/>
  <c r="N86" i="113" s="1"/>
  <c r="M21" i="113"/>
  <c r="N21" i="113" s="1"/>
  <c r="M28" i="113"/>
  <c r="N28" i="113" s="1"/>
  <c r="M122" i="113"/>
  <c r="N122" i="113" s="1"/>
  <c r="M76" i="113"/>
  <c r="N76" i="113" s="1"/>
  <c r="M7" i="113"/>
  <c r="N7" i="113" s="1"/>
  <c r="M52" i="113"/>
  <c r="N52" i="113" s="1"/>
  <c r="M18" i="113"/>
  <c r="N18" i="113" s="1"/>
  <c r="M120" i="113"/>
  <c r="N120" i="113" s="1"/>
  <c r="M64" i="113"/>
  <c r="N64" i="113" s="1"/>
  <c r="M32" i="113"/>
  <c r="N32" i="113" s="1"/>
  <c r="M73" i="113"/>
  <c r="N73" i="113" s="1"/>
  <c r="M37" i="113"/>
  <c r="N37" i="113" s="1"/>
  <c r="M41" i="113"/>
  <c r="N41" i="113" s="1"/>
  <c r="M17" i="113"/>
  <c r="N17" i="113" s="1"/>
  <c r="M80" i="113"/>
  <c r="N80" i="113" s="1"/>
  <c r="M38" i="113"/>
  <c r="N38" i="113" s="1"/>
  <c r="M111" i="113"/>
  <c r="M108" i="113"/>
  <c r="N108" i="113" s="1"/>
  <c r="M112" i="113"/>
  <c r="N112" i="113" s="1"/>
  <c r="M90" i="113"/>
  <c r="N90" i="113" s="1"/>
  <c r="M84" i="113"/>
  <c r="N84" i="113" s="1"/>
  <c r="M63" i="113"/>
  <c r="M65" i="113"/>
  <c r="N65" i="113" s="1"/>
  <c r="M19" i="113"/>
  <c r="N19" i="113" s="1"/>
  <c r="M13" i="113"/>
  <c r="N13" i="113" s="1"/>
  <c r="M39" i="113"/>
  <c r="M59" i="113"/>
  <c r="N59" i="113" s="1"/>
  <c r="M24" i="113"/>
  <c r="N24" i="113" s="1"/>
  <c r="M44" i="113"/>
  <c r="N44" i="113" s="1"/>
  <c r="M53" i="113"/>
  <c r="N53" i="113" s="1"/>
  <c r="M109" i="113"/>
  <c r="N109" i="113" s="1"/>
  <c r="M89" i="113"/>
  <c r="N89" i="113" s="1"/>
  <c r="M56" i="113"/>
  <c r="N56" i="113" s="1"/>
  <c r="M40" i="113"/>
  <c r="N40" i="113" s="1"/>
  <c r="M121" i="113"/>
  <c r="N121" i="113" s="1"/>
  <c r="M91" i="113"/>
  <c r="N91" i="113" s="1"/>
  <c r="M96" i="113"/>
  <c r="N96" i="113" s="1"/>
  <c r="M48" i="113"/>
  <c r="N48" i="113" s="1"/>
  <c r="M119" i="113"/>
  <c r="N119" i="113" s="1"/>
  <c r="M83" i="113"/>
  <c r="N83" i="113" s="1"/>
  <c r="M102" i="113"/>
  <c r="N102" i="113" s="1"/>
  <c r="M47" i="113"/>
  <c r="N47" i="113" s="1"/>
  <c r="M110" i="113"/>
  <c r="N110" i="113" s="1"/>
  <c r="M100" i="113"/>
  <c r="N100" i="113" s="1"/>
  <c r="M107" i="113"/>
  <c r="N107" i="113" s="1"/>
  <c r="M82" i="113"/>
  <c r="N82" i="113" s="1"/>
  <c r="M81" i="113"/>
  <c r="N81" i="113" s="1"/>
  <c r="M94" i="113"/>
  <c r="N94" i="113" s="1"/>
  <c r="M104" i="113"/>
  <c r="N104" i="113" s="1"/>
  <c r="M20" i="113"/>
  <c r="N20" i="113" s="1"/>
  <c r="M3" i="113" s="1"/>
  <c r="M25" i="113"/>
  <c r="N25" i="113" s="1"/>
  <c r="M57" i="113"/>
  <c r="N57" i="113" s="1"/>
  <c r="M45" i="113"/>
  <c r="N45" i="113" s="1"/>
  <c r="M95" i="113"/>
  <c r="N95" i="113" s="1"/>
  <c r="M30" i="113"/>
  <c r="N30" i="113" s="1"/>
  <c r="M10" i="113"/>
  <c r="N10" i="113" s="1"/>
  <c r="M92" i="113"/>
  <c r="N92" i="113" s="1"/>
  <c r="M74" i="113"/>
  <c r="N74" i="113" s="1"/>
  <c r="M68" i="113"/>
  <c r="N68" i="113" s="1"/>
  <c r="M14" i="113"/>
  <c r="N14" i="113" s="1"/>
  <c r="M60" i="113"/>
  <c r="N60" i="113" s="1"/>
  <c r="M101" i="113"/>
  <c r="N101" i="113" s="1"/>
  <c r="M70" i="113"/>
  <c r="N70" i="113" s="1"/>
  <c r="M22" i="113"/>
  <c r="N22" i="113" s="1"/>
  <c r="M72" i="113"/>
  <c r="N72" i="113" s="1"/>
  <c r="M62" i="113"/>
  <c r="N62" i="113" s="1"/>
  <c r="M85" i="113"/>
  <c r="N85" i="113" s="1"/>
  <c r="M75" i="113"/>
  <c r="M43" i="113"/>
  <c r="N43" i="113" s="1"/>
  <c r="M54" i="113"/>
  <c r="N54" i="113" s="1"/>
  <c r="M66" i="113"/>
  <c r="N66" i="113" s="1"/>
  <c r="M34" i="113"/>
  <c r="N34" i="113" s="1"/>
  <c r="M49" i="113"/>
  <c r="N49" i="113" s="1"/>
  <c r="M93" i="113"/>
  <c r="N93" i="113" s="1"/>
  <c r="M88" i="113"/>
  <c r="N88" i="113" s="1"/>
  <c r="M117" i="113"/>
  <c r="N117" i="113" s="1"/>
  <c r="M15" i="113"/>
  <c r="O14" i="113" l="1"/>
  <c r="P14" i="113" s="1"/>
  <c r="R14" i="113"/>
  <c r="S14" i="113" s="1"/>
  <c r="Q14" i="113"/>
  <c r="Q84" i="113"/>
  <c r="O84" i="113"/>
  <c r="P84" i="113" s="1"/>
  <c r="R84" i="113"/>
  <c r="S84" i="113" s="1"/>
  <c r="Q61" i="113"/>
  <c r="R61" i="113"/>
  <c r="S61" i="113" s="1"/>
  <c r="O61" i="113"/>
  <c r="P61" i="113" s="1"/>
  <c r="Q85" i="113"/>
  <c r="O85" i="113"/>
  <c r="P85" i="113" s="1"/>
  <c r="R85" i="113"/>
  <c r="S85" i="113" s="1"/>
  <c r="Q90" i="113"/>
  <c r="O90" i="113"/>
  <c r="P90" i="113" s="1"/>
  <c r="R90" i="113"/>
  <c r="S90" i="113" s="1"/>
  <c r="N153" i="113"/>
  <c r="Q153" i="113" s="1"/>
  <c r="E116" i="114" s="1"/>
  <c r="N15" i="113"/>
  <c r="R16" i="113" s="1"/>
  <c r="S16" i="113" s="1"/>
  <c r="O43" i="113"/>
  <c r="P43" i="113" s="1"/>
  <c r="R43" i="113"/>
  <c r="S43" i="113" s="1"/>
  <c r="Q43" i="113"/>
  <c r="Q60" i="113"/>
  <c r="R60" i="113"/>
  <c r="S60" i="113" s="1"/>
  <c r="O60" i="113"/>
  <c r="P60" i="113" s="1"/>
  <c r="R45" i="113"/>
  <c r="S45" i="113" s="1"/>
  <c r="O45" i="113"/>
  <c r="P45" i="113" s="1"/>
  <c r="Q45" i="113"/>
  <c r="R83" i="113"/>
  <c r="S83" i="113" s="1"/>
  <c r="R82" i="113"/>
  <c r="S82" i="113" s="1"/>
  <c r="Q82" i="113"/>
  <c r="O82" i="113"/>
  <c r="P82" i="113" s="1"/>
  <c r="R48" i="113"/>
  <c r="S48" i="113" s="1"/>
  <c r="Q48" i="113"/>
  <c r="O48" i="113"/>
  <c r="P48" i="113" s="1"/>
  <c r="O53" i="113"/>
  <c r="P53" i="113" s="1"/>
  <c r="Q53" i="113"/>
  <c r="N157" i="113"/>
  <c r="Q157" i="113" s="1"/>
  <c r="E120" i="114" s="1"/>
  <c r="N63" i="113"/>
  <c r="R64" i="113" s="1"/>
  <c r="S64" i="113" s="1"/>
  <c r="R18" i="113"/>
  <c r="S18" i="113" s="1"/>
  <c r="Q17" i="113"/>
  <c r="R17" i="113"/>
  <c r="S17" i="113" s="1"/>
  <c r="O17" i="113"/>
  <c r="P17" i="113" s="1"/>
  <c r="R53" i="113"/>
  <c r="S53" i="113" s="1"/>
  <c r="O52" i="113"/>
  <c r="P52" i="113" s="1"/>
  <c r="Q52" i="113"/>
  <c r="Q50" i="113"/>
  <c r="O50" i="113"/>
  <c r="P50" i="113" s="1"/>
  <c r="R50" i="113"/>
  <c r="S50" i="113" s="1"/>
  <c r="R69" i="113"/>
  <c r="S69" i="113" s="1"/>
  <c r="O69" i="113"/>
  <c r="P69" i="113" s="1"/>
  <c r="Q69" i="113"/>
  <c r="N160" i="113"/>
  <c r="Q160" i="113" s="1"/>
  <c r="E123" i="114" s="1"/>
  <c r="N99" i="113"/>
  <c r="R100" i="113" s="1"/>
  <c r="S100" i="113" s="1"/>
  <c r="Q79" i="113"/>
  <c r="R79" i="113"/>
  <c r="S79" i="113" s="1"/>
  <c r="O79" i="113"/>
  <c r="P79" i="113" s="1"/>
  <c r="Q9" i="113"/>
  <c r="R9" i="113"/>
  <c r="S9" i="113" s="1"/>
  <c r="O9" i="113"/>
  <c r="P9" i="113" s="1"/>
  <c r="N158" i="113"/>
  <c r="Q158" i="113" s="1"/>
  <c r="E121" i="114" s="1"/>
  <c r="N75" i="113"/>
  <c r="O41" i="113"/>
  <c r="P41" i="113" s="1"/>
  <c r="R41" i="113"/>
  <c r="S41" i="113" s="1"/>
  <c r="Q41" i="113"/>
  <c r="O103" i="113"/>
  <c r="P103" i="113" s="1"/>
  <c r="R103" i="113"/>
  <c r="S103" i="113" s="1"/>
  <c r="Q103" i="113"/>
  <c r="O88" i="113"/>
  <c r="P88" i="113" s="1"/>
  <c r="Q88" i="113"/>
  <c r="Q24" i="113"/>
  <c r="R24" i="113"/>
  <c r="S24" i="113" s="1"/>
  <c r="O24" i="113"/>
  <c r="P24" i="113" s="1"/>
  <c r="Q76" i="113"/>
  <c r="O76" i="113"/>
  <c r="P76" i="113" s="1"/>
  <c r="R55" i="113"/>
  <c r="S55" i="113" s="1"/>
  <c r="Q55" i="113"/>
  <c r="O55" i="113"/>
  <c r="P55" i="113" s="1"/>
  <c r="R93" i="113"/>
  <c r="S93" i="113" s="1"/>
  <c r="Q93" i="113"/>
  <c r="O93" i="113"/>
  <c r="P93" i="113" s="1"/>
  <c r="Q62" i="113"/>
  <c r="O62" i="113"/>
  <c r="P62" i="113" s="1"/>
  <c r="R62" i="113"/>
  <c r="S62" i="113" s="1"/>
  <c r="O74" i="113"/>
  <c r="P74" i="113" s="1"/>
  <c r="R74" i="113"/>
  <c r="S74" i="113" s="1"/>
  <c r="Q74" i="113"/>
  <c r="N152" i="113"/>
  <c r="N3" i="113"/>
  <c r="R110" i="113"/>
  <c r="S110" i="113" s="1"/>
  <c r="Q110" i="113"/>
  <c r="O110" i="113"/>
  <c r="P110" i="113" s="1"/>
  <c r="O59" i="113"/>
  <c r="P59" i="113" s="1"/>
  <c r="Q59" i="113"/>
  <c r="R59" i="113"/>
  <c r="S59" i="113" s="1"/>
  <c r="O73" i="113"/>
  <c r="P73" i="113" s="1"/>
  <c r="Q73" i="113"/>
  <c r="R73" i="113"/>
  <c r="S73" i="113" s="1"/>
  <c r="R71" i="113"/>
  <c r="S71" i="113" s="1"/>
  <c r="Q71" i="113"/>
  <c r="O71" i="113"/>
  <c r="P71" i="113" s="1"/>
  <c r="O31" i="113"/>
  <c r="P31" i="113" s="1"/>
  <c r="Q31" i="113"/>
  <c r="Q36" i="113"/>
  <c r="O36" i="113"/>
  <c r="P36" i="113" s="1"/>
  <c r="R36" i="113"/>
  <c r="S36" i="113" s="1"/>
  <c r="O106" i="113"/>
  <c r="P106" i="113" s="1"/>
  <c r="R106" i="113"/>
  <c r="S106" i="113" s="1"/>
  <c r="Q106" i="113"/>
  <c r="O4" i="113"/>
  <c r="P4" i="113" s="1"/>
  <c r="Q4" i="113"/>
  <c r="R58" i="113"/>
  <c r="S58" i="113" s="1"/>
  <c r="R57" i="113"/>
  <c r="S57" i="113" s="1"/>
  <c r="Q57" i="113"/>
  <c r="O57" i="113"/>
  <c r="P57" i="113" s="1"/>
  <c r="O7" i="113"/>
  <c r="P7" i="113" s="1"/>
  <c r="Q7" i="113"/>
  <c r="R7" i="113"/>
  <c r="S7" i="113" s="1"/>
  <c r="O25" i="113"/>
  <c r="P25" i="113" s="1"/>
  <c r="R25" i="113"/>
  <c r="S25" i="113" s="1"/>
  <c r="Q25" i="113"/>
  <c r="R12" i="113"/>
  <c r="S12" i="113" s="1"/>
  <c r="Q12" i="113"/>
  <c r="O12" i="113"/>
  <c r="P12" i="113" s="1"/>
  <c r="O92" i="113"/>
  <c r="P92" i="113" s="1"/>
  <c r="Q92" i="113"/>
  <c r="R92" i="113"/>
  <c r="S92" i="113" s="1"/>
  <c r="R20" i="113"/>
  <c r="S20" i="113" s="1"/>
  <c r="O20" i="113"/>
  <c r="P20" i="113" s="1"/>
  <c r="Q20" i="113"/>
  <c r="R47" i="113"/>
  <c r="S47" i="113" s="1"/>
  <c r="Q47" i="113"/>
  <c r="O47" i="113"/>
  <c r="P47" i="113" s="1"/>
  <c r="O40" i="113"/>
  <c r="P40" i="113" s="1"/>
  <c r="Q40" i="113"/>
  <c r="N155" i="113"/>
  <c r="Q155" i="113" s="1"/>
  <c r="E118" i="114" s="1"/>
  <c r="N39" i="113"/>
  <c r="Q108" i="113"/>
  <c r="O108" i="113"/>
  <c r="P108" i="113" s="1"/>
  <c r="R108" i="113"/>
  <c r="S108" i="113" s="1"/>
  <c r="R32" i="113"/>
  <c r="S32" i="113" s="1"/>
  <c r="O32" i="113"/>
  <c r="P32" i="113" s="1"/>
  <c r="Q32" i="113"/>
  <c r="Q28" i="113"/>
  <c r="O28" i="113"/>
  <c r="P28" i="113" s="1"/>
  <c r="O78" i="113"/>
  <c r="P78" i="113" s="1"/>
  <c r="R78" i="113"/>
  <c r="S78" i="113" s="1"/>
  <c r="Q78" i="113"/>
  <c r="O97" i="113"/>
  <c r="P97" i="113" s="1"/>
  <c r="Q97" i="113"/>
  <c r="Q46" i="113"/>
  <c r="O46" i="113"/>
  <c r="P46" i="113" s="1"/>
  <c r="R46" i="113"/>
  <c r="S46" i="113" s="1"/>
  <c r="N154" i="113"/>
  <c r="Q154" i="113" s="1"/>
  <c r="E117" i="114" s="1"/>
  <c r="N27" i="113"/>
  <c r="O44" i="113"/>
  <c r="P44" i="113" s="1"/>
  <c r="R44" i="113"/>
  <c r="S44" i="113" s="1"/>
  <c r="Q44" i="113"/>
  <c r="O26" i="113"/>
  <c r="P26" i="113" s="1"/>
  <c r="Q26" i="113"/>
  <c r="R26" i="113"/>
  <c r="S26" i="113" s="1"/>
  <c r="Q68" i="113"/>
  <c r="O68" i="113"/>
  <c r="P68" i="113" s="1"/>
  <c r="R68" i="113"/>
  <c r="S68" i="113" s="1"/>
  <c r="Q37" i="113"/>
  <c r="R37" i="113"/>
  <c r="S37" i="113" s="1"/>
  <c r="O37" i="113"/>
  <c r="P37" i="113" s="1"/>
  <c r="O67" i="113"/>
  <c r="P67" i="113" s="1"/>
  <c r="R67" i="113"/>
  <c r="S67" i="113" s="1"/>
  <c r="Q67" i="113"/>
  <c r="O34" i="113"/>
  <c r="P34" i="113" s="1"/>
  <c r="Q34" i="113"/>
  <c r="R34" i="113"/>
  <c r="S34" i="113" s="1"/>
  <c r="R22" i="113"/>
  <c r="S22" i="113" s="1"/>
  <c r="Q22" i="113"/>
  <c r="O22" i="113"/>
  <c r="P22" i="113" s="1"/>
  <c r="Q10" i="113"/>
  <c r="R10" i="113"/>
  <c r="S10" i="113" s="1"/>
  <c r="O10" i="113"/>
  <c r="P10" i="113" s="1"/>
  <c r="Q104" i="113"/>
  <c r="R104" i="113"/>
  <c r="S104" i="113" s="1"/>
  <c r="O104" i="113"/>
  <c r="P104" i="113" s="1"/>
  <c r="Q102" i="113"/>
  <c r="O102" i="113"/>
  <c r="P102" i="113" s="1"/>
  <c r="R56" i="113"/>
  <c r="S56" i="113" s="1"/>
  <c r="O56" i="113"/>
  <c r="P56" i="113" s="1"/>
  <c r="Q56" i="113"/>
  <c r="R13" i="113"/>
  <c r="S13" i="113" s="1"/>
  <c r="Q13" i="113"/>
  <c r="O13" i="113"/>
  <c r="P13" i="113" s="1"/>
  <c r="N111" i="113"/>
  <c r="N161" i="113"/>
  <c r="Q161" i="113" s="1"/>
  <c r="E124" i="114" s="1"/>
  <c r="O64" i="113"/>
  <c r="P64" i="113" s="1"/>
  <c r="Q64" i="113"/>
  <c r="O21" i="113"/>
  <c r="P21" i="113" s="1"/>
  <c r="R21" i="113"/>
  <c r="S21" i="113" s="1"/>
  <c r="Q21" i="113"/>
  <c r="Q105" i="113"/>
  <c r="O105" i="113"/>
  <c r="P105" i="113" s="1"/>
  <c r="R105" i="113"/>
  <c r="S105" i="113" s="1"/>
  <c r="N159" i="113"/>
  <c r="Q159" i="113" s="1"/>
  <c r="E122" i="114" s="1"/>
  <c r="N87" i="113"/>
  <c r="Q58" i="113"/>
  <c r="O58" i="113"/>
  <c r="P58" i="113" s="1"/>
  <c r="R77" i="113"/>
  <c r="S77" i="113" s="1"/>
  <c r="Q77" i="113"/>
  <c r="O77" i="113"/>
  <c r="P77" i="113" s="1"/>
  <c r="O6" i="113"/>
  <c r="P6" i="113" s="1"/>
  <c r="R6" i="113"/>
  <c r="S6" i="113" s="1"/>
  <c r="Q6" i="113"/>
  <c r="O107" i="113"/>
  <c r="P107" i="113" s="1"/>
  <c r="R107" i="113"/>
  <c r="S107" i="113" s="1"/>
  <c r="Q107" i="113"/>
  <c r="O35" i="113"/>
  <c r="P35" i="113" s="1"/>
  <c r="Q35" i="113"/>
  <c r="R35" i="113"/>
  <c r="S35" i="113" s="1"/>
  <c r="O91" i="113"/>
  <c r="P91" i="113" s="1"/>
  <c r="R91" i="113"/>
  <c r="S91" i="113" s="1"/>
  <c r="Q91" i="113"/>
  <c r="Q16" i="113"/>
  <c r="O16" i="113"/>
  <c r="P16" i="113" s="1"/>
  <c r="Q72" i="113"/>
  <c r="O72" i="113"/>
  <c r="P72" i="113" s="1"/>
  <c r="R72" i="113"/>
  <c r="S72" i="113" s="1"/>
  <c r="Q66" i="113"/>
  <c r="R66" i="113"/>
  <c r="S66" i="113" s="1"/>
  <c r="O66" i="113"/>
  <c r="P66" i="113" s="1"/>
  <c r="R70" i="113"/>
  <c r="S70" i="113" s="1"/>
  <c r="Q70" i="113"/>
  <c r="O70" i="113"/>
  <c r="P70" i="113" s="1"/>
  <c r="R31" i="113"/>
  <c r="S31" i="113" s="1"/>
  <c r="Q30" i="113"/>
  <c r="O30" i="113"/>
  <c r="P30" i="113" s="1"/>
  <c r="R30" i="113"/>
  <c r="S30" i="113" s="1"/>
  <c r="R95" i="113"/>
  <c r="S95" i="113" s="1"/>
  <c r="R94" i="113"/>
  <c r="S94" i="113" s="1"/>
  <c r="Q94" i="113"/>
  <c r="O94" i="113"/>
  <c r="P94" i="113" s="1"/>
  <c r="Q83" i="113"/>
  <c r="O83" i="113"/>
  <c r="P83" i="113" s="1"/>
  <c r="O89" i="113"/>
  <c r="P89" i="113" s="1"/>
  <c r="R89" i="113"/>
  <c r="S89" i="113" s="1"/>
  <c r="Q89" i="113"/>
  <c r="O19" i="113"/>
  <c r="P19" i="113" s="1"/>
  <c r="Q19" i="113"/>
  <c r="R19" i="113"/>
  <c r="S19" i="113" s="1"/>
  <c r="Q38" i="113"/>
  <c r="O38" i="113"/>
  <c r="P38" i="113" s="1"/>
  <c r="R38" i="113"/>
  <c r="S38" i="113" s="1"/>
  <c r="Q86" i="113"/>
  <c r="O86" i="113"/>
  <c r="P86" i="113" s="1"/>
  <c r="R86" i="113"/>
  <c r="S86" i="113" s="1"/>
  <c r="Q98" i="113"/>
  <c r="R98" i="113"/>
  <c r="S98" i="113" s="1"/>
  <c r="O98" i="113"/>
  <c r="P98" i="113" s="1"/>
  <c r="Q5" i="113"/>
  <c r="O5" i="113"/>
  <c r="P5" i="113" s="1"/>
  <c r="R5" i="113"/>
  <c r="S5" i="113" s="1"/>
  <c r="R8" i="113"/>
  <c r="S8" i="113" s="1"/>
  <c r="Q8" i="113"/>
  <c r="O8" i="113"/>
  <c r="P8" i="113" s="1"/>
  <c r="R97" i="113"/>
  <c r="S97" i="113" s="1"/>
  <c r="Q96" i="113"/>
  <c r="R96" i="113"/>
  <c r="S96" i="113" s="1"/>
  <c r="O96" i="113"/>
  <c r="P96" i="113" s="1"/>
  <c r="O100" i="113"/>
  <c r="P100" i="113" s="1"/>
  <c r="Q100" i="113"/>
  <c r="R23" i="113"/>
  <c r="S23" i="113" s="1"/>
  <c r="Q23" i="113"/>
  <c r="O23" i="113"/>
  <c r="P23" i="113" s="1"/>
  <c r="O49" i="113"/>
  <c r="P49" i="113" s="1"/>
  <c r="Q49" i="113"/>
  <c r="R49" i="113"/>
  <c r="S49" i="113" s="1"/>
  <c r="Q54" i="113"/>
  <c r="O54" i="113"/>
  <c r="P54" i="113" s="1"/>
  <c r="R54" i="113"/>
  <c r="S54" i="113" s="1"/>
  <c r="R102" i="113"/>
  <c r="S102" i="113" s="1"/>
  <c r="Q101" i="113"/>
  <c r="O101" i="113"/>
  <c r="P101" i="113" s="1"/>
  <c r="R101" i="113"/>
  <c r="S101" i="113" s="1"/>
  <c r="Q95" i="113"/>
  <c r="O95" i="113"/>
  <c r="P95" i="113" s="1"/>
  <c r="Q81" i="113"/>
  <c r="O81" i="113"/>
  <c r="P81" i="113" s="1"/>
  <c r="R81" i="113"/>
  <c r="S81" i="113" s="1"/>
  <c r="R109" i="113"/>
  <c r="S109" i="113" s="1"/>
  <c r="O109" i="113"/>
  <c r="P109" i="113" s="1"/>
  <c r="Q109" i="113"/>
  <c r="R65" i="113"/>
  <c r="S65" i="113" s="1"/>
  <c r="O65" i="113"/>
  <c r="P65" i="113" s="1"/>
  <c r="Q65" i="113"/>
  <c r="O80" i="113"/>
  <c r="P80" i="113" s="1"/>
  <c r="Q80" i="113"/>
  <c r="R80" i="113"/>
  <c r="S80" i="113" s="1"/>
  <c r="Q18" i="113"/>
  <c r="O18" i="113"/>
  <c r="P18" i="113" s="1"/>
  <c r="O42" i="113"/>
  <c r="P42" i="113" s="1"/>
  <c r="R42" i="113"/>
  <c r="S42" i="113" s="1"/>
  <c r="Q42" i="113"/>
  <c r="Q29" i="113"/>
  <c r="O29" i="113"/>
  <c r="P29" i="113" s="1"/>
  <c r="R29" i="113"/>
  <c r="S29" i="113" s="1"/>
  <c r="Q11" i="113"/>
  <c r="R11" i="113"/>
  <c r="S11" i="113" s="1"/>
  <c r="O11" i="113"/>
  <c r="P11" i="113" s="1"/>
  <c r="N156" i="113"/>
  <c r="Q156" i="113" s="1"/>
  <c r="E119" i="114" s="1"/>
  <c r="N51" i="113"/>
  <c r="Q33" i="113"/>
  <c r="O33" i="113"/>
  <c r="P33" i="113" s="1"/>
  <c r="R33" i="113"/>
  <c r="S33" i="113" s="1"/>
  <c r="H39" i="9"/>
  <c r="Q87" i="113" l="1"/>
  <c r="R87" i="113"/>
  <c r="S87" i="113" s="1"/>
  <c r="O87" i="113"/>
  <c r="P87" i="113" s="1"/>
  <c r="R27" i="113"/>
  <c r="S27" i="113" s="1"/>
  <c r="Q27" i="113"/>
  <c r="O27" i="113"/>
  <c r="P27" i="113" s="1"/>
  <c r="R88" i="113"/>
  <c r="S88" i="113" s="1"/>
  <c r="Q63" i="113"/>
  <c r="O63" i="113"/>
  <c r="P63" i="113" s="1"/>
  <c r="R63" i="113"/>
  <c r="S63" i="113" s="1"/>
  <c r="R28" i="113"/>
  <c r="S28" i="113" s="1"/>
  <c r="Q75" i="113"/>
  <c r="O75" i="113"/>
  <c r="P75" i="113" s="1"/>
  <c r="R75" i="113"/>
  <c r="S75" i="113" s="1"/>
  <c r="Q99" i="113"/>
  <c r="O99" i="113"/>
  <c r="P99" i="113" s="1"/>
  <c r="R99" i="113"/>
  <c r="S99" i="113" s="1"/>
  <c r="O39" i="113"/>
  <c r="P39" i="113" s="1"/>
  <c r="R39" i="113"/>
  <c r="S39" i="113" s="1"/>
  <c r="Q39" i="113"/>
  <c r="O3" i="113"/>
  <c r="P3" i="113" s="1"/>
  <c r="Q3" i="113"/>
  <c r="R4" i="113"/>
  <c r="S4" i="113" s="1"/>
  <c r="Q152" i="113"/>
  <c r="E115" i="114" s="1"/>
  <c r="N165" i="113"/>
  <c r="N166" i="113" s="1"/>
  <c r="R52" i="113"/>
  <c r="S52" i="113" s="1"/>
  <c r="R51" i="113"/>
  <c r="S51" i="113" s="1"/>
  <c r="Q51" i="113"/>
  <c r="O51" i="113"/>
  <c r="P51" i="113" s="1"/>
  <c r="R40" i="113"/>
  <c r="S40" i="113" s="1"/>
  <c r="R76" i="113"/>
  <c r="S76" i="113" s="1"/>
  <c r="R15" i="113"/>
  <c r="S15" i="113" s="1"/>
  <c r="O15" i="113"/>
  <c r="P15" i="113" s="1"/>
  <c r="Q15" i="113"/>
  <c r="I39" i="9"/>
  <c r="Q123" i="113" l="1"/>
  <c r="V42" i="113" s="1"/>
  <c r="S123" i="113"/>
  <c r="V41" i="113" s="1"/>
  <c r="V44" i="113" s="1"/>
  <c r="P123" i="113"/>
  <c r="V39" i="113" s="1"/>
  <c r="H134" i="72" s="1"/>
  <c r="H146" i="72" s="1"/>
  <c r="H123" i="72"/>
  <c r="I125" i="72"/>
  <c r="I137" i="72" s="1"/>
  <c r="H125" i="72"/>
  <c r="H137" i="72" s="1"/>
  <c r="H124" i="72"/>
  <c r="H136" i="72" s="1"/>
  <c r="I134" i="72"/>
  <c r="I146" i="72" s="1"/>
  <c r="I124" i="72"/>
  <c r="I136" i="72" s="1"/>
  <c r="I123" i="72"/>
  <c r="I127" i="72"/>
  <c r="I139" i="72" s="1"/>
  <c r="I128" i="72"/>
  <c r="I140" i="72" s="1"/>
  <c r="H130" i="72"/>
  <c r="H142" i="72" s="1"/>
  <c r="I130" i="72"/>
  <c r="I142" i="72" s="1"/>
  <c r="H129" i="72"/>
  <c r="H141" i="72" s="1"/>
  <c r="I129" i="72"/>
  <c r="I141" i="72" s="1"/>
  <c r="H132" i="72" s="1"/>
  <c r="H144" i="72" s="1"/>
  <c r="I132" i="72"/>
  <c r="I144" i="72" s="1"/>
  <c r="I126" i="72"/>
  <c r="I138" i="72" s="1"/>
  <c r="I133" i="72"/>
  <c r="I145" i="72" s="1"/>
  <c r="H133" i="72"/>
  <c r="H145" i="72" s="1"/>
  <c r="H126" i="72"/>
  <c r="H138" i="72" s="1"/>
  <c r="H128" i="72" s="1"/>
  <c r="H140" i="72" s="1"/>
  <c r="I131" i="72"/>
  <c r="I143" i="72" s="1"/>
  <c r="H131" i="72"/>
  <c r="H143" i="72" s="1"/>
  <c r="Q165" i="113"/>
  <c r="Q166" i="113" s="1"/>
  <c r="E160" i="72"/>
  <c r="F160" i="72"/>
  <c r="E159" i="72"/>
  <c r="F159" i="72"/>
  <c r="E158" i="72"/>
  <c r="F158" i="72"/>
  <c r="E157" i="72"/>
  <c r="F157" i="72"/>
  <c r="E156" i="72"/>
  <c r="F156" i="72"/>
  <c r="E155" i="72"/>
  <c r="F155" i="72"/>
  <c r="E154" i="72"/>
  <c r="F154" i="72"/>
  <c r="E153" i="72"/>
  <c r="F153" i="72"/>
  <c r="E152" i="72"/>
  <c r="E165" i="72" s="1"/>
  <c r="F152" i="72"/>
  <c r="F165" i="72" s="1"/>
  <c r="H135" i="72" l="1"/>
  <c r="I135" i="72"/>
  <c r="I162" i="72"/>
  <c r="B14" i="73"/>
  <c r="B20" i="17" s="1"/>
  <c r="A35" i="17"/>
  <c r="I163" i="72" l="1"/>
  <c r="H127" i="72"/>
  <c r="H20" i="9"/>
  <c r="H21" i="9" s="1"/>
  <c r="H22" i="9" s="1"/>
  <c r="B3" i="72" a="1"/>
  <c r="H139" i="72" l="1"/>
  <c r="H163" i="72" s="1"/>
  <c r="H162" i="72"/>
  <c r="B160" i="72"/>
  <c r="B161" i="72"/>
  <c r="K4" i="11" s="1"/>
  <c r="D117" i="72"/>
  <c r="D121" i="72"/>
  <c r="D113" i="72"/>
  <c r="D120" i="72"/>
  <c r="D112" i="72"/>
  <c r="D119" i="72"/>
  <c r="D111" i="72"/>
  <c r="D118" i="72"/>
  <c r="B153" i="72"/>
  <c r="B159" i="72"/>
  <c r="B158" i="72"/>
  <c r="B154" i="72"/>
  <c r="B157" i="72"/>
  <c r="B156" i="72"/>
  <c r="B155" i="72"/>
  <c r="D115" i="72"/>
  <c r="D122" i="72"/>
  <c r="D114" i="72"/>
  <c r="D116" i="72"/>
  <c r="B152" i="72" l="1"/>
  <c r="B165" i="72" s="1"/>
  <c r="D3" i="72"/>
  <c r="G3" i="72" s="1"/>
  <c r="D161" i="72"/>
  <c r="B124" i="114" s="1"/>
  <c r="P13" i="17"/>
  <c r="H3" i="9"/>
  <c r="P14" i="17" l="1"/>
  <c r="P15" i="17" s="1"/>
  <c r="P16" i="17" s="1"/>
  <c r="P17" i="17" s="1"/>
  <c r="P18" i="17" s="1"/>
  <c r="P19" i="17" s="1"/>
  <c r="P20" i="17" s="1"/>
  <c r="P21" i="17" s="1"/>
  <c r="P22" i="17" s="1"/>
  <c r="P23" i="17" s="1"/>
  <c r="Q12" i="17" s="1"/>
  <c r="P24" i="17"/>
  <c r="L123" i="72" a="1"/>
  <c r="Q13" i="17" l="1"/>
  <c r="L123" i="113" a="1"/>
  <c r="A13" i="18"/>
  <c r="A11" i="18"/>
  <c r="A12" i="18"/>
  <c r="A33" i="17"/>
  <c r="A34" i="17"/>
  <c r="N2" i="9"/>
  <c r="M2" i="9"/>
  <c r="L2" i="9"/>
  <c r="K2" i="9"/>
  <c r="P161" i="72"/>
  <c r="P162" i="72"/>
  <c r="P163" i="72"/>
  <c r="O161" i="72"/>
  <c r="O162" i="72"/>
  <c r="O163" i="72"/>
  <c r="O160" i="72"/>
  <c r="P160" i="72"/>
  <c r="O159" i="72"/>
  <c r="P159" i="72"/>
  <c r="O158" i="72"/>
  <c r="P158" i="72"/>
  <c r="O157" i="72"/>
  <c r="P157" i="72"/>
  <c r="O156" i="72"/>
  <c r="P156" i="72"/>
  <c r="O155" i="72"/>
  <c r="P155" i="72"/>
  <c r="O154" i="72"/>
  <c r="P154" i="72"/>
  <c r="O153" i="72"/>
  <c r="P153" i="72"/>
  <c r="O152" i="72"/>
  <c r="M125" i="113"/>
  <c r="N125" i="113" s="1"/>
  <c r="M131" i="113"/>
  <c r="N131" i="113" s="1"/>
  <c r="M129" i="113"/>
  <c r="N129" i="113" s="1"/>
  <c r="M130" i="113"/>
  <c r="N130" i="113" s="1"/>
  <c r="M134" i="113"/>
  <c r="N134" i="113" s="1"/>
  <c r="M126" i="113"/>
  <c r="N126" i="113" s="1"/>
  <c r="M3" i="72"/>
  <c r="M41" i="72"/>
  <c r="M105" i="72"/>
  <c r="M10" i="72"/>
  <c r="M18" i="72"/>
  <c r="M26" i="72"/>
  <c r="M34" i="72"/>
  <c r="M42" i="72"/>
  <c r="M50" i="72"/>
  <c r="M58" i="72"/>
  <c r="M66" i="72"/>
  <c r="M74" i="72"/>
  <c r="M82" i="72"/>
  <c r="M90" i="72"/>
  <c r="M98" i="72"/>
  <c r="M106" i="72"/>
  <c r="M59" i="72"/>
  <c r="M75" i="72"/>
  <c r="M91" i="72"/>
  <c r="M99" i="72"/>
  <c r="M95" i="72"/>
  <c r="M16" i="72"/>
  <c r="M32" i="72"/>
  <c r="M64" i="72"/>
  <c r="M72" i="72"/>
  <c r="M104" i="72"/>
  <c r="M25" i="72"/>
  <c r="M57" i="72"/>
  <c r="M97" i="72"/>
  <c r="M11" i="72"/>
  <c r="M19" i="72"/>
  <c r="M27" i="72"/>
  <c r="M35" i="72"/>
  <c r="M43" i="72"/>
  <c r="M51" i="72"/>
  <c r="M67" i="72"/>
  <c r="M83" i="72"/>
  <c r="M107" i="72"/>
  <c r="M48" i="72"/>
  <c r="M96" i="72"/>
  <c r="M17" i="72"/>
  <c r="M81" i="72"/>
  <c r="M4" i="72"/>
  <c r="M12" i="72"/>
  <c r="M20" i="72"/>
  <c r="M28" i="72"/>
  <c r="M36" i="72"/>
  <c r="M44" i="72"/>
  <c r="M52" i="72"/>
  <c r="M60" i="72"/>
  <c r="M68" i="72"/>
  <c r="M76" i="72"/>
  <c r="M84" i="72"/>
  <c r="M92" i="72"/>
  <c r="M100" i="72"/>
  <c r="M108" i="72"/>
  <c r="M15" i="72"/>
  <c r="M31" i="72"/>
  <c r="M47" i="72"/>
  <c r="M63" i="72"/>
  <c r="M79" i="72"/>
  <c r="M8" i="72"/>
  <c r="M56" i="72"/>
  <c r="M80" i="72"/>
  <c r="M33" i="72"/>
  <c r="M73" i="72"/>
  <c r="M5" i="72"/>
  <c r="M13" i="72"/>
  <c r="M21" i="72"/>
  <c r="M29" i="72"/>
  <c r="M37" i="72"/>
  <c r="M45" i="72"/>
  <c r="M53" i="72"/>
  <c r="M61" i="72"/>
  <c r="M69" i="72"/>
  <c r="M77" i="72"/>
  <c r="M85" i="72"/>
  <c r="M93" i="72"/>
  <c r="M101" i="72"/>
  <c r="M109" i="72"/>
  <c r="M23" i="72"/>
  <c r="M55" i="72"/>
  <c r="M103" i="72"/>
  <c r="M24" i="72"/>
  <c r="M65" i="72"/>
  <c r="M6" i="72"/>
  <c r="M14" i="72"/>
  <c r="M22" i="72"/>
  <c r="M30" i="72"/>
  <c r="M38" i="72"/>
  <c r="M46" i="72"/>
  <c r="M54" i="72"/>
  <c r="M62" i="72"/>
  <c r="M70" i="72"/>
  <c r="M78" i="72"/>
  <c r="M86" i="72"/>
  <c r="M94" i="72"/>
  <c r="M102" i="72"/>
  <c r="M110" i="72"/>
  <c r="M7" i="72"/>
  <c r="M39" i="72"/>
  <c r="M71" i="72"/>
  <c r="M87" i="72"/>
  <c r="M40" i="72"/>
  <c r="M88" i="72"/>
  <c r="M9" i="72"/>
  <c r="M49" i="72"/>
  <c r="M89" i="72"/>
  <c r="P152" i="72"/>
  <c r="D6" i="72"/>
  <c r="G6" i="72" s="1"/>
  <c r="D14" i="72"/>
  <c r="G14" i="72" s="1"/>
  <c r="D22" i="72"/>
  <c r="G22" i="72" s="1"/>
  <c r="D30" i="72"/>
  <c r="G30" i="72" s="1"/>
  <c r="D38" i="72"/>
  <c r="G38" i="72" s="1"/>
  <c r="D46" i="72"/>
  <c r="G46" i="72" s="1"/>
  <c r="D54" i="72"/>
  <c r="G54" i="72" s="1"/>
  <c r="D62" i="72"/>
  <c r="G62" i="72" s="1"/>
  <c r="D70" i="72"/>
  <c r="D102" i="72"/>
  <c r="D7" i="72"/>
  <c r="G7" i="72" s="1"/>
  <c r="D15" i="72"/>
  <c r="D23" i="72"/>
  <c r="G23" i="72" s="1"/>
  <c r="D31" i="72"/>
  <c r="G31" i="72" s="1"/>
  <c r="D39" i="72"/>
  <c r="D47" i="72"/>
  <c r="G47" i="72" s="1"/>
  <c r="D55" i="72"/>
  <c r="G55" i="72" s="1"/>
  <c r="D103" i="72"/>
  <c r="D8" i="72"/>
  <c r="G8" i="72" s="1"/>
  <c r="D16" i="72"/>
  <c r="G16" i="72" s="1"/>
  <c r="D24" i="72"/>
  <c r="G24" i="72" s="1"/>
  <c r="D32" i="72"/>
  <c r="G32" i="72" s="1"/>
  <c r="D40" i="72"/>
  <c r="G40" i="72" s="1"/>
  <c r="D48" i="72"/>
  <c r="G48" i="72" s="1"/>
  <c r="D56" i="72"/>
  <c r="G56" i="72" s="1"/>
  <c r="D64" i="72"/>
  <c r="D72" i="72"/>
  <c r="D80" i="72"/>
  <c r="D88" i="72"/>
  <c r="D96" i="72"/>
  <c r="D104" i="72"/>
  <c r="D9" i="72"/>
  <c r="G9" i="72" s="1"/>
  <c r="D17" i="72"/>
  <c r="G17" i="72" s="1"/>
  <c r="D25" i="72"/>
  <c r="G25" i="72" s="1"/>
  <c r="D33" i="72"/>
  <c r="G33" i="72" s="1"/>
  <c r="D41" i="72"/>
  <c r="G41" i="72" s="1"/>
  <c r="D49" i="72"/>
  <c r="G49" i="72" s="1"/>
  <c r="D65" i="72"/>
  <c r="D73" i="72"/>
  <c r="D81" i="72"/>
  <c r="D89" i="72"/>
  <c r="D105" i="72"/>
  <c r="D18" i="72"/>
  <c r="G18" i="72" s="1"/>
  <c r="D42" i="72"/>
  <c r="G42" i="72" s="1"/>
  <c r="D66" i="72"/>
  <c r="D90" i="72"/>
  <c r="D98" i="72"/>
  <c r="D78" i="72"/>
  <c r="D95" i="72"/>
  <c r="D57" i="72"/>
  <c r="G57" i="72" s="1"/>
  <c r="D97" i="72"/>
  <c r="D26" i="72"/>
  <c r="G26" i="72" s="1"/>
  <c r="D58" i="72"/>
  <c r="G58" i="72" s="1"/>
  <c r="D82" i="72"/>
  <c r="D106" i="72"/>
  <c r="D94" i="72"/>
  <c r="D71" i="72"/>
  <c r="D10" i="72"/>
  <c r="G10" i="72" s="1"/>
  <c r="D34" i="72"/>
  <c r="G34" i="72" s="1"/>
  <c r="D50" i="72"/>
  <c r="G50" i="72" s="1"/>
  <c r="D74" i="72"/>
  <c r="D110" i="72"/>
  <c r="D79" i="72"/>
  <c r="D11" i="72"/>
  <c r="G11" i="72" s="1"/>
  <c r="D19" i="72"/>
  <c r="G19" i="72" s="1"/>
  <c r="D27" i="72"/>
  <c r="D35" i="72"/>
  <c r="G35" i="72" s="1"/>
  <c r="D43" i="72"/>
  <c r="G43" i="72" s="1"/>
  <c r="D51" i="72"/>
  <c r="D59" i="72"/>
  <c r="G59" i="72" s="1"/>
  <c r="D67" i="72"/>
  <c r="D75" i="72"/>
  <c r="D83" i="72"/>
  <c r="D91" i="72"/>
  <c r="D99" i="72"/>
  <c r="D107" i="72"/>
  <c r="D5" i="72"/>
  <c r="G5" i="72" s="1"/>
  <c r="D21" i="72"/>
  <c r="G21" i="72" s="1"/>
  <c r="D37" i="72"/>
  <c r="G37" i="72" s="1"/>
  <c r="D53" i="72"/>
  <c r="G53" i="72" s="1"/>
  <c r="D69" i="72"/>
  <c r="D85" i="72"/>
  <c r="D101" i="72"/>
  <c r="D63" i="72"/>
  <c r="D4" i="72"/>
  <c r="G4" i="72" s="1"/>
  <c r="D12" i="72"/>
  <c r="G12" i="72" s="1"/>
  <c r="D20" i="72"/>
  <c r="G20" i="72" s="1"/>
  <c r="D28" i="72"/>
  <c r="G28" i="72" s="1"/>
  <c r="D36" i="72"/>
  <c r="G36" i="72" s="1"/>
  <c r="D44" i="72"/>
  <c r="G44" i="72" s="1"/>
  <c r="D52" i="72"/>
  <c r="G52" i="72" s="1"/>
  <c r="D60" i="72"/>
  <c r="G60" i="72" s="1"/>
  <c r="D68" i="72"/>
  <c r="D76" i="72"/>
  <c r="D84" i="72"/>
  <c r="D92" i="72"/>
  <c r="D100" i="72"/>
  <c r="D108" i="72"/>
  <c r="D13" i="72"/>
  <c r="G13" i="72" s="1"/>
  <c r="D29" i="72"/>
  <c r="G29" i="72" s="1"/>
  <c r="D45" i="72"/>
  <c r="G45" i="72" s="1"/>
  <c r="D61" i="72"/>
  <c r="G61" i="72" s="1"/>
  <c r="D77" i="72"/>
  <c r="D93" i="72"/>
  <c r="D109" i="72"/>
  <c r="D86" i="72"/>
  <c r="D87" i="72"/>
  <c r="J4" i="11"/>
  <c r="F4" i="11"/>
  <c r="G4" i="11"/>
  <c r="I4" i="11"/>
  <c r="C4" i="11"/>
  <c r="D4" i="11"/>
  <c r="E4" i="11"/>
  <c r="H4" i="11"/>
  <c r="Q14" i="17" l="1"/>
  <c r="Q24" i="17"/>
  <c r="M133" i="113"/>
  <c r="N133" i="113" s="1"/>
  <c r="M124" i="113"/>
  <c r="N124" i="113" s="1"/>
  <c r="M128" i="113"/>
  <c r="N128" i="113" s="1"/>
  <c r="M132" i="113"/>
  <c r="N132" i="113" s="1"/>
  <c r="M127" i="113"/>
  <c r="N127" i="113" s="1"/>
  <c r="D11" i="18"/>
  <c r="B11" i="18"/>
  <c r="N152" i="72"/>
  <c r="C115" i="114" s="1"/>
  <c r="N160" i="72"/>
  <c r="D158" i="72"/>
  <c r="B121" i="114" s="1"/>
  <c r="G39" i="72"/>
  <c r="G155" i="72" s="1"/>
  <c r="B6" i="9" s="1"/>
  <c r="F6" i="9" s="1"/>
  <c r="D155" i="72"/>
  <c r="B118" i="114" s="1"/>
  <c r="D152" i="72"/>
  <c r="B115" i="114" s="1"/>
  <c r="D157" i="72"/>
  <c r="B120" i="114" s="1"/>
  <c r="G15" i="72"/>
  <c r="G153" i="72" s="1"/>
  <c r="B4" i="9" s="1"/>
  <c r="F4" i="9" s="1"/>
  <c r="D153" i="72"/>
  <c r="B116" i="114" s="1"/>
  <c r="D159" i="72"/>
  <c r="B122" i="114" s="1"/>
  <c r="D160" i="72"/>
  <c r="B123" i="114" s="1"/>
  <c r="G51" i="72"/>
  <c r="G156" i="72" s="1"/>
  <c r="B7" i="9" s="1"/>
  <c r="F7" i="9" s="1"/>
  <c r="D156" i="72"/>
  <c r="B119" i="114" s="1"/>
  <c r="G27" i="72"/>
  <c r="G154" i="72" s="1"/>
  <c r="B5" i="9" s="1"/>
  <c r="F5" i="9" s="1"/>
  <c r="D154" i="72"/>
  <c r="B117" i="114" s="1"/>
  <c r="B4" i="11"/>
  <c r="C233" i="114" s="1" a="1"/>
  <c r="D42" i="11"/>
  <c r="C42" i="11"/>
  <c r="D37" i="11"/>
  <c r="C37" i="11"/>
  <c r="L3" i="9"/>
  <c r="K3" i="9"/>
  <c r="J3" i="9"/>
  <c r="B23" i="11" s="1"/>
  <c r="I3" i="9"/>
  <c r="D115" i="114" l="1"/>
  <c r="L135" i="72" a="1"/>
  <c r="L135" i="113" a="1"/>
  <c r="Q15" i="17"/>
  <c r="Q16" i="17" s="1"/>
  <c r="Q17" i="17" s="1"/>
  <c r="Q18" i="17" s="1"/>
  <c r="Q19" i="17" s="1"/>
  <c r="Q20" i="17" s="1"/>
  <c r="Q21" i="17" s="1"/>
  <c r="Q22" i="17" s="1"/>
  <c r="Q23" i="17" s="1"/>
  <c r="D25" i="18"/>
  <c r="G318" i="114"/>
  <c r="B25" i="18"/>
  <c r="G314" i="114"/>
  <c r="Q160" i="72"/>
  <c r="C11" i="9" s="1"/>
  <c r="C123" i="114"/>
  <c r="D123" i="114" s="1"/>
  <c r="Q152" i="72"/>
  <c r="D165" i="72"/>
  <c r="G152" i="72"/>
  <c r="N3" i="72"/>
  <c r="C52" i="11"/>
  <c r="D52" i="11"/>
  <c r="M142" i="113" l="1"/>
  <c r="N142" i="113" s="1"/>
  <c r="M144" i="113"/>
  <c r="N144" i="113" s="1"/>
  <c r="M123" i="113" s="1"/>
  <c r="M138" i="113"/>
  <c r="N138" i="113" s="1"/>
  <c r="M140" i="113"/>
  <c r="N140" i="113" s="1"/>
  <c r="M136" i="113"/>
  <c r="N136" i="113" s="1"/>
  <c r="M139" i="113"/>
  <c r="N139" i="113" s="1"/>
  <c r="M135" i="113"/>
  <c r="M146" i="113"/>
  <c r="N146" i="113" s="1"/>
  <c r="M145" i="113"/>
  <c r="N145" i="113" s="1"/>
  <c r="M141" i="113"/>
  <c r="N141" i="113" s="1"/>
  <c r="M143" i="113"/>
  <c r="N143" i="113" s="1"/>
  <c r="M137" i="113"/>
  <c r="N137" i="113" s="1"/>
  <c r="F330" i="114"/>
  <c r="Q318" i="114"/>
  <c r="Q314" i="114"/>
  <c r="F326" i="114"/>
  <c r="B3" i="9"/>
  <c r="B5" i="73"/>
  <c r="B11" i="17" s="1"/>
  <c r="I37" i="11"/>
  <c r="E12" i="73"/>
  <c r="E18" i="17" s="1"/>
  <c r="I28" i="11"/>
  <c r="I19" i="11"/>
  <c r="H42" i="11"/>
  <c r="H37" i="11"/>
  <c r="G42" i="11"/>
  <c r="G37" i="11"/>
  <c r="E10" i="73"/>
  <c r="E16" i="17" s="1"/>
  <c r="F42" i="11"/>
  <c r="F37" i="11"/>
  <c r="F9" i="73"/>
  <c r="F15" i="17" s="1"/>
  <c r="E42" i="11"/>
  <c r="E37" i="11"/>
  <c r="E8" i="73"/>
  <c r="E14" i="17" s="1"/>
  <c r="E5" i="73"/>
  <c r="E11" i="17" s="1"/>
  <c r="V21" i="73"/>
  <c r="S21" i="73"/>
  <c r="P21" i="73"/>
  <c r="M21" i="73"/>
  <c r="F5" i="73"/>
  <c r="F11" i="17" s="1"/>
  <c r="E6" i="73"/>
  <c r="E12" i="17" s="1"/>
  <c r="F6" i="73"/>
  <c r="F12" i="17" s="1"/>
  <c r="E7" i="73"/>
  <c r="E13" i="17" s="1"/>
  <c r="F7" i="73"/>
  <c r="F13" i="17" s="1"/>
  <c r="F8" i="73"/>
  <c r="F14" i="17" s="1"/>
  <c r="E9" i="73"/>
  <c r="E15" i="17" s="1"/>
  <c r="F10" i="73"/>
  <c r="F16" i="17" s="1"/>
  <c r="F12" i="73"/>
  <c r="F18" i="17" s="1"/>
  <c r="E13" i="73"/>
  <c r="E19" i="17" s="1"/>
  <c r="E14" i="73"/>
  <c r="E20" i="17" s="1"/>
  <c r="F14" i="73"/>
  <c r="F20" i="17" s="1"/>
  <c r="J21" i="73"/>
  <c r="N150" i="113" l="1"/>
  <c r="N123" i="113"/>
  <c r="N162" i="113"/>
  <c r="N163" i="113"/>
  <c r="Q163" i="113" s="1"/>
  <c r="E126" i="114" s="1"/>
  <c r="N135" i="113"/>
  <c r="P330" i="114"/>
  <c r="P326" i="114"/>
  <c r="L20" i="9"/>
  <c r="L21" i="9" s="1"/>
  <c r="L22" i="9" s="1"/>
  <c r="K20" i="9"/>
  <c r="E35" i="17"/>
  <c r="G63" i="72"/>
  <c r="F28" i="17"/>
  <c r="E34" i="17"/>
  <c r="F31" i="17"/>
  <c r="F30" i="17"/>
  <c r="E29" i="17"/>
  <c r="E30" i="17"/>
  <c r="E28" i="17"/>
  <c r="J28" i="11"/>
  <c r="E31" i="17"/>
  <c r="J37" i="11"/>
  <c r="F29" i="17"/>
  <c r="J19" i="11"/>
  <c r="I15" i="11"/>
  <c r="J15" i="11"/>
  <c r="I32" i="11"/>
  <c r="I42" i="11"/>
  <c r="F13" i="73"/>
  <c r="F19" i="17" s="1"/>
  <c r="F11" i="73"/>
  <c r="F17" i="17" s="1"/>
  <c r="B8" i="73"/>
  <c r="B14" i="17" s="1"/>
  <c r="E11" i="73"/>
  <c r="E17" i="17" s="1"/>
  <c r="Q162" i="113" l="1"/>
  <c r="N169" i="113"/>
  <c r="N170" i="113" s="1"/>
  <c r="K21" i="9"/>
  <c r="F35" i="17"/>
  <c r="E33" i="17"/>
  <c r="F33" i="17"/>
  <c r="F34" i="17"/>
  <c r="J42" i="11"/>
  <c r="J32" i="11"/>
  <c r="F32" i="17"/>
  <c r="J23" i="11"/>
  <c r="E32" i="17"/>
  <c r="I23" i="11"/>
  <c r="I48" i="11" s="1"/>
  <c r="E125" i="114" l="1"/>
  <c r="R152" i="72" a="1"/>
  <c r="K22" i="9"/>
  <c r="J48" i="11"/>
  <c r="N25" i="72"/>
  <c r="O25" i="72" s="1"/>
  <c r="P25" i="72" s="1"/>
  <c r="N33" i="72"/>
  <c r="N41" i="72"/>
  <c r="Q41" i="72" s="1"/>
  <c r="N49" i="72"/>
  <c r="O49" i="72" s="1"/>
  <c r="P49" i="72" s="1"/>
  <c r="N57" i="72"/>
  <c r="Q57" i="72" s="1"/>
  <c r="N10" i="72"/>
  <c r="Q10" i="72" s="1"/>
  <c r="N18" i="72"/>
  <c r="Q18" i="72" s="1"/>
  <c r="N26" i="72"/>
  <c r="O26" i="72" s="1"/>
  <c r="P26" i="72" s="1"/>
  <c r="N50" i="72"/>
  <c r="N58" i="72"/>
  <c r="Q58" i="72" s="1"/>
  <c r="N13" i="72"/>
  <c r="N29" i="72"/>
  <c r="O29" i="72" s="1"/>
  <c r="P29" i="72" s="1"/>
  <c r="N37" i="72"/>
  <c r="O37" i="72" s="1"/>
  <c r="P37" i="72" s="1"/>
  <c r="N14" i="72"/>
  <c r="Q14" i="72" s="1"/>
  <c r="N30" i="72"/>
  <c r="Q30" i="72" s="1"/>
  <c r="N46" i="72"/>
  <c r="Q46" i="72" s="1"/>
  <c r="N62" i="72"/>
  <c r="O62" i="72" s="1"/>
  <c r="P62" i="72" s="1"/>
  <c r="N15" i="72"/>
  <c r="N31" i="72"/>
  <c r="Q31" i="72" s="1"/>
  <c r="N47" i="72"/>
  <c r="N16" i="72"/>
  <c r="N40" i="72"/>
  <c r="Q40" i="72" s="1"/>
  <c r="N5" i="72"/>
  <c r="O5" i="72" s="1"/>
  <c r="P5" i="72" s="1"/>
  <c r="N45" i="72"/>
  <c r="Q45" i="72" s="1"/>
  <c r="N7" i="72"/>
  <c r="O7" i="72" s="1"/>
  <c r="P7" i="72" s="1"/>
  <c r="N39" i="72"/>
  <c r="O39" i="72" s="1"/>
  <c r="P39" i="72" s="1"/>
  <c r="N56" i="72"/>
  <c r="Q56" i="72" s="1"/>
  <c r="N11" i="72"/>
  <c r="O11" i="72" s="1"/>
  <c r="P11" i="72" s="1"/>
  <c r="N19" i="72"/>
  <c r="O19" i="72" s="1"/>
  <c r="P19" i="72" s="1"/>
  <c r="N27" i="72"/>
  <c r="N35" i="72"/>
  <c r="Q35" i="72" s="1"/>
  <c r="N51" i="72"/>
  <c r="O51" i="72" s="1"/>
  <c r="P51" i="72" s="1"/>
  <c r="N59" i="72"/>
  <c r="Q59" i="72" s="1"/>
  <c r="N4" i="72"/>
  <c r="O4" i="72" s="1"/>
  <c r="P4" i="72" s="1"/>
  <c r="N12" i="72"/>
  <c r="Q12" i="72" s="1"/>
  <c r="N44" i="72"/>
  <c r="O44" i="72" s="1"/>
  <c r="P44" i="72" s="1"/>
  <c r="N52" i="72"/>
  <c r="N21" i="72"/>
  <c r="O21" i="72" s="1"/>
  <c r="P21" i="72" s="1"/>
  <c r="N53" i="72"/>
  <c r="O53" i="72" s="1"/>
  <c r="P53" i="72" s="1"/>
  <c r="N6" i="72"/>
  <c r="N22" i="72"/>
  <c r="N38" i="72"/>
  <c r="Q38" i="72" s="1"/>
  <c r="N54" i="72"/>
  <c r="O54" i="72" s="1"/>
  <c r="P54" i="72" s="1"/>
  <c r="N23" i="72"/>
  <c r="O23" i="72" s="1"/>
  <c r="P23" i="72" s="1"/>
  <c r="N55" i="72"/>
  <c r="O55" i="72" s="1"/>
  <c r="P55" i="72" s="1"/>
  <c r="N8" i="72"/>
  <c r="Q8" i="72" s="1"/>
  <c r="N24" i="72"/>
  <c r="Q24" i="72" s="1"/>
  <c r="N32" i="72"/>
  <c r="Q32" i="72" s="1"/>
  <c r="N48" i="72"/>
  <c r="N20" i="72"/>
  <c r="Q20" i="72" s="1"/>
  <c r="N28" i="72"/>
  <c r="N36" i="72"/>
  <c r="O36" i="72" s="1"/>
  <c r="P36" i="72" s="1"/>
  <c r="N60" i="72"/>
  <c r="N9" i="72"/>
  <c r="N61" i="72"/>
  <c r="O61" i="72" s="1"/>
  <c r="P61" i="72" s="1"/>
  <c r="N17" i="72"/>
  <c r="N34" i="72"/>
  <c r="Q34" i="72" s="1"/>
  <c r="N42" i="72"/>
  <c r="O42" i="72" s="1"/>
  <c r="P42" i="72" s="1"/>
  <c r="N43" i="72"/>
  <c r="J52" i="11"/>
  <c r="I52" i="11"/>
  <c r="G99" i="72"/>
  <c r="G100" i="72"/>
  <c r="G101" i="72"/>
  <c r="G102" i="72"/>
  <c r="G103" i="72"/>
  <c r="G104" i="72"/>
  <c r="G105" i="72"/>
  <c r="G106" i="72"/>
  <c r="G107" i="72"/>
  <c r="G108" i="72"/>
  <c r="G109" i="72"/>
  <c r="G110" i="72"/>
  <c r="N110" i="72" s="1"/>
  <c r="G111" i="72"/>
  <c r="G112" i="72"/>
  <c r="G113" i="72"/>
  <c r="G114" i="72"/>
  <c r="G115" i="72"/>
  <c r="G116" i="72"/>
  <c r="G117" i="72"/>
  <c r="G118" i="72"/>
  <c r="G119" i="72"/>
  <c r="G120" i="72"/>
  <c r="G121" i="72"/>
  <c r="G122" i="72"/>
  <c r="S160" i="72" l="1"/>
  <c r="T160" i="72" s="1"/>
  <c r="S152" i="72"/>
  <c r="T152" i="72" s="1"/>
  <c r="G161" i="72"/>
  <c r="B12" i="9" s="1"/>
  <c r="F12" i="9" s="1"/>
  <c r="G160" i="72"/>
  <c r="B11" i="9" s="1"/>
  <c r="I65" i="11"/>
  <c r="N102" i="72"/>
  <c r="Q102" i="72" s="1"/>
  <c r="Q19" i="72"/>
  <c r="O59" i="72"/>
  <c r="P59" i="72" s="1"/>
  <c r="O38" i="72"/>
  <c r="P38" i="72" s="1"/>
  <c r="N103" i="72"/>
  <c r="O103" i="72" s="1"/>
  <c r="P103" i="72" s="1"/>
  <c r="Q42" i="72"/>
  <c r="Q39" i="72"/>
  <c r="R17" i="72"/>
  <c r="S17" i="72" s="1"/>
  <c r="Q11" i="72"/>
  <c r="O35" i="72"/>
  <c r="P35" i="72" s="1"/>
  <c r="Q15" i="72"/>
  <c r="O15" i="72"/>
  <c r="P15" i="72" s="1"/>
  <c r="Q60" i="72"/>
  <c r="R60" i="72"/>
  <c r="S60" i="72" s="1"/>
  <c r="Q25" i="72"/>
  <c r="O45" i="72"/>
  <c r="P45" i="72" s="1"/>
  <c r="N109" i="72"/>
  <c r="Q109" i="72" s="1"/>
  <c r="O30" i="72"/>
  <c r="P30" i="72" s="1"/>
  <c r="R38" i="72"/>
  <c r="S38" i="72" s="1"/>
  <c r="J65" i="11"/>
  <c r="O41" i="72"/>
  <c r="P41" i="72" s="1"/>
  <c r="R33" i="72"/>
  <c r="S33" i="72" s="1"/>
  <c r="O34" i="72"/>
  <c r="P34" i="72" s="1"/>
  <c r="Q17" i="72"/>
  <c r="R56" i="72"/>
  <c r="S56" i="72" s="1"/>
  <c r="O56" i="72"/>
  <c r="P56" i="72" s="1"/>
  <c r="O17" i="72"/>
  <c r="P17" i="72" s="1"/>
  <c r="Q53" i="72"/>
  <c r="R47" i="72"/>
  <c r="S47" i="72" s="1"/>
  <c r="O20" i="72"/>
  <c r="P20" i="72" s="1"/>
  <c r="O58" i="72"/>
  <c r="P58" i="72" s="1"/>
  <c r="Q51" i="72"/>
  <c r="Q44" i="72"/>
  <c r="R44" i="72"/>
  <c r="S44" i="72" s="1"/>
  <c r="Q54" i="72"/>
  <c r="R15" i="72"/>
  <c r="S15" i="72" s="1"/>
  <c r="Q62" i="72"/>
  <c r="O47" i="72"/>
  <c r="P47" i="72" s="1"/>
  <c r="Q47" i="72"/>
  <c r="N99" i="72"/>
  <c r="O99" i="72" s="1"/>
  <c r="P99" i="72" s="1"/>
  <c r="R27" i="72"/>
  <c r="S27" i="72" s="1"/>
  <c r="O12" i="72"/>
  <c r="P12" i="72" s="1"/>
  <c r="O27" i="72"/>
  <c r="P27" i="72" s="1"/>
  <c r="Q7" i="72"/>
  <c r="R51" i="72"/>
  <c r="S51" i="72" s="1"/>
  <c r="O50" i="72"/>
  <c r="P50" i="72" s="1"/>
  <c r="R12" i="72"/>
  <c r="S12" i="72" s="1"/>
  <c r="O33" i="72"/>
  <c r="P33" i="72" s="1"/>
  <c r="R8" i="72"/>
  <c r="S8" i="72" s="1"/>
  <c r="Q61" i="72"/>
  <c r="R52" i="72"/>
  <c r="S52" i="72" s="1"/>
  <c r="R34" i="72"/>
  <c r="S34" i="72" s="1"/>
  <c r="R42" i="72"/>
  <c r="S42" i="72" s="1"/>
  <c r="Q27" i="72"/>
  <c r="R54" i="72"/>
  <c r="S54" i="72" s="1"/>
  <c r="O46" i="72"/>
  <c r="P46" i="72" s="1"/>
  <c r="R20" i="72"/>
  <c r="S20" i="72" s="1"/>
  <c r="R49" i="72"/>
  <c r="S49" i="72" s="1"/>
  <c r="R13" i="72"/>
  <c r="S13" i="72" s="1"/>
  <c r="R6" i="72"/>
  <c r="S6" i="72" s="1"/>
  <c r="R41" i="72"/>
  <c r="S41" i="72" s="1"/>
  <c r="R40" i="72"/>
  <c r="S40" i="72" s="1"/>
  <c r="Q4" i="72"/>
  <c r="Q33" i="72"/>
  <c r="O40" i="72"/>
  <c r="P40" i="72" s="1"/>
  <c r="Q49" i="72"/>
  <c r="R28" i="72"/>
  <c r="S28" i="72" s="1"/>
  <c r="N105" i="72"/>
  <c r="Q105" i="72" s="1"/>
  <c r="N104" i="72"/>
  <c r="Q104" i="72" s="1"/>
  <c r="R46" i="72"/>
  <c r="S46" i="72" s="1"/>
  <c r="R22" i="72"/>
  <c r="S22" i="72" s="1"/>
  <c r="R43" i="72"/>
  <c r="S43" i="72" s="1"/>
  <c r="R36" i="72"/>
  <c r="S36" i="72" s="1"/>
  <c r="R18" i="72"/>
  <c r="S18" i="72" s="1"/>
  <c r="Q21" i="72"/>
  <c r="N106" i="72"/>
  <c r="O106" i="72" s="1"/>
  <c r="P106" i="72" s="1"/>
  <c r="O13" i="72"/>
  <c r="P13" i="72" s="1"/>
  <c r="R45" i="72"/>
  <c r="S45" i="72" s="1"/>
  <c r="R21" i="72"/>
  <c r="S21" i="72" s="1"/>
  <c r="R55" i="72"/>
  <c r="S55" i="72" s="1"/>
  <c r="O43" i="72"/>
  <c r="P43" i="72" s="1"/>
  <c r="Q50" i="72"/>
  <c r="R14" i="72"/>
  <c r="S14" i="72" s="1"/>
  <c r="R57" i="72"/>
  <c r="S57" i="72" s="1"/>
  <c r="R30" i="72"/>
  <c r="S30" i="72" s="1"/>
  <c r="R16" i="72"/>
  <c r="S16" i="72" s="1"/>
  <c r="R39" i="72"/>
  <c r="S39" i="72" s="1"/>
  <c r="Q23" i="72"/>
  <c r="O16" i="72"/>
  <c r="P16" i="72" s="1"/>
  <c r="Q43" i="72"/>
  <c r="R35" i="72"/>
  <c r="S35" i="72" s="1"/>
  <c r="N107" i="72"/>
  <c r="Q107" i="72" s="1"/>
  <c r="R48" i="72"/>
  <c r="S48" i="72" s="1"/>
  <c r="R61" i="72"/>
  <c r="S61" i="72" s="1"/>
  <c r="O8" i="72"/>
  <c r="P8" i="72" s="1"/>
  <c r="Q16" i="72"/>
  <c r="R58" i="72"/>
  <c r="S58" i="72" s="1"/>
  <c r="R9" i="72"/>
  <c r="S9" i="72" s="1"/>
  <c r="Q22" i="72"/>
  <c r="Q37" i="72"/>
  <c r="R62" i="72"/>
  <c r="S62" i="72" s="1"/>
  <c r="Q28" i="72"/>
  <c r="Q13" i="72"/>
  <c r="R59" i="72"/>
  <c r="S59" i="72" s="1"/>
  <c r="Q48" i="72"/>
  <c r="Q9" i="72"/>
  <c r="O22" i="72"/>
  <c r="P22" i="72" s="1"/>
  <c r="O6" i="72"/>
  <c r="P6" i="72" s="1"/>
  <c r="O14" i="72"/>
  <c r="P14" i="72" s="1"/>
  <c r="Q26" i="72"/>
  <c r="R7" i="72"/>
  <c r="S7" i="72" s="1"/>
  <c r="R19" i="72"/>
  <c r="S19" i="72" s="1"/>
  <c r="Q6" i="72"/>
  <c r="R26" i="72"/>
  <c r="S26" i="72" s="1"/>
  <c r="R32" i="72"/>
  <c r="S32" i="72" s="1"/>
  <c r="Q5" i="72"/>
  <c r="N101" i="72"/>
  <c r="O24" i="72"/>
  <c r="P24" i="72" s="1"/>
  <c r="Q36" i="72"/>
  <c r="Q29" i="72"/>
  <c r="O57" i="72"/>
  <c r="P57" i="72" s="1"/>
  <c r="O18" i="72"/>
  <c r="P18" i="72" s="1"/>
  <c r="Q52" i="72"/>
  <c r="R23" i="72"/>
  <c r="S23" i="72" s="1"/>
  <c r="R10" i="72"/>
  <c r="S10" i="72" s="1"/>
  <c r="O31" i="72"/>
  <c r="P31" i="72" s="1"/>
  <c r="O60" i="72"/>
  <c r="P60" i="72" s="1"/>
  <c r="O32" i="72"/>
  <c r="P32" i="72" s="1"/>
  <c r="R5" i="72"/>
  <c r="S5" i="72" s="1"/>
  <c r="Q55" i="72"/>
  <c r="R37" i="72"/>
  <c r="S37" i="72" s="1"/>
  <c r="O28" i="72"/>
  <c r="P28" i="72" s="1"/>
  <c r="R50" i="72"/>
  <c r="S50" i="72" s="1"/>
  <c r="O48" i="72"/>
  <c r="P48" i="72" s="1"/>
  <c r="O9" i="72"/>
  <c r="P9" i="72" s="1"/>
  <c r="R29" i="72"/>
  <c r="S29" i="72" s="1"/>
  <c r="R11" i="72"/>
  <c r="S11" i="72" s="1"/>
  <c r="O10" i="72"/>
  <c r="P10" i="72" s="1"/>
  <c r="R25" i="72"/>
  <c r="S25" i="72" s="1"/>
  <c r="R24" i="72"/>
  <c r="S24" i="72" s="1"/>
  <c r="O52" i="72"/>
  <c r="P52" i="72" s="1"/>
  <c r="R31" i="72"/>
  <c r="S31" i="72" s="1"/>
  <c r="R53" i="72"/>
  <c r="S53" i="72" s="1"/>
  <c r="N108" i="72"/>
  <c r="Q108" i="72" s="1"/>
  <c r="N100" i="72"/>
  <c r="Q100" i="72" s="1"/>
  <c r="Q300" i="114" l="1"/>
  <c r="Q304" i="114"/>
  <c r="Q301" i="114"/>
  <c r="F11" i="9"/>
  <c r="D11" i="9"/>
  <c r="E11" i="9" s="1"/>
  <c r="B5" i="11"/>
  <c r="O110" i="72"/>
  <c r="P110" i="72" s="1"/>
  <c r="Q110" i="72"/>
  <c r="R110" i="72"/>
  <c r="S110" i="72" s="1"/>
  <c r="Q103" i="72"/>
  <c r="O102" i="72"/>
  <c r="P102" i="72" s="1"/>
  <c r="O109" i="72"/>
  <c r="P109" i="72" s="1"/>
  <c r="R103" i="72"/>
  <c r="S103" i="72" s="1"/>
  <c r="Q99" i="72"/>
  <c r="R107" i="72"/>
  <c r="S107" i="72" s="1"/>
  <c r="O105" i="72"/>
  <c r="P105" i="72" s="1"/>
  <c r="R105" i="72"/>
  <c r="S105" i="72" s="1"/>
  <c r="Q106" i="72"/>
  <c r="O104" i="72"/>
  <c r="P104" i="72" s="1"/>
  <c r="R104" i="72"/>
  <c r="S104" i="72" s="1"/>
  <c r="O107" i="72"/>
  <c r="P107" i="72" s="1"/>
  <c r="O100" i="72"/>
  <c r="P100" i="72" s="1"/>
  <c r="O108" i="72"/>
  <c r="P108" i="72" s="1"/>
  <c r="R106" i="72"/>
  <c r="S106" i="72" s="1"/>
  <c r="Q3" i="72"/>
  <c r="R100" i="72"/>
  <c r="S100" i="72" s="1"/>
  <c r="R109" i="72"/>
  <c r="S109" i="72" s="1"/>
  <c r="R101" i="72"/>
  <c r="S101" i="72" s="1"/>
  <c r="R102" i="72"/>
  <c r="S102" i="72" s="1"/>
  <c r="R108" i="72"/>
  <c r="S108" i="72" s="1"/>
  <c r="O101" i="72"/>
  <c r="P101" i="72" s="1"/>
  <c r="Q101" i="72"/>
  <c r="S300" i="114" l="1"/>
  <c r="T300" i="114" s="1"/>
  <c r="P312" i="114"/>
  <c r="S304" i="114"/>
  <c r="T304" i="114" s="1"/>
  <c r="P316" i="114"/>
  <c r="P313" i="114"/>
  <c r="S301" i="114"/>
  <c r="T301" i="114" s="1"/>
  <c r="B6" i="11"/>
  <c r="C3" i="9"/>
  <c r="D3" i="9" s="1"/>
  <c r="E3" i="9" s="1"/>
  <c r="O3" i="72"/>
  <c r="P3" i="72" s="1"/>
  <c r="R4" i="72"/>
  <c r="S4" i="72" s="1"/>
  <c r="J5" i="11" l="1"/>
  <c r="J6" i="11" s="1"/>
  <c r="N159" i="72"/>
  <c r="Q159" i="72" l="1"/>
  <c r="C122" i="114"/>
  <c r="D122" i="114" s="1"/>
  <c r="C10" i="9"/>
  <c r="S159" i="72"/>
  <c r="T159" i="72" s="1"/>
  <c r="I5" i="11"/>
  <c r="I6" i="11" s="1"/>
  <c r="N153" i="72" l="1"/>
  <c r="C116" i="114" s="1"/>
  <c r="D116" i="114" s="1"/>
  <c r="N154" i="72"/>
  <c r="N155" i="72"/>
  <c r="N156" i="72"/>
  <c r="N157" i="72"/>
  <c r="N158" i="72"/>
  <c r="Q158" i="72" l="1"/>
  <c r="C121" i="114"/>
  <c r="D121" i="114" s="1"/>
  <c r="Q157" i="72"/>
  <c r="C120" i="114"/>
  <c r="D120" i="114" s="1"/>
  <c r="Q156" i="72"/>
  <c r="C119" i="114"/>
  <c r="D119" i="114" s="1"/>
  <c r="Q154" i="72"/>
  <c r="C5" i="9" s="1"/>
  <c r="D5" i="9" s="1"/>
  <c r="E5" i="9" s="1"/>
  <c r="C117" i="114"/>
  <c r="D117" i="114" s="1"/>
  <c r="Q155" i="72"/>
  <c r="C118" i="114"/>
  <c r="D118" i="114" s="1"/>
  <c r="C8" i="9"/>
  <c r="S157" i="72"/>
  <c r="T157" i="72" s="1"/>
  <c r="C7" i="9"/>
  <c r="D7" i="9" s="1"/>
  <c r="E7" i="9" s="1"/>
  <c r="S156" i="72"/>
  <c r="T156" i="72" s="1"/>
  <c r="C6" i="9"/>
  <c r="D6" i="9" s="1"/>
  <c r="E6" i="9" s="1"/>
  <c r="S155" i="72"/>
  <c r="T155" i="72" s="1"/>
  <c r="Q153" i="72"/>
  <c r="C5" i="11"/>
  <c r="H5" i="11"/>
  <c r="H6" i="11" s="1"/>
  <c r="F5" i="11"/>
  <c r="F6" i="11" s="1"/>
  <c r="G5" i="11"/>
  <c r="G6" i="11" s="1"/>
  <c r="E5" i="11"/>
  <c r="E6" i="11" s="1"/>
  <c r="D5" i="11"/>
  <c r="D6" i="11" s="1"/>
  <c r="H13" i="73"/>
  <c r="H19" i="17" s="1"/>
  <c r="H11" i="73"/>
  <c r="H17" i="17" s="1"/>
  <c r="H9" i="73"/>
  <c r="H15" i="17" s="1"/>
  <c r="H6" i="73"/>
  <c r="H12" i="17" s="1"/>
  <c r="D14" i="73"/>
  <c r="D20" i="17" s="1"/>
  <c r="D13" i="73"/>
  <c r="D19" i="17" s="1"/>
  <c r="D12" i="73"/>
  <c r="D18" i="17" s="1"/>
  <c r="D11" i="73"/>
  <c r="D17" i="17" s="1"/>
  <c r="D10" i="73"/>
  <c r="D16" i="17" s="1"/>
  <c r="D9" i="73"/>
  <c r="D15" i="17" s="1"/>
  <c r="D8" i="73"/>
  <c r="D14" i="17" s="1"/>
  <c r="D7" i="73"/>
  <c r="D13" i="17" s="1"/>
  <c r="D6" i="73"/>
  <c r="D12" i="17" s="1"/>
  <c r="C6" i="73"/>
  <c r="C12" i="17" s="1"/>
  <c r="D5" i="73"/>
  <c r="D11" i="17" s="1"/>
  <c r="C13" i="73"/>
  <c r="C19" i="17" s="1"/>
  <c r="C11" i="73"/>
  <c r="C17" i="17" s="1"/>
  <c r="C8" i="73"/>
  <c r="C14" i="17" s="1"/>
  <c r="C5" i="73"/>
  <c r="C11" i="17" s="1"/>
  <c r="B13" i="73"/>
  <c r="B19" i="17" s="1"/>
  <c r="D300" i="114" s="1" a="1"/>
  <c r="B11" i="73"/>
  <c r="B17" i="17" s="1"/>
  <c r="B10" i="73"/>
  <c r="B16" i="17" s="1"/>
  <c r="B9" i="73"/>
  <c r="B15" i="17" s="1"/>
  <c r="B7" i="73"/>
  <c r="B13" i="17" s="1"/>
  <c r="B6" i="73"/>
  <c r="B12" i="17" s="1"/>
  <c r="C14" i="73"/>
  <c r="C20" i="17" s="1"/>
  <c r="D312" i="114" s="1" a="1"/>
  <c r="C12" i="73"/>
  <c r="C18" i="17" s="1"/>
  <c r="C10" i="73"/>
  <c r="C16" i="17" s="1"/>
  <c r="C9" i="73"/>
  <c r="C15" i="17" s="1"/>
  <c r="C7" i="73"/>
  <c r="C13" i="17" s="1"/>
  <c r="B12" i="73"/>
  <c r="B18" i="17" s="1"/>
  <c r="H14" i="73"/>
  <c r="H20" i="17" s="1"/>
  <c r="D315" i="114" s="1"/>
  <c r="H10" i="73"/>
  <c r="H16" i="17" s="1"/>
  <c r="H8" i="73"/>
  <c r="H14" i="17" s="1"/>
  <c r="H5" i="73"/>
  <c r="H11" i="17" s="1"/>
  <c r="G14" i="73"/>
  <c r="G20" i="17" s="1"/>
  <c r="D316" i="114" s="1" a="1"/>
  <c r="G13" i="73"/>
  <c r="G19" i="17" s="1"/>
  <c r="D304" i="114" s="1" a="1"/>
  <c r="G12" i="73"/>
  <c r="G18" i="17" s="1"/>
  <c r="G11" i="73"/>
  <c r="G17" i="17" s="1"/>
  <c r="G10" i="73"/>
  <c r="G16" i="17" s="1"/>
  <c r="G9" i="73"/>
  <c r="G15" i="17" s="1"/>
  <c r="G8" i="73"/>
  <c r="G14" i="17" s="1"/>
  <c r="G7" i="73"/>
  <c r="G13" i="17" s="1"/>
  <c r="G6" i="73"/>
  <c r="G12" i="17" s="1"/>
  <c r="H12" i="73"/>
  <c r="H18" i="17" s="1"/>
  <c r="H7" i="73"/>
  <c r="H13" i="17" s="1"/>
  <c r="G5" i="73"/>
  <c r="G11" i="17" s="1"/>
  <c r="C9" i="9" l="1"/>
  <c r="S158" i="72"/>
  <c r="T158" i="72" s="1"/>
  <c r="E302" i="114"/>
  <c r="C313" i="114"/>
  <c r="E313" i="114" s="1"/>
  <c r="E301" i="114"/>
  <c r="C312" i="114"/>
  <c r="C314" i="114"/>
  <c r="N301" i="114"/>
  <c r="N302" i="114"/>
  <c r="E300" i="114"/>
  <c r="N300" i="114"/>
  <c r="C325" i="114"/>
  <c r="N313" i="114"/>
  <c r="M325" i="114" s="1"/>
  <c r="N314" i="114"/>
  <c r="M326" i="114" s="1"/>
  <c r="C326" i="114"/>
  <c r="C324" i="114"/>
  <c r="E314" i="114"/>
  <c r="D319" i="114"/>
  <c r="E312" i="114"/>
  <c r="N315" i="114"/>
  <c r="M327" i="114" s="1"/>
  <c r="C327" i="114"/>
  <c r="C329" i="114"/>
  <c r="C328" i="114"/>
  <c r="C330" i="114"/>
  <c r="N318" i="114"/>
  <c r="M330" i="114" s="1"/>
  <c r="N317" i="114"/>
  <c r="M329" i="114" s="1"/>
  <c r="E304" i="114"/>
  <c r="E305" i="114"/>
  <c r="E306" i="114"/>
  <c r="C316" i="114"/>
  <c r="E316" i="114" s="1"/>
  <c r="C318" i="114"/>
  <c r="E318" i="114" s="1"/>
  <c r="N305" i="114"/>
  <c r="N306" i="114"/>
  <c r="C317" i="114"/>
  <c r="E317" i="114" s="1"/>
  <c r="D303" i="114"/>
  <c r="S154" i="72"/>
  <c r="T154" i="72" s="1"/>
  <c r="C6" i="11"/>
  <c r="K17" i="17"/>
  <c r="I17" i="17"/>
  <c r="J20" i="9"/>
  <c r="D35" i="17"/>
  <c r="I11" i="17"/>
  <c r="I20" i="9"/>
  <c r="I21" i="9" s="1"/>
  <c r="I22" i="9" s="1"/>
  <c r="C35" i="17"/>
  <c r="K20" i="17"/>
  <c r="I20" i="17"/>
  <c r="J27" i="17" s="1"/>
  <c r="K14" i="17"/>
  <c r="I14" i="17"/>
  <c r="M20" i="9"/>
  <c r="G35" i="17"/>
  <c r="K12" i="17"/>
  <c r="I12" i="17"/>
  <c r="C4" i="9"/>
  <c r="D4" i="9" s="1"/>
  <c r="E4" i="9" s="1"/>
  <c r="S153" i="72"/>
  <c r="T153" i="72" s="1"/>
  <c r="I19" i="17"/>
  <c r="J51" i="11" s="1"/>
  <c r="B35" i="17"/>
  <c r="N20" i="9"/>
  <c r="H35" i="17"/>
  <c r="K13" i="17"/>
  <c r="I13" i="17"/>
  <c r="I15" i="17"/>
  <c r="K15" i="17"/>
  <c r="I18" i="17"/>
  <c r="K18" i="17"/>
  <c r="K16" i="17"/>
  <c r="I16" i="17"/>
  <c r="G51" i="11" s="1"/>
  <c r="D51" i="11"/>
  <c r="F51" i="11"/>
  <c r="I51" i="11"/>
  <c r="H51" i="11"/>
  <c r="E51" i="11"/>
  <c r="B34" i="17"/>
  <c r="B30" i="17"/>
  <c r="B33" i="17"/>
  <c r="G29" i="17"/>
  <c r="D29" i="17"/>
  <c r="G28" i="17"/>
  <c r="D28" i="17"/>
  <c r="H29" i="17"/>
  <c r="H28" i="17"/>
  <c r="B29" i="17"/>
  <c r="H31" i="17"/>
  <c r="D30" i="17"/>
  <c r="B31" i="17"/>
  <c r="B32" i="17"/>
  <c r="H32" i="17"/>
  <c r="C32" i="17"/>
  <c r="D32" i="17"/>
  <c r="D33" i="17"/>
  <c r="G30" i="17"/>
  <c r="G31" i="17"/>
  <c r="H34" i="17"/>
  <c r="C34" i="17"/>
  <c r="H33" i="17"/>
  <c r="G34" i="17"/>
  <c r="C28" i="17"/>
  <c r="D34" i="17"/>
  <c r="C30" i="17"/>
  <c r="C33" i="17"/>
  <c r="H30" i="17"/>
  <c r="C29" i="17"/>
  <c r="D31" i="17"/>
  <c r="G32" i="17"/>
  <c r="G33" i="17"/>
  <c r="C31" i="17"/>
  <c r="C331" i="114" l="1"/>
  <c r="L27" i="17"/>
  <c r="M21" i="9"/>
  <c r="F180" i="114" a="1"/>
  <c r="N21" i="9"/>
  <c r="E180" i="114"/>
  <c r="J21" i="9"/>
  <c r="B180" i="114" a="1"/>
  <c r="N303" i="114"/>
  <c r="C315" i="114"/>
  <c r="E303" i="114"/>
  <c r="E307" i="114" s="1"/>
  <c r="D307" i="114"/>
  <c r="B28" i="17"/>
  <c r="B27" i="17"/>
  <c r="B40" i="17" s="1"/>
  <c r="C51" i="11"/>
  <c r="J2" i="9"/>
  <c r="I2" i="9"/>
  <c r="H2" i="9"/>
  <c r="F185" i="114" l="1" a="1"/>
  <c r="M22" i="9"/>
  <c r="E185" i="114" a="1"/>
  <c r="N22" i="9"/>
  <c r="B38" i="17"/>
  <c r="J22" i="9"/>
  <c r="B185" i="114" a="1"/>
  <c r="E315" i="114"/>
  <c r="E319" i="114" s="1"/>
  <c r="C319" i="114"/>
  <c r="E2" i="17"/>
  <c r="A26" i="11"/>
  <c r="F2" i="17"/>
  <c r="C1" i="18" s="1"/>
  <c r="A30" i="11"/>
  <c r="B21" i="17" l="1"/>
  <c r="B27" i="11"/>
  <c r="B31" i="11"/>
  <c r="H28" i="9" l="1"/>
  <c r="H40" i="9" s="1"/>
  <c r="B22" i="17"/>
  <c r="B143" i="114" s="1" a="1"/>
  <c r="G32" i="11"/>
  <c r="B28" i="11"/>
  <c r="F23" i="114" s="1" a="1"/>
  <c r="F31" i="11"/>
  <c r="C28" i="11"/>
  <c r="H32" i="11"/>
  <c r="G31" i="11"/>
  <c r="C27" i="11"/>
  <c r="E27" i="17"/>
  <c r="E40" i="17" s="1"/>
  <c r="D28" i="11"/>
  <c r="F27" i="17"/>
  <c r="F40" i="17" s="1"/>
  <c r="F38" i="17" s="1"/>
  <c r="C31" i="11"/>
  <c r="D31" i="11"/>
  <c r="C32" i="11"/>
  <c r="D27" i="11"/>
  <c r="D32" i="11"/>
  <c r="E28" i="11"/>
  <c r="E31" i="11"/>
  <c r="E27" i="11"/>
  <c r="F32" i="11"/>
  <c r="G28" i="11"/>
  <c r="D27" i="17"/>
  <c r="D40" i="17" s="1"/>
  <c r="D38" i="17" s="1"/>
  <c r="F27" i="11"/>
  <c r="H28" i="11"/>
  <c r="B32" i="11"/>
  <c r="G23" i="114" s="1" a="1"/>
  <c r="E32" i="11"/>
  <c r="G27" i="11"/>
  <c r="F28" i="11"/>
  <c r="H31" i="11"/>
  <c r="H27" i="11"/>
  <c r="H21" i="73"/>
  <c r="F21" i="73"/>
  <c r="E38" i="17" l="1"/>
  <c r="B167" i="114"/>
  <c r="B160" i="114"/>
  <c r="B163" i="114"/>
  <c r="B161" i="114"/>
  <c r="B164" i="114"/>
  <c r="B165" i="114"/>
  <c r="B166" i="114"/>
  <c r="B162" i="114"/>
  <c r="H29" i="9"/>
  <c r="H41" i="9" s="1"/>
  <c r="I31" i="11"/>
  <c r="I27" i="11"/>
  <c r="B159" i="114" l="1"/>
  <c r="N63" i="72"/>
  <c r="G64" i="72"/>
  <c r="G65" i="72"/>
  <c r="N65" i="72" s="1"/>
  <c r="G66" i="72"/>
  <c r="N66" i="72" s="1"/>
  <c r="G67" i="72"/>
  <c r="N67" i="72" s="1"/>
  <c r="G68" i="72"/>
  <c r="N68" i="72" s="1"/>
  <c r="G69" i="72"/>
  <c r="N69" i="72" s="1"/>
  <c r="G70" i="72"/>
  <c r="N70" i="72" s="1"/>
  <c r="G71" i="72"/>
  <c r="N71" i="72" s="1"/>
  <c r="G72" i="72"/>
  <c r="N72" i="72" s="1"/>
  <c r="G73" i="72"/>
  <c r="N73" i="72" s="1"/>
  <c r="G74" i="72"/>
  <c r="N74" i="72" s="1"/>
  <c r="G75" i="72"/>
  <c r="G76" i="72"/>
  <c r="N76" i="72" s="1"/>
  <c r="G77" i="72"/>
  <c r="N77" i="72" s="1"/>
  <c r="G78" i="72"/>
  <c r="N78" i="72" s="1"/>
  <c r="G79" i="72"/>
  <c r="N79" i="72" s="1"/>
  <c r="G80" i="72"/>
  <c r="N80" i="72" s="1"/>
  <c r="G81" i="72"/>
  <c r="N81" i="72" s="1"/>
  <c r="G82" i="72"/>
  <c r="N82" i="72" s="1"/>
  <c r="G83" i="72"/>
  <c r="N83" i="72" s="1"/>
  <c r="G84" i="72"/>
  <c r="N84" i="72" s="1"/>
  <c r="G85" i="72"/>
  <c r="N85" i="72" s="1"/>
  <c r="G86" i="72"/>
  <c r="N86" i="72" s="1"/>
  <c r="G87" i="72"/>
  <c r="G88" i="72"/>
  <c r="N88" i="72" s="1"/>
  <c r="G89" i="72"/>
  <c r="N89" i="72" s="1"/>
  <c r="G90" i="72"/>
  <c r="N90" i="72" s="1"/>
  <c r="G91" i="72"/>
  <c r="N91" i="72" s="1"/>
  <c r="G92" i="72"/>
  <c r="N92" i="72" s="1"/>
  <c r="G93" i="72"/>
  <c r="N93" i="72" s="1"/>
  <c r="G94" i="72"/>
  <c r="N94" i="72" s="1"/>
  <c r="G95" i="72"/>
  <c r="N95" i="72" s="1"/>
  <c r="G96" i="72"/>
  <c r="N96" i="72" s="1"/>
  <c r="G97" i="72"/>
  <c r="N97" i="72" s="1"/>
  <c r="N64" i="72" l="1"/>
  <c r="R65" i="72" s="1"/>
  <c r="S65" i="72" s="1"/>
  <c r="G157" i="72"/>
  <c r="G158" i="72"/>
  <c r="B9" i="9" s="1"/>
  <c r="N87" i="72"/>
  <c r="O87" i="72" s="1"/>
  <c r="P87" i="72" s="1"/>
  <c r="O69" i="72"/>
  <c r="P69" i="72" s="1"/>
  <c r="R69" i="72"/>
  <c r="S69" i="72" s="1"/>
  <c r="Q69" i="72"/>
  <c r="R85" i="72"/>
  <c r="S85" i="72" s="1"/>
  <c r="Q85" i="72"/>
  <c r="O85" i="72"/>
  <c r="P85" i="72" s="1"/>
  <c r="O68" i="72"/>
  <c r="P68" i="72" s="1"/>
  <c r="Q68" i="72"/>
  <c r="R68" i="72"/>
  <c r="S68" i="72" s="1"/>
  <c r="R67" i="72"/>
  <c r="S67" i="72" s="1"/>
  <c r="O67" i="72"/>
  <c r="P67" i="72" s="1"/>
  <c r="Q67" i="72"/>
  <c r="R66" i="72"/>
  <c r="S66" i="72" s="1"/>
  <c r="Q66" i="72"/>
  <c r="O66" i="72"/>
  <c r="P66" i="72" s="1"/>
  <c r="O81" i="72"/>
  <c r="P81" i="72" s="1"/>
  <c r="R81" i="72"/>
  <c r="S81" i="72" s="1"/>
  <c r="Q81" i="72"/>
  <c r="R73" i="72"/>
  <c r="S73" i="72" s="1"/>
  <c r="Q73" i="72"/>
  <c r="O73" i="72"/>
  <c r="P73" i="72" s="1"/>
  <c r="O65" i="72"/>
  <c r="P65" i="72" s="1"/>
  <c r="Q65" i="72"/>
  <c r="Q84" i="72"/>
  <c r="O84" i="72"/>
  <c r="P84" i="72" s="1"/>
  <c r="R84" i="72"/>
  <c r="S84" i="72" s="1"/>
  <c r="R91" i="72"/>
  <c r="S91" i="72" s="1"/>
  <c r="O91" i="72"/>
  <c r="P91" i="72" s="1"/>
  <c r="Q91" i="72"/>
  <c r="Q90" i="72"/>
  <c r="O90" i="72"/>
  <c r="P90" i="72" s="1"/>
  <c r="R90" i="72"/>
  <c r="S90" i="72" s="1"/>
  <c r="O88" i="72"/>
  <c r="P88" i="72" s="1"/>
  <c r="Q88" i="72"/>
  <c r="Q80" i="72"/>
  <c r="O80" i="72"/>
  <c r="P80" i="72" s="1"/>
  <c r="R80" i="72"/>
  <c r="S80" i="72" s="1"/>
  <c r="O72" i="72"/>
  <c r="P72" i="72" s="1"/>
  <c r="R72" i="72"/>
  <c r="S72" i="72" s="1"/>
  <c r="Q72" i="72"/>
  <c r="Q77" i="72"/>
  <c r="R77" i="72"/>
  <c r="S77" i="72" s="1"/>
  <c r="O77" i="72"/>
  <c r="P77" i="72" s="1"/>
  <c r="Q92" i="72"/>
  <c r="O92" i="72"/>
  <c r="P92" i="72" s="1"/>
  <c r="R92" i="72"/>
  <c r="S92" i="72" s="1"/>
  <c r="N75" i="72"/>
  <c r="R76" i="72" s="1"/>
  <c r="S76" i="72" s="1"/>
  <c r="R82" i="72"/>
  <c r="S82" i="72" s="1"/>
  <c r="Q82" i="72"/>
  <c r="O82" i="72"/>
  <c r="P82" i="72" s="1"/>
  <c r="R97" i="72"/>
  <c r="S97" i="72" s="1"/>
  <c r="Q97" i="72"/>
  <c r="O97" i="72"/>
  <c r="P97" i="72" s="1"/>
  <c r="Q79" i="72"/>
  <c r="O79" i="72"/>
  <c r="P79" i="72" s="1"/>
  <c r="R79" i="72"/>
  <c r="S79" i="72" s="1"/>
  <c r="O71" i="72"/>
  <c r="P71" i="72" s="1"/>
  <c r="R71" i="72"/>
  <c r="S71" i="72" s="1"/>
  <c r="Q71" i="72"/>
  <c r="Q63" i="72"/>
  <c r="O63" i="72"/>
  <c r="P63" i="72" s="1"/>
  <c r="R63" i="72"/>
  <c r="S63" i="72" s="1"/>
  <c r="O93" i="72"/>
  <c r="P93" i="72" s="1"/>
  <c r="Q93" i="72"/>
  <c r="R93" i="72"/>
  <c r="S93" i="72" s="1"/>
  <c r="O76" i="72"/>
  <c r="P76" i="72" s="1"/>
  <c r="Q76" i="72"/>
  <c r="O83" i="72"/>
  <c r="P83" i="72" s="1"/>
  <c r="R83" i="72"/>
  <c r="S83" i="72" s="1"/>
  <c r="Q83" i="72"/>
  <c r="R74" i="72"/>
  <c r="S74" i="72" s="1"/>
  <c r="Q74" i="72"/>
  <c r="O74" i="72"/>
  <c r="P74" i="72" s="1"/>
  <c r="O89" i="72"/>
  <c r="P89" i="72" s="1"/>
  <c r="R89" i="72"/>
  <c r="S89" i="72" s="1"/>
  <c r="Q89" i="72"/>
  <c r="O96" i="72"/>
  <c r="P96" i="72" s="1"/>
  <c r="Q96" i="72"/>
  <c r="R96" i="72"/>
  <c r="S96" i="72" s="1"/>
  <c r="O95" i="72"/>
  <c r="P95" i="72" s="1"/>
  <c r="R95" i="72"/>
  <c r="S95" i="72" s="1"/>
  <c r="Q95" i="72"/>
  <c r="R94" i="72"/>
  <c r="S94" i="72" s="1"/>
  <c r="Q94" i="72"/>
  <c r="O94" i="72"/>
  <c r="P94" i="72" s="1"/>
  <c r="Q86" i="72"/>
  <c r="O86" i="72"/>
  <c r="P86" i="72" s="1"/>
  <c r="R86" i="72"/>
  <c r="S86" i="72" s="1"/>
  <c r="O78" i="72"/>
  <c r="P78" i="72" s="1"/>
  <c r="R78" i="72"/>
  <c r="S78" i="72" s="1"/>
  <c r="Q78" i="72"/>
  <c r="O70" i="72"/>
  <c r="P70" i="72" s="1"/>
  <c r="R70" i="72"/>
  <c r="S70" i="72" s="1"/>
  <c r="Q70" i="72"/>
  <c r="G98" i="72"/>
  <c r="N98" i="72" s="1"/>
  <c r="F9" i="9" l="1"/>
  <c r="D9" i="9"/>
  <c r="E9" i="9" s="1"/>
  <c r="B8" i="9"/>
  <c r="R88" i="72"/>
  <c r="S88" i="72" s="1"/>
  <c r="Q87" i="72"/>
  <c r="Q64" i="72"/>
  <c r="R64" i="72"/>
  <c r="S64" i="72" s="1"/>
  <c r="O64" i="72"/>
  <c r="P64" i="72" s="1"/>
  <c r="G159" i="72"/>
  <c r="R87" i="72"/>
  <c r="S87" i="72" s="1"/>
  <c r="R98" i="72"/>
  <c r="S98" i="72" s="1"/>
  <c r="Q98" i="72"/>
  <c r="O98" i="72"/>
  <c r="P98" i="72" s="1"/>
  <c r="R99" i="72"/>
  <c r="S99" i="72" s="1"/>
  <c r="O75" i="72"/>
  <c r="P75" i="72" s="1"/>
  <c r="R75" i="72"/>
  <c r="S75" i="72" s="1"/>
  <c r="Q75" i="72"/>
  <c r="B10" i="9" l="1"/>
  <c r="G165" i="72"/>
  <c r="F8" i="9"/>
  <c r="D8" i="9"/>
  <c r="E8" i="9" s="1"/>
  <c r="F10" i="9"/>
  <c r="D10" i="9"/>
  <c r="E10" i="9" s="1"/>
  <c r="P123" i="72"/>
  <c r="V39" i="72" s="1"/>
  <c r="B104" i="114" s="1"/>
  <c r="S123" i="72"/>
  <c r="Q123" i="72"/>
  <c r="G27" i="17"/>
  <c r="G40" i="17" s="1"/>
  <c r="H27" i="17"/>
  <c r="H40" i="17" s="1"/>
  <c r="C27" i="17"/>
  <c r="C40" i="17" s="1"/>
  <c r="G38" i="17" l="1"/>
  <c r="F169" i="114" a="1"/>
  <c r="H38" i="17"/>
  <c r="E169" i="114"/>
  <c r="C38" i="17"/>
  <c r="B169" i="114" a="1"/>
  <c r="G21" i="17"/>
  <c r="B51" i="11"/>
  <c r="A7" i="18"/>
  <c r="A8" i="18"/>
  <c r="A9" i="18"/>
  <c r="A10" i="18"/>
  <c r="A2" i="18"/>
  <c r="A3" i="18"/>
  <c r="A4" i="18"/>
  <c r="A5" i="18"/>
  <c r="A6" i="18"/>
  <c r="G22" i="17" l="1"/>
  <c r="H143" i="114" a="1"/>
  <c r="E7" i="18"/>
  <c r="E21" i="18" s="1"/>
  <c r="B7" i="18"/>
  <c r="D7" i="18"/>
  <c r="D21" i="18" s="1"/>
  <c r="E8" i="18"/>
  <c r="E22" i="18" s="1"/>
  <c r="B8" i="18"/>
  <c r="D8" i="18"/>
  <c r="D22" i="18" s="1"/>
  <c r="D9" i="18"/>
  <c r="D23" i="18" s="1"/>
  <c r="E9" i="18"/>
  <c r="E23" i="18" s="1"/>
  <c r="B9" i="18"/>
  <c r="B10" i="18"/>
  <c r="D10" i="18"/>
  <c r="C3" i="18"/>
  <c r="C17" i="18" s="1"/>
  <c r="C4" i="18"/>
  <c r="C18" i="18" s="1"/>
  <c r="C5" i="18"/>
  <c r="C19" i="18" s="1"/>
  <c r="C6" i="18"/>
  <c r="C20" i="18" s="1"/>
  <c r="C7" i="18"/>
  <c r="C21" i="18" s="1"/>
  <c r="C8" i="18"/>
  <c r="C22" i="18" s="1"/>
  <c r="C9" i="18"/>
  <c r="C23" i="18" s="1"/>
  <c r="C10" i="18"/>
  <c r="C11" i="18"/>
  <c r="B2" i="18"/>
  <c r="D3" i="18"/>
  <c r="D17" i="18" s="1"/>
  <c r="E3" i="18"/>
  <c r="E17" i="18" s="1"/>
  <c r="B3" i="18"/>
  <c r="B4" i="18"/>
  <c r="D4" i="18"/>
  <c r="D18" i="18" s="1"/>
  <c r="E4" i="18"/>
  <c r="E18" i="18" s="1"/>
  <c r="B5" i="18"/>
  <c r="D5" i="18"/>
  <c r="D19" i="18" s="1"/>
  <c r="E5" i="18"/>
  <c r="E19" i="18" s="1"/>
  <c r="D6" i="18"/>
  <c r="D20" i="18" s="1"/>
  <c r="E6" i="18"/>
  <c r="E20" i="18" s="1"/>
  <c r="B6" i="18"/>
  <c r="M28" i="9"/>
  <c r="M40" i="9" s="1"/>
  <c r="D2" i="18"/>
  <c r="C2" i="18"/>
  <c r="A22" i="18"/>
  <c r="A21" i="18"/>
  <c r="A20" i="18"/>
  <c r="A19" i="18"/>
  <c r="A18" i="18"/>
  <c r="A17" i="18"/>
  <c r="A16" i="18"/>
  <c r="H165" i="114" l="1"/>
  <c r="N316" i="114" s="1"/>
  <c r="M328" i="114" s="1"/>
  <c r="H167" i="114"/>
  <c r="N312" i="114" s="1"/>
  <c r="M324" i="114" s="1"/>
  <c r="M331" i="114" s="1"/>
  <c r="H163" i="114"/>
  <c r="H160" i="114"/>
  <c r="H166" i="114"/>
  <c r="H161" i="114"/>
  <c r="H164" i="114"/>
  <c r="H159" i="114"/>
  <c r="H162" i="114"/>
  <c r="F7" i="18"/>
  <c r="B21" i="18"/>
  <c r="F8" i="18"/>
  <c r="B22" i="18"/>
  <c r="F9" i="18"/>
  <c r="B23" i="18"/>
  <c r="B24" i="18"/>
  <c r="G302" i="114"/>
  <c r="D24" i="18"/>
  <c r="G306" i="114"/>
  <c r="C24" i="18"/>
  <c r="G305" i="114"/>
  <c r="G317" i="114"/>
  <c r="C25" i="18"/>
  <c r="B17" i="18"/>
  <c r="F3" i="18"/>
  <c r="B18" i="18"/>
  <c r="F4" i="18"/>
  <c r="F5" i="18"/>
  <c r="B19" i="18"/>
  <c r="F6" i="18"/>
  <c r="B20" i="18"/>
  <c r="B16" i="18"/>
  <c r="B213" i="114" s="1" a="1"/>
  <c r="B24" i="11"/>
  <c r="C16" i="18"/>
  <c r="C29" i="18" s="1"/>
  <c r="B38" i="11"/>
  <c r="E38" i="11"/>
  <c r="D38" i="11"/>
  <c r="F38" i="11"/>
  <c r="G38" i="11"/>
  <c r="H38" i="11"/>
  <c r="I38" i="11"/>
  <c r="J38" i="11"/>
  <c r="C38" i="11"/>
  <c r="H33" i="11"/>
  <c r="F33" i="11"/>
  <c r="E33" i="11"/>
  <c r="D33" i="11"/>
  <c r="B33" i="11"/>
  <c r="C33" i="11"/>
  <c r="G33" i="11"/>
  <c r="Q302" i="114" l="1"/>
  <c r="I302" i="114"/>
  <c r="J302" i="114" s="1"/>
  <c r="F314" i="114"/>
  <c r="I314" i="114" s="1"/>
  <c r="J314" i="114" s="1"/>
  <c r="I306" i="114"/>
  <c r="J306" i="114" s="1"/>
  <c r="F318" i="114"/>
  <c r="I318" i="114" s="1"/>
  <c r="J318" i="114" s="1"/>
  <c r="Q306" i="114"/>
  <c r="F317" i="114"/>
  <c r="I317" i="114" s="1"/>
  <c r="J317" i="114" s="1"/>
  <c r="I305" i="114"/>
  <c r="J305" i="114" s="1"/>
  <c r="Q305" i="114"/>
  <c r="F329" i="114"/>
  <c r="B29" i="18"/>
  <c r="M114" i="72"/>
  <c r="N114" i="72" s="1"/>
  <c r="M122" i="72"/>
  <c r="N122" i="72" s="1"/>
  <c r="M115" i="72"/>
  <c r="N115" i="72" s="1"/>
  <c r="M116" i="72"/>
  <c r="N116" i="72" s="1"/>
  <c r="M119" i="72"/>
  <c r="N119" i="72" s="1"/>
  <c r="M112" i="72"/>
  <c r="N112" i="72" s="1"/>
  <c r="M121" i="72"/>
  <c r="N121" i="72" s="1"/>
  <c r="M117" i="72"/>
  <c r="N117" i="72" s="1"/>
  <c r="M113" i="72"/>
  <c r="N113" i="72" s="1"/>
  <c r="M118" i="72"/>
  <c r="N118" i="72" s="1"/>
  <c r="M120" i="72"/>
  <c r="N120" i="72" s="1"/>
  <c r="M111" i="72"/>
  <c r="S302" i="114" l="1"/>
  <c r="T302" i="114" s="1"/>
  <c r="A157" i="114" s="1"/>
  <c r="P314" i="114"/>
  <c r="S314" i="114" s="1"/>
  <c r="T314" i="114" s="1"/>
  <c r="S306" i="114"/>
  <c r="T306" i="114" s="1"/>
  <c r="P318" i="114"/>
  <c r="S318" i="114" s="1"/>
  <c r="T318" i="114" s="1"/>
  <c r="S305" i="114"/>
  <c r="T305" i="114" s="1"/>
  <c r="P317" i="114"/>
  <c r="S317" i="114"/>
  <c r="T317" i="114" s="1"/>
  <c r="P329" i="114"/>
  <c r="B27" i="18"/>
  <c r="B224" i="114"/>
  <c r="N161" i="72"/>
  <c r="C124" i="114" s="1"/>
  <c r="D124" i="114" s="1"/>
  <c r="N111" i="72"/>
  <c r="Q161" i="72" l="1"/>
  <c r="N165" i="72"/>
  <c r="N166" i="72" s="1"/>
  <c r="K5" i="11"/>
  <c r="K6" i="11" s="1"/>
  <c r="H43" i="11"/>
  <c r="G53" i="11"/>
  <c r="G24" i="11"/>
  <c r="G43" i="11"/>
  <c r="H24" i="11"/>
  <c r="H53" i="11"/>
  <c r="C12" i="9" l="1"/>
  <c r="D12" i="9" s="1"/>
  <c r="E12" i="9" s="1"/>
  <c r="S161" i="72"/>
  <c r="T161" i="72" s="1"/>
  <c r="Q165" i="72"/>
  <c r="Q166" i="72" s="1"/>
  <c r="H49" i="11"/>
  <c r="H66" i="11" s="1"/>
  <c r="G49" i="11"/>
  <c r="G66" i="11" s="1"/>
  <c r="Q316" i="114" l="1"/>
  <c r="P328" i="114" s="1"/>
  <c r="Q312" i="114"/>
  <c r="P324" i="114" s="1"/>
  <c r="Q313" i="114"/>
  <c r="P325" i="114" s="1"/>
  <c r="G14" i="11"/>
  <c r="F14" i="11"/>
  <c r="E14" i="11"/>
  <c r="D14" i="11"/>
  <c r="C14" i="11"/>
  <c r="B14" i="11"/>
  <c r="S312" i="114" l="1"/>
  <c r="T312" i="114" s="1"/>
  <c r="S313" i="114"/>
  <c r="T313" i="114" s="1"/>
  <c r="S316" i="114"/>
  <c r="T316" i="114" s="1"/>
  <c r="H14" i="11"/>
  <c r="A26" i="17" l="1"/>
  <c r="A27" i="17"/>
  <c r="A28" i="17"/>
  <c r="A29" i="17"/>
  <c r="A30" i="17"/>
  <c r="A31" i="17"/>
  <c r="A32" i="17"/>
  <c r="H57" i="11" l="1"/>
  <c r="H58" i="11"/>
  <c r="H59" i="11"/>
  <c r="H60" i="11"/>
  <c r="H61" i="11"/>
  <c r="H62" i="11"/>
  <c r="C53" i="11" l="1"/>
  <c r="D53" i="11"/>
  <c r="E53" i="11"/>
  <c r="F53" i="11"/>
  <c r="H10" i="17" l="1"/>
  <c r="E43" i="11" l="1"/>
  <c r="C43" i="11"/>
  <c r="D43" i="11"/>
  <c r="M130" i="72" l="1"/>
  <c r="N130" i="72" s="1"/>
  <c r="M131" i="72"/>
  <c r="N131" i="72" s="1"/>
  <c r="M124" i="72"/>
  <c r="N124" i="72" s="1"/>
  <c r="M132" i="72"/>
  <c r="N132" i="72" s="1"/>
  <c r="M125" i="72"/>
  <c r="N125" i="72" s="1"/>
  <c r="M133" i="72"/>
  <c r="N133" i="72" s="1"/>
  <c r="M128" i="72"/>
  <c r="N128" i="72" s="1"/>
  <c r="M126" i="72"/>
  <c r="N126" i="72" s="1"/>
  <c r="M134" i="72"/>
  <c r="N134" i="72" s="1"/>
  <c r="M127" i="72"/>
  <c r="N127" i="72" s="1"/>
  <c r="M129" i="72"/>
  <c r="N129" i="72" s="1"/>
  <c r="C2" i="17"/>
  <c r="D2" i="17"/>
  <c r="G2" i="17"/>
  <c r="D1" i="18" s="1"/>
  <c r="H2" i="17"/>
  <c r="E1" i="18" s="1"/>
  <c r="M123" i="72" l="1"/>
  <c r="G36" i="11"/>
  <c r="N162" i="72" l="1"/>
  <c r="L5" i="11" s="1"/>
  <c r="N123" i="72"/>
  <c r="M138" i="72"/>
  <c r="N138" i="72" s="1"/>
  <c r="M146" i="72"/>
  <c r="N146" i="72" s="1"/>
  <c r="M139" i="72"/>
  <c r="N139" i="72" s="1"/>
  <c r="M136" i="72"/>
  <c r="N136" i="72" s="1"/>
  <c r="M137" i="72"/>
  <c r="N137" i="72" s="1"/>
  <c r="M145" i="72"/>
  <c r="N145" i="72" s="1"/>
  <c r="M140" i="72"/>
  <c r="N140" i="72" s="1"/>
  <c r="M143" i="72"/>
  <c r="N143" i="72" s="1"/>
  <c r="M144" i="72"/>
  <c r="N144" i="72" s="1"/>
  <c r="M141" i="72"/>
  <c r="N141" i="72" s="1"/>
  <c r="M142" i="72"/>
  <c r="N142" i="72" s="1"/>
  <c r="M135" i="72"/>
  <c r="F36" i="11"/>
  <c r="C36" i="11"/>
  <c r="Q162" i="72" l="1"/>
  <c r="C13" i="9" s="1"/>
  <c r="C125" i="114"/>
  <c r="L7" i="11"/>
  <c r="N163" i="72"/>
  <c r="N150" i="72"/>
  <c r="N135" i="72"/>
  <c r="E36" i="11"/>
  <c r="B36" i="11"/>
  <c r="D36" i="11"/>
  <c r="S162" i="72" l="1"/>
  <c r="T162" i="72" s="1"/>
  <c r="Q163" i="72"/>
  <c r="C126" i="114"/>
  <c r="N169" i="72"/>
  <c r="N170" i="72" s="1"/>
  <c r="M5" i="11"/>
  <c r="C10" i="17"/>
  <c r="D10" i="17"/>
  <c r="B10" i="17"/>
  <c r="H9" i="17"/>
  <c r="G9" i="17"/>
  <c r="D9" i="17"/>
  <c r="C9" i="17"/>
  <c r="B9" i="17"/>
  <c r="H8" i="17"/>
  <c r="G8" i="17"/>
  <c r="D8" i="17"/>
  <c r="C8" i="17"/>
  <c r="B8" i="17"/>
  <c r="H7" i="17"/>
  <c r="G7" i="17"/>
  <c r="D7" i="17"/>
  <c r="C7" i="17"/>
  <c r="B7" i="17"/>
  <c r="G6" i="17"/>
  <c r="D6" i="17"/>
  <c r="C6" i="17"/>
  <c r="B6" i="17"/>
  <c r="H5" i="17"/>
  <c r="G5" i="17"/>
  <c r="D5" i="17"/>
  <c r="C5" i="17"/>
  <c r="B5" i="17"/>
  <c r="B1" i="18"/>
  <c r="B2" i="17"/>
  <c r="A40" i="11"/>
  <c r="A35" i="11"/>
  <c r="A21" i="11"/>
  <c r="A17" i="11"/>
  <c r="A13" i="11"/>
  <c r="S163" i="72" l="1"/>
  <c r="T163" i="72" s="1"/>
  <c r="C14" i="9"/>
  <c r="M7" i="11"/>
  <c r="C234" i="114" a="1"/>
  <c r="O234" i="114" s="1"/>
  <c r="P234" i="114" s="1"/>
  <c r="F115" i="114" a="1"/>
  <c r="G119" i="114" s="1"/>
  <c r="D19" i="11"/>
  <c r="E19" i="11"/>
  <c r="E15" i="11"/>
  <c r="B19" i="11"/>
  <c r="C23" i="114" s="1" a="1"/>
  <c r="M3" i="9"/>
  <c r="B15" i="11"/>
  <c r="B23" i="114" s="1" a="1"/>
  <c r="N3" i="9"/>
  <c r="C23" i="11"/>
  <c r="C19" i="11"/>
  <c r="C15" i="11"/>
  <c r="F19" i="11"/>
  <c r="G19" i="11"/>
  <c r="F22" i="11"/>
  <c r="D41" i="11"/>
  <c r="C41" i="11"/>
  <c r="B22" i="11"/>
  <c r="B41" i="11"/>
  <c r="F41" i="11"/>
  <c r="F18" i="11"/>
  <c r="F47" i="11" s="1"/>
  <c r="F64" i="11" s="1"/>
  <c r="E24" i="11"/>
  <c r="E49" i="11" s="1"/>
  <c r="E66" i="11" s="1"/>
  <c r="G15" i="11"/>
  <c r="G23" i="11"/>
  <c r="D23" i="11"/>
  <c r="F23" i="11"/>
  <c r="H23" i="11"/>
  <c r="H19" i="11"/>
  <c r="F15" i="11"/>
  <c r="H15" i="11"/>
  <c r="E23" i="11"/>
  <c r="D15" i="11"/>
  <c r="H36" i="11"/>
  <c r="I36" i="11"/>
  <c r="G41" i="11"/>
  <c r="C24" i="11"/>
  <c r="D24" i="11"/>
  <c r="E22" i="11"/>
  <c r="C22" i="11"/>
  <c r="B18" i="11"/>
  <c r="B47" i="11" s="1"/>
  <c r="E18" i="11"/>
  <c r="C18" i="11"/>
  <c r="G3" i="9" l="1"/>
  <c r="F3" i="9" s="1"/>
  <c r="E48" i="11"/>
  <c r="G124" i="114"/>
  <c r="F41" i="114"/>
  <c r="G122" i="114"/>
  <c r="G39" i="114"/>
  <c r="G116" i="114"/>
  <c r="F44" i="114"/>
  <c r="G45" i="114"/>
  <c r="F40" i="114"/>
  <c r="G123" i="114"/>
  <c r="G121" i="114"/>
  <c r="F46" i="114"/>
  <c r="G46" i="114"/>
  <c r="F42" i="114"/>
  <c r="G118" i="114"/>
  <c r="F38" i="114"/>
  <c r="G38" i="114"/>
  <c r="G120" i="114"/>
  <c r="G117" i="114"/>
  <c r="G42" i="114"/>
  <c r="G44" i="114"/>
  <c r="G41" i="114"/>
  <c r="G43" i="114"/>
  <c r="F39" i="114"/>
  <c r="G40" i="114"/>
  <c r="F43" i="114"/>
  <c r="F45" i="114"/>
  <c r="C43" i="114"/>
  <c r="C39" i="114"/>
  <c r="C45" i="114"/>
  <c r="C40" i="114"/>
  <c r="C38" i="114"/>
  <c r="C46" i="114"/>
  <c r="C44" i="114"/>
  <c r="C41" i="114"/>
  <c r="C42" i="114"/>
  <c r="D16" i="18"/>
  <c r="B37" i="11"/>
  <c r="H23" i="114" s="1" a="1"/>
  <c r="B44" i="114"/>
  <c r="B41" i="114"/>
  <c r="B39" i="114"/>
  <c r="B43" i="114"/>
  <c r="B42" i="114"/>
  <c r="B42" i="11"/>
  <c r="E23" i="114" s="1" a="1"/>
  <c r="C48" i="11"/>
  <c r="C65" i="11" s="1"/>
  <c r="D23" i="114" a="1"/>
  <c r="H40" i="114"/>
  <c r="E43" i="114"/>
  <c r="B40" i="114"/>
  <c r="B38" i="114"/>
  <c r="H42" i="114"/>
  <c r="E42" i="114"/>
  <c r="E45" i="114"/>
  <c r="B45" i="114"/>
  <c r="B46" i="114"/>
  <c r="D29" i="18"/>
  <c r="D224" i="114" s="1" a="1"/>
  <c r="D213" i="114" a="1"/>
  <c r="G115" i="114"/>
  <c r="H37" i="114"/>
  <c r="E37" i="114"/>
  <c r="C37" i="114"/>
  <c r="F37" i="114"/>
  <c r="G37" i="114"/>
  <c r="C47" i="11"/>
  <c r="C64" i="11" s="1"/>
  <c r="B48" i="11"/>
  <c r="B10" i="11"/>
  <c r="B64" i="11"/>
  <c r="H48" i="11"/>
  <c r="D49" i="11"/>
  <c r="D66" i="11" s="1"/>
  <c r="F48" i="11"/>
  <c r="D48" i="11"/>
  <c r="D65" i="11" s="1"/>
  <c r="C49" i="11"/>
  <c r="C66" i="11" s="1"/>
  <c r="G48" i="11"/>
  <c r="B52" i="11"/>
  <c r="C10" i="11"/>
  <c r="G10" i="11"/>
  <c r="G52" i="11"/>
  <c r="E52" i="11"/>
  <c r="E65" i="11" s="1"/>
  <c r="E10" i="11"/>
  <c r="H52" i="11"/>
  <c r="H10" i="11"/>
  <c r="D10" i="11"/>
  <c r="F52" i="11"/>
  <c r="F10" i="11"/>
  <c r="J36" i="11"/>
  <c r="D22" i="11"/>
  <c r="G22" i="11"/>
  <c r="E41" i="11"/>
  <c r="G18" i="11"/>
  <c r="D18" i="11"/>
  <c r="H43" i="114" l="1"/>
  <c r="H41" i="114"/>
  <c r="H45" i="114"/>
  <c r="H46" i="114"/>
  <c r="H44" i="114"/>
  <c r="H38" i="114"/>
  <c r="H39" i="114"/>
  <c r="E40" i="114"/>
  <c r="E39" i="114"/>
  <c r="E46" i="114"/>
  <c r="E41" i="114"/>
  <c r="E44" i="114"/>
  <c r="E38" i="114"/>
  <c r="D44" i="114"/>
  <c r="D46" i="114"/>
  <c r="I46" i="114" s="1"/>
  <c r="D43" i="114"/>
  <c r="I43" i="114" s="1"/>
  <c r="D38" i="114"/>
  <c r="I38" i="114" s="1"/>
  <c r="I25" i="114"/>
  <c r="I26" i="114"/>
  <c r="I30" i="114"/>
  <c r="I27" i="114"/>
  <c r="I31" i="114"/>
  <c r="I29" i="114"/>
  <c r="I24" i="114"/>
  <c r="I28" i="114"/>
  <c r="I32" i="114"/>
  <c r="D45" i="114"/>
  <c r="I45" i="114" s="1"/>
  <c r="D39" i="114"/>
  <c r="I39" i="114" s="1"/>
  <c r="D42" i="114"/>
  <c r="I42" i="114" s="1"/>
  <c r="D40" i="114"/>
  <c r="D41" i="114"/>
  <c r="D27" i="18"/>
  <c r="G13" i="9"/>
  <c r="G34" i="9" s="1"/>
  <c r="G14" i="9"/>
  <c r="G35" i="9" s="1"/>
  <c r="B65" i="11"/>
  <c r="G47" i="11"/>
  <c r="G64" i="11" s="1"/>
  <c r="E47" i="11"/>
  <c r="E64" i="11" s="1"/>
  <c r="D47" i="11"/>
  <c r="D64" i="11" s="1"/>
  <c r="F65" i="11"/>
  <c r="H65" i="11"/>
  <c r="G65" i="11"/>
  <c r="I40" i="114" l="1"/>
  <c r="I41" i="114"/>
  <c r="I44" i="114"/>
  <c r="I14" i="11"/>
  <c r="I22" i="11"/>
  <c r="I18" i="11"/>
  <c r="H22" i="11"/>
  <c r="J22" i="11" l="1"/>
  <c r="I41" i="11"/>
  <c r="I47" i="11" s="1"/>
  <c r="H41" i="11"/>
  <c r="H18" i="11"/>
  <c r="H47" i="11" l="1"/>
  <c r="H64" i="11" s="1"/>
  <c r="I64" i="11"/>
  <c r="J14" i="11"/>
  <c r="J18" i="11"/>
  <c r="J41" i="11" l="1"/>
  <c r="F43" i="11" l="1"/>
  <c r="F24" i="11" l="1"/>
  <c r="F49" i="11" l="1"/>
  <c r="F66" i="11" s="1"/>
  <c r="I55" i="11"/>
  <c r="I59" i="11" s="1"/>
  <c r="L55" i="11" l="1"/>
  <c r="L59" i="11" s="1"/>
  <c r="M55" i="11" l="1"/>
  <c r="M59" i="11" s="1"/>
  <c r="I57" i="11" l="1"/>
  <c r="I61" i="11" s="1"/>
  <c r="I56" i="11" l="1"/>
  <c r="I60" i="11" s="1"/>
  <c r="L57" i="11"/>
  <c r="L61" i="11" s="1"/>
  <c r="M57" i="11" l="1"/>
  <c r="M61" i="11" s="1"/>
  <c r="L56" i="11"/>
  <c r="L60" i="11" s="1"/>
  <c r="M56" i="11" l="1"/>
  <c r="M60" i="11" s="1"/>
  <c r="I10" i="11" l="1"/>
  <c r="I33" i="11" l="1"/>
  <c r="J10" i="11"/>
  <c r="I43" i="11"/>
  <c r="J33" i="11" l="1"/>
  <c r="J24" i="11"/>
  <c r="I24" i="11"/>
  <c r="I49" i="11" s="1"/>
  <c r="I53" i="11"/>
  <c r="I66" i="11" l="1"/>
  <c r="H55" i="11"/>
  <c r="V41" i="72" l="1"/>
  <c r="V42" i="72"/>
  <c r="V44" i="72" l="1"/>
  <c r="B103" i="114" s="1"/>
  <c r="J27" i="11"/>
  <c r="J31" i="11"/>
  <c r="C21" i="17"/>
  <c r="D21" i="17"/>
  <c r="E21" i="17"/>
  <c r="F21" i="17"/>
  <c r="H21" i="17"/>
  <c r="E22" i="17" l="1"/>
  <c r="F174" i="114" a="1"/>
  <c r="F143" i="114" a="1"/>
  <c r="F22" i="17"/>
  <c r="G143" i="114" a="1"/>
  <c r="H22" i="17"/>
  <c r="E174" i="114" a="1"/>
  <c r="E143" i="114" a="1"/>
  <c r="D22" i="17"/>
  <c r="C22" i="17"/>
  <c r="I21" i="17"/>
  <c r="J28" i="17" s="1"/>
  <c r="K21" i="17"/>
  <c r="P25" i="17" s="1"/>
  <c r="L29" i="9"/>
  <c r="L41" i="9" s="1"/>
  <c r="L28" i="9"/>
  <c r="L40" i="9" s="1"/>
  <c r="M29" i="9"/>
  <c r="I28" i="9"/>
  <c r="I40" i="9" s="1"/>
  <c r="J47" i="11"/>
  <c r="J64" i="11" s="1"/>
  <c r="K53" i="9"/>
  <c r="K18" i="11"/>
  <c r="K22" i="11"/>
  <c r="K27" i="11"/>
  <c r="K31" i="11"/>
  <c r="K29" i="9"/>
  <c r="K41" i="9" s="1"/>
  <c r="K28" i="9"/>
  <c r="K40" i="9" s="1"/>
  <c r="J28" i="9"/>
  <c r="J40" i="9" s="1"/>
  <c r="M41" i="9"/>
  <c r="K51" i="11"/>
  <c r="K41" i="11"/>
  <c r="L36" i="11"/>
  <c r="L27" i="11"/>
  <c r="K36" i="11"/>
  <c r="F191" i="114" l="1"/>
  <c r="F202" i="114" s="1"/>
  <c r="H191" i="114"/>
  <c r="H202" i="114" s="1"/>
  <c r="G191" i="114"/>
  <c r="G202" i="114" s="1"/>
  <c r="G192" i="114"/>
  <c r="G203" i="114" s="1"/>
  <c r="F192" i="114"/>
  <c r="F203" i="114" s="1"/>
  <c r="H192" i="114"/>
  <c r="H203" i="114" s="1"/>
  <c r="N304" i="114" s="1"/>
  <c r="F165" i="114"/>
  <c r="F162" i="114"/>
  <c r="F167" i="114"/>
  <c r="F159" i="114"/>
  <c r="F164" i="114"/>
  <c r="F166" i="114"/>
  <c r="F161" i="114"/>
  <c r="F163" i="114"/>
  <c r="F160" i="114"/>
  <c r="G159" i="114"/>
  <c r="G160" i="114"/>
  <c r="G161" i="114"/>
  <c r="G162" i="114"/>
  <c r="G163" i="114"/>
  <c r="G164" i="114"/>
  <c r="G165" i="114"/>
  <c r="G166" i="114"/>
  <c r="G167" i="114"/>
  <c r="I145" i="114"/>
  <c r="I150" i="114"/>
  <c r="I154" i="114"/>
  <c r="I153" i="114"/>
  <c r="I151" i="114"/>
  <c r="I148" i="114"/>
  <c r="I152" i="114"/>
  <c r="I147" i="114"/>
  <c r="D143" i="114" a="1"/>
  <c r="J29" i="9"/>
  <c r="J41" i="9" s="1"/>
  <c r="C143" i="114" a="1"/>
  <c r="I22" i="17"/>
  <c r="J29" i="17" s="1"/>
  <c r="B174" i="114" a="1"/>
  <c r="I29" i="9"/>
  <c r="I41" i="9" s="1"/>
  <c r="K22" i="17"/>
  <c r="Q25" i="17" s="1"/>
  <c r="J31" i="17"/>
  <c r="L31" i="17" s="1"/>
  <c r="L28" i="17"/>
  <c r="E164" i="114"/>
  <c r="E163" i="114"/>
  <c r="E166" i="114"/>
  <c r="E162" i="114"/>
  <c r="E161" i="114"/>
  <c r="E160" i="114"/>
  <c r="E167" i="114"/>
  <c r="E159" i="114"/>
  <c r="E165" i="114"/>
  <c r="E191" i="114" s="1"/>
  <c r="E202" i="114" s="1"/>
  <c r="E192" i="114"/>
  <c r="E203" i="114" s="1"/>
  <c r="D159" i="114" s="1"/>
  <c r="D162" i="114"/>
  <c r="D161" i="114"/>
  <c r="D160" i="114"/>
  <c r="D167" i="114"/>
  <c r="D166" i="114"/>
  <c r="D163" i="114"/>
  <c r="D165" i="114"/>
  <c r="D164" i="114"/>
  <c r="C159" i="114" s="1"/>
  <c r="C163" i="114"/>
  <c r="C162" i="114"/>
  <c r="C166" i="114"/>
  <c r="C161" i="114"/>
  <c r="C167" i="114"/>
  <c r="C160" i="114"/>
  <c r="C165" i="114"/>
  <c r="C164" i="114"/>
  <c r="I149" i="114"/>
  <c r="I143" i="114"/>
  <c r="C192" i="114"/>
  <c r="C203" i="114" s="1"/>
  <c r="C191" i="114"/>
  <c r="C202" i="114" s="1"/>
  <c r="D192" i="114"/>
  <c r="D203" i="114" s="1"/>
  <c r="B192" i="114"/>
  <c r="B203" i="114" s="1"/>
  <c r="D191" i="114"/>
  <c r="D202" i="114" s="1"/>
  <c r="I175" i="114"/>
  <c r="L51" i="11"/>
  <c r="N28" i="9"/>
  <c r="P26" i="17"/>
  <c r="K47" i="11"/>
  <c r="K64" i="11" s="1"/>
  <c r="J53" i="9"/>
  <c r="L14" i="11"/>
  <c r="L31" i="11"/>
  <c r="L41" i="11"/>
  <c r="L22" i="11"/>
  <c r="L18" i="11"/>
  <c r="I146" i="114" l="1"/>
  <c r="I144" i="114"/>
  <c r="I203" i="114"/>
  <c r="D56" i="114" a="1"/>
  <c r="I174" i="114"/>
  <c r="B56" i="114" a="1"/>
  <c r="B79" i="114" s="1"/>
  <c r="N40" i="9"/>
  <c r="P40" i="9" s="1"/>
  <c r="G28" i="9"/>
  <c r="G40" i="9" s="1"/>
  <c r="M51" i="11"/>
  <c r="N29" i="9"/>
  <c r="L47" i="11"/>
  <c r="M14" i="11"/>
  <c r="M36" i="11"/>
  <c r="M27" i="11"/>
  <c r="M31" i="11"/>
  <c r="M18" i="11"/>
  <c r="M41" i="11"/>
  <c r="M22" i="11"/>
  <c r="L64" i="11"/>
  <c r="N41" i="9"/>
  <c r="P41" i="9" s="1"/>
  <c r="G29" i="9"/>
  <c r="G41" i="9" s="1"/>
  <c r="Q26" i="17"/>
  <c r="M47" i="11"/>
  <c r="M64" i="11" s="1"/>
  <c r="L53" i="9"/>
  <c r="H56" i="114" l="1" a="1"/>
  <c r="F56" i="114" a="1"/>
  <c r="G56" i="114" a="1"/>
  <c r="C56" i="114" a="1"/>
  <c r="E56" i="114" a="1"/>
  <c r="J46" i="9"/>
  <c r="J34" i="9" s="1"/>
  <c r="B12" i="18" s="1"/>
  <c r="H46" i="9"/>
  <c r="H34" i="9" s="1"/>
  <c r="B47" i="114" s="1"/>
  <c r="I46" i="9"/>
  <c r="I34" i="9" s="1"/>
  <c r="E79" i="114"/>
  <c r="E74" i="114"/>
  <c r="E75" i="114"/>
  <c r="E72" i="114"/>
  <c r="E77" i="114"/>
  <c r="E76" i="114"/>
  <c r="E78" i="114"/>
  <c r="E73" i="114"/>
  <c r="E71" i="114"/>
  <c r="E94" i="114"/>
  <c r="E89" i="114"/>
  <c r="E92" i="114"/>
  <c r="E88" i="114"/>
  <c r="E93" i="114"/>
  <c r="E86" i="114"/>
  <c r="E90" i="114"/>
  <c r="E91" i="114"/>
  <c r="E87" i="114"/>
  <c r="D72" i="114"/>
  <c r="D79" i="114"/>
  <c r="D76" i="114"/>
  <c r="D74" i="114"/>
  <c r="D78" i="114"/>
  <c r="D75" i="114"/>
  <c r="D77" i="114"/>
  <c r="D73" i="114"/>
  <c r="D71" i="114"/>
  <c r="D90" i="114"/>
  <c r="D91" i="114"/>
  <c r="D92" i="114"/>
  <c r="D93" i="114"/>
  <c r="D89" i="114"/>
  <c r="D94" i="114"/>
  <c r="D87" i="114"/>
  <c r="D88" i="114"/>
  <c r="D86" i="114"/>
  <c r="C72" i="114"/>
  <c r="C78" i="114"/>
  <c r="C75" i="114"/>
  <c r="C79" i="114"/>
  <c r="C76" i="114"/>
  <c r="C77" i="114"/>
  <c r="C71" i="114"/>
  <c r="C89" i="114"/>
  <c r="C92" i="114"/>
  <c r="C94" i="114"/>
  <c r="B72" i="114"/>
  <c r="B74" i="114"/>
  <c r="B75" i="114"/>
  <c r="B89" i="114"/>
  <c r="B87" i="114"/>
  <c r="B94" i="114"/>
  <c r="C74" i="114"/>
  <c r="C73" i="114"/>
  <c r="C86" i="114"/>
  <c r="C87" i="114"/>
  <c r="C88" i="114"/>
  <c r="C90" i="114"/>
  <c r="C93" i="114"/>
  <c r="C91" i="114"/>
  <c r="B78" i="114"/>
  <c r="B76" i="114"/>
  <c r="B71" i="114"/>
  <c r="B77" i="114"/>
  <c r="B73" i="114"/>
  <c r="B86" i="114"/>
  <c r="B90" i="114"/>
  <c r="B92" i="114"/>
  <c r="B88" i="114"/>
  <c r="B93" i="114"/>
  <c r="B91" i="114"/>
  <c r="E70" i="114"/>
  <c r="E85" i="114"/>
  <c r="F7" i="114" a="1"/>
  <c r="G14" i="114" s="1"/>
  <c r="C70" i="114"/>
  <c r="C85" i="114"/>
  <c r="H47" i="9"/>
  <c r="I47" i="9"/>
  <c r="J47" i="9"/>
  <c r="K48" i="11"/>
  <c r="H91" i="114" l="1"/>
  <c r="H89" i="114"/>
  <c r="H93" i="114"/>
  <c r="H94" i="114"/>
  <c r="H92" i="114"/>
  <c r="H86" i="114"/>
  <c r="H87" i="114"/>
  <c r="H70" i="114"/>
  <c r="H76" i="114"/>
  <c r="H78" i="114"/>
  <c r="H77" i="114"/>
  <c r="H72" i="114"/>
  <c r="H71" i="114"/>
  <c r="H75" i="114"/>
  <c r="H74" i="114"/>
  <c r="H73" i="114"/>
  <c r="H79" i="114"/>
  <c r="H85" i="114"/>
  <c r="H90" i="114"/>
  <c r="H88" i="114"/>
  <c r="F77" i="114"/>
  <c r="F74" i="114"/>
  <c r="F73" i="114"/>
  <c r="F70" i="114"/>
  <c r="F71" i="114"/>
  <c r="F72" i="114"/>
  <c r="F76" i="114"/>
  <c r="F78" i="114"/>
  <c r="F79" i="114"/>
  <c r="F75" i="114"/>
  <c r="F89" i="114"/>
  <c r="F92" i="114"/>
  <c r="F88" i="114"/>
  <c r="F94" i="114"/>
  <c r="F90" i="114"/>
  <c r="F86" i="114"/>
  <c r="F91" i="114"/>
  <c r="F93" i="114"/>
  <c r="F85" i="114"/>
  <c r="F87" i="114"/>
  <c r="G85" i="114"/>
  <c r="G88" i="114"/>
  <c r="G91" i="114"/>
  <c r="G89" i="114"/>
  <c r="G92" i="114"/>
  <c r="G90" i="114"/>
  <c r="G86" i="114"/>
  <c r="G94" i="114"/>
  <c r="G93" i="114"/>
  <c r="G87" i="114"/>
  <c r="G70" i="114"/>
  <c r="G74" i="114"/>
  <c r="G75" i="114"/>
  <c r="G78" i="114"/>
  <c r="G72" i="114"/>
  <c r="G77" i="114"/>
  <c r="G73" i="114"/>
  <c r="G71" i="114"/>
  <c r="G76" i="114"/>
  <c r="G79" i="114"/>
  <c r="I62" i="114"/>
  <c r="I58" i="114"/>
  <c r="I59" i="114"/>
  <c r="I60" i="114"/>
  <c r="I67" i="114"/>
  <c r="I64" i="114"/>
  <c r="I61" i="114"/>
  <c r="I65" i="114"/>
  <c r="I57" i="114"/>
  <c r="I63" i="114"/>
  <c r="I66" i="114"/>
  <c r="D47" i="114"/>
  <c r="D95" i="114" s="1"/>
  <c r="B95" i="114"/>
  <c r="C47" i="114"/>
  <c r="L23" i="11"/>
  <c r="L15" i="11"/>
  <c r="L19" i="11"/>
  <c r="G15" i="114"/>
  <c r="G18" i="114"/>
  <c r="G12" i="114"/>
  <c r="G13" i="114"/>
  <c r="G10" i="114"/>
  <c r="G17" i="114"/>
  <c r="G11" i="114"/>
  <c r="G16" i="114"/>
  <c r="G9" i="114"/>
  <c r="B205" i="114" a="1"/>
  <c r="C27" i="18"/>
  <c r="C95" i="114" l="1"/>
  <c r="C209" i="114"/>
  <c r="B209" i="114"/>
  <c r="C208" i="114"/>
  <c r="D209" i="114"/>
  <c r="D208" i="114"/>
  <c r="K52" i="11"/>
  <c r="K65" i="11" s="1"/>
  <c r="K10" i="11"/>
  <c r="B4" i="115" s="1"/>
  <c r="B5" i="115" s="1"/>
  <c r="M46" i="9" l="1"/>
  <c r="M34" i="9" s="1"/>
  <c r="K46" i="9"/>
  <c r="N46" i="9"/>
  <c r="L10" i="11"/>
  <c r="C4" i="115" s="1"/>
  <c r="C3" i="115" s="1"/>
  <c r="L46" i="9"/>
  <c r="L34" i="9" s="1"/>
  <c r="G47" i="114" s="1"/>
  <c r="G95" i="114" s="1"/>
  <c r="L11" i="11" l="1"/>
  <c r="N34" i="9"/>
  <c r="E47" i="114"/>
  <c r="D12" i="18"/>
  <c r="H47" i="114"/>
  <c r="H95" i="114" s="1"/>
  <c r="G46" i="9"/>
  <c r="K34" i="9"/>
  <c r="L32" i="11"/>
  <c r="H35" i="9"/>
  <c r="B48" i="114" s="1"/>
  <c r="L37" i="11"/>
  <c r="M47" i="9"/>
  <c r="M35" i="9" s="1"/>
  <c r="N47" i="9"/>
  <c r="N35" i="9" s="1"/>
  <c r="L47" i="9"/>
  <c r="L35" i="9" s="1"/>
  <c r="G48" i="114" s="1"/>
  <c r="G96" i="114" s="1"/>
  <c r="K47" i="9"/>
  <c r="J35" i="9"/>
  <c r="D48" i="114" s="1"/>
  <c r="D96" i="114" s="1"/>
  <c r="M10" i="11"/>
  <c r="L42" i="11" l="1"/>
  <c r="M11" i="11"/>
  <c r="D4" i="115"/>
  <c r="D3" i="115" s="1"/>
  <c r="F205" i="114" a="1"/>
  <c r="G208" i="114" s="1"/>
  <c r="E205" i="114" a="1"/>
  <c r="B7" i="114" a="1"/>
  <c r="D18" i="114" s="1"/>
  <c r="C237" i="114" a="1"/>
  <c r="O237" i="114" s="1"/>
  <c r="P237" i="114" s="1"/>
  <c r="L28" i="11"/>
  <c r="F47" i="114"/>
  <c r="F95" i="114" s="1"/>
  <c r="P34" i="9"/>
  <c r="E95" i="114"/>
  <c r="D13" i="18"/>
  <c r="D228" i="114" s="1" a="1"/>
  <c r="H48" i="114"/>
  <c r="H96" i="114" s="1"/>
  <c r="B96" i="114"/>
  <c r="E48" i="114"/>
  <c r="E96" i="114" s="1"/>
  <c r="K35" i="9"/>
  <c r="I35" i="9"/>
  <c r="M15" i="11"/>
  <c r="G47" i="9"/>
  <c r="M42" i="11"/>
  <c r="B13" i="18"/>
  <c r="M23" i="11"/>
  <c r="M32" i="11"/>
  <c r="M37" i="11"/>
  <c r="K38" i="11"/>
  <c r="K24" i="11"/>
  <c r="K33" i="11"/>
  <c r="L38" i="11"/>
  <c r="L33" i="11"/>
  <c r="C263" i="114" l="1" a="1"/>
  <c r="C241" i="114" a="1"/>
  <c r="D324" i="114"/>
  <c r="H208" i="114"/>
  <c r="E209" i="114"/>
  <c r="H209" i="114"/>
  <c r="G209" i="114"/>
  <c r="F209" i="114"/>
  <c r="I206" i="114"/>
  <c r="I47" i="114"/>
  <c r="C10" i="114"/>
  <c r="C16" i="114"/>
  <c r="D9" i="114"/>
  <c r="D13" i="114"/>
  <c r="C18" i="114"/>
  <c r="D10" i="114"/>
  <c r="D8" i="114"/>
  <c r="C14" i="114"/>
  <c r="C12" i="114"/>
  <c r="D16" i="114"/>
  <c r="D15" i="114"/>
  <c r="C13" i="114"/>
  <c r="D17" i="114"/>
  <c r="C17" i="114"/>
  <c r="C11" i="114"/>
  <c r="D12" i="114"/>
  <c r="C9" i="114"/>
  <c r="C15" i="114"/>
  <c r="D14" i="114"/>
  <c r="D11" i="114"/>
  <c r="M28" i="11"/>
  <c r="F48" i="114"/>
  <c r="F96" i="114" s="1"/>
  <c r="B228" i="114" a="1"/>
  <c r="M19" i="11"/>
  <c r="C48" i="114"/>
  <c r="Q34" i="9"/>
  <c r="L52" i="11"/>
  <c r="M33" i="11"/>
  <c r="J52" i="9"/>
  <c r="K52" i="9"/>
  <c r="L48" i="11"/>
  <c r="P35" i="9"/>
  <c r="M52" i="11" s="1"/>
  <c r="L24" i="11"/>
  <c r="M38" i="11"/>
  <c r="E10" i="114" l="1"/>
  <c r="O242" i="114"/>
  <c r="P242" i="114" s="1"/>
  <c r="O241" i="114"/>
  <c r="P241" i="114" s="1"/>
  <c r="N336" i="114"/>
  <c r="Q336" i="114"/>
  <c r="G324" i="114"/>
  <c r="E17" i="114"/>
  <c r="O265" i="114"/>
  <c r="P265" i="114" s="1"/>
  <c r="O264" i="114"/>
  <c r="P264" i="114" s="1"/>
  <c r="O263" i="114"/>
  <c r="P263" i="114" s="1"/>
  <c r="N341" i="114"/>
  <c r="Q341" i="114"/>
  <c r="G329" i="114"/>
  <c r="I329" i="114" s="1"/>
  <c r="J329" i="114" s="1"/>
  <c r="D329" i="114"/>
  <c r="C259" i="114" a="1"/>
  <c r="C245" i="114" a="1"/>
  <c r="C268" i="114" a="1"/>
  <c r="O268" i="114"/>
  <c r="P268" i="114" s="1"/>
  <c r="O260" i="114"/>
  <c r="P260" i="114" s="1"/>
  <c r="O259" i="114"/>
  <c r="P259" i="114" s="1"/>
  <c r="I324" i="114"/>
  <c r="J324" i="114" s="1"/>
  <c r="Q324" i="114"/>
  <c r="E324" i="114"/>
  <c r="N324" i="114"/>
  <c r="E11" i="114"/>
  <c r="I209" i="114"/>
  <c r="E14" i="114"/>
  <c r="E18" i="114"/>
  <c r="E13" i="114"/>
  <c r="E15" i="114"/>
  <c r="E9" i="114"/>
  <c r="E16" i="114"/>
  <c r="E12" i="114"/>
  <c r="C96" i="114"/>
  <c r="I48" i="114"/>
  <c r="M312" i="114"/>
  <c r="O300" i="114"/>
  <c r="O305" i="114"/>
  <c r="M317" i="114"/>
  <c r="O317" i="114" s="1"/>
  <c r="L52" i="9"/>
  <c r="L54" i="9" s="1"/>
  <c r="M24" i="11"/>
  <c r="M48" i="11"/>
  <c r="L65" i="11"/>
  <c r="Q35" i="9"/>
  <c r="E329" i="114" l="1"/>
  <c r="N329" i="114"/>
  <c r="N340" i="114"/>
  <c r="Q340" i="114"/>
  <c r="D328" i="114"/>
  <c r="G328" i="114"/>
  <c r="O245" i="114"/>
  <c r="P245" i="114" s="1"/>
  <c r="N337" i="114"/>
  <c r="O246" i="114"/>
  <c r="Q337" i="114"/>
  <c r="G325" i="114"/>
  <c r="D325" i="114"/>
  <c r="O270" i="114"/>
  <c r="D330" i="114"/>
  <c r="N342" i="114"/>
  <c r="Q329" i="114"/>
  <c r="S329" i="114" s="1"/>
  <c r="T329" i="114" s="1"/>
  <c r="G330" i="114"/>
  <c r="O269" i="114"/>
  <c r="P269" i="114" s="1"/>
  <c r="Q342" i="114"/>
  <c r="P246" i="114"/>
  <c r="P270" i="114"/>
  <c r="S324" i="114"/>
  <c r="T324" i="114" s="1"/>
  <c r="P336" i="114"/>
  <c r="S336" i="114" s="1"/>
  <c r="T336" i="114" s="1"/>
  <c r="O324" i="114"/>
  <c r="M336" i="114"/>
  <c r="O336" i="114" s="1"/>
  <c r="O329" i="114"/>
  <c r="M341" i="114"/>
  <c r="O341" i="114" s="1"/>
  <c r="E328" i="114"/>
  <c r="N328" i="114"/>
  <c r="I328" i="114"/>
  <c r="J328" i="114" s="1"/>
  <c r="Q328" i="114"/>
  <c r="Q325" i="114"/>
  <c r="I325" i="114"/>
  <c r="J325" i="114" s="1"/>
  <c r="E325" i="114"/>
  <c r="N325" i="114"/>
  <c r="E330" i="114"/>
  <c r="N330" i="114"/>
  <c r="I330" i="114"/>
  <c r="J330" i="114" s="1"/>
  <c r="Q330" i="114"/>
  <c r="C249" i="114" a="1"/>
  <c r="O304" i="114"/>
  <c r="M316" i="114"/>
  <c r="O316" i="114" s="1"/>
  <c r="M318" i="114"/>
  <c r="O318" i="114" s="1"/>
  <c r="O306" i="114"/>
  <c r="O303" i="114"/>
  <c r="M315" i="114"/>
  <c r="O315" i="114" s="1"/>
  <c r="O312" i="114"/>
  <c r="O301" i="114"/>
  <c r="M313" i="114"/>
  <c r="O313" i="114" s="1"/>
  <c r="M65" i="11"/>
  <c r="P341" i="114" l="1"/>
  <c r="S341" i="114" s="1"/>
  <c r="T341" i="114" s="1"/>
  <c r="O251" i="114"/>
  <c r="P251" i="114" s="1"/>
  <c r="O250" i="114"/>
  <c r="P250" i="114" s="1"/>
  <c r="M340" i="114"/>
  <c r="O340" i="114" s="1"/>
  <c r="O328" i="114"/>
  <c r="S328" i="114"/>
  <c r="T328" i="114" s="1"/>
  <c r="P340" i="114"/>
  <c r="S340" i="114" s="1"/>
  <c r="T340" i="114" s="1"/>
  <c r="S325" i="114"/>
  <c r="T325" i="114" s="1"/>
  <c r="P337" i="114"/>
  <c r="S337" i="114" s="1"/>
  <c r="T337" i="114" s="1"/>
  <c r="M337" i="114"/>
  <c r="O337" i="114" s="1"/>
  <c r="O325" i="114"/>
  <c r="M342" i="114"/>
  <c r="O342" i="114" s="1"/>
  <c r="O330" i="114"/>
  <c r="S330" i="114"/>
  <c r="T330" i="114" s="1"/>
  <c r="P342" i="114"/>
  <c r="S342" i="114" s="1"/>
  <c r="T342" i="114" s="1"/>
  <c r="O249" i="114"/>
  <c r="N338" i="114"/>
  <c r="Q338" i="114"/>
  <c r="D326" i="114"/>
  <c r="G326" i="114"/>
  <c r="N319" i="114"/>
  <c r="O302" i="114"/>
  <c r="O307" i="114" s="1"/>
  <c r="M314" i="114"/>
  <c r="N307" i="114"/>
  <c r="P249" i="114" l="1"/>
  <c r="E326" i="114"/>
  <c r="N326" i="114"/>
  <c r="I326" i="114"/>
  <c r="J326" i="114" s="1"/>
  <c r="Q326" i="114"/>
  <c r="O314" i="114"/>
  <c r="O319" i="114" s="1"/>
  <c r="M319" i="114"/>
  <c r="M338" i="114" l="1"/>
  <c r="O338" i="114" s="1"/>
  <c r="O326" i="114"/>
  <c r="S326" i="114"/>
  <c r="T326" i="114" s="1"/>
  <c r="P338" i="114"/>
  <c r="S338" i="114" s="1"/>
  <c r="T338" i="114" s="1"/>
  <c r="E11" i="18"/>
  <c r="K43" i="11" s="1"/>
  <c r="K49" i="11" l="1"/>
  <c r="F11" i="18"/>
  <c r="K53" i="11" s="1"/>
  <c r="E25" i="18"/>
  <c r="G315" i="114"/>
  <c r="F327" i="114" s="1"/>
  <c r="Q315" i="114" l="1"/>
  <c r="P327" i="114" s="1"/>
  <c r="K66" i="11"/>
  <c r="D37" i="114" l="1"/>
  <c r="D70" i="114"/>
  <c r="I202" i="114"/>
  <c r="D85" i="114" l="1"/>
  <c r="B208" i="114" s="1"/>
  <c r="D7" i="114" l="1"/>
  <c r="E8" i="114" s="1"/>
  <c r="C8" i="114"/>
  <c r="E2" i="18"/>
  <c r="W120" i="73"/>
  <c r="E10" i="18" s="1"/>
  <c r="F10" i="18" l="1"/>
  <c r="J43" i="11"/>
  <c r="J49" i="11" s="1"/>
  <c r="E24" i="18"/>
  <c r="G303" i="114"/>
  <c r="F2" i="18"/>
  <c r="B53" i="11" s="1"/>
  <c r="B43" i="11"/>
  <c r="E16" i="18"/>
  <c r="E29" i="18" l="1"/>
  <c r="C213" i="114" a="1"/>
  <c r="B49" i="11"/>
  <c r="B66" i="11" s="1"/>
  <c r="F315" i="114"/>
  <c r="I303" i="114"/>
  <c r="J303" i="114" s="1"/>
  <c r="Q303" i="114"/>
  <c r="J53" i="11"/>
  <c r="J66" i="11" s="1"/>
  <c r="H56" i="11"/>
  <c r="S303" i="114" l="1"/>
  <c r="T303" i="114" s="1"/>
  <c r="B200" i="114" s="1" a="1"/>
  <c r="P315" i="114"/>
  <c r="S315" i="114" s="1"/>
  <c r="T315" i="114" s="1"/>
  <c r="B189" i="114" a="1"/>
  <c r="A195" i="114" s="1" a="1"/>
  <c r="I315" i="114"/>
  <c r="J315" i="114" s="1"/>
  <c r="E27" i="18"/>
  <c r="C224" i="114"/>
  <c r="E12" i="18" l="1"/>
  <c r="E13" i="18"/>
  <c r="M43" i="11" l="1"/>
  <c r="M49" i="11" s="1"/>
  <c r="F13" i="18"/>
  <c r="M53" i="11" s="1"/>
  <c r="C228" i="114" a="1"/>
  <c r="L43" i="11"/>
  <c r="F12" i="18"/>
  <c r="L53" i="11" s="1"/>
  <c r="F229" i="114" l="1"/>
  <c r="L49" i="11"/>
  <c r="L66" i="11" s="1"/>
  <c r="C254" i="114" a="1"/>
  <c r="M66" i="11"/>
  <c r="O256" i="114" l="1"/>
  <c r="E273" i="114"/>
  <c r="G275" i="114"/>
  <c r="N274" i="114"/>
  <c r="F275" i="114"/>
  <c r="C274" i="114"/>
  <c r="K275" i="114"/>
  <c r="J274" i="114"/>
  <c r="M273" i="114"/>
  <c r="N275" i="114"/>
  <c r="M274" i="114"/>
  <c r="Q339" i="114"/>
  <c r="F274" i="114"/>
  <c r="G327" i="114"/>
  <c r="D274" i="114"/>
  <c r="L275" i="114"/>
  <c r="E274" i="114"/>
  <c r="O255" i="114"/>
  <c r="J273" i="114"/>
  <c r="I275" i="114"/>
  <c r="K274" i="114"/>
  <c r="J275" i="114"/>
  <c r="N339" i="114"/>
  <c r="H274" i="114"/>
  <c r="N273" i="114"/>
  <c r="G274" i="114"/>
  <c r="E275" i="114"/>
  <c r="I273" i="114"/>
  <c r="O254" i="114"/>
  <c r="I274" i="114"/>
  <c r="H275" i="114"/>
  <c r="C275" i="114"/>
  <c r="D273" i="114"/>
  <c r="K273" i="114"/>
  <c r="L274" i="114"/>
  <c r="H273" i="114"/>
  <c r="L273" i="114"/>
  <c r="M275" i="114"/>
  <c r="F273" i="114"/>
  <c r="D275" i="114"/>
  <c r="D327" i="114"/>
  <c r="G273" i="114"/>
  <c r="Q327" i="114" l="1"/>
  <c r="I327" i="114"/>
  <c r="J327" i="114" s="1"/>
  <c r="N343" i="114"/>
  <c r="P254" i="114"/>
  <c r="O273" i="114"/>
  <c r="P273" i="114" s="1"/>
  <c r="P255" i="114"/>
  <c r="O274" i="114"/>
  <c r="P274" i="114" s="1"/>
  <c r="N327" i="114"/>
  <c r="E327" i="114"/>
  <c r="E331" i="114" s="1"/>
  <c r="D331" i="114"/>
  <c r="P256" i="114"/>
  <c r="O275" i="114"/>
  <c r="P275" i="114" s="1"/>
  <c r="M339" i="114" l="1"/>
  <c r="O327" i="114"/>
  <c r="O331" i="114" s="1"/>
  <c r="N331" i="114"/>
  <c r="P339" i="114"/>
  <c r="S339" i="114" s="1"/>
  <c r="T339" i="114" s="1"/>
  <c r="S327" i="114"/>
  <c r="T327" i="114" s="1"/>
  <c r="M343" i="114" l="1"/>
  <c r="O339" i="114"/>
  <c r="O343" i="114" s="1"/>
  <c r="F228" i="114" s="1"/>
  <c r="F208" i="114" s="1"/>
  <c r="E208" i="114" s="1"/>
  <c r="I205" i="114" l="1"/>
  <c r="B191" i="114" s="1"/>
  <c r="B202" i="114" s="1"/>
  <c r="I208" i="114"/>
  <c r="C273" i="114" s="1"/>
  <c r="I56" i="114" s="1"/>
  <c r="G8" i="114" s="1"/>
  <c r="B37" i="114" l="1"/>
  <c r="B70" i="114"/>
  <c r="I23" i="114"/>
  <c r="B85" i="114" l="1"/>
  <c r="I37" i="1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tc={28553AF2-F6EA-4804-8ECF-AFFC866DF55C}</author>
    <author>tc={A046C285-3B29-4320-9476-9EB916975B2B}</author>
    <author>tc={F177072B-53CE-497D-B3E9-E536EA86877F}</author>
    <author>tc={227AC27B-6C81-4096-87CF-AC98D19057FB}</author>
    <author>tc={F6E9F7EB-CC90-4AE7-8638-27D96A2379BF}</author>
    <author>tc={DE683BE0-E958-4A9B-BECD-D834ECBACC8D}</author>
    <author>tc={11663B3A-DD52-43DA-9C74-DDE8954693DB}</author>
    <author>tc={108DF860-FF77-443A-9A0B-A6FA0EDDDFFA}</author>
  </authors>
  <commentList>
    <comment ref="E300" authorId="0" shapeId="0" xr:uid="{28553AF2-F6EA-4804-8ECF-AFFC866DF55C}">
      <text>
        <t>[Threaded comment]
Your version of Excel allows you to read this threaded comment; however, any edits to it will get removed if the file is opened in a newer version of Excel. Learn more: https://go.microsoft.com/fwlink/?linkid=870924
Comment:
    5 percent</t>
      </text>
    </comment>
    <comment ref="E306" authorId="1" shapeId="0" xr:uid="{A046C285-3B29-4320-9476-9EB916975B2B}">
      <text>
        <t>[Threaded comment]
Your version of Excel allows you to read this threaded comment; however, any edits to it will get removed if the file is opened in a newer version of Excel. Learn more: https://go.microsoft.com/fwlink/?linkid=870924
Comment:
    3 percent</t>
      </text>
    </comment>
    <comment ref="E312" authorId="2" shapeId="0" xr:uid="{F177072B-53CE-497D-B3E9-E536EA86877F}">
      <text>
        <t>[Threaded comment]
Your version of Excel allows you to read this threaded comment; however, any edits to it will get removed if the file is opened in a newer version of Excel. Learn more: https://go.microsoft.com/fwlink/?linkid=870924
Comment:
    4%</t>
      </text>
    </comment>
    <comment ref="O312" authorId="3" shapeId="0" xr:uid="{227AC27B-6C81-4096-87CF-AC98D19057FB}">
      <text>
        <t>[Threaded comment]
Your version of Excel allows you to read this threaded comment; however, any edits to it will get removed if the file is opened in a newer version of Excel. Learn more: https://go.microsoft.com/fwlink/?linkid=870924
Comment:
    7%</t>
      </text>
    </comment>
    <comment ref="E314" authorId="4" shapeId="0" xr:uid="{F6E9F7EB-CC90-4AE7-8638-27D96A2379BF}">
      <text>
        <t>[Threaded comment]
Your version of Excel allows you to read this threaded comment; however, any edits to it will get removed if the file is opened in a newer version of Excel. Learn more: https://go.microsoft.com/fwlink/?linkid=870924
Comment:
    5%</t>
      </text>
    </comment>
    <comment ref="O314" authorId="5" shapeId="0" xr:uid="{DE683BE0-E958-4A9B-BECD-D834ECBACC8D}">
      <text>
        <t>[Threaded comment]
Your version of Excel allows you to read this threaded comment; however, any edits to it will get removed if the file is opened in a newer version of Excel. Learn more: https://go.microsoft.com/fwlink/?linkid=870924
Comment:
    8%</t>
      </text>
    </comment>
    <comment ref="E318" authorId="6" shapeId="0" xr:uid="{11663B3A-DD52-43DA-9C74-DDE8954693DB}">
      <text>
        <t>[Threaded comment]
Your version of Excel allows you to read this threaded comment; however, any edits to it will get removed if the file is opened in a newer version of Excel. Learn more: https://go.microsoft.com/fwlink/?linkid=870924
Comment:
    6%</t>
      </text>
    </comment>
    <comment ref="O318" authorId="7" shapeId="0" xr:uid="{108DF860-FF77-443A-9A0B-A6FA0EDDDFFA}">
      <text>
        <t>[Threaded comment]
Your version of Excel allows you to read this threaded comment; however, any edits to it will get removed if the file is opened in a newer version of Excel. Learn more: https://go.microsoft.com/fwlink/?linkid=870924
Comment:
    7%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<sst xmlns="http://schemas.openxmlformats.org/spreadsheetml/2006/main" count="864" uniqueCount="242">
  <si>
    <t>Table 3-1: Summary of Load and Customer Forecast</t>
  </si>
  <si>
    <t>Year</t>
  </si>
  <si>
    <t>Billed Actual (GWh)</t>
  </si>
  <si>
    <t>Growth (GWh)</t>
  </si>
  <si>
    <t>Billed Weather Normal (GWh)</t>
  </si>
  <si>
    <t>Customer/ Connection Count</t>
  </si>
  <si>
    <t>Growth (Customer/ Connection Count)</t>
  </si>
  <si>
    <t>Billed Energy (GWh) and Customer Count/Connections</t>
  </si>
  <si>
    <t>2024 OEB-Approved</t>
  </si>
  <si>
    <t>2026 Bridge</t>
  </si>
  <si>
    <t>2027 Test</t>
  </si>
  <si>
    <t>Table 3-2: Billed Energy by Rate Class</t>
  </si>
  <si>
    <t>Residential</t>
  </si>
  <si>
    <t>General Service &lt; 50 kW</t>
  </si>
  <si>
    <t>General Service &gt; 50 kW</t>
  </si>
  <si>
    <t>Embedded Distributor</t>
  </si>
  <si>
    <t>Unmetered Scattered Load</t>
  </si>
  <si>
    <t>Sentinel Lighting</t>
  </si>
  <si>
    <t xml:space="preserve">Street Lighting </t>
  </si>
  <si>
    <t xml:space="preserve">Total </t>
  </si>
  <si>
    <t>Billed Energy (GWh) - Actual</t>
  </si>
  <si>
    <t>Billed Energy (GWh) - Weather Normal</t>
  </si>
  <si>
    <t>Table 3-3: Number of Customers/Connections and Annual Normalized Usage By Rate Class</t>
  </si>
  <si>
    <t>Number of Customers/Connections</t>
  </si>
  <si>
    <t>Actual Annual Energy Usage per Customer/Connection (kWh per Customer/Connection)</t>
  </si>
  <si>
    <t>Normalized Annual Energy Usage per Customer/Connection (kWh per Customer/Connection)</t>
  </si>
  <si>
    <t>Table 3-4: Statistical Results</t>
  </si>
  <si>
    <t>Annual Power Purchases Adjustment Table?</t>
  </si>
  <si>
    <t>Multiple R</t>
  </si>
  <si>
    <t>R Square</t>
  </si>
  <si>
    <t>Adjusted R Square</t>
  </si>
  <si>
    <t>F Test</t>
  </si>
  <si>
    <t>Durbin-Watson</t>
  </si>
  <si>
    <t>MAPE</t>
  </si>
  <si>
    <t>T-Stats by Coefficient</t>
  </si>
  <si>
    <t>Heating Degree Days</t>
  </si>
  <si>
    <t>Cooling Degree Days</t>
  </si>
  <si>
    <t>Days in Month</t>
  </si>
  <si>
    <t>Spring Fall Flag</t>
  </si>
  <si>
    <t>Number of Customers</t>
  </si>
  <si>
    <t>Constant</t>
  </si>
  <si>
    <t>Table 3-5: Total System Purchases</t>
  </si>
  <si>
    <t>Actual</t>
  </si>
  <si>
    <t xml:space="preserve">Predicted </t>
  </si>
  <si>
    <t>% Difference</t>
  </si>
  <si>
    <t>Predicted Weather Normal</t>
  </si>
  <si>
    <t>Weather Normal Conversion Factor</t>
  </si>
  <si>
    <t>Actual Weather Normal</t>
  </si>
  <si>
    <t>Figure 3-1: Forecasted Purchases (GWh)</t>
  </si>
  <si>
    <t>in Power Purchase model</t>
  </si>
  <si>
    <t>Table 3-6: Historical Customers/Connections (Average)</t>
  </si>
  <si>
    <t>Number of Customers/ Connections</t>
  </si>
  <si>
    <t>Table 3-7: Growth Rate in Customers/Connections</t>
  </si>
  <si>
    <t xml:space="preserve">Growth Rate in Customers/Connections </t>
  </si>
  <si>
    <t>Geometric Mean</t>
  </si>
  <si>
    <t>Table 3-8: Customer/Connection Forecast</t>
  </si>
  <si>
    <t>Forecast Number of Customers/Connections</t>
  </si>
  <si>
    <t>Table 3-9: 2025 Actual Annual Usage Per Customer</t>
  </si>
  <si>
    <t>Annual kWh Usage per Customer/Connection</t>
  </si>
  <si>
    <t>Table 3-10: Forecast Annual kWh Usage per Customer/Connection</t>
  </si>
  <si>
    <t>Forecast Annual kWh Usage per Customer/Connection</t>
  </si>
  <si>
    <t>Table 3-11: Non-Normalized Weather Billed Energy Forecast</t>
  </si>
  <si>
    <t>Non-Normalized Weather Billed Energy Forecast (GWh)</t>
  </si>
  <si>
    <t>Table 3-12: Weather Senstivity by Rate Class</t>
  </si>
  <si>
    <t xml:space="preserve">Weather Senstivitiy </t>
  </si>
  <si>
    <t>Table 3-13: Alignment of Non-Normal to Weather Normal Forecast</t>
  </si>
  <si>
    <t>Non-normalized Weather Billed Energy Forecast (GWh)</t>
  </si>
  <si>
    <t>Weather Adjustment (GWh)</t>
  </si>
  <si>
    <t>Weather Normalized Billed Energy Forecast (GWh)</t>
  </si>
  <si>
    <t>Table 3-14: Average of 2016-2025 kW/KWh Ratio per Applicable Class</t>
  </si>
  <si>
    <t xml:space="preserve">Embedded Distributor </t>
  </si>
  <si>
    <t>Street Lighting</t>
  </si>
  <si>
    <t>Average</t>
  </si>
  <si>
    <t>Table 3-15: kW Forecast by Applicable Rate Class</t>
  </si>
  <si>
    <t>Total</t>
  </si>
  <si>
    <t xml:space="preserve">2026 Bridge </t>
  </si>
  <si>
    <t>2026 Test</t>
  </si>
  <si>
    <t>Table 3-16: Forecast Summary</t>
  </si>
  <si>
    <t>2024 Board Approved</t>
  </si>
  <si>
    <t>2026 Bridge Weather Normal</t>
  </si>
  <si>
    <t>2027 Test Weather Normal</t>
  </si>
  <si>
    <t>Variance</t>
  </si>
  <si>
    <t>Variance (%)</t>
  </si>
  <si>
    <t>Actual kWh Purchases</t>
  </si>
  <si>
    <t>Predicted kWh Purchases</t>
  </si>
  <si>
    <t xml:space="preserve">Total Billed </t>
  </si>
  <si>
    <t>By Class</t>
  </si>
  <si>
    <t xml:space="preserve">  Customers</t>
  </si>
  <si>
    <t xml:space="preserve">  kWh</t>
  </si>
  <si>
    <t xml:space="preserve">  kW</t>
  </si>
  <si>
    <t>Unmetered Scatter Load</t>
  </si>
  <si>
    <t xml:space="preserve">  Connections</t>
  </si>
  <si>
    <t xml:space="preserve">  Customer/Connections</t>
  </si>
  <si>
    <t xml:space="preserve">  kW from applicable classes</t>
  </si>
  <si>
    <t>Table 3-17: Standby Demand (kW)</t>
  </si>
  <si>
    <t>GS&gt;50</t>
  </si>
  <si>
    <t xml:space="preserve">Large Use </t>
  </si>
  <si>
    <t xml:space="preserve">Table 3-18: IPC 2024 OEB Approved Billing Determinants </t>
  </si>
  <si>
    <t xml:space="preserve">Billing Determinants </t>
  </si>
  <si>
    <t xml:space="preserve">Line No. </t>
  </si>
  <si>
    <t>Rate Class</t>
  </si>
  <si>
    <t>Customers/Connections</t>
  </si>
  <si>
    <t>kWh</t>
  </si>
  <si>
    <t>kW</t>
  </si>
  <si>
    <t xml:space="preserve">Table 3-19: 2024 OEB Approved vs. 2024 Actual Billing Determinants </t>
  </si>
  <si>
    <t>Table 3-20: 2024 OEB Approved vs. 2024 Weather Normal Billing Determinants</t>
  </si>
  <si>
    <t>Volumes</t>
  </si>
  <si>
    <t xml:space="preserve">2024 OEB Approved </t>
  </si>
  <si>
    <t>2024 Actual</t>
  </si>
  <si>
    <t xml:space="preserve">Variance </t>
  </si>
  <si>
    <t>kW/kWh</t>
  </si>
  <si>
    <t>2024 Normal</t>
  </si>
  <si>
    <t>HDD</t>
  </si>
  <si>
    <t>CDD</t>
  </si>
  <si>
    <t xml:space="preserve">Table 3-21: 2024 Actual vs. 2025 Actual Billing Determinants </t>
  </si>
  <si>
    <t>Table 3-22: 2024 Normalized vs. 2025 Normalized Billing Determinants</t>
  </si>
  <si>
    <t>2025 Actual</t>
  </si>
  <si>
    <t>2025 Normal</t>
  </si>
  <si>
    <t xml:space="preserve">Table 3-23: 2025 Actual vs. 2026 Actual Billing Determinants </t>
  </si>
  <si>
    <t>Table 3-24: 2025 Normalized vs. 2026 Normalized Billing Determinants</t>
  </si>
  <si>
    <t>2026 Normal</t>
  </si>
  <si>
    <t>Table 3-25: 2026 Normalized vs. 2027 Normalized Billing Determinants</t>
  </si>
  <si>
    <t>2027 Normal</t>
  </si>
  <si>
    <t>Average Customer / Connection Count</t>
  </si>
  <si>
    <t>Date</t>
  </si>
  <si>
    <t>General Service &gt;= 50 kW</t>
  </si>
  <si>
    <t xml:space="preserve"> </t>
  </si>
  <si>
    <t>Consumption</t>
  </si>
  <si>
    <t>Wholesale</t>
  </si>
  <si>
    <t>Retail Consumption</t>
  </si>
  <si>
    <t>Wholesale Purchases</t>
  </si>
  <si>
    <t>Embedded Generation</t>
  </si>
  <si>
    <t>Number of Customer/ Connection</t>
  </si>
  <si>
    <t>Customer/ Connection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</si>
  <si>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</si>
  <si>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</si>
  <si>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</si>
  <si>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</si>
  <si>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</si>
  <si>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</si>
  <si>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</si>
  <si>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</si>
  <si>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</si>
  <si>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</si>
  <si>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</si>
  <si>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</si>
  <si>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</si>
  <si>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IPC Weather Normal Load Forecast for 2027 Rate Application</t>
  </si>
  <si>
    <t xml:space="preserve">2016 Actual </t>
  </si>
  <si>
    <t xml:space="preserve">2017 Actual </t>
  </si>
  <si>
    <t xml:space="preserve">2018 Actual </t>
  </si>
  <si>
    <t xml:space="preserve">2019 Actual </t>
  </si>
  <si>
    <t xml:space="preserve">2020 Actual </t>
  </si>
  <si>
    <t xml:space="preserve">2021 Actual </t>
  </si>
  <si>
    <t xml:space="preserve">2022 Actual </t>
  </si>
  <si>
    <t>2023 Actual</t>
  </si>
  <si>
    <t>Weather Normal</t>
  </si>
  <si>
    <t>Connections</t>
  </si>
  <si>
    <t xml:space="preserve">Connections </t>
  </si>
  <si>
    <t>Customers</t>
  </si>
  <si>
    <t>Check</t>
  </si>
  <si>
    <t>YYZ</t>
  </si>
  <si>
    <t>Power Purchases</t>
  </si>
  <si>
    <t>Shut Down Adjustment</t>
  </si>
  <si>
    <t>Reduced Load Adjustment</t>
  </si>
  <si>
    <t>Adjusted Power Purchases</t>
  </si>
  <si>
    <t xml:space="preserve">Predicted Purchases </t>
  </si>
  <si>
    <t>Residual (kWh)</t>
  </si>
  <si>
    <t xml:space="preserve">% Residual </t>
  </si>
  <si>
    <t>% Residual (Abs)</t>
  </si>
  <si>
    <t>Residual Squared</t>
  </si>
  <si>
    <t>Difference of Residuals</t>
  </si>
  <si>
    <t>Difference of Residuals Squared</t>
  </si>
  <si>
    <t>SUMMARY OUTPUT</t>
  </si>
  <si>
    <t>Regression Statistics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</si>
  <si>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</si>
  <si>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</si>
  <si>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</si>
  <si>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</si>
  <si>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</si>
  <si>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</si>
  <si>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</si>
  <si>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</si>
  <si>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</si>
  <si>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</si>
  <si>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</si>
  <si>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</si>
  <si>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</si>
  <si>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</si>
  <si>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</si>
  <si>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</si>
  <si>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</si>
  <si>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</si>
  <si>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Mean Absolute Percentage Error (MAPE)</t>
  </si>
  <si>
    <t>Sum of Squared Difference of Residuals</t>
  </si>
  <si>
    <t>Sum of Squared Residuals</t>
  </si>
  <si>
    <t>Durbin-Watson Calculation</t>
  </si>
  <si>
    <t>Weather Normal Adjustment Factor</t>
  </si>
  <si>
    <t>10-year average</t>
  </si>
  <si>
    <t>Geomean Monthly Escalation</t>
  </si>
  <si>
    <t>Shut Downs</t>
  </si>
  <si>
    <t>Reduced Load</t>
  </si>
  <si>
    <t>Weather Actual</t>
  </si>
  <si>
    <t>Checks - must be zero</t>
  </si>
  <si>
    <t>Purchases</t>
  </si>
  <si>
    <t>Modeled Purchases</t>
  </si>
  <si>
    <t>Difference</t>
  </si>
  <si>
    <t>Loss Factor</t>
  </si>
  <si>
    <t>Total Billed</t>
  </si>
  <si>
    <t>Last 10 years</t>
  </si>
  <si>
    <t>Usage Per Customer</t>
  </si>
  <si>
    <t>Non Weather Corrected Forecast</t>
  </si>
  <si>
    <t>Weather Corrected Forecast</t>
  </si>
  <si>
    <t>% Weather Sensitive</t>
  </si>
  <si>
    <t>Allocation of Weather Sensitive Amount</t>
  </si>
  <si>
    <t>Average Number of Customer/Connections</t>
  </si>
  <si>
    <t>Total Customers</t>
  </si>
  <si>
    <t>(embedded included)</t>
  </si>
  <si>
    <t>2025 Dec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</si>
  <si>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</si>
  <si>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</si>
  <si>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</si>
  <si>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</si>
  <si>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</si>
  <si>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</si>
  <si>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</si>
  <si>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</si>
  <si>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</si>
  <si>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</si>
  <si>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</si>
  <si>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 xml:space="preserve">Growth Rate in Customer Numbers </t>
  </si>
  <si>
    <t>Used</t>
  </si>
  <si>
    <t>Input data</t>
  </si>
  <si>
    <t xml:space="preserve">Geomean </t>
  </si>
  <si>
    <t>Hardcoded 295 for consistency</t>
  </si>
  <si>
    <t>Forecast</t>
  </si>
  <si>
    <t>LV Consumption</t>
  </si>
  <si>
    <t>Total Consumption</t>
  </si>
  <si>
    <t>LV kWh / Total kWh</t>
  </si>
  <si>
    <t>Summer Flag</t>
  </si>
  <si>
    <t>Manufactured Goods Sold (ON)</t>
  </si>
  <si>
    <t>COVID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</si>
</sst>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  <numFmt numFmtId="180" formatCode="_(* #,##0.00_);_(* \(#,##0.00\);_(* \-??_);_(@_)"/>
    <numFmt numFmtId="181" formatCode="_(* #,##0.0_);_(* \(#,##0.0\);_(* \-??_);_(@_)"/>
    <numFmt numFmtId="182" formatCode="_-\$* #,##0.00_-;&quot;-$&quot;* #,##0.00_-;_-\$* \-??_-;_-@_-"/>
    <numFmt numFmtId="183" formatCode="_(\$* #,##0.00_);_(\$* \(#,##0.00\);_(\$* \-??_);_(@_)"/>
    <numFmt numFmtId="184" formatCode="\$#,##0_);&quot;($&quot;#,##0\)"/>
    <numFmt numFmtId="185" formatCode="_(* #,##0_);_(* \(#,##0\);_(* \-??_);_(@_)"/>
    <numFmt numFmtId="186" formatCode="&quot;£ &quot;#,##0.00;[Red]&quot;-£ &quot;#,##0.00"/>
    <numFmt numFmtId="187" formatCode="[$-409]mmmm\ d\,\ yyyy;@"/>
    <numFmt numFmtId="188" formatCode="0.0"/>
    <numFmt numFmtId="189" formatCode="_-* #,##0.0_-;\-* #,##0.0_-;_-* &quot;-&quot;??_-;_-@_-"/>
    <numFmt numFmtId="190" formatCode="0.000%"/>
  </numFmts>
  <fonts count="17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"/>
    </font>
    <font>
      <b/>
      <sz val="12"/>
      <color rgb="FFFFC000"/>
      <name val="Arial"/>
      <family val="2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sz val="10"/>
      <color theme="0" tint="-0.1499984740745262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name val="Mangal"/>
      <family val="2"/>
    </font>
    <font>
      <sz val="10"/>
      <color indexed="10"/>
      <name val="Arial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1"/>
    </font>
    <font>
      <sz val="11"/>
      <color indexed="9"/>
      <name val="Calibri"/>
      <family val="2"/>
      <charset val="1"/>
    </font>
    <font>
      <sz val="10"/>
      <color indexed="9"/>
      <name val="Arial"/>
      <family val="2"/>
      <charset val="1"/>
    </font>
    <font>
      <sz val="11"/>
      <color indexed="16"/>
      <name val="Calibri"/>
      <family val="2"/>
      <charset val="1"/>
    </font>
    <font>
      <sz val="11"/>
      <color indexed="34"/>
      <name val="Calibri"/>
      <family val="2"/>
      <charset val="1"/>
    </font>
    <font>
      <sz val="10"/>
      <color indexed="34"/>
      <name val="Arial"/>
      <family val="2"/>
      <charset val="1"/>
    </font>
    <font>
      <b/>
      <sz val="11"/>
      <color indexed="59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0"/>
      <color indexed="52"/>
      <name val="Arial"/>
      <family val="2"/>
      <charset val="1"/>
    </font>
    <font>
      <b/>
      <sz val="11"/>
      <color indexed="9"/>
      <name val="Calibri"/>
      <family val="2"/>
      <charset val="1"/>
    </font>
    <font>
      <b/>
      <sz val="10"/>
      <color indexed="9"/>
      <name val="Arial"/>
      <family val="2"/>
      <charset val="1"/>
    </font>
    <font>
      <i/>
      <sz val="11"/>
      <color indexed="19"/>
      <name val="Calibri"/>
      <family val="2"/>
      <charset val="1"/>
    </font>
    <font>
      <i/>
      <sz val="11"/>
      <color indexed="23"/>
      <name val="Calibri"/>
      <family val="2"/>
      <charset val="1"/>
    </font>
    <font>
      <i/>
      <sz val="10"/>
      <color indexed="23"/>
      <name val="Arial"/>
      <family val="2"/>
      <charset val="1"/>
    </font>
    <font>
      <sz val="11"/>
      <color indexed="56"/>
      <name val="Calibri"/>
      <family val="2"/>
      <charset val="1"/>
    </font>
    <font>
      <sz val="10"/>
      <color indexed="56"/>
      <name val="Arial"/>
      <family val="2"/>
      <charset val="1"/>
    </font>
    <font>
      <sz val="8"/>
      <name val="Arial"/>
      <family val="2"/>
      <charset val="1"/>
    </font>
    <font>
      <b/>
      <sz val="15"/>
      <color indexed="62"/>
      <name val="Calibri"/>
      <family val="2"/>
      <charset val="1"/>
    </font>
    <font>
      <b/>
      <sz val="15"/>
      <color indexed="11"/>
      <name val="Calibri"/>
      <family val="2"/>
      <charset val="1"/>
    </font>
    <font>
      <b/>
      <sz val="13"/>
      <color indexed="62"/>
      <name val="Calibri"/>
      <family val="2"/>
      <charset val="1"/>
    </font>
    <font>
      <b/>
      <sz val="13"/>
      <color indexed="11"/>
      <name val="Calibri"/>
      <family val="2"/>
      <charset val="1"/>
    </font>
    <font>
      <b/>
      <sz val="11"/>
      <color indexed="62"/>
      <name val="Calibri"/>
      <family val="2"/>
      <charset val="1"/>
    </font>
    <font>
      <b/>
      <sz val="11"/>
      <color indexed="11"/>
      <name val="Calibri"/>
      <family val="2"/>
      <charset val="1"/>
    </font>
    <font>
      <b/>
      <sz val="11"/>
      <color indexed="11"/>
      <name val="Arial"/>
      <family val="2"/>
      <charset val="1"/>
    </font>
    <font>
      <u/>
      <sz val="7.5"/>
      <color indexed="12"/>
      <name val="Arial"/>
      <family val="2"/>
      <charset val="1"/>
    </font>
    <font>
      <u/>
      <sz val="10"/>
      <color indexed="12"/>
      <name val="Arial"/>
      <family val="2"/>
      <charset val="1"/>
    </font>
    <font>
      <sz val="11"/>
      <color indexed="62"/>
      <name val="Calibri"/>
      <family val="2"/>
      <charset val="1"/>
    </font>
    <font>
      <sz val="11"/>
      <color indexed="63"/>
      <name val="Calibri"/>
      <family val="2"/>
      <charset val="1"/>
    </font>
    <font>
      <sz val="10"/>
      <color indexed="62"/>
      <name val="Arial"/>
      <family val="2"/>
      <charset val="1"/>
    </font>
    <font>
      <sz val="11"/>
      <color indexed="59"/>
      <name val="Calibri"/>
      <family val="2"/>
      <charset val="1"/>
    </font>
    <font>
      <sz val="11"/>
      <color indexed="52"/>
      <name val="Calibri"/>
      <family val="2"/>
      <charset val="1"/>
    </font>
    <font>
      <sz val="10"/>
      <color indexed="52"/>
      <name val="Arial"/>
      <family val="2"/>
      <charset val="1"/>
    </font>
    <font>
      <sz val="11"/>
      <color indexed="60"/>
      <name val="Calibri"/>
      <family val="2"/>
      <charset val="1"/>
    </font>
    <font>
      <sz val="11"/>
      <color indexed="23"/>
      <name val="Calibri"/>
      <family val="2"/>
      <charset val="1"/>
    </font>
    <font>
      <sz val="10"/>
      <color indexed="23"/>
      <name val="Arial"/>
      <family val="2"/>
      <charset val="1"/>
    </font>
    <font>
      <sz val="10"/>
      <color indexed="8"/>
      <name val="Courier New"/>
      <family val="2"/>
      <charset val="1"/>
    </font>
    <font>
      <b/>
      <sz val="11"/>
      <color indexed="63"/>
      <name val="Calibri"/>
      <family val="2"/>
      <charset val="1"/>
    </font>
    <font>
      <b/>
      <sz val="10"/>
      <color indexed="63"/>
      <name val="Arial"/>
      <family val="2"/>
      <charset val="1"/>
    </font>
    <font>
      <b/>
      <sz val="18"/>
      <color indexed="62"/>
      <name val="Cambria"/>
      <family val="2"/>
      <charset val="1"/>
    </font>
    <font>
      <b/>
      <sz val="18"/>
      <color indexed="11"/>
      <name val="Cambria"/>
      <family val="2"/>
      <charset val="1"/>
    </font>
    <font>
      <b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sz val="10"/>
      <color indexed="10"/>
      <name val="Arial"/>
      <family val="2"/>
      <charset val="1"/>
    </font>
    <font>
      <b/>
      <sz val="18"/>
      <name val="Arial"/>
      <family val="2"/>
    </font>
    <font>
      <u/>
      <sz val="7.5"/>
      <color indexed="12"/>
      <name val="Arial"/>
      <family val="2"/>
    </font>
    <font>
      <sz val="10"/>
      <name val="MS Sans Serif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62"/>
      <name val="Arial"/>
      <family val="2"/>
    </font>
    <font>
      <b/>
      <sz val="15"/>
      <color indexed="56"/>
      <name val="Arial"/>
      <family val="2"/>
    </font>
    <font>
      <b/>
      <sz val="13"/>
      <color indexed="62"/>
      <name val="Arial"/>
      <family val="2"/>
    </font>
    <font>
      <b/>
      <sz val="13"/>
      <color indexed="56"/>
      <name val="Arial"/>
      <family val="2"/>
    </font>
    <font>
      <b/>
      <sz val="11"/>
      <color indexed="6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1"/>
      <color indexed="53"/>
      <name val="Calibri"/>
      <family val="2"/>
      <charset val="1"/>
    </font>
    <font>
      <i/>
      <sz val="11"/>
      <color indexed="21"/>
      <name val="Calibri"/>
      <family val="2"/>
      <charset val="1"/>
    </font>
    <font>
      <sz val="11"/>
      <color indexed="17"/>
      <name val="Calibri"/>
      <family val="2"/>
      <charset val="1"/>
    </font>
    <font>
      <sz val="11"/>
      <color indexed="53"/>
      <name val="Calibri"/>
      <family val="2"/>
      <charset val="1"/>
    </font>
    <font>
      <sz val="11"/>
      <color indexed="19"/>
      <name val="Calibri"/>
      <family val="2"/>
      <charset val="1"/>
    </font>
    <font>
      <sz val="10"/>
      <name val="MS Sans Serif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u/>
      <sz val="8"/>
      <color rgb="FF0000FF"/>
      <name val="Calibri"/>
      <family val="2"/>
      <scheme val="minor"/>
    </font>
    <font>
      <sz val="10"/>
      <color theme="1"/>
      <name val="Courier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b/>
      <sz val="8"/>
      <color theme="0"/>
      <name val="Arial"/>
      <family val="2"/>
    </font>
  </fonts>
  <fills count="13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1"/>
        <bgColor indexed="27"/>
      </patternFill>
    </fill>
    <fill>
      <patternFill patternType="solid">
        <fgColor indexed="58"/>
        <bgColor indexed="27"/>
      </patternFill>
    </fill>
    <fill>
      <patternFill patternType="solid">
        <fgColor indexed="31"/>
        <bgColor indexed="15"/>
      </patternFill>
    </fill>
    <fill>
      <patternFill patternType="solid">
        <fgColor indexed="36"/>
        <bgColor indexed="28"/>
      </patternFill>
    </fill>
    <fill>
      <patternFill patternType="solid">
        <fgColor indexed="45"/>
        <bgColor indexed="51"/>
      </patternFill>
    </fill>
    <fill>
      <patternFill patternType="solid">
        <fgColor indexed="39"/>
        <bgColor indexed="58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27"/>
      </patternFill>
    </fill>
    <fill>
      <patternFill patternType="solid">
        <fgColor indexed="28"/>
        <bgColor indexed="41"/>
      </patternFill>
    </fill>
    <fill>
      <patternFill patternType="solid">
        <fgColor indexed="28"/>
        <bgColor indexed="58"/>
      </patternFill>
    </fill>
    <fill>
      <patternFill patternType="solid">
        <fgColor indexed="46"/>
        <bgColor indexed="50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58"/>
      </patternFill>
    </fill>
    <fill>
      <patternFill patternType="solid">
        <fgColor indexed="18"/>
        <bgColor indexed="58"/>
      </patternFill>
    </fill>
    <fill>
      <patternFill patternType="solid">
        <fgColor indexed="18"/>
        <bgColor indexed="39"/>
      </patternFill>
    </fill>
    <fill>
      <patternFill patternType="solid">
        <fgColor indexed="47"/>
        <bgColor indexed="51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6"/>
      </patternFill>
    </fill>
    <fill>
      <patternFill patternType="solid">
        <fgColor indexed="11"/>
        <bgColor indexed="20"/>
      </patternFill>
    </fill>
    <fill>
      <patternFill patternType="solid">
        <fgColor indexed="56"/>
        <bgColor indexed="41"/>
      </patternFill>
    </fill>
    <fill>
      <patternFill patternType="solid">
        <fgColor indexed="17"/>
        <bgColor indexed="35"/>
      </patternFill>
    </fill>
    <fill>
      <patternFill patternType="solid">
        <fgColor indexed="14"/>
        <bgColor indexed="22"/>
      </patternFill>
    </fill>
    <fill>
      <patternFill patternType="solid">
        <fgColor indexed="15"/>
        <bgColor indexed="31"/>
      </patternFill>
    </fill>
    <fill>
      <patternFill patternType="solid">
        <fgColor indexed="34"/>
        <bgColor indexed="47"/>
      </patternFill>
    </fill>
    <fill>
      <patternFill patternType="solid">
        <fgColor indexed="20"/>
        <bgColor indexed="47"/>
      </patternFill>
    </fill>
    <fill>
      <patternFill patternType="solid">
        <fgColor indexed="51"/>
        <bgColor indexed="47"/>
      </patternFill>
    </fill>
    <fill>
      <patternFill patternType="solid">
        <fgColor indexed="24"/>
        <bgColor indexed="44"/>
      </patternFill>
    </fill>
    <fill>
      <patternFill patternType="darkGray">
        <fgColor indexed="50"/>
        <bgColor indexed="46"/>
      </patternFill>
    </fill>
    <fill>
      <patternFill patternType="mediumGray">
        <fgColor indexed="11"/>
        <bgColor indexed="22"/>
      </patternFill>
    </fill>
    <fill>
      <patternFill patternType="solid">
        <fgColor indexed="35"/>
        <bgColor indexed="56"/>
      </patternFill>
    </fill>
    <fill>
      <patternFill patternType="solid">
        <fgColor indexed="46"/>
        <bgColor indexed="30"/>
      </patternFill>
    </fill>
    <fill>
      <patternFill patternType="solid">
        <fgColor indexed="49"/>
        <bgColor indexed="48"/>
      </patternFill>
    </fill>
    <fill>
      <patternFill patternType="darkGray">
        <fgColor indexed="52"/>
        <bgColor indexed="59"/>
      </patternFill>
    </fill>
    <fill>
      <patternFill patternType="darkGray">
        <fgColor indexed="48"/>
        <bgColor indexed="19"/>
      </patternFill>
    </fill>
    <fill>
      <patternFill patternType="solid">
        <fgColor indexed="62"/>
        <bgColor indexed="21"/>
      </patternFill>
    </fill>
    <fill>
      <patternFill patternType="solid">
        <fgColor indexed="48"/>
        <bgColor indexed="21"/>
      </patternFill>
    </fill>
    <fill>
      <patternFill patternType="darkGray">
        <fgColor indexed="48"/>
        <bgColor indexed="61"/>
      </patternFill>
    </fill>
    <fill>
      <patternFill patternType="solid">
        <fgColor indexed="60"/>
        <bgColor indexed="53"/>
      </patternFill>
    </fill>
    <fill>
      <patternFill patternType="solid">
        <fgColor indexed="10"/>
        <bgColor indexed="37"/>
      </patternFill>
    </fill>
    <fill>
      <patternFill patternType="solid">
        <fgColor indexed="25"/>
        <bgColor indexed="19"/>
      </patternFill>
    </fill>
    <fill>
      <patternFill patternType="solid">
        <fgColor indexed="50"/>
        <bgColor indexed="55"/>
      </patternFill>
    </fill>
    <fill>
      <patternFill patternType="solid">
        <fgColor indexed="54"/>
        <bgColor indexed="19"/>
      </patternFill>
    </fill>
    <fill>
      <patternFill patternType="solid">
        <fgColor indexed="50"/>
        <bgColor indexed="30"/>
      </patternFill>
    </fill>
    <fill>
      <patternFill patternType="solid">
        <fgColor indexed="54"/>
      </patternFill>
    </fill>
    <fill>
      <patternFill patternType="darkGray">
        <fgColor indexed="54"/>
        <bgColor indexed="19"/>
      </patternFill>
    </fill>
    <fill>
      <patternFill patternType="solid">
        <fgColor indexed="54"/>
        <bgColor indexed="57"/>
      </patternFill>
    </fill>
    <fill>
      <patternFill patternType="solid">
        <fgColor indexed="59"/>
        <bgColor indexed="53"/>
      </patternFill>
    </fill>
    <fill>
      <patternFill patternType="solid">
        <fgColor indexed="52"/>
        <bgColor indexed="53"/>
      </patternFill>
    </fill>
    <fill>
      <patternFill patternType="solid">
        <fgColor indexed="33"/>
        <bgColor indexed="34"/>
      </patternFill>
    </fill>
    <fill>
      <patternFill patternType="solid">
        <fgColor indexed="33"/>
        <bgColor indexed="20"/>
      </patternFill>
    </fill>
    <fill>
      <patternFill patternType="solid">
        <fgColor indexed="32"/>
        <bgColor indexed="58"/>
      </patternFill>
    </fill>
    <fill>
      <patternFill patternType="solid">
        <fgColor indexed="22"/>
        <bgColor indexed="35"/>
      </patternFill>
    </fill>
    <fill>
      <patternFill patternType="solid">
        <fgColor indexed="32"/>
        <bgColor indexed="39"/>
      </patternFill>
    </fill>
    <fill>
      <patternFill patternType="solid">
        <fgColor indexed="55"/>
        <bgColor indexed="38"/>
      </patternFill>
    </fill>
    <fill>
      <patternFill patternType="solid">
        <fgColor indexed="40"/>
        <bgColor indexed="30"/>
      </patternFill>
    </fill>
    <fill>
      <patternFill patternType="solid">
        <fgColor indexed="42"/>
        <bgColor indexed="41"/>
      </patternFill>
    </fill>
    <fill>
      <patternFill patternType="solid">
        <fgColor indexed="49"/>
        <bgColor indexed="64"/>
      </patternFill>
    </fill>
    <fill>
      <patternFill patternType="mediumGray">
        <fgColor indexed="42"/>
        <bgColor indexed="11"/>
      </patternFill>
    </fill>
    <fill>
      <patternFill patternType="solid">
        <fgColor indexed="41"/>
        <bgColor indexed="42"/>
      </patternFill>
    </fill>
    <fill>
      <patternFill patternType="solid">
        <fgColor indexed="22"/>
        <bgColor indexed="59"/>
      </patternFill>
    </fill>
    <fill>
      <patternFill patternType="solid">
        <fgColor indexed="26"/>
        <bgColor indexed="39"/>
      </patternFill>
    </fill>
    <fill>
      <patternFill patternType="mediumGray">
        <fgColor indexed="4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34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472C4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4" tint="-0.249977111117893"/>
      </right>
      <top/>
      <bottom style="thin">
        <color indexed="64"/>
      </bottom>
      <diagonal/>
    </border>
    <border>
      <left style="medium">
        <color theme="4" tint="-0.249977111117893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0"/>
      </bottom>
      <diagonal/>
    </border>
    <border>
      <left/>
      <right/>
      <top/>
      <bottom style="double">
        <color indexed="59"/>
      </bottom>
      <diagonal/>
    </border>
    <border>
      <left/>
      <right/>
      <top/>
      <bottom style="double">
        <color indexed="53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0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70">
    <xf numFmtId="0" fontId="0" fillId="0" borderId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7" fillId="5" borderId="1" applyNumberFormat="0" applyProtection="0">
      <alignment horizontal="left" vertical="center"/>
    </xf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4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0" fillId="0" borderId="0"/>
    <xf numFmtId="174" fontId="10" fillId="0" borderId="0"/>
    <xf numFmtId="173" fontId="10" fillId="0" borderId="0"/>
    <xf numFmtId="173" fontId="10" fillId="0" borderId="0"/>
    <xf numFmtId="173" fontId="10" fillId="0" borderId="0"/>
    <xf numFmtId="173" fontId="10" fillId="0" borderId="0"/>
    <xf numFmtId="175" fontId="10" fillId="0" borderId="0"/>
    <xf numFmtId="176" fontId="10" fillId="0" borderId="0"/>
    <xf numFmtId="175" fontId="10" fillId="0" borderId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24" fillId="7" borderId="0" applyNumberFormat="0" applyBorder="0" applyAlignment="0" applyProtection="0"/>
    <xf numFmtId="0" fontId="28" fillId="10" borderId="8" applyNumberFormat="0" applyAlignment="0" applyProtection="0"/>
    <xf numFmtId="0" fontId="30" fillId="11" borderId="11" applyNumberFormat="0" applyAlignment="0" applyProtection="0"/>
    <xf numFmtId="166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6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26" fillId="9" borderId="8" applyNumberFormat="0" applyAlignment="0" applyProtection="0"/>
    <xf numFmtId="0" fontId="29" fillId="0" borderId="10" applyNumberFormat="0" applyFill="0" applyAlignment="0" applyProtection="0"/>
    <xf numFmtId="177" fontId="10" fillId="0" borderId="0"/>
    <xf numFmtId="172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0" fontId="25" fillId="8" borderId="0" applyNumberFormat="0" applyBorder="0" applyAlignment="0" applyProtection="0"/>
    <xf numFmtId="178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12" borderId="12" applyNumberFormat="0" applyFont="0" applyAlignment="0" applyProtection="0"/>
    <xf numFmtId="0" fontId="27" fillId="10" borderId="9" applyNumberFormat="0" applyAlignment="0" applyProtection="0"/>
    <xf numFmtId="10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4" fillId="0" borderId="0" applyNumberFormat="0" applyBorder="0" applyAlignment="0"/>
    <xf numFmtId="0" fontId="35" fillId="0" borderId="0" applyNumberFormat="0" applyBorder="0" applyAlignment="0"/>
    <xf numFmtId="0" fontId="36" fillId="0" borderId="0" applyNumberFormat="0" applyBorder="0" applyAlignment="0"/>
    <xf numFmtId="0" fontId="37" fillId="0" borderId="14">
      <alignment horizontal="center" vertical="center"/>
    </xf>
    <xf numFmtId="0" fontId="19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38" fillId="0" borderId="0"/>
    <xf numFmtId="166" fontId="38" fillId="0" borderId="0" applyFont="0" applyFill="0" applyBorder="0" applyAlignment="0" applyProtection="0"/>
    <xf numFmtId="0" fontId="38" fillId="0" borderId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4" fillId="7" borderId="0" applyNumberFormat="0" applyBorder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5" fillId="10" borderId="8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0" fontId="46" fillId="11" borderId="11" applyNumberFormat="0" applyAlignment="0" applyProtection="0"/>
    <xf numFmtId="43" fontId="38" fillId="0" borderId="0" applyFont="0" applyFill="0" applyBorder="0" applyAlignment="0" applyProtection="0"/>
    <xf numFmtId="166" fontId="4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54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0" fontId="55" fillId="10" borderId="9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5" borderId="1" applyNumberFormat="0" applyProtection="0">
      <alignment horizontal="left" vertical="center"/>
    </xf>
    <xf numFmtId="0" fontId="10" fillId="5" borderId="1" applyNumberFormat="0" applyProtection="0">
      <alignment horizontal="left" vertical="center"/>
    </xf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8" fillId="0" borderId="0"/>
    <xf numFmtId="166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9" fontId="38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47" borderId="0" applyNumberFormat="0" applyBorder="0" applyAlignment="0" applyProtection="0"/>
    <xf numFmtId="0" fontId="59" fillId="48" borderId="0" applyNumberFormat="0" applyBorder="0" applyAlignment="0" applyProtection="0"/>
    <xf numFmtId="0" fontId="59" fillId="51" borderId="0" applyNumberFormat="0" applyBorder="0" applyAlignment="0" applyProtection="0"/>
    <xf numFmtId="0" fontId="59" fillId="52" borderId="0" applyNumberFormat="0" applyBorder="0" applyAlignment="0" applyProtection="0"/>
    <xf numFmtId="0" fontId="59" fillId="53" borderId="0" applyNumberFormat="0" applyBorder="0" applyAlignment="0" applyProtection="0"/>
    <xf numFmtId="0" fontId="59" fillId="54" borderId="0" applyNumberFormat="0" applyBorder="0" applyAlignment="0" applyProtection="0"/>
    <xf numFmtId="0" fontId="59" fillId="55" borderId="0" applyNumberFormat="0" applyBorder="0" applyAlignment="0" applyProtection="0"/>
    <xf numFmtId="0" fontId="59" fillId="56" borderId="0" applyNumberFormat="0" applyBorder="0" applyAlignment="0" applyProtection="0"/>
    <xf numFmtId="0" fontId="61" fillId="58" borderId="15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70" fillId="60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0" borderId="23" applyNumberFormat="0" applyFill="0" applyAlignment="0" applyProtection="0"/>
    <xf numFmtId="0" fontId="74" fillId="0" borderId="0" applyNumberFormat="0" applyFill="0" applyBorder="0" applyAlignment="0" applyProtection="0"/>
    <xf numFmtId="0" fontId="10" fillId="0" borderId="0"/>
    <xf numFmtId="0" fontId="21" fillId="0" borderId="6" applyNumberFormat="0" applyFill="0" applyAlignment="0" applyProtection="0"/>
    <xf numFmtId="0" fontId="20" fillId="0" borderId="5" applyNumberFormat="0" applyFill="0" applyAlignment="0" applyProtection="0"/>
    <xf numFmtId="0" fontId="5" fillId="0" borderId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8" applyNumberFormat="0" applyAlignment="0" applyProtection="0"/>
    <xf numFmtId="0" fontId="27" fillId="10" borderId="9" applyNumberFormat="0" applyAlignment="0" applyProtection="0"/>
    <xf numFmtId="0" fontId="28" fillId="10" borderId="8" applyNumberFormat="0" applyAlignment="0" applyProtection="0"/>
    <xf numFmtId="0" fontId="29" fillId="0" borderId="10" applyNumberFormat="0" applyFill="0" applyAlignment="0" applyProtection="0"/>
    <xf numFmtId="0" fontId="30" fillId="11" borderId="11" applyNumberFormat="0" applyAlignment="0" applyProtection="0"/>
    <xf numFmtId="0" fontId="31" fillId="0" borderId="0" applyNumberFormat="0" applyFill="0" applyBorder="0" applyAlignment="0" applyProtection="0"/>
    <xf numFmtId="0" fontId="5" fillId="12" borderId="12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33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33" fillId="3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5" fillId="0" borderId="0"/>
    <xf numFmtId="0" fontId="5" fillId="0" borderId="0"/>
    <xf numFmtId="0" fontId="71" fillId="58" borderId="22" applyNumberFormat="0" applyAlignment="0" applyProtection="0"/>
    <xf numFmtId="0" fontId="62" fillId="59" borderId="16" applyNumberFormat="0" applyAlignment="0" applyProtection="0"/>
    <xf numFmtId="0" fontId="68" fillId="45" borderId="15" applyNumberFormat="0" applyAlignment="0" applyProtection="0"/>
    <xf numFmtId="0" fontId="10" fillId="61" borderId="21" applyNumberFormat="0" applyFont="0" applyAlignment="0" applyProtection="0"/>
    <xf numFmtId="0" fontId="64" fillId="42" borderId="0" applyNumberFormat="0" applyBorder="0" applyAlignment="0" applyProtection="0"/>
    <xf numFmtId="0" fontId="60" fillId="41" borderId="0" applyNumberFormat="0" applyBorder="0" applyAlignment="0" applyProtection="0"/>
    <xf numFmtId="0" fontId="67" fillId="0" borderId="19" applyNumberFormat="0" applyFill="0" applyAlignment="0" applyProtection="0"/>
    <xf numFmtId="0" fontId="66" fillId="0" borderId="18" applyNumberFormat="0" applyFill="0" applyAlignment="0" applyProtection="0"/>
    <xf numFmtId="0" fontId="63" fillId="0" borderId="0" applyNumberFormat="0" applyFill="0" applyBorder="0" applyAlignment="0" applyProtection="0"/>
    <xf numFmtId="0" fontId="65" fillId="0" borderId="17" applyNumberFormat="0" applyFill="0" applyAlignment="0" applyProtection="0"/>
    <xf numFmtId="0" fontId="57" fillId="0" borderId="0" applyNumberForma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9" fillId="5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57" borderId="0" applyNumberFormat="0" applyBorder="0" applyAlignment="0" applyProtection="0"/>
    <xf numFmtId="0" fontId="59" fillId="51" borderId="0" applyNumberFormat="0" applyBorder="0" applyAlignment="0" applyProtection="0"/>
    <xf numFmtId="43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38" fillId="0" borderId="0"/>
    <xf numFmtId="0" fontId="69" fillId="0" borderId="20" applyNumberFormat="0" applyFill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7" fillId="0" borderId="0" applyNumberForma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0" fontId="10" fillId="0" borderId="0"/>
    <xf numFmtId="0" fontId="68" fillId="45" borderId="15" applyNumberFormat="0" applyAlignment="0" applyProtection="0"/>
    <xf numFmtId="0" fontId="68" fillId="45" borderId="15" applyNumberFormat="0" applyAlignment="0" applyProtection="0"/>
    <xf numFmtId="0" fontId="68" fillId="45" borderId="15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8" fillId="45" borderId="15" applyNumberFormat="0" applyAlignment="0" applyProtection="0"/>
    <xf numFmtId="0" fontId="10" fillId="0" borderId="0"/>
    <xf numFmtId="0" fontId="38" fillId="0" borderId="0"/>
    <xf numFmtId="0" fontId="5" fillId="0" borderId="0"/>
    <xf numFmtId="0" fontId="5" fillId="0" borderId="0"/>
    <xf numFmtId="9" fontId="38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5" fillId="0" borderId="0"/>
    <xf numFmtId="0" fontId="10" fillId="0" borderId="0"/>
    <xf numFmtId="9" fontId="38" fillId="0" borderId="0" applyFont="0" applyFill="0" applyBorder="0" applyAlignment="0" applyProtection="0"/>
    <xf numFmtId="0" fontId="38" fillId="0" borderId="0"/>
    <xf numFmtId="9" fontId="10" fillId="0" borderId="0" applyFont="0" applyFill="0" applyBorder="0" applyAlignment="0" applyProtection="0"/>
    <xf numFmtId="0" fontId="10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5" fillId="0" borderId="0"/>
    <xf numFmtId="44" fontId="3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8" fillId="0" borderId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9" fontId="38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5" fillId="0" borderId="0"/>
    <xf numFmtId="0" fontId="57" fillId="0" borderId="0" applyNumberFormat="0" applyFill="0" applyBorder="0" applyAlignment="0" applyProtection="0"/>
    <xf numFmtId="0" fontId="75" fillId="0" borderId="0"/>
    <xf numFmtId="0" fontId="4" fillId="0" borderId="0"/>
    <xf numFmtId="0" fontId="77" fillId="0" borderId="0"/>
    <xf numFmtId="179" fontId="79" fillId="0" borderId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30" fillId="11" borderId="11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" fillId="19" borderId="0" applyNumberFormat="0" applyBorder="0" applyAlignment="0" applyProtection="0"/>
    <xf numFmtId="0" fontId="33" fillId="29" borderId="0" applyNumberFormat="0" applyBorder="0" applyAlignment="0" applyProtection="0"/>
    <xf numFmtId="0" fontId="3" fillId="30" borderId="0" applyNumberFormat="0" applyBorder="0" applyAlignment="0" applyProtection="0"/>
    <xf numFmtId="0" fontId="38" fillId="0" borderId="0"/>
    <xf numFmtId="181" fontId="77" fillId="0" borderId="0"/>
    <xf numFmtId="181" fontId="77" fillId="0" borderId="0"/>
    <xf numFmtId="173" fontId="10" fillId="0" borderId="0"/>
    <xf numFmtId="173" fontId="10" fillId="0" borderId="0"/>
    <xf numFmtId="174" fontId="77" fillId="0" borderId="0"/>
    <xf numFmtId="174" fontId="77" fillId="0" borderId="0"/>
    <xf numFmtId="174" fontId="10" fillId="0" borderId="0"/>
    <xf numFmtId="174" fontId="10" fillId="0" borderId="0"/>
    <xf numFmtId="181" fontId="77" fillId="0" borderId="0"/>
    <xf numFmtId="181" fontId="77" fillId="0" borderId="0"/>
    <xf numFmtId="173" fontId="10" fillId="0" borderId="0"/>
    <xf numFmtId="173" fontId="10" fillId="0" borderId="0"/>
    <xf numFmtId="181" fontId="77" fillId="0" borderId="0"/>
    <xf numFmtId="181" fontId="77" fillId="0" borderId="0"/>
    <xf numFmtId="173" fontId="10" fillId="0" borderId="0"/>
    <xf numFmtId="173" fontId="10" fillId="0" borderId="0"/>
    <xf numFmtId="181" fontId="77" fillId="0" borderId="0"/>
    <xf numFmtId="181" fontId="77" fillId="0" borderId="0"/>
    <xf numFmtId="173" fontId="10" fillId="0" borderId="0"/>
    <xf numFmtId="173" fontId="10" fillId="0" borderId="0"/>
    <xf numFmtId="181" fontId="77" fillId="0" borderId="0"/>
    <xf numFmtId="181" fontId="77" fillId="0" borderId="0"/>
    <xf numFmtId="173" fontId="10" fillId="0" borderId="0"/>
    <xf numFmtId="173" fontId="10" fillId="0" borderId="0"/>
    <xf numFmtId="175" fontId="77" fillId="0" borderId="0"/>
    <xf numFmtId="175" fontId="77" fillId="0" borderId="0"/>
    <xf numFmtId="14" fontId="10" fillId="0" borderId="0"/>
    <xf numFmtId="175" fontId="10" fillId="0" borderId="0"/>
    <xf numFmtId="175" fontId="10" fillId="0" borderId="0"/>
    <xf numFmtId="14" fontId="10" fillId="0" borderId="0"/>
    <xf numFmtId="176" fontId="77" fillId="0" borderId="0"/>
    <xf numFmtId="176" fontId="77" fillId="0" borderId="0"/>
    <xf numFmtId="176" fontId="10" fillId="0" borderId="0"/>
    <xf numFmtId="176" fontId="10" fillId="0" borderId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3" fillId="14" borderId="0" applyNumberFormat="0" applyBorder="0" applyAlignment="0" applyProtection="0"/>
    <xf numFmtId="0" fontId="91" fillId="69" borderId="0" applyNumberFormat="0" applyBorder="0" applyAlignment="0" applyProtection="0"/>
    <xf numFmtId="0" fontId="3" fillId="45" borderId="0" applyNumberFormat="0" applyBorder="0" applyAlignment="0" applyProtection="0"/>
    <xf numFmtId="0" fontId="91" fillId="70" borderId="0" applyNumberFormat="0" applyBorder="0" applyAlignment="0" applyProtection="0"/>
    <xf numFmtId="0" fontId="91" fillId="71" borderId="0" applyNumberFormat="0" applyBorder="0" applyAlignment="0" applyProtection="0"/>
    <xf numFmtId="0" fontId="42" fillId="40" borderId="0" applyNumberFormat="0" applyBorder="0" applyAlignment="0" applyProtection="0"/>
    <xf numFmtId="0" fontId="91" fillId="69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91" fillId="69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91" fillId="69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91" fillId="69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187" fontId="3" fillId="45" borderId="0" applyNumberFormat="0" applyBorder="0" applyAlignment="0" applyProtection="0"/>
    <xf numFmtId="0" fontId="40" fillId="45" borderId="0" applyNumberFormat="0" applyBorder="0" applyAlignment="0" applyProtection="0"/>
    <xf numFmtId="0" fontId="91" fillId="71" borderId="0" applyNumberFormat="0" applyBorder="0" applyAlignment="0" applyProtection="0"/>
    <xf numFmtId="0" fontId="34" fillId="40" borderId="0" applyNumberFormat="0" applyBorder="0" applyAlignment="0" applyProtection="0"/>
    <xf numFmtId="0" fontId="42" fillId="40" borderId="0" applyNumberFormat="0" applyBorder="0" applyAlignment="0" applyProtection="0"/>
    <xf numFmtId="0" fontId="92" fillId="71" borderId="0" applyNumberFormat="0" applyBorder="0" applyAlignment="0" applyProtection="0"/>
    <xf numFmtId="0" fontId="34" fillId="40" borderId="0" applyNumberFormat="0" applyBorder="0" applyAlignment="0" applyProtection="0"/>
    <xf numFmtId="0" fontId="42" fillId="40" borderId="0" applyNumberFormat="0" applyBorder="0" applyAlignment="0" applyProtection="0"/>
    <xf numFmtId="187" fontId="42" fillId="40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3" fillId="18" borderId="0" applyNumberFormat="0" applyBorder="0" applyAlignment="0" applyProtection="0"/>
    <xf numFmtId="0" fontId="91" fillId="72" borderId="0" applyNumberFormat="0" applyBorder="0" applyAlignment="0" applyProtection="0"/>
    <xf numFmtId="0" fontId="3" fillId="47" borderId="0" applyNumberFormat="0" applyBorder="0" applyAlignment="0" applyProtection="0"/>
    <xf numFmtId="0" fontId="91" fillId="73" borderId="0" applyNumberFormat="0" applyBorder="0" applyAlignment="0" applyProtection="0"/>
    <xf numFmtId="0" fontId="42" fillId="41" borderId="0" applyNumberFormat="0" applyBorder="0" applyAlignment="0" applyProtection="0"/>
    <xf numFmtId="0" fontId="91" fillId="7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91" fillId="7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91" fillId="7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91" fillId="7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187" fontId="3" fillId="47" borderId="0" applyNumberFormat="0" applyBorder="0" applyAlignment="0" applyProtection="0"/>
    <xf numFmtId="0" fontId="40" fillId="47" borderId="0" applyNumberFormat="0" applyBorder="0" applyAlignment="0" applyProtection="0"/>
    <xf numFmtId="0" fontId="91" fillId="73" borderId="0" applyNumberFormat="0" applyBorder="0" applyAlignment="0" applyProtection="0"/>
    <xf numFmtId="0" fontId="34" fillId="41" borderId="0" applyNumberFormat="0" applyBorder="0" applyAlignment="0" applyProtection="0"/>
    <xf numFmtId="0" fontId="42" fillId="41" borderId="0" applyNumberFormat="0" applyBorder="0" applyAlignment="0" applyProtection="0"/>
    <xf numFmtId="0" fontId="92" fillId="73" borderId="0" applyNumberFormat="0" applyBorder="0" applyAlignment="0" applyProtection="0"/>
    <xf numFmtId="0" fontId="34" fillId="41" borderId="0" applyNumberFormat="0" applyBorder="0" applyAlignment="0" applyProtection="0"/>
    <xf numFmtId="0" fontId="42" fillId="41" borderId="0" applyNumberFormat="0" applyBorder="0" applyAlignment="0" applyProtection="0"/>
    <xf numFmtId="187" fontId="42" fillId="41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47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3" fillId="22" borderId="0" applyNumberFormat="0" applyBorder="0" applyAlignment="0" applyProtection="0"/>
    <xf numFmtId="0" fontId="91" fillId="74" borderId="0" applyNumberFormat="0" applyBorder="0" applyAlignment="0" applyProtection="0"/>
    <xf numFmtId="0" fontId="3" fillId="61" borderId="0" applyNumberFormat="0" applyBorder="0" applyAlignment="0" applyProtection="0"/>
    <xf numFmtId="0" fontId="91" fillId="75" borderId="0" applyNumberFormat="0" applyBorder="0" applyAlignment="0" applyProtection="0"/>
    <xf numFmtId="0" fontId="91" fillId="76" borderId="0" applyNumberFormat="0" applyBorder="0" applyAlignment="0" applyProtection="0"/>
    <xf numFmtId="0" fontId="42" fillId="42" borderId="0" applyNumberFormat="0" applyBorder="0" applyAlignment="0" applyProtection="0"/>
    <xf numFmtId="0" fontId="91" fillId="74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91" fillId="74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91" fillId="74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91" fillId="74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187" fontId="3" fillId="61" borderId="0" applyNumberFormat="0" applyBorder="0" applyAlignment="0" applyProtection="0"/>
    <xf numFmtId="0" fontId="40" fillId="61" borderId="0" applyNumberFormat="0" applyBorder="0" applyAlignment="0" applyProtection="0"/>
    <xf numFmtId="0" fontId="91" fillId="76" borderId="0" applyNumberFormat="0" applyBorder="0" applyAlignment="0" applyProtection="0"/>
    <xf numFmtId="0" fontId="34" fillId="42" borderId="0" applyNumberFormat="0" applyBorder="0" applyAlignment="0" applyProtection="0"/>
    <xf numFmtId="0" fontId="42" fillId="42" borderId="0" applyNumberFormat="0" applyBorder="0" applyAlignment="0" applyProtection="0"/>
    <xf numFmtId="0" fontId="92" fillId="76" borderId="0" applyNumberFormat="0" applyBorder="0" applyAlignment="0" applyProtection="0"/>
    <xf numFmtId="0" fontId="34" fillId="42" borderId="0" applyNumberFormat="0" applyBorder="0" applyAlignment="0" applyProtection="0"/>
    <xf numFmtId="0" fontId="42" fillId="42" borderId="0" applyNumberFormat="0" applyBorder="0" applyAlignment="0" applyProtection="0"/>
    <xf numFmtId="187" fontId="42" fillId="42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3" fillId="26" borderId="0" applyNumberFormat="0" applyBorder="0" applyAlignment="0" applyProtection="0"/>
    <xf numFmtId="0" fontId="91" fillId="77" borderId="0" applyNumberFormat="0" applyBorder="0" applyAlignment="0" applyProtection="0"/>
    <xf numFmtId="0" fontId="3" fillId="45" borderId="0" applyNumberFormat="0" applyBorder="0" applyAlignment="0" applyProtection="0"/>
    <xf numFmtId="0" fontId="91" fillId="78" borderId="0" applyNumberFormat="0" applyBorder="0" applyAlignment="0" applyProtection="0"/>
    <xf numFmtId="0" fontId="91" fillId="79" borderId="0" applyNumberFormat="0" applyBorder="0" applyAlignment="0" applyProtection="0"/>
    <xf numFmtId="0" fontId="42" fillId="43" borderId="0" applyNumberFormat="0" applyBorder="0" applyAlignment="0" applyProtection="0"/>
    <xf numFmtId="0" fontId="91" fillId="77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91" fillId="77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91" fillId="77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91" fillId="77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187" fontId="3" fillId="45" borderId="0" applyNumberFormat="0" applyBorder="0" applyAlignment="0" applyProtection="0"/>
    <xf numFmtId="0" fontId="40" fillId="45" borderId="0" applyNumberFormat="0" applyBorder="0" applyAlignment="0" applyProtection="0"/>
    <xf numFmtId="0" fontId="91" fillId="79" borderId="0" applyNumberFormat="0" applyBorder="0" applyAlignment="0" applyProtection="0"/>
    <xf numFmtId="0" fontId="34" fillId="43" borderId="0" applyNumberFormat="0" applyBorder="0" applyAlignment="0" applyProtection="0"/>
    <xf numFmtId="0" fontId="42" fillId="43" borderId="0" applyNumberFormat="0" applyBorder="0" applyAlignment="0" applyProtection="0"/>
    <xf numFmtId="0" fontId="92" fillId="79" borderId="0" applyNumberFormat="0" applyBorder="0" applyAlignment="0" applyProtection="0"/>
    <xf numFmtId="0" fontId="34" fillId="43" borderId="0" applyNumberFormat="0" applyBorder="0" applyAlignment="0" applyProtection="0"/>
    <xf numFmtId="0" fontId="42" fillId="43" borderId="0" applyNumberFormat="0" applyBorder="0" applyAlignment="0" applyProtection="0"/>
    <xf numFmtId="187" fontId="42" fillId="43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40" fillId="45" borderId="0" applyNumberFormat="0" applyBorder="0" applyAlignment="0" applyProtection="0"/>
    <xf numFmtId="0" fontId="91" fillId="80" borderId="0" applyNumberFormat="0" applyBorder="0" applyAlignment="0" applyProtection="0"/>
    <xf numFmtId="0" fontId="3" fillId="30" borderId="0" applyNumberFormat="0" applyBorder="0" applyAlignment="0" applyProtection="0"/>
    <xf numFmtId="0" fontId="91" fillId="81" borderId="0" applyNumberFormat="0" applyBorder="0" applyAlignment="0" applyProtection="0"/>
    <xf numFmtId="0" fontId="91" fillId="80" borderId="0" applyNumberFormat="0" applyBorder="0" applyAlignment="0" applyProtection="0"/>
    <xf numFmtId="0" fontId="42" fillId="44" borderId="0" applyNumberFormat="0" applyBorder="0" applyAlignment="0" applyProtection="0"/>
    <xf numFmtId="0" fontId="91" fillId="8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91" fillId="8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91" fillId="8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91" fillId="8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187" fontId="3" fillId="30" borderId="0" applyNumberFormat="0" applyBorder="0" applyAlignment="0" applyProtection="0"/>
    <xf numFmtId="0" fontId="40" fillId="30" borderId="0" applyNumberFormat="0" applyBorder="0" applyAlignment="0" applyProtection="0"/>
    <xf numFmtId="0" fontId="91" fillId="80" borderId="0" applyNumberFormat="0" applyBorder="0" applyAlignment="0" applyProtection="0"/>
    <xf numFmtId="0" fontId="34" fillId="44" borderId="0" applyNumberFormat="0" applyBorder="0" applyAlignment="0" applyProtection="0"/>
    <xf numFmtId="0" fontId="42" fillId="44" borderId="0" applyNumberFormat="0" applyBorder="0" applyAlignment="0" applyProtection="0"/>
    <xf numFmtId="0" fontId="92" fillId="80" borderId="0" applyNumberFormat="0" applyBorder="0" applyAlignment="0" applyProtection="0"/>
    <xf numFmtId="0" fontId="34" fillId="44" borderId="0" applyNumberFormat="0" applyBorder="0" applyAlignment="0" applyProtection="0"/>
    <xf numFmtId="0" fontId="42" fillId="44" borderId="0" applyNumberFormat="0" applyBorder="0" applyAlignment="0" applyProtection="0"/>
    <xf numFmtId="187" fontId="42" fillId="44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3" fillId="34" borderId="0" applyNumberFormat="0" applyBorder="0" applyAlignment="0" applyProtection="0"/>
    <xf numFmtId="0" fontId="91" fillId="82" borderId="0" applyNumberFormat="0" applyBorder="0" applyAlignment="0" applyProtection="0"/>
    <xf numFmtId="0" fontId="3" fillId="61" borderId="0" applyNumberFormat="0" applyBorder="0" applyAlignment="0" applyProtection="0"/>
    <xf numFmtId="0" fontId="91" fillId="83" borderId="0" applyNumberFormat="0" applyBorder="0" applyAlignment="0" applyProtection="0"/>
    <xf numFmtId="0" fontId="91" fillId="84" borderId="0" applyNumberFormat="0" applyBorder="0" applyAlignment="0" applyProtection="0"/>
    <xf numFmtId="0" fontId="42" fillId="45" borderId="0" applyNumberFormat="0" applyBorder="0" applyAlignment="0" applyProtection="0"/>
    <xf numFmtId="0" fontId="91" fillId="82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91" fillId="82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91" fillId="82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91" fillId="82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187" fontId="3" fillId="61" borderId="0" applyNumberFormat="0" applyBorder="0" applyAlignment="0" applyProtection="0"/>
    <xf numFmtId="0" fontId="40" fillId="61" borderId="0" applyNumberFormat="0" applyBorder="0" applyAlignment="0" applyProtection="0"/>
    <xf numFmtId="0" fontId="91" fillId="84" borderId="0" applyNumberFormat="0" applyBorder="0" applyAlignment="0" applyProtection="0"/>
    <xf numFmtId="0" fontId="34" fillId="45" borderId="0" applyNumberFormat="0" applyBorder="0" applyAlignment="0" applyProtection="0"/>
    <xf numFmtId="0" fontId="42" fillId="45" borderId="0" applyNumberFormat="0" applyBorder="0" applyAlignment="0" applyProtection="0"/>
    <xf numFmtId="0" fontId="92" fillId="84" borderId="0" applyNumberFormat="0" applyBorder="0" applyAlignment="0" applyProtection="0"/>
    <xf numFmtId="0" fontId="34" fillId="45" borderId="0" applyNumberFormat="0" applyBorder="0" applyAlignment="0" applyProtection="0"/>
    <xf numFmtId="0" fontId="42" fillId="45" borderId="0" applyNumberFormat="0" applyBorder="0" applyAlignment="0" applyProtection="0"/>
    <xf numFmtId="187" fontId="42" fillId="45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61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3" fillId="15" borderId="0" applyNumberFormat="0" applyBorder="0" applyAlignment="0" applyProtection="0"/>
    <xf numFmtId="0" fontId="91" fillId="71" borderId="0" applyNumberFormat="0" applyBorder="0" applyAlignment="0" applyProtection="0"/>
    <xf numFmtId="0" fontId="3" fillId="58" borderId="0" applyNumberFormat="0" applyBorder="0" applyAlignment="0" applyProtection="0"/>
    <xf numFmtId="0" fontId="91" fillId="85" borderId="0" applyNumberFormat="0" applyBorder="0" applyAlignment="0" applyProtection="0"/>
    <xf numFmtId="0" fontId="42" fillId="46" borderId="0" applyNumberFormat="0" applyBorder="0" applyAlignment="0" applyProtection="0"/>
    <xf numFmtId="0" fontId="91" fillId="71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91" fillId="71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91" fillId="71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91" fillId="71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187" fontId="3" fillId="58" borderId="0" applyNumberFormat="0" applyBorder="0" applyAlignment="0" applyProtection="0"/>
    <xf numFmtId="0" fontId="40" fillId="58" borderId="0" applyNumberFormat="0" applyBorder="0" applyAlignment="0" applyProtection="0"/>
    <xf numFmtId="0" fontId="91" fillId="85" borderId="0" applyNumberFormat="0" applyBorder="0" applyAlignment="0" applyProtection="0"/>
    <xf numFmtId="0" fontId="34" fillId="46" borderId="0" applyNumberFormat="0" applyBorder="0" applyAlignment="0" applyProtection="0"/>
    <xf numFmtId="0" fontId="42" fillId="46" borderId="0" applyNumberFormat="0" applyBorder="0" applyAlignment="0" applyProtection="0"/>
    <xf numFmtId="0" fontId="92" fillId="85" borderId="0" applyNumberFormat="0" applyBorder="0" applyAlignment="0" applyProtection="0"/>
    <xf numFmtId="0" fontId="34" fillId="46" borderId="0" applyNumberFormat="0" applyBorder="0" applyAlignment="0" applyProtection="0"/>
    <xf numFmtId="0" fontId="42" fillId="46" borderId="0" applyNumberFormat="0" applyBorder="0" applyAlignment="0" applyProtection="0"/>
    <xf numFmtId="187" fontId="42" fillId="46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91" fillId="73" borderId="0" applyNumberFormat="0" applyBorder="0" applyAlignment="0" applyProtection="0"/>
    <xf numFmtId="0" fontId="3" fillId="19" borderId="0" applyNumberFormat="0" applyBorder="0" applyAlignment="0" applyProtection="0"/>
    <xf numFmtId="0" fontId="91" fillId="86" borderId="0" applyNumberFormat="0" applyBorder="0" applyAlignment="0" applyProtection="0"/>
    <xf numFmtId="0" fontId="42" fillId="47" borderId="0" applyNumberFormat="0" applyBorder="0" applyAlignment="0" applyProtection="0"/>
    <xf numFmtId="0" fontId="91" fillId="7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91" fillId="7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91" fillId="7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91" fillId="7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187" fontId="3" fillId="19" borderId="0" applyNumberFormat="0" applyBorder="0" applyAlignment="0" applyProtection="0"/>
    <xf numFmtId="0" fontId="40" fillId="19" borderId="0" applyNumberFormat="0" applyBorder="0" applyAlignment="0" applyProtection="0"/>
    <xf numFmtId="0" fontId="91" fillId="86" borderId="0" applyNumberFormat="0" applyBorder="0" applyAlignment="0" applyProtection="0"/>
    <xf numFmtId="0" fontId="34" fillId="47" borderId="0" applyNumberFormat="0" applyBorder="0" applyAlignment="0" applyProtection="0"/>
    <xf numFmtId="0" fontId="42" fillId="47" borderId="0" applyNumberFormat="0" applyBorder="0" applyAlignment="0" applyProtection="0"/>
    <xf numFmtId="0" fontId="92" fillId="86" borderId="0" applyNumberFormat="0" applyBorder="0" applyAlignment="0" applyProtection="0"/>
    <xf numFmtId="0" fontId="34" fillId="47" borderId="0" applyNumberFormat="0" applyBorder="0" applyAlignment="0" applyProtection="0"/>
    <xf numFmtId="0" fontId="42" fillId="47" borderId="0" applyNumberFormat="0" applyBorder="0" applyAlignment="0" applyProtection="0"/>
    <xf numFmtId="187" fontId="42" fillId="47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3" fillId="23" borderId="0" applyNumberFormat="0" applyBorder="0" applyAlignment="0" applyProtection="0"/>
    <xf numFmtId="0" fontId="91" fillId="87" borderId="0" applyNumberFormat="0" applyBorder="0" applyAlignment="0" applyProtection="0"/>
    <xf numFmtId="0" fontId="3" fillId="60" borderId="0" applyNumberFormat="0" applyBorder="0" applyAlignment="0" applyProtection="0"/>
    <xf numFmtId="0" fontId="91" fillId="88" borderId="0" applyNumberFormat="0" applyBorder="0" applyAlignment="0" applyProtection="0"/>
    <xf numFmtId="0" fontId="91" fillId="89" borderId="0" applyNumberFormat="0" applyBorder="0" applyAlignment="0" applyProtection="0"/>
    <xf numFmtId="0" fontId="42" fillId="48" borderId="0" applyNumberFormat="0" applyBorder="0" applyAlignment="0" applyProtection="0"/>
    <xf numFmtId="0" fontId="91" fillId="87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91" fillId="87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91" fillId="87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91" fillId="87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187" fontId="3" fillId="60" borderId="0" applyNumberFormat="0" applyBorder="0" applyAlignment="0" applyProtection="0"/>
    <xf numFmtId="0" fontId="40" fillId="60" borderId="0" applyNumberFormat="0" applyBorder="0" applyAlignment="0" applyProtection="0"/>
    <xf numFmtId="0" fontId="91" fillId="89" borderId="0" applyNumberFormat="0" applyBorder="0" applyAlignment="0" applyProtection="0"/>
    <xf numFmtId="0" fontId="34" fillId="48" borderId="0" applyNumberFormat="0" applyBorder="0" applyAlignment="0" applyProtection="0"/>
    <xf numFmtId="0" fontId="42" fillId="48" borderId="0" applyNumberFormat="0" applyBorder="0" applyAlignment="0" applyProtection="0"/>
    <xf numFmtId="0" fontId="92" fillId="89" borderId="0" applyNumberFormat="0" applyBorder="0" applyAlignment="0" applyProtection="0"/>
    <xf numFmtId="0" fontId="34" fillId="48" borderId="0" applyNumberFormat="0" applyBorder="0" applyAlignment="0" applyProtection="0"/>
    <xf numFmtId="0" fontId="42" fillId="48" borderId="0" applyNumberFormat="0" applyBorder="0" applyAlignment="0" applyProtection="0"/>
    <xf numFmtId="187" fontId="42" fillId="48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3" fillId="27" borderId="0" applyNumberFormat="0" applyBorder="0" applyAlignment="0" applyProtection="0"/>
    <xf numFmtId="0" fontId="91" fillId="90" borderId="0" applyNumberFormat="0" applyBorder="0" applyAlignment="0" applyProtection="0"/>
    <xf numFmtId="0" fontId="3" fillId="58" borderId="0" applyNumberFormat="0" applyBorder="0" applyAlignment="0" applyProtection="0"/>
    <xf numFmtId="0" fontId="91" fillId="79" borderId="0" applyNumberFormat="0" applyBorder="0" applyAlignment="0" applyProtection="0"/>
    <xf numFmtId="0" fontId="42" fillId="43" borderId="0" applyNumberFormat="0" applyBorder="0" applyAlignment="0" applyProtection="0"/>
    <xf numFmtId="0" fontId="91" fillId="90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91" fillId="90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91" fillId="90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91" fillId="90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187" fontId="3" fillId="58" borderId="0" applyNumberFormat="0" applyBorder="0" applyAlignment="0" applyProtection="0"/>
    <xf numFmtId="0" fontId="40" fillId="58" borderId="0" applyNumberFormat="0" applyBorder="0" applyAlignment="0" applyProtection="0"/>
    <xf numFmtId="0" fontId="91" fillId="79" borderId="0" applyNumberFormat="0" applyBorder="0" applyAlignment="0" applyProtection="0"/>
    <xf numFmtId="0" fontId="34" fillId="43" borderId="0" applyNumberFormat="0" applyBorder="0" applyAlignment="0" applyProtection="0"/>
    <xf numFmtId="0" fontId="42" fillId="43" borderId="0" applyNumberFormat="0" applyBorder="0" applyAlignment="0" applyProtection="0"/>
    <xf numFmtId="0" fontId="92" fillId="79" borderId="0" applyNumberFormat="0" applyBorder="0" applyAlignment="0" applyProtection="0"/>
    <xf numFmtId="0" fontId="34" fillId="43" borderId="0" applyNumberFormat="0" applyBorder="0" applyAlignment="0" applyProtection="0"/>
    <xf numFmtId="0" fontId="42" fillId="43" borderId="0" applyNumberFormat="0" applyBorder="0" applyAlignment="0" applyProtection="0"/>
    <xf numFmtId="187" fontId="42" fillId="43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91" fillId="91" borderId="0" applyNumberFormat="0" applyBorder="0" applyAlignment="0" applyProtection="0"/>
    <xf numFmtId="0" fontId="3" fillId="31" borderId="0" applyNumberFormat="0" applyBorder="0" applyAlignment="0" applyProtection="0"/>
    <xf numFmtId="0" fontId="91" fillId="85" borderId="0" applyNumberFormat="0" applyBorder="0" applyAlignment="0" applyProtection="0"/>
    <xf numFmtId="0" fontId="42" fillId="46" borderId="0" applyNumberFormat="0" applyBorder="0" applyAlignment="0" applyProtection="0"/>
    <xf numFmtId="0" fontId="91" fillId="9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91" fillId="9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91" fillId="9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91" fillId="9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187" fontId="3" fillId="31" borderId="0" applyNumberFormat="0" applyBorder="0" applyAlignment="0" applyProtection="0"/>
    <xf numFmtId="0" fontId="40" fillId="31" borderId="0" applyNumberFormat="0" applyBorder="0" applyAlignment="0" applyProtection="0"/>
    <xf numFmtId="0" fontId="91" fillId="85" borderId="0" applyNumberFormat="0" applyBorder="0" applyAlignment="0" applyProtection="0"/>
    <xf numFmtId="0" fontId="34" fillId="46" borderId="0" applyNumberFormat="0" applyBorder="0" applyAlignment="0" applyProtection="0"/>
    <xf numFmtId="0" fontId="42" fillId="46" borderId="0" applyNumberFormat="0" applyBorder="0" applyAlignment="0" applyProtection="0"/>
    <xf numFmtId="0" fontId="92" fillId="85" borderId="0" applyNumberFormat="0" applyBorder="0" applyAlignment="0" applyProtection="0"/>
    <xf numFmtId="0" fontId="34" fillId="46" borderId="0" applyNumberFormat="0" applyBorder="0" applyAlignment="0" applyProtection="0"/>
    <xf numFmtId="0" fontId="42" fillId="46" borderId="0" applyNumberFormat="0" applyBorder="0" applyAlignment="0" applyProtection="0"/>
    <xf numFmtId="187" fontId="42" fillId="46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3" fillId="35" borderId="0" applyNumberFormat="0" applyBorder="0" applyAlignment="0" applyProtection="0"/>
    <xf numFmtId="0" fontId="91" fillId="92" borderId="0" applyNumberFormat="0" applyBorder="0" applyAlignment="0" applyProtection="0"/>
    <xf numFmtId="0" fontId="3" fillId="60" borderId="0" applyNumberFormat="0" applyBorder="0" applyAlignment="0" applyProtection="0"/>
    <xf numFmtId="0" fontId="91" fillId="93" borderId="0" applyNumberFormat="0" applyBorder="0" applyAlignment="0" applyProtection="0"/>
    <xf numFmtId="0" fontId="91" fillId="94" borderId="0" applyNumberFormat="0" applyBorder="0" applyAlignment="0" applyProtection="0"/>
    <xf numFmtId="0" fontId="42" fillId="49" borderId="0" applyNumberFormat="0" applyBorder="0" applyAlignment="0" applyProtection="0"/>
    <xf numFmtId="0" fontId="91" fillId="92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91" fillId="92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91" fillId="92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91" fillId="92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187" fontId="3" fillId="60" borderId="0" applyNumberFormat="0" applyBorder="0" applyAlignment="0" applyProtection="0"/>
    <xf numFmtId="0" fontId="40" fillId="60" borderId="0" applyNumberFormat="0" applyBorder="0" applyAlignment="0" applyProtection="0"/>
    <xf numFmtId="0" fontId="91" fillId="94" borderId="0" applyNumberFormat="0" applyBorder="0" applyAlignment="0" applyProtection="0"/>
    <xf numFmtId="0" fontId="34" fillId="49" borderId="0" applyNumberFormat="0" applyBorder="0" applyAlignment="0" applyProtection="0"/>
    <xf numFmtId="0" fontId="42" fillId="49" borderId="0" applyNumberFormat="0" applyBorder="0" applyAlignment="0" applyProtection="0"/>
    <xf numFmtId="0" fontId="92" fillId="94" borderId="0" applyNumberFormat="0" applyBorder="0" applyAlignment="0" applyProtection="0"/>
    <xf numFmtId="0" fontId="34" fillId="49" borderId="0" applyNumberFormat="0" applyBorder="0" applyAlignment="0" applyProtection="0"/>
    <xf numFmtId="0" fontId="42" fillId="49" borderId="0" applyNumberFormat="0" applyBorder="0" applyAlignment="0" applyProtection="0"/>
    <xf numFmtId="187" fontId="42" fillId="49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33" fillId="16" borderId="0" applyNumberFormat="0" applyBorder="0" applyAlignment="0" applyProtection="0"/>
    <xf numFmtId="0" fontId="93" fillId="95" borderId="0" applyNumberFormat="0" applyBorder="0" applyAlignment="0" applyProtection="0"/>
    <xf numFmtId="0" fontId="93" fillId="96" borderId="0" applyNumberFormat="0" applyBorder="0" applyAlignment="0" applyProtection="0"/>
    <xf numFmtId="0" fontId="59" fillId="50" borderId="0" applyNumberFormat="0" applyBorder="0" applyAlignment="0" applyProtection="0"/>
    <xf numFmtId="0" fontId="93" fillId="95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187" fontId="33" fillId="52" borderId="0" applyNumberFormat="0" applyBorder="0" applyAlignment="0" applyProtection="0"/>
    <xf numFmtId="0" fontId="84" fillId="50" borderId="0" applyNumberFormat="0" applyBorder="0" applyAlignment="0" applyProtection="0"/>
    <xf numFmtId="0" fontId="93" fillId="96" borderId="0" applyNumberFormat="0" applyBorder="0" applyAlignment="0" applyProtection="0"/>
    <xf numFmtId="0" fontId="84" fillId="50" borderId="0" applyNumberFormat="0" applyBorder="0" applyAlignment="0" applyProtection="0"/>
    <xf numFmtId="0" fontId="59" fillId="50" borderId="0" applyNumberFormat="0" applyBorder="0" applyAlignment="0" applyProtection="0"/>
    <xf numFmtId="0" fontId="94" fillId="96" borderId="0" applyNumberFormat="0" applyBorder="0" applyAlignment="0" applyProtection="0"/>
    <xf numFmtId="0" fontId="84" fillId="50" borderId="0" applyNumberFormat="0" applyBorder="0" applyAlignment="0" applyProtection="0"/>
    <xf numFmtId="0" fontId="59" fillId="50" borderId="0" applyNumberFormat="0" applyBorder="0" applyAlignment="0" applyProtection="0"/>
    <xf numFmtId="187" fontId="59" fillId="50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93" fillId="86" borderId="0" applyNumberFormat="0" applyBorder="0" applyAlignment="0" applyProtection="0"/>
    <xf numFmtId="0" fontId="93" fillId="86" borderId="0" applyNumberFormat="0" applyBorder="0" applyAlignment="0" applyProtection="0"/>
    <xf numFmtId="0" fontId="59" fillId="47" borderId="0" applyNumberFormat="0" applyBorder="0" applyAlignment="0" applyProtection="0"/>
    <xf numFmtId="0" fontId="93" fillId="86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187" fontId="33" fillId="20" borderId="0" applyNumberFormat="0" applyBorder="0" applyAlignment="0" applyProtection="0"/>
    <xf numFmtId="0" fontId="84" fillId="47" borderId="0" applyNumberFormat="0" applyBorder="0" applyAlignment="0" applyProtection="0"/>
    <xf numFmtId="0" fontId="93" fillId="86" borderId="0" applyNumberFormat="0" applyBorder="0" applyAlignment="0" applyProtection="0"/>
    <xf numFmtId="0" fontId="84" fillId="47" borderId="0" applyNumberFormat="0" applyBorder="0" applyAlignment="0" applyProtection="0"/>
    <xf numFmtId="0" fontId="59" fillId="47" borderId="0" applyNumberFormat="0" applyBorder="0" applyAlignment="0" applyProtection="0"/>
    <xf numFmtId="0" fontId="94" fillId="86" borderId="0" applyNumberFormat="0" applyBorder="0" applyAlignment="0" applyProtection="0"/>
    <xf numFmtId="0" fontId="84" fillId="47" borderId="0" applyNumberFormat="0" applyBorder="0" applyAlignment="0" applyProtection="0"/>
    <xf numFmtId="0" fontId="59" fillId="47" borderId="0" applyNumberFormat="0" applyBorder="0" applyAlignment="0" applyProtection="0"/>
    <xf numFmtId="187" fontId="59" fillId="47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33" fillId="24" borderId="0" applyNumberFormat="0" applyBorder="0" applyAlignment="0" applyProtection="0"/>
    <xf numFmtId="0" fontId="93" fillId="97" borderId="0" applyNumberFormat="0" applyBorder="0" applyAlignment="0" applyProtection="0"/>
    <xf numFmtId="0" fontId="93" fillId="89" borderId="0" applyNumberFormat="0" applyBorder="0" applyAlignment="0" applyProtection="0"/>
    <xf numFmtId="0" fontId="59" fillId="48" borderId="0" applyNumberFormat="0" applyBorder="0" applyAlignment="0" applyProtection="0"/>
    <xf numFmtId="0" fontId="93" fillId="97" borderId="0" applyNumberFormat="0" applyBorder="0" applyAlignment="0" applyProtection="0"/>
    <xf numFmtId="0" fontId="33" fillId="60" borderId="0" applyNumberFormat="0" applyBorder="0" applyAlignment="0" applyProtection="0"/>
    <xf numFmtId="0" fontId="33" fillId="60" borderId="0" applyNumberFormat="0" applyBorder="0" applyAlignment="0" applyProtection="0"/>
    <xf numFmtId="187" fontId="33" fillId="60" borderId="0" applyNumberFormat="0" applyBorder="0" applyAlignment="0" applyProtection="0"/>
    <xf numFmtId="0" fontId="93" fillId="98" borderId="0" applyNumberFormat="0" applyBorder="0" applyAlignment="0" applyProtection="0"/>
    <xf numFmtId="0" fontId="84" fillId="48" borderId="0" applyNumberFormat="0" applyBorder="0" applyAlignment="0" applyProtection="0"/>
    <xf numFmtId="0" fontId="93" fillId="89" borderId="0" applyNumberFormat="0" applyBorder="0" applyAlignment="0" applyProtection="0"/>
    <xf numFmtId="0" fontId="84" fillId="48" borderId="0" applyNumberFormat="0" applyBorder="0" applyAlignment="0" applyProtection="0"/>
    <xf numFmtId="0" fontId="59" fillId="48" borderId="0" applyNumberFormat="0" applyBorder="0" applyAlignment="0" applyProtection="0"/>
    <xf numFmtId="0" fontId="94" fillId="89" borderId="0" applyNumberFormat="0" applyBorder="0" applyAlignment="0" applyProtection="0"/>
    <xf numFmtId="0" fontId="84" fillId="48" borderId="0" applyNumberFormat="0" applyBorder="0" applyAlignment="0" applyProtection="0"/>
    <xf numFmtId="0" fontId="59" fillId="48" borderId="0" applyNumberFormat="0" applyBorder="0" applyAlignment="0" applyProtection="0"/>
    <xf numFmtId="187" fontId="59" fillId="48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33" fillId="28" borderId="0" applyNumberFormat="0" applyBorder="0" applyAlignment="0" applyProtection="0"/>
    <xf numFmtId="0" fontId="93" fillId="79" borderId="0" applyNumberFormat="0" applyBorder="0" applyAlignment="0" applyProtection="0"/>
    <xf numFmtId="0" fontId="93" fillId="72" borderId="0" applyNumberFormat="0" applyBorder="0" applyAlignment="0" applyProtection="0"/>
    <xf numFmtId="0" fontId="59" fillId="51" borderId="0" applyNumberFormat="0" applyBorder="0" applyAlignment="0" applyProtection="0"/>
    <xf numFmtId="0" fontId="93" fillId="79" borderId="0" applyNumberFormat="0" applyBorder="0" applyAlignment="0" applyProtection="0"/>
    <xf numFmtId="0" fontId="33" fillId="58" borderId="0" applyNumberFormat="0" applyBorder="0" applyAlignment="0" applyProtection="0"/>
    <xf numFmtId="0" fontId="33" fillId="58" borderId="0" applyNumberFormat="0" applyBorder="0" applyAlignment="0" applyProtection="0"/>
    <xf numFmtId="187" fontId="33" fillId="58" borderId="0" applyNumberFormat="0" applyBorder="0" applyAlignment="0" applyProtection="0"/>
    <xf numFmtId="0" fontId="93" fillId="99" borderId="0" applyNumberFormat="0" applyBorder="0" applyAlignment="0" applyProtection="0"/>
    <xf numFmtId="0" fontId="84" fillId="51" borderId="0" applyNumberFormat="0" applyBorder="0" applyAlignment="0" applyProtection="0"/>
    <xf numFmtId="0" fontId="93" fillId="72" borderId="0" applyNumberFormat="0" applyBorder="0" applyAlignment="0" applyProtection="0"/>
    <xf numFmtId="0" fontId="84" fillId="51" borderId="0" applyNumberFormat="0" applyBorder="0" applyAlignment="0" applyProtection="0"/>
    <xf numFmtId="0" fontId="59" fillId="51" borderId="0" applyNumberFormat="0" applyBorder="0" applyAlignment="0" applyProtection="0"/>
    <xf numFmtId="0" fontId="94" fillId="72" borderId="0" applyNumberFormat="0" applyBorder="0" applyAlignment="0" applyProtection="0"/>
    <xf numFmtId="0" fontId="84" fillId="51" borderId="0" applyNumberFormat="0" applyBorder="0" applyAlignment="0" applyProtection="0"/>
    <xf numFmtId="0" fontId="59" fillId="51" borderId="0" applyNumberFormat="0" applyBorder="0" applyAlignment="0" applyProtection="0"/>
    <xf numFmtId="187" fontId="59" fillId="51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93" fillId="85" borderId="0" applyNumberFormat="0" applyBorder="0" applyAlignment="0" applyProtection="0"/>
    <xf numFmtId="0" fontId="93" fillId="100" borderId="0" applyNumberFormat="0" applyBorder="0" applyAlignment="0" applyProtection="0"/>
    <xf numFmtId="0" fontId="59" fillId="52" borderId="0" applyNumberFormat="0" applyBorder="0" applyAlignment="0" applyProtection="0"/>
    <xf numFmtId="0" fontId="93" fillId="85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187" fontId="33" fillId="32" borderId="0" applyNumberFormat="0" applyBorder="0" applyAlignment="0" applyProtection="0"/>
    <xf numFmtId="0" fontId="84" fillId="52" borderId="0" applyNumberFormat="0" applyBorder="0" applyAlignment="0" applyProtection="0"/>
    <xf numFmtId="0" fontId="93" fillId="100" borderId="0" applyNumberFormat="0" applyBorder="0" applyAlignment="0" applyProtection="0"/>
    <xf numFmtId="0" fontId="84" fillId="52" borderId="0" applyNumberFormat="0" applyBorder="0" applyAlignment="0" applyProtection="0"/>
    <xf numFmtId="0" fontId="59" fillId="52" borderId="0" applyNumberFormat="0" applyBorder="0" applyAlignment="0" applyProtection="0"/>
    <xf numFmtId="0" fontId="94" fillId="100" borderId="0" applyNumberFormat="0" applyBorder="0" applyAlignment="0" applyProtection="0"/>
    <xf numFmtId="0" fontId="84" fillId="52" borderId="0" applyNumberFormat="0" applyBorder="0" applyAlignment="0" applyProtection="0"/>
    <xf numFmtId="0" fontId="59" fillId="52" borderId="0" applyNumberFormat="0" applyBorder="0" applyAlignment="0" applyProtection="0"/>
    <xf numFmtId="187" fontId="59" fillId="52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33" fillId="36" borderId="0" applyNumberFormat="0" applyBorder="0" applyAlignment="0" applyProtection="0"/>
    <xf numFmtId="0" fontId="93" fillId="94" borderId="0" applyNumberFormat="0" applyBorder="0" applyAlignment="0" applyProtection="0"/>
    <xf numFmtId="0" fontId="93" fillId="101" borderId="0" applyNumberFormat="0" applyBorder="0" applyAlignment="0" applyProtection="0"/>
    <xf numFmtId="0" fontId="59" fillId="53" borderId="0" applyNumberFormat="0" applyBorder="0" applyAlignment="0" applyProtection="0"/>
    <xf numFmtId="0" fontId="93" fillId="94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187" fontId="33" fillId="47" borderId="0" applyNumberFormat="0" applyBorder="0" applyAlignment="0" applyProtection="0"/>
    <xf numFmtId="0" fontId="84" fillId="53" borderId="0" applyNumberFormat="0" applyBorder="0" applyAlignment="0" applyProtection="0"/>
    <xf numFmtId="0" fontId="93" fillId="101" borderId="0" applyNumberFormat="0" applyBorder="0" applyAlignment="0" applyProtection="0"/>
    <xf numFmtId="0" fontId="84" fillId="53" borderId="0" applyNumberFormat="0" applyBorder="0" applyAlignment="0" applyProtection="0"/>
    <xf numFmtId="0" fontId="59" fillId="53" borderId="0" applyNumberFormat="0" applyBorder="0" applyAlignment="0" applyProtection="0"/>
    <xf numFmtId="0" fontId="94" fillId="101" borderId="0" applyNumberFormat="0" applyBorder="0" applyAlignment="0" applyProtection="0"/>
    <xf numFmtId="0" fontId="84" fillId="53" borderId="0" applyNumberFormat="0" applyBorder="0" applyAlignment="0" applyProtection="0"/>
    <xf numFmtId="0" fontId="59" fillId="53" borderId="0" applyNumberFormat="0" applyBorder="0" applyAlignment="0" applyProtection="0"/>
    <xf numFmtId="187" fontId="59" fillId="53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33" fillId="13" borderId="0" applyNumberFormat="0" applyBorder="0" applyAlignment="0" applyProtection="0"/>
    <xf numFmtId="0" fontId="93" fillId="102" borderId="0" applyNumberFormat="0" applyBorder="0" applyAlignment="0" applyProtection="0"/>
    <xf numFmtId="0" fontId="93" fillId="103" borderId="0" applyNumberFormat="0" applyBorder="0" applyAlignment="0" applyProtection="0"/>
    <xf numFmtId="0" fontId="59" fillId="54" borderId="0" applyNumberFormat="0" applyBorder="0" applyAlignment="0" applyProtection="0"/>
    <xf numFmtId="0" fontId="93" fillId="104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187" fontId="33" fillId="52" borderId="0" applyNumberFormat="0" applyBorder="0" applyAlignment="0" applyProtection="0"/>
    <xf numFmtId="0" fontId="93" fillId="105" borderId="0" applyNumberFormat="0" applyBorder="0" applyAlignment="0" applyProtection="0"/>
    <xf numFmtId="0" fontId="84" fillId="54" borderId="0" applyNumberFormat="0" applyBorder="0" applyAlignment="0" applyProtection="0"/>
    <xf numFmtId="0" fontId="93" fillId="103" borderId="0" applyNumberFormat="0" applyBorder="0" applyAlignment="0" applyProtection="0"/>
    <xf numFmtId="0" fontId="84" fillId="54" borderId="0" applyNumberFormat="0" applyBorder="0" applyAlignment="0" applyProtection="0"/>
    <xf numFmtId="0" fontId="59" fillId="54" borderId="0" applyNumberFormat="0" applyBorder="0" applyAlignment="0" applyProtection="0"/>
    <xf numFmtId="0" fontId="94" fillId="103" borderId="0" applyNumberFormat="0" applyBorder="0" applyAlignment="0" applyProtection="0"/>
    <xf numFmtId="0" fontId="84" fillId="54" borderId="0" applyNumberFormat="0" applyBorder="0" applyAlignment="0" applyProtection="0"/>
    <xf numFmtId="0" fontId="59" fillId="54" borderId="0" applyNumberFormat="0" applyBorder="0" applyAlignment="0" applyProtection="0"/>
    <xf numFmtId="187" fontId="59" fillId="54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43" fillId="52" borderId="0" applyNumberFormat="0" applyBorder="0" applyAlignment="0" applyProtection="0"/>
    <xf numFmtId="0" fontId="93" fillId="106" borderId="0" applyNumberFormat="0" applyBorder="0" applyAlignment="0" applyProtection="0"/>
    <xf numFmtId="0" fontId="93" fillId="107" borderId="0" applyNumberFormat="0" applyBorder="0" applyAlignment="0" applyProtection="0"/>
    <xf numFmtId="0" fontId="59" fillId="55" borderId="0" applyNumberFormat="0" applyBorder="0" applyAlignment="0" applyProtection="0"/>
    <xf numFmtId="0" fontId="93" fillId="106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187" fontId="33" fillId="17" borderId="0" applyNumberFormat="0" applyBorder="0" applyAlignment="0" applyProtection="0"/>
    <xf numFmtId="0" fontId="93" fillId="108" borderId="0" applyNumberFormat="0" applyBorder="0" applyAlignment="0" applyProtection="0"/>
    <xf numFmtId="0" fontId="84" fillId="55" borderId="0" applyNumberFormat="0" applyBorder="0" applyAlignment="0" applyProtection="0"/>
    <xf numFmtId="0" fontId="93" fillId="107" borderId="0" applyNumberFormat="0" applyBorder="0" applyAlignment="0" applyProtection="0"/>
    <xf numFmtId="0" fontId="84" fillId="55" borderId="0" applyNumberFormat="0" applyBorder="0" applyAlignment="0" applyProtection="0"/>
    <xf numFmtId="0" fontId="59" fillId="55" borderId="0" applyNumberFormat="0" applyBorder="0" applyAlignment="0" applyProtection="0"/>
    <xf numFmtId="0" fontId="94" fillId="107" borderId="0" applyNumberFormat="0" applyBorder="0" applyAlignment="0" applyProtection="0"/>
    <xf numFmtId="0" fontId="84" fillId="55" borderId="0" applyNumberFormat="0" applyBorder="0" applyAlignment="0" applyProtection="0"/>
    <xf numFmtId="0" fontId="59" fillId="55" borderId="0" applyNumberFormat="0" applyBorder="0" applyAlignment="0" applyProtection="0"/>
    <xf numFmtId="187" fontId="59" fillId="55" borderId="0" applyNumberFormat="0" applyBorder="0" applyAlignment="0" applyProtection="0"/>
    <xf numFmtId="0" fontId="93" fillId="109" borderId="0" applyNumberFormat="0" applyBorder="0" applyAlignment="0" applyProtection="0"/>
    <xf numFmtId="0" fontId="93" fillId="110" borderId="0" applyNumberFormat="0" applyBorder="0" applyAlignment="0" applyProtection="0"/>
    <xf numFmtId="0" fontId="59" fillId="56" borderId="0" applyNumberFormat="0" applyBorder="0" applyAlignment="0" applyProtection="0"/>
    <xf numFmtId="0" fontId="93" fillId="109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187" fontId="33" fillId="21" borderId="0" applyNumberFormat="0" applyBorder="0" applyAlignment="0" applyProtection="0"/>
    <xf numFmtId="0" fontId="93" fillId="111" borderId="0" applyNumberFormat="0" applyBorder="0" applyAlignment="0" applyProtection="0"/>
    <xf numFmtId="0" fontId="84" fillId="56" borderId="0" applyNumberFormat="0" applyBorder="0" applyAlignment="0" applyProtection="0"/>
    <xf numFmtId="0" fontId="93" fillId="110" borderId="0" applyNumberFormat="0" applyBorder="0" applyAlignment="0" applyProtection="0"/>
    <xf numFmtId="0" fontId="84" fillId="56" borderId="0" applyNumberFormat="0" applyBorder="0" applyAlignment="0" applyProtection="0"/>
    <xf numFmtId="0" fontId="59" fillId="56" borderId="0" applyNumberFormat="0" applyBorder="0" applyAlignment="0" applyProtection="0"/>
    <xf numFmtId="0" fontId="94" fillId="110" borderId="0" applyNumberFormat="0" applyBorder="0" applyAlignment="0" applyProtection="0"/>
    <xf numFmtId="0" fontId="84" fillId="56" borderId="0" applyNumberFormat="0" applyBorder="0" applyAlignment="0" applyProtection="0"/>
    <xf numFmtId="0" fontId="59" fillId="56" borderId="0" applyNumberFormat="0" applyBorder="0" applyAlignment="0" applyProtection="0"/>
    <xf numFmtId="187" fontId="59" fillId="56" borderId="0" applyNumberFormat="0" applyBorder="0" applyAlignment="0" applyProtection="0"/>
    <xf numFmtId="0" fontId="43" fillId="112" borderId="0" applyNumberFormat="0" applyBorder="0" applyAlignment="0" applyProtection="0"/>
    <xf numFmtId="0" fontId="43" fillId="112" borderId="0" applyNumberFormat="0" applyBorder="0" applyAlignment="0" applyProtection="0"/>
    <xf numFmtId="0" fontId="43" fillId="112" borderId="0" applyNumberFormat="0" applyBorder="0" applyAlignment="0" applyProtection="0"/>
    <xf numFmtId="0" fontId="43" fillId="112" borderId="0" applyNumberFormat="0" applyBorder="0" applyAlignment="0" applyProtection="0"/>
    <xf numFmtId="0" fontId="43" fillId="112" borderId="0" applyNumberFormat="0" applyBorder="0" applyAlignment="0" applyProtection="0"/>
    <xf numFmtId="0" fontId="43" fillId="112" borderId="0" applyNumberFormat="0" applyBorder="0" applyAlignment="0" applyProtection="0"/>
    <xf numFmtId="0" fontId="33" fillId="25" borderId="0" applyNumberFormat="0" applyBorder="0" applyAlignment="0" applyProtection="0"/>
    <xf numFmtId="0" fontId="93" fillId="113" borderId="0" applyNumberFormat="0" applyBorder="0" applyAlignment="0" applyProtection="0"/>
    <xf numFmtId="0" fontId="93" fillId="72" borderId="0" applyNumberFormat="0" applyBorder="0" applyAlignment="0" applyProtection="0"/>
    <xf numFmtId="0" fontId="59" fillId="51" borderId="0" applyNumberFormat="0" applyBorder="0" applyAlignment="0" applyProtection="0"/>
    <xf numFmtId="0" fontId="93" fillId="113" borderId="0" applyNumberFormat="0" applyBorder="0" applyAlignment="0" applyProtection="0"/>
    <xf numFmtId="0" fontId="33" fillId="112" borderId="0" applyNumberFormat="0" applyBorder="0" applyAlignment="0" applyProtection="0"/>
    <xf numFmtId="0" fontId="33" fillId="112" borderId="0" applyNumberFormat="0" applyBorder="0" applyAlignment="0" applyProtection="0"/>
    <xf numFmtId="187" fontId="33" fillId="112" borderId="0" applyNumberFormat="0" applyBorder="0" applyAlignment="0" applyProtection="0"/>
    <xf numFmtId="0" fontId="93" fillId="114" borderId="0" applyNumberFormat="0" applyBorder="0" applyAlignment="0" applyProtection="0"/>
    <xf numFmtId="0" fontId="84" fillId="51" borderId="0" applyNumberFormat="0" applyBorder="0" applyAlignment="0" applyProtection="0"/>
    <xf numFmtId="0" fontId="93" fillId="72" borderId="0" applyNumberFormat="0" applyBorder="0" applyAlignment="0" applyProtection="0"/>
    <xf numFmtId="0" fontId="84" fillId="51" borderId="0" applyNumberFormat="0" applyBorder="0" applyAlignment="0" applyProtection="0"/>
    <xf numFmtId="0" fontId="59" fillId="51" borderId="0" applyNumberFormat="0" applyBorder="0" applyAlignment="0" applyProtection="0"/>
    <xf numFmtId="0" fontId="94" fillId="72" borderId="0" applyNumberFormat="0" applyBorder="0" applyAlignment="0" applyProtection="0"/>
    <xf numFmtId="0" fontId="84" fillId="51" borderId="0" applyNumberFormat="0" applyBorder="0" applyAlignment="0" applyProtection="0"/>
    <xf numFmtId="0" fontId="59" fillId="51" borderId="0" applyNumberFormat="0" applyBorder="0" applyAlignment="0" applyProtection="0"/>
    <xf numFmtId="187" fontId="59" fillId="51" borderId="0" applyNumberFormat="0" applyBorder="0" applyAlignment="0" applyProtection="0"/>
    <xf numFmtId="0" fontId="43" fillId="112" borderId="0" applyNumberFormat="0" applyBorder="0" applyAlignment="0" applyProtection="0"/>
    <xf numFmtId="0" fontId="43" fillId="112" borderId="0" applyNumberFormat="0" applyBorder="0" applyAlignment="0" applyProtection="0"/>
    <xf numFmtId="0" fontId="43" fillId="112" borderId="0" applyNumberFormat="0" applyBorder="0" applyAlignment="0" applyProtection="0"/>
    <xf numFmtId="0" fontId="93" fillId="100" borderId="0" applyNumberFormat="0" applyBorder="0" applyAlignment="0" applyProtection="0"/>
    <xf numFmtId="0" fontId="93" fillId="100" borderId="0" applyNumberFormat="0" applyBorder="0" applyAlignment="0" applyProtection="0"/>
    <xf numFmtId="0" fontId="59" fillId="52" borderId="0" applyNumberFormat="0" applyBorder="0" applyAlignment="0" applyProtection="0"/>
    <xf numFmtId="0" fontId="93" fillId="10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187" fontId="33" fillId="29" borderId="0" applyNumberFormat="0" applyBorder="0" applyAlignment="0" applyProtection="0"/>
    <xf numFmtId="0" fontId="84" fillId="52" borderId="0" applyNumberFormat="0" applyBorder="0" applyAlignment="0" applyProtection="0"/>
    <xf numFmtId="0" fontId="93" fillId="100" borderId="0" applyNumberFormat="0" applyBorder="0" applyAlignment="0" applyProtection="0"/>
    <xf numFmtId="0" fontId="84" fillId="52" borderId="0" applyNumberFormat="0" applyBorder="0" applyAlignment="0" applyProtection="0"/>
    <xf numFmtId="0" fontId="59" fillId="52" borderId="0" applyNumberFormat="0" applyBorder="0" applyAlignment="0" applyProtection="0"/>
    <xf numFmtId="0" fontId="94" fillId="100" borderId="0" applyNumberFormat="0" applyBorder="0" applyAlignment="0" applyProtection="0"/>
    <xf numFmtId="0" fontId="84" fillId="52" borderId="0" applyNumberFormat="0" applyBorder="0" applyAlignment="0" applyProtection="0"/>
    <xf numFmtId="0" fontId="59" fillId="52" borderId="0" applyNumberFormat="0" applyBorder="0" applyAlignment="0" applyProtection="0"/>
    <xf numFmtId="187" fontId="59" fillId="52" borderId="0" applyNumberFormat="0" applyBorder="0" applyAlignment="0" applyProtection="0"/>
    <xf numFmtId="0" fontId="93" fillId="101" borderId="0" applyNumberFormat="0" applyBorder="0" applyAlignment="0" applyProtection="0"/>
    <xf numFmtId="0" fontId="93" fillId="115" borderId="0" applyNumberFormat="0" applyBorder="0" applyAlignment="0" applyProtection="0"/>
    <xf numFmtId="0" fontId="59" fillId="57" borderId="0" applyNumberFormat="0" applyBorder="0" applyAlignment="0" applyProtection="0"/>
    <xf numFmtId="0" fontId="93" fillId="101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187" fontId="33" fillId="33" borderId="0" applyNumberFormat="0" applyBorder="0" applyAlignment="0" applyProtection="0"/>
    <xf numFmtId="0" fontId="93" fillId="116" borderId="0" applyNumberFormat="0" applyBorder="0" applyAlignment="0" applyProtection="0"/>
    <xf numFmtId="0" fontId="84" fillId="57" borderId="0" applyNumberFormat="0" applyBorder="0" applyAlignment="0" applyProtection="0"/>
    <xf numFmtId="0" fontId="93" fillId="115" borderId="0" applyNumberFormat="0" applyBorder="0" applyAlignment="0" applyProtection="0"/>
    <xf numFmtId="0" fontId="84" fillId="57" borderId="0" applyNumberFormat="0" applyBorder="0" applyAlignment="0" applyProtection="0"/>
    <xf numFmtId="0" fontId="59" fillId="57" borderId="0" applyNumberFormat="0" applyBorder="0" applyAlignment="0" applyProtection="0"/>
    <xf numFmtId="0" fontId="94" fillId="115" borderId="0" applyNumberFormat="0" applyBorder="0" applyAlignment="0" applyProtection="0"/>
    <xf numFmtId="0" fontId="84" fillId="57" borderId="0" applyNumberFormat="0" applyBorder="0" applyAlignment="0" applyProtection="0"/>
    <xf numFmtId="0" fontId="59" fillId="57" borderId="0" applyNumberFormat="0" applyBorder="0" applyAlignment="0" applyProtection="0"/>
    <xf numFmtId="187" fontId="59" fillId="57" borderId="0" applyNumberFormat="0" applyBorder="0" applyAlignment="0" applyProtection="0"/>
    <xf numFmtId="0" fontId="95" fillId="117" borderId="0" applyNumberFormat="0" applyBorder="0" applyAlignment="0" applyProtection="0"/>
    <xf numFmtId="0" fontId="96" fillId="73" borderId="0" applyNumberFormat="0" applyBorder="0" applyAlignment="0" applyProtection="0"/>
    <xf numFmtId="0" fontId="60" fillId="41" borderId="0" applyNumberFormat="0" applyBorder="0" applyAlignment="0" applyProtection="0"/>
    <xf numFmtId="0" fontId="95" fillId="11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187" fontId="24" fillId="7" borderId="0" applyNumberFormat="0" applyBorder="0" applyAlignment="0" applyProtection="0"/>
    <xf numFmtId="0" fontId="95" fillId="118" borderId="0" applyNumberFormat="0" applyBorder="0" applyAlignment="0" applyProtection="0"/>
    <xf numFmtId="0" fontId="96" fillId="73" borderId="0" applyNumberFormat="0" applyBorder="0" applyAlignment="0" applyProtection="0"/>
    <xf numFmtId="0" fontId="138" fillId="41" borderId="0" applyNumberFormat="0" applyBorder="0" applyAlignment="0" applyProtection="0"/>
    <xf numFmtId="0" fontId="60" fillId="41" borderId="0" applyNumberFormat="0" applyBorder="0" applyAlignment="0" applyProtection="0"/>
    <xf numFmtId="0" fontId="97" fillId="73" borderId="0" applyNumberFormat="0" applyBorder="0" applyAlignment="0" applyProtection="0"/>
    <xf numFmtId="0" fontId="138" fillId="41" borderId="0" applyNumberFormat="0" applyBorder="0" applyAlignment="0" applyProtection="0"/>
    <xf numFmtId="0" fontId="60" fillId="41" borderId="0" applyNumberFormat="0" applyBorder="0" applyAlignment="0" applyProtection="0"/>
    <xf numFmtId="187" fontId="60" fillId="41" borderId="0" applyNumberFormat="0" applyBorder="0" applyAlignment="0" applyProtection="0"/>
    <xf numFmtId="0" fontId="45" fillId="45" borderId="8" applyNumberFormat="0" applyAlignment="0" applyProtection="0"/>
    <xf numFmtId="0" fontId="45" fillId="45" borderId="8" applyNumberFormat="0" applyAlignment="0" applyProtection="0"/>
    <xf numFmtId="0" fontId="45" fillId="45" borderId="8" applyNumberFormat="0" applyAlignment="0" applyProtection="0"/>
    <xf numFmtId="0" fontId="45" fillId="45" borderId="8" applyNumberFormat="0" applyAlignment="0" applyProtection="0"/>
    <xf numFmtId="0" fontId="45" fillId="45" borderId="8" applyNumberFormat="0" applyAlignment="0" applyProtection="0"/>
    <xf numFmtId="0" fontId="45" fillId="45" borderId="8" applyNumberFormat="0" applyAlignment="0" applyProtection="0"/>
    <xf numFmtId="0" fontId="28" fillId="10" borderId="8" applyNumberFormat="0" applyAlignment="0" applyProtection="0"/>
    <xf numFmtId="0" fontId="98" fillId="119" borderId="38" applyNumberFormat="0" applyAlignment="0" applyProtection="0"/>
    <xf numFmtId="0" fontId="99" fillId="120" borderId="15" applyNumberFormat="0" applyAlignment="0" applyProtection="0"/>
    <xf numFmtId="0" fontId="61" fillId="58" borderId="15" applyNumberFormat="0" applyAlignment="0" applyProtection="0"/>
    <xf numFmtId="0" fontId="98" fillId="119" borderId="38" applyNumberFormat="0" applyAlignment="0" applyProtection="0"/>
    <xf numFmtId="0" fontId="28" fillId="45" borderId="8" applyNumberFormat="0" applyAlignment="0" applyProtection="0"/>
    <xf numFmtId="0" fontId="28" fillId="45" borderId="8" applyNumberFormat="0" applyAlignment="0" applyProtection="0"/>
    <xf numFmtId="187" fontId="28" fillId="45" borderId="8" applyNumberFormat="0" applyAlignment="0" applyProtection="0"/>
    <xf numFmtId="0" fontId="151" fillId="121" borderId="39" applyNumberFormat="0" applyAlignment="0" applyProtection="0"/>
    <xf numFmtId="0" fontId="99" fillId="120" borderId="15" applyNumberFormat="0" applyAlignment="0" applyProtection="0"/>
    <xf numFmtId="0" fontId="139" fillId="58" borderId="15" applyNumberFormat="0" applyAlignment="0" applyProtection="0"/>
    <xf numFmtId="0" fontId="61" fillId="58" borderId="15" applyNumberFormat="0" applyAlignment="0" applyProtection="0"/>
    <xf numFmtId="0" fontId="100" fillId="120" borderId="15" applyNumberFormat="0" applyAlignment="0" applyProtection="0"/>
    <xf numFmtId="0" fontId="139" fillId="58" borderId="15" applyNumberFormat="0" applyAlignment="0" applyProtection="0"/>
    <xf numFmtId="0" fontId="61" fillId="58" borderId="15" applyNumberFormat="0" applyAlignment="0" applyProtection="0"/>
    <xf numFmtId="187" fontId="61" fillId="58" borderId="15" applyNumberFormat="0" applyAlignment="0" applyProtection="0"/>
    <xf numFmtId="0" fontId="45" fillId="45" borderId="8" applyNumberFormat="0" applyAlignment="0" applyProtection="0"/>
    <xf numFmtId="0" fontId="45" fillId="45" borderId="8" applyNumberFormat="0" applyAlignment="0" applyProtection="0"/>
    <xf numFmtId="0" fontId="45" fillId="45" borderId="8" applyNumberFormat="0" applyAlignment="0" applyProtection="0"/>
    <xf numFmtId="0" fontId="101" fillId="96" borderId="16" applyNumberFormat="0" applyAlignment="0" applyProtection="0"/>
    <xf numFmtId="0" fontId="101" fillId="122" borderId="16" applyNumberFormat="0" applyAlignment="0" applyProtection="0"/>
    <xf numFmtId="0" fontId="62" fillId="59" borderId="16" applyNumberFormat="0" applyAlignment="0" applyProtection="0"/>
    <xf numFmtId="0" fontId="101" fillId="96" borderId="16" applyNumberFormat="0" applyAlignment="0" applyProtection="0"/>
    <xf numFmtId="0" fontId="30" fillId="11" borderId="11" applyNumberFormat="0" applyAlignment="0" applyProtection="0"/>
    <xf numFmtId="0" fontId="30" fillId="11" borderId="11" applyNumberFormat="0" applyAlignment="0" applyProtection="0"/>
    <xf numFmtId="187" fontId="30" fillId="11" borderId="11" applyNumberFormat="0" applyAlignment="0" applyProtection="0"/>
    <xf numFmtId="0" fontId="101" fillId="123" borderId="16" applyNumberFormat="0" applyAlignment="0" applyProtection="0"/>
    <xf numFmtId="0" fontId="101" fillId="122" borderId="16" applyNumberFormat="0" applyAlignment="0" applyProtection="0"/>
    <xf numFmtId="0" fontId="85" fillId="59" borderId="16" applyNumberFormat="0" applyAlignment="0" applyProtection="0"/>
    <xf numFmtId="0" fontId="62" fillId="59" borderId="16" applyNumberFormat="0" applyAlignment="0" applyProtection="0"/>
    <xf numFmtId="0" fontId="102" fillId="122" borderId="16" applyNumberFormat="0" applyAlignment="0" applyProtection="0"/>
    <xf numFmtId="0" fontId="85" fillId="59" borderId="16" applyNumberFormat="0" applyAlignment="0" applyProtection="0"/>
    <xf numFmtId="0" fontId="62" fillId="59" borderId="16" applyNumberFormat="0" applyAlignment="0" applyProtection="0"/>
    <xf numFmtId="187" fontId="62" fillId="59" borderId="16" applyNumberFormat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7" fillId="0" borderId="0" applyFont="0" applyFill="0" applyBorder="0" applyAlignment="0" applyProtection="0"/>
    <xf numFmtId="179" fontId="79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2" fillId="0" borderId="0" applyFont="0" applyFill="0" applyBorder="0" applyAlignment="0" applyProtection="0"/>
    <xf numFmtId="180" fontId="87" fillId="0" borderId="0" applyFill="0" applyBorder="0" applyAlignment="0" applyProtection="0"/>
    <xf numFmtId="180" fontId="87" fillId="0" borderId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9" fontId="87" fillId="0" borderId="0" applyFill="0" applyBorder="0" applyAlignment="0" applyProtection="0"/>
    <xf numFmtId="43" fontId="42" fillId="0" borderId="0" applyFont="0" applyFill="0" applyBorder="0" applyAlignment="0" applyProtection="0"/>
    <xf numFmtId="180" fontId="87" fillId="0" borderId="0" applyFill="0" applyBorder="0" applyAlignment="0" applyProtection="0"/>
    <xf numFmtId="43" fontId="10" fillId="0" borderId="0" applyFont="0" applyFill="0" applyBorder="0" applyAlignment="0" applyProtection="0"/>
    <xf numFmtId="179" fontId="87" fillId="0" borderId="0" applyFill="0" applyBorder="0" applyAlignment="0" applyProtection="0"/>
    <xf numFmtId="43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80" fontId="87" fillId="0" borderId="0" applyFill="0" applyBorder="0" applyAlignment="0" applyProtection="0"/>
    <xf numFmtId="180" fontId="87" fillId="0" borderId="0" applyFill="0" applyBorder="0" applyAlignment="0" applyProtection="0"/>
    <xf numFmtId="43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179" fontId="87" fillId="0" borderId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9" fontId="79" fillId="0" borderId="0" applyFill="0" applyBorder="0" applyAlignment="0" applyProtection="0"/>
    <xf numFmtId="180" fontId="87" fillId="0" borderId="0" applyFill="0" applyBorder="0" applyAlignment="0" applyProtection="0"/>
    <xf numFmtId="180" fontId="87" fillId="0" borderId="0" applyFill="0" applyBorder="0" applyAlignment="0" applyProtection="0"/>
    <xf numFmtId="43" fontId="10" fillId="0" borderId="0" applyFont="0" applyFill="0" applyBorder="0" applyAlignment="0" applyProtection="0"/>
    <xf numFmtId="179" fontId="87" fillId="0" borderId="0" applyFill="0" applyBorder="0" applyAlignment="0" applyProtection="0"/>
    <xf numFmtId="43" fontId="4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179" fontId="79" fillId="0" borderId="0" applyFill="0" applyBorder="0" applyAlignment="0" applyProtection="0"/>
    <xf numFmtId="180" fontId="87" fillId="0" borderId="0" applyFill="0" applyBorder="0" applyAlignment="0" applyProtection="0"/>
    <xf numFmtId="43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180" fontId="87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179" fontId="87" fillId="0" borderId="0" applyFill="0" applyBorder="0" applyAlignment="0" applyProtection="0"/>
    <xf numFmtId="179" fontId="87" fillId="0" borderId="0" applyFill="0" applyBorder="0" applyAlignment="0" applyProtection="0"/>
    <xf numFmtId="43" fontId="4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2" fillId="0" borderId="0" applyFont="0" applyFill="0" applyBorder="0" applyAlignment="0" applyProtection="0"/>
    <xf numFmtId="179" fontId="87" fillId="0" borderId="0" applyFill="0" applyBorder="0" applyAlignment="0" applyProtection="0"/>
    <xf numFmtId="179" fontId="87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3" fontId="79" fillId="0" borderId="0" applyFill="0" applyBorder="0" applyAlignment="0" applyProtection="0"/>
    <xf numFmtId="3" fontId="87" fillId="0" borderId="0" applyFill="0" applyBorder="0" applyAlignment="0" applyProtection="0"/>
    <xf numFmtId="3" fontId="10" fillId="0" borderId="0" applyFont="0" applyFill="0" applyBorder="0" applyAlignment="0" applyProtection="0"/>
    <xf numFmtId="3" fontId="87" fillId="0" borderId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182" fontId="79" fillId="0" borderId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2" fillId="0" borderId="0" applyFont="0" applyFill="0" applyBorder="0" applyAlignment="0" applyProtection="0"/>
    <xf numFmtId="183" fontId="87" fillId="0" borderId="0" applyFill="0" applyBorder="0" applyAlignment="0" applyProtection="0"/>
    <xf numFmtId="183" fontId="87" fillId="0" borderId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182" fontId="87" fillId="0" borderId="0" applyFill="0" applyBorder="0" applyAlignment="0" applyProtection="0"/>
    <xf numFmtId="44" fontId="42" fillId="0" borderId="0" applyFont="0" applyFill="0" applyBorder="0" applyAlignment="0" applyProtection="0"/>
    <xf numFmtId="183" fontId="87" fillId="0" borderId="0" applyFill="0" applyBorder="0" applyAlignment="0" applyProtection="0"/>
    <xf numFmtId="44" fontId="10" fillId="0" borderId="0" applyFont="0" applyFill="0" applyBorder="0" applyAlignment="0" applyProtection="0"/>
    <xf numFmtId="182" fontId="87" fillId="0" borderId="0" applyFill="0" applyBorder="0" applyAlignment="0" applyProtection="0"/>
    <xf numFmtId="44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182" fontId="79" fillId="0" borderId="0" applyFill="0" applyBorder="0" applyAlignment="0" applyProtection="0"/>
    <xf numFmtId="183" fontId="87" fillId="0" borderId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83" fontId="87" fillId="0" borderId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0" fillId="0" borderId="0" applyFont="0" applyFill="0" applyBorder="0" applyAlignment="0" applyProtection="0"/>
    <xf numFmtId="182" fontId="87" fillId="0" borderId="0" applyFill="0" applyBorder="0" applyAlignment="0" applyProtection="0"/>
    <xf numFmtId="44" fontId="10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87" fillId="0" borderId="0" applyNumberFormat="0" applyFill="0" applyBorder="0" applyAlignment="0" applyProtection="0"/>
    <xf numFmtId="44" fontId="83" fillId="0" borderId="0" applyFont="0" applyFill="0" applyBorder="0" applyAlignment="0" applyProtection="0"/>
    <xf numFmtId="44" fontId="10" fillId="0" borderId="0" applyFont="0" applyFill="0" applyBorder="0" applyAlignment="0" applyProtection="0"/>
    <xf numFmtId="184" fontId="79" fillId="0" borderId="0" applyFill="0" applyBorder="0" applyAlignment="0" applyProtection="0"/>
    <xf numFmtId="184" fontId="87" fillId="0" borderId="0" applyFill="0" applyBorder="0" applyAlignment="0" applyProtection="0"/>
    <xf numFmtId="5" fontId="10" fillId="0" borderId="0" applyFont="0" applyFill="0" applyBorder="0" applyAlignment="0" applyProtection="0"/>
    <xf numFmtId="184" fontId="87" fillId="0" borderId="0" applyFill="0" applyBorder="0" applyAlignment="0" applyProtection="0"/>
    <xf numFmtId="5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14" fontId="79" fillId="0" borderId="0" applyFill="0" applyBorder="0" applyAlignment="0" applyProtection="0"/>
    <xf numFmtId="14" fontId="87" fillId="0" borderId="0" applyFill="0" applyBorder="0" applyAlignment="0" applyProtection="0"/>
    <xf numFmtId="14" fontId="10" fillId="0" borderId="0" applyFont="0" applyFill="0" applyBorder="0" applyAlignment="0" applyProtection="0"/>
    <xf numFmtId="14" fontId="87" fillId="0" borderId="0" applyFill="0" applyBorder="0" applyAlignment="0" applyProtection="0"/>
    <xf numFmtId="14" fontId="10" fillId="0" borderId="0" applyFont="0" applyFill="0" applyBorder="0" applyAlignment="0" applyProtection="0"/>
    <xf numFmtId="14" fontId="10" fillId="0" borderId="0" applyFont="0" applyFill="0" applyBorder="0" applyAlignment="0" applyProtection="0"/>
    <xf numFmtId="0" fontId="106" fillId="76" borderId="0" applyNumberFormat="0" applyBorder="0" applyAlignment="0" applyProtection="0"/>
    <xf numFmtId="0" fontId="153" fillId="124" borderId="0" applyNumberFormat="0" applyBorder="0" applyAlignment="0" applyProtection="0"/>
    <xf numFmtId="0" fontId="77" fillId="0" borderId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87" fontId="3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87" fontId="63" fillId="0" borderId="0" applyNumberFormat="0" applyFill="0" applyBorder="0" applyAlignment="0" applyProtection="0"/>
    <xf numFmtId="0" fontId="157" fillId="45" borderId="53" applyNumberFormat="0" applyAlignment="0" applyProtection="0">
      <alignment horizontal="right" vertical="center"/>
    </xf>
    <xf numFmtId="0" fontId="158" fillId="125" borderId="53" applyNumberFormat="0">
      <alignment horizontal="center" vertical="center"/>
    </xf>
    <xf numFmtId="2" fontId="79" fillId="0" borderId="0" applyFill="0" applyBorder="0" applyAlignment="0" applyProtection="0"/>
    <xf numFmtId="2" fontId="87" fillId="0" borderId="0" applyFill="0" applyBorder="0" applyAlignment="0" applyProtection="0"/>
    <xf numFmtId="2" fontId="10" fillId="0" borderId="0" applyFont="0" applyFill="0" applyBorder="0" applyAlignment="0" applyProtection="0"/>
    <xf numFmtId="2" fontId="87" fillId="0" borderId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59" fillId="0" borderId="0" applyNumberFormat="0" applyFill="0" applyBorder="0" applyAlignment="0" applyProtection="0"/>
    <xf numFmtId="0" fontId="106" fillId="126" borderId="0" applyNumberFormat="0" applyBorder="0" applyAlignment="0" applyProtection="0"/>
    <xf numFmtId="0" fontId="106" fillId="76" borderId="0" applyNumberFormat="0" applyBorder="0" applyAlignment="0" applyProtection="0"/>
    <xf numFmtId="0" fontId="64" fillId="42" borderId="0" applyNumberFormat="0" applyBorder="0" applyAlignment="0" applyProtection="0"/>
    <xf numFmtId="0" fontId="106" fillId="12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187" fontId="23" fillId="6" borderId="0" applyNumberFormat="0" applyBorder="0" applyAlignment="0" applyProtection="0"/>
    <xf numFmtId="0" fontId="153" fillId="127" borderId="0" applyNumberFormat="0" applyBorder="0" applyAlignment="0" applyProtection="0"/>
    <xf numFmtId="0" fontId="106" fillId="76" borderId="0" applyNumberFormat="0" applyBorder="0" applyAlignment="0" applyProtection="0"/>
    <xf numFmtId="0" fontId="141" fillId="42" borderId="0" applyNumberFormat="0" applyBorder="0" applyAlignment="0" applyProtection="0"/>
    <xf numFmtId="0" fontId="64" fillId="42" borderId="0" applyNumberFormat="0" applyBorder="0" applyAlignment="0" applyProtection="0"/>
    <xf numFmtId="0" fontId="107" fillId="76" borderId="0" applyNumberFormat="0" applyBorder="0" applyAlignment="0" applyProtection="0"/>
    <xf numFmtId="0" fontId="141" fillId="42" borderId="0" applyNumberFormat="0" applyBorder="0" applyAlignment="0" applyProtection="0"/>
    <xf numFmtId="0" fontId="64" fillId="42" borderId="0" applyNumberFormat="0" applyBorder="0" applyAlignment="0" applyProtection="0"/>
    <xf numFmtId="187" fontId="64" fillId="42" borderId="0" applyNumberFormat="0" applyBorder="0" applyAlignment="0" applyProtection="0"/>
    <xf numFmtId="0" fontId="108" fillId="120" borderId="0" applyNumberFormat="0" applyBorder="0" applyAlignment="0" applyProtection="0"/>
    <xf numFmtId="0" fontId="108" fillId="120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108" fillId="128" borderId="0" applyNumberFormat="0" applyBorder="0" applyAlignment="0" applyProtection="0"/>
    <xf numFmtId="0" fontId="142" fillId="0" borderId="40" applyNumberFormat="0" applyFill="0" applyAlignment="0" applyProtection="0"/>
    <xf numFmtId="0" fontId="142" fillId="0" borderId="40" applyNumberFormat="0" applyFill="0" applyAlignment="0" applyProtection="0"/>
    <xf numFmtId="0" fontId="142" fillId="0" borderId="40" applyNumberFormat="0" applyFill="0" applyAlignment="0" applyProtection="0"/>
    <xf numFmtId="0" fontId="142" fillId="0" borderId="40" applyNumberFormat="0" applyFill="0" applyAlignment="0" applyProtection="0"/>
    <xf numFmtId="0" fontId="142" fillId="0" borderId="40" applyNumberFormat="0" applyFill="0" applyAlignment="0" applyProtection="0"/>
    <xf numFmtId="0" fontId="142" fillId="0" borderId="40" applyNumberFormat="0" applyFill="0" applyAlignment="0" applyProtection="0"/>
    <xf numFmtId="0" fontId="20" fillId="0" borderId="5" applyNumberFormat="0" applyFill="0" applyAlignment="0" applyProtection="0"/>
    <xf numFmtId="0" fontId="109" fillId="0" borderId="41" applyNumberFormat="0" applyFill="0" applyAlignment="0" applyProtection="0"/>
    <xf numFmtId="0" fontId="109" fillId="0" borderId="41" applyNumberFormat="0" applyFill="0" applyAlignment="0" applyProtection="0"/>
    <xf numFmtId="0" fontId="160" fillId="0" borderId="40" applyNumberFormat="0" applyFill="0" applyAlignment="0" applyProtection="0"/>
    <xf numFmtId="0" fontId="110" fillId="0" borderId="17" applyNumberFormat="0" applyFill="0" applyAlignment="0" applyProtection="0"/>
    <xf numFmtId="0" fontId="65" fillId="0" borderId="17" applyNumberFormat="0" applyFill="0" applyAlignment="0" applyProtection="0"/>
    <xf numFmtId="0" fontId="160" fillId="0" borderId="40" applyNumberFormat="0" applyFill="0" applyAlignment="0" applyProtection="0"/>
    <xf numFmtId="187" fontId="160" fillId="0" borderId="40" applyNumberFormat="0" applyFill="0" applyAlignment="0" applyProtection="0"/>
    <xf numFmtId="0" fontId="87" fillId="0" borderId="0" applyNumberFormat="0" applyFill="0" applyAlignment="0" applyProtection="0"/>
    <xf numFmtId="0" fontId="135" fillId="0" borderId="0" applyNumberFormat="0" applyFont="0" applyFill="0" applyAlignment="0" applyProtection="0"/>
    <xf numFmtId="0" fontId="110" fillId="0" borderId="17" applyNumberFormat="0" applyFill="0" applyAlignment="0" applyProtection="0"/>
    <xf numFmtId="0" fontId="143" fillId="0" borderId="17" applyNumberFormat="0" applyFill="0" applyAlignment="0" applyProtection="0"/>
    <xf numFmtId="0" fontId="65" fillId="0" borderId="17" applyNumberFormat="0" applyFill="0" applyAlignment="0" applyProtection="0"/>
    <xf numFmtId="0" fontId="135" fillId="0" borderId="0" applyNumberFormat="0" applyFont="0" applyFill="0" applyAlignment="0" applyProtection="0"/>
    <xf numFmtId="0" fontId="65" fillId="0" borderId="17" applyNumberFormat="0" applyFill="0" applyAlignment="0" applyProtection="0"/>
    <xf numFmtId="187" fontId="65" fillId="0" borderId="17" applyNumberFormat="0" applyFill="0" applyAlignment="0" applyProtection="0"/>
    <xf numFmtId="0" fontId="142" fillId="0" borderId="40" applyNumberFormat="0" applyFill="0" applyAlignment="0" applyProtection="0"/>
    <xf numFmtId="0" fontId="142" fillId="0" borderId="40" applyNumberFormat="0" applyFill="0" applyAlignment="0" applyProtection="0"/>
    <xf numFmtId="0" fontId="144" fillId="0" borderId="6" applyNumberFormat="0" applyFill="0" applyAlignment="0" applyProtection="0"/>
    <xf numFmtId="0" fontId="144" fillId="0" borderId="6" applyNumberFormat="0" applyFill="0" applyAlignment="0" applyProtection="0"/>
    <xf numFmtId="0" fontId="144" fillId="0" borderId="6" applyNumberFormat="0" applyFill="0" applyAlignment="0" applyProtection="0"/>
    <xf numFmtId="0" fontId="144" fillId="0" borderId="6" applyNumberFormat="0" applyFill="0" applyAlignment="0" applyProtection="0"/>
    <xf numFmtId="0" fontId="144" fillId="0" borderId="6" applyNumberFormat="0" applyFill="0" applyAlignment="0" applyProtection="0"/>
    <xf numFmtId="0" fontId="144" fillId="0" borderId="6" applyNumberFormat="0" applyFill="0" applyAlignment="0" applyProtection="0"/>
    <xf numFmtId="0" fontId="21" fillId="0" borderId="6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61" fillId="0" borderId="6" applyNumberFormat="0" applyFill="0" applyAlignment="0" applyProtection="0"/>
    <xf numFmtId="0" fontId="112" fillId="0" borderId="18" applyNumberFormat="0" applyFill="0" applyAlignment="0" applyProtection="0"/>
    <xf numFmtId="0" fontId="66" fillId="0" borderId="18" applyNumberFormat="0" applyFill="0" applyAlignment="0" applyProtection="0"/>
    <xf numFmtId="0" fontId="161" fillId="0" borderId="6" applyNumberFormat="0" applyFill="0" applyAlignment="0" applyProtection="0"/>
    <xf numFmtId="187" fontId="161" fillId="0" borderId="6" applyNumberFormat="0" applyFill="0" applyAlignment="0" applyProtection="0"/>
    <xf numFmtId="0" fontId="87" fillId="0" borderId="0" applyNumberFormat="0" applyFill="0" applyAlignment="0" applyProtection="0"/>
    <xf numFmtId="0" fontId="13" fillId="0" borderId="0" applyNumberFormat="0" applyFont="0" applyFill="0" applyAlignment="0" applyProtection="0"/>
    <xf numFmtId="0" fontId="112" fillId="0" borderId="18" applyNumberFormat="0" applyFill="0" applyAlignment="0" applyProtection="0"/>
    <xf numFmtId="0" fontId="145" fillId="0" borderId="18" applyNumberFormat="0" applyFill="0" applyAlignment="0" applyProtection="0"/>
    <xf numFmtId="0" fontId="66" fillId="0" borderId="18" applyNumberFormat="0" applyFill="0" applyAlignment="0" applyProtection="0"/>
    <xf numFmtId="0" fontId="13" fillId="0" borderId="0" applyNumberFormat="0" applyFont="0" applyFill="0" applyAlignment="0" applyProtection="0"/>
    <xf numFmtId="0" fontId="66" fillId="0" borderId="18" applyNumberFormat="0" applyFill="0" applyAlignment="0" applyProtection="0"/>
    <xf numFmtId="187" fontId="66" fillId="0" borderId="18" applyNumberFormat="0" applyFill="0" applyAlignment="0" applyProtection="0"/>
    <xf numFmtId="0" fontId="144" fillId="0" borderId="6" applyNumberFormat="0" applyFill="0" applyAlignment="0" applyProtection="0"/>
    <xf numFmtId="0" fontId="144" fillId="0" borderId="6" applyNumberFormat="0" applyFill="0" applyAlignment="0" applyProtection="0"/>
    <xf numFmtId="0" fontId="146" fillId="0" borderId="43" applyNumberFormat="0" applyFill="0" applyAlignment="0" applyProtection="0"/>
    <xf numFmtId="0" fontId="146" fillId="0" borderId="43" applyNumberFormat="0" applyFill="0" applyAlignment="0" applyProtection="0"/>
    <xf numFmtId="0" fontId="146" fillId="0" borderId="43" applyNumberFormat="0" applyFill="0" applyAlignment="0" applyProtection="0"/>
    <xf numFmtId="0" fontId="146" fillId="0" borderId="43" applyNumberFormat="0" applyFill="0" applyAlignment="0" applyProtection="0"/>
    <xf numFmtId="0" fontId="146" fillId="0" borderId="43" applyNumberFormat="0" applyFill="0" applyAlignment="0" applyProtection="0"/>
    <xf numFmtId="0" fontId="146" fillId="0" borderId="43" applyNumberFormat="0" applyFill="0" applyAlignment="0" applyProtection="0"/>
    <xf numFmtId="0" fontId="22" fillId="0" borderId="7" applyNumberFormat="0" applyFill="0" applyAlignment="0" applyProtection="0"/>
    <xf numFmtId="0" fontId="113" fillId="0" borderId="44" applyNumberFormat="0" applyFill="0" applyAlignment="0" applyProtection="0"/>
    <xf numFmtId="0" fontId="114" fillId="0" borderId="45" applyNumberFormat="0" applyFill="0" applyAlignment="0" applyProtection="0"/>
    <xf numFmtId="0" fontId="67" fillId="0" borderId="19" applyNumberFormat="0" applyFill="0" applyAlignment="0" applyProtection="0"/>
    <xf numFmtId="0" fontId="113" fillId="0" borderId="44" applyNumberFormat="0" applyFill="0" applyAlignment="0" applyProtection="0"/>
    <xf numFmtId="0" fontId="162" fillId="0" borderId="43" applyNumberFormat="0" applyFill="0" applyAlignment="0" applyProtection="0"/>
    <xf numFmtId="0" fontId="162" fillId="0" borderId="43" applyNumberFormat="0" applyFill="0" applyAlignment="0" applyProtection="0"/>
    <xf numFmtId="187" fontId="162" fillId="0" borderId="43" applyNumberFormat="0" applyFill="0" applyAlignment="0" applyProtection="0"/>
    <xf numFmtId="0" fontId="114" fillId="0" borderId="45" applyNumberFormat="0" applyFill="0" applyAlignment="0" applyProtection="0"/>
    <xf numFmtId="0" fontId="147" fillId="0" borderId="19" applyNumberFormat="0" applyFill="0" applyAlignment="0" applyProtection="0"/>
    <xf numFmtId="0" fontId="67" fillId="0" borderId="19" applyNumberFormat="0" applyFill="0" applyAlignment="0" applyProtection="0"/>
    <xf numFmtId="0" fontId="115" fillId="0" borderId="45" applyNumberFormat="0" applyFill="0" applyAlignment="0" applyProtection="0"/>
    <xf numFmtId="0" fontId="147" fillId="0" borderId="19" applyNumberFormat="0" applyFill="0" applyAlignment="0" applyProtection="0"/>
    <xf numFmtId="0" fontId="67" fillId="0" borderId="19" applyNumberFormat="0" applyFill="0" applyAlignment="0" applyProtection="0"/>
    <xf numFmtId="187" fontId="67" fillId="0" borderId="19" applyNumberFormat="0" applyFill="0" applyAlignment="0" applyProtection="0"/>
    <xf numFmtId="0" fontId="146" fillId="0" borderId="43" applyNumberFormat="0" applyFill="0" applyAlignment="0" applyProtection="0"/>
    <xf numFmtId="0" fontId="146" fillId="0" borderId="43" applyNumberFormat="0" applyFill="0" applyAlignment="0" applyProtection="0"/>
    <xf numFmtId="0" fontId="146" fillId="0" borderId="43" applyNumberFormat="0" applyFill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187" fontId="162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87" fontId="6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187" fontId="5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08" fillId="129" borderId="0" applyNumberFormat="0" applyBorder="0" applyAlignment="0" applyProtection="0"/>
    <xf numFmtId="0" fontId="108" fillId="129" borderId="0" applyNumberFormat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9" fillId="84" borderId="38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9" fillId="84" borderId="38" applyNumberFormat="0" applyAlignment="0" applyProtection="0"/>
    <xf numFmtId="0" fontId="26" fillId="60" borderId="8" applyNumberFormat="0" applyAlignment="0" applyProtection="0"/>
    <xf numFmtId="0" fontId="26" fillId="60" borderId="8" applyNumberFormat="0" applyAlignment="0" applyProtection="0"/>
    <xf numFmtId="187" fontId="26" fillId="60" borderId="8" applyNumberFormat="0" applyAlignment="0" applyProtection="0"/>
    <xf numFmtId="0" fontId="119" fillId="84" borderId="39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20" fillId="84" borderId="15" applyNumberFormat="0" applyAlignment="0" applyProtection="0"/>
    <xf numFmtId="0" fontId="148" fillId="45" borderId="15" applyNumberFormat="0" applyAlignment="0" applyProtection="0"/>
    <xf numFmtId="0" fontId="118" fillId="84" borderId="15" applyNumberFormat="0" applyAlignment="0" applyProtection="0"/>
    <xf numFmtId="0" fontId="148" fillId="45" borderId="15" applyNumberFormat="0" applyAlignment="0" applyProtection="0"/>
    <xf numFmtId="0" fontId="68" fillId="45" borderId="15" applyNumberFormat="0" applyAlignment="0" applyProtection="0"/>
    <xf numFmtId="0" fontId="68" fillId="45" borderId="15" applyNumberFormat="0" applyAlignment="0" applyProtection="0"/>
    <xf numFmtId="187" fontId="68" fillId="45" borderId="15" applyNumberFormat="0" applyAlignment="0" applyProtection="0"/>
    <xf numFmtId="0" fontId="68" fillId="45" borderId="15" applyNumberFormat="0" applyAlignment="0" applyProtection="0"/>
    <xf numFmtId="0" fontId="68" fillId="45" borderId="15" applyNumberFormat="0" applyAlignment="0" applyProtection="0"/>
    <xf numFmtId="0" fontId="68" fillId="45" borderId="15" applyNumberFormat="0" applyAlignment="0" applyProtection="0"/>
    <xf numFmtId="0" fontId="68" fillId="45" borderId="15" applyNumberFormat="0" applyAlignment="0" applyProtection="0"/>
    <xf numFmtId="0" fontId="68" fillId="45" borderId="15" applyNumberFormat="0" applyAlignment="0" applyProtection="0"/>
    <xf numFmtId="0" fontId="68" fillId="45" borderId="15" applyNumberFormat="0" applyAlignment="0" applyProtection="0"/>
    <xf numFmtId="0" fontId="148" fillId="45" borderId="15" applyNumberFormat="0" applyAlignment="0" applyProtection="0"/>
    <xf numFmtId="0" fontId="148" fillId="45" borderId="15" applyNumberFormat="0" applyAlignment="0" applyProtection="0"/>
    <xf numFmtId="0" fontId="118" fillId="84" borderId="15" applyNumberFormat="0" applyAlignment="0" applyProtection="0"/>
    <xf numFmtId="0" fontId="148" fillId="45" borderId="15" applyNumberFormat="0" applyAlignment="0" applyProtection="0"/>
    <xf numFmtId="0" fontId="68" fillId="45" borderId="15" applyNumberFormat="0" applyAlignment="0" applyProtection="0"/>
    <xf numFmtId="0" fontId="26" fillId="9" borderId="8" applyNumberFormat="0" applyAlignment="0" applyProtection="0"/>
    <xf numFmtId="0" fontId="118" fillId="84" borderId="15" applyNumberFormat="0" applyAlignment="0" applyProtection="0"/>
    <xf numFmtId="0" fontId="148" fillId="45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18" fillId="84" borderId="15" applyNumberFormat="0" applyAlignment="0" applyProtection="0"/>
    <xf numFmtId="0" fontId="68" fillId="45" borderId="15" applyNumberFormat="0" applyAlignment="0" applyProtection="0"/>
    <xf numFmtId="0" fontId="121" fillId="0" borderId="46" applyNumberFormat="0" applyFill="0" applyAlignment="0" applyProtection="0"/>
    <xf numFmtId="0" fontId="122" fillId="0" borderId="20" applyNumberFormat="0" applyFill="0" applyAlignment="0" applyProtection="0"/>
    <xf numFmtId="0" fontId="69" fillId="0" borderId="20" applyNumberFormat="0" applyFill="0" applyAlignment="0" applyProtection="0"/>
    <xf numFmtId="0" fontId="121" fillId="0" borderId="46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87" fontId="29" fillId="0" borderId="10" applyNumberFormat="0" applyFill="0" applyAlignment="0" applyProtection="0"/>
    <xf numFmtId="0" fontId="154" fillId="0" borderId="47" applyNumberFormat="0" applyFill="0" applyAlignment="0" applyProtection="0"/>
    <xf numFmtId="0" fontId="122" fillId="0" borderId="20" applyNumberFormat="0" applyFill="0" applyAlignment="0" applyProtection="0"/>
    <xf numFmtId="0" fontId="149" fillId="0" borderId="20" applyNumberFormat="0" applyFill="0" applyAlignment="0" applyProtection="0"/>
    <xf numFmtId="0" fontId="69" fillId="0" borderId="20" applyNumberFormat="0" applyFill="0" applyAlignment="0" applyProtection="0"/>
    <xf numFmtId="0" fontId="123" fillId="0" borderId="20" applyNumberFormat="0" applyFill="0" applyAlignment="0" applyProtection="0"/>
    <xf numFmtId="0" fontId="149" fillId="0" borderId="20" applyNumberFormat="0" applyFill="0" applyAlignment="0" applyProtection="0"/>
    <xf numFmtId="0" fontId="69" fillId="0" borderId="20" applyNumberFormat="0" applyFill="0" applyAlignment="0" applyProtection="0"/>
    <xf numFmtId="187" fontId="69" fillId="0" borderId="20" applyNumberFormat="0" applyFill="0" applyAlignment="0" applyProtection="0"/>
    <xf numFmtId="177" fontId="77" fillId="0" borderId="0"/>
    <xf numFmtId="177" fontId="77" fillId="0" borderId="0"/>
    <xf numFmtId="177" fontId="10" fillId="0" borderId="0"/>
    <xf numFmtId="177" fontId="10" fillId="0" borderId="0"/>
    <xf numFmtId="185" fontId="77" fillId="0" borderId="0"/>
    <xf numFmtId="185" fontId="77" fillId="0" borderId="0"/>
    <xf numFmtId="172" fontId="10" fillId="0" borderId="0"/>
    <xf numFmtId="172" fontId="10" fillId="0" borderId="0"/>
    <xf numFmtId="177" fontId="77" fillId="0" borderId="0"/>
    <xf numFmtId="177" fontId="77" fillId="0" borderId="0"/>
    <xf numFmtId="177" fontId="10" fillId="0" borderId="0"/>
    <xf numFmtId="177" fontId="10" fillId="0" borderId="0"/>
    <xf numFmtId="177" fontId="77" fillId="0" borderId="0"/>
    <xf numFmtId="177" fontId="77" fillId="0" borderId="0"/>
    <xf numFmtId="177" fontId="10" fillId="0" borderId="0"/>
    <xf numFmtId="177" fontId="10" fillId="0" borderId="0"/>
    <xf numFmtId="177" fontId="77" fillId="0" borderId="0"/>
    <xf numFmtId="177" fontId="77" fillId="0" borderId="0"/>
    <xf numFmtId="177" fontId="10" fillId="0" borderId="0"/>
    <xf numFmtId="177" fontId="10" fillId="0" borderId="0"/>
    <xf numFmtId="177" fontId="77" fillId="0" borderId="0"/>
    <xf numFmtId="177" fontId="77" fillId="0" borderId="0"/>
    <xf numFmtId="177" fontId="10" fillId="0" borderId="0"/>
    <xf numFmtId="177" fontId="10" fillId="0" borderId="0"/>
    <xf numFmtId="0" fontId="124" fillId="130" borderId="0" applyNumberFormat="0" applyBorder="0" applyAlignment="0" applyProtection="0"/>
    <xf numFmtId="0" fontId="125" fillId="131" borderId="0" applyNumberFormat="0" applyBorder="0" applyAlignment="0" applyProtection="0"/>
    <xf numFmtId="0" fontId="70" fillId="60" borderId="0" applyNumberFormat="0" applyBorder="0" applyAlignment="0" applyProtection="0"/>
    <xf numFmtId="0" fontId="124" fillId="130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187" fontId="25" fillId="8" borderId="0" applyNumberFormat="0" applyBorder="0" applyAlignment="0" applyProtection="0"/>
    <xf numFmtId="0" fontId="155" fillId="132" borderId="0" applyNumberFormat="0" applyBorder="0" applyAlignment="0" applyProtection="0"/>
    <xf numFmtId="0" fontId="125" fillId="131" borderId="0" applyNumberFormat="0" applyBorder="0" applyAlignment="0" applyProtection="0"/>
    <xf numFmtId="0" fontId="150" fillId="60" borderId="0" applyNumberFormat="0" applyBorder="0" applyAlignment="0" applyProtection="0"/>
    <xf numFmtId="0" fontId="70" fillId="60" borderId="0" applyNumberFormat="0" applyBorder="0" applyAlignment="0" applyProtection="0"/>
    <xf numFmtId="0" fontId="126" fillId="131" borderId="0" applyNumberFormat="0" applyBorder="0" applyAlignment="0" applyProtection="0"/>
    <xf numFmtId="0" fontId="150" fillId="60" borderId="0" applyNumberFormat="0" applyBorder="0" applyAlignment="0" applyProtection="0"/>
    <xf numFmtId="0" fontId="70" fillId="60" borderId="0" applyNumberFormat="0" applyBorder="0" applyAlignment="0" applyProtection="0"/>
    <xf numFmtId="187" fontId="70" fillId="60" borderId="0" applyNumberFormat="0" applyBorder="0" applyAlignment="0" applyProtection="0"/>
    <xf numFmtId="186" fontId="77" fillId="0" borderId="0"/>
    <xf numFmtId="186" fontId="77" fillId="0" borderId="0"/>
    <xf numFmtId="178" fontId="10" fillId="0" borderId="0"/>
    <xf numFmtId="178" fontId="10" fillId="0" borderId="0"/>
    <xf numFmtId="0" fontId="77" fillId="0" borderId="0"/>
    <xf numFmtId="0" fontId="10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10" fillId="0" borderId="0"/>
    <xf numFmtId="0" fontId="77" fillId="0" borderId="0"/>
    <xf numFmtId="0" fontId="3" fillId="0" borderId="0"/>
    <xf numFmtId="0" fontId="10" fillId="0" borderId="0"/>
    <xf numFmtId="0" fontId="3" fillId="0" borderId="0"/>
    <xf numFmtId="0" fontId="91" fillId="0" borderId="0"/>
    <xf numFmtId="0" fontId="10" fillId="0" borderId="0"/>
    <xf numFmtId="187" fontId="10" fillId="0" borderId="0"/>
    <xf numFmtId="0" fontId="77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38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3" fillId="0" borderId="0"/>
    <xf numFmtId="0" fontId="91" fillId="0" borderId="0"/>
    <xf numFmtId="0" fontId="127" fillId="0" borderId="0"/>
    <xf numFmtId="0" fontId="164" fillId="0" borderId="0"/>
    <xf numFmtId="0" fontId="77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0" fontId="10" fillId="0" borderId="0"/>
    <xf numFmtId="0" fontId="3" fillId="0" borderId="0"/>
    <xf numFmtId="0" fontId="10" fillId="0" borderId="0"/>
    <xf numFmtId="0" fontId="40" fillId="0" borderId="0"/>
    <xf numFmtId="0" fontId="3" fillId="0" borderId="0"/>
    <xf numFmtId="0" fontId="91" fillId="0" borderId="0"/>
    <xf numFmtId="0" fontId="77" fillId="0" borderId="0"/>
    <xf numFmtId="0" fontId="10" fillId="0" borderId="0"/>
    <xf numFmtId="0" fontId="91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0" fontId="10" fillId="0" borderId="0"/>
    <xf numFmtId="0" fontId="10" fillId="0" borderId="0"/>
    <xf numFmtId="0" fontId="10" fillId="0" borderId="0"/>
    <xf numFmtId="0" fontId="91" fillId="0" borderId="0"/>
    <xf numFmtId="0" fontId="10" fillId="0" borderId="0"/>
    <xf numFmtId="0" fontId="3" fillId="0" borderId="0"/>
    <xf numFmtId="0" fontId="91" fillId="0" borderId="0"/>
    <xf numFmtId="0" fontId="91" fillId="0" borderId="0"/>
    <xf numFmtId="0" fontId="3" fillId="0" borderId="0"/>
    <xf numFmtId="0" fontId="91" fillId="0" borderId="0"/>
    <xf numFmtId="0" fontId="3" fillId="0" borderId="0"/>
    <xf numFmtId="0" fontId="91" fillId="0" borderId="0"/>
    <xf numFmtId="0" fontId="3" fillId="0" borderId="0"/>
    <xf numFmtId="0" fontId="77" fillId="0" borderId="0"/>
    <xf numFmtId="0" fontId="10" fillId="0" borderId="0"/>
    <xf numFmtId="0" fontId="3" fillId="0" borderId="0"/>
    <xf numFmtId="187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1" fillId="0" borderId="0"/>
    <xf numFmtId="0" fontId="91" fillId="0" borderId="0"/>
    <xf numFmtId="0" fontId="3" fillId="0" borderId="0"/>
    <xf numFmtId="0" fontId="77" fillId="0" borderId="0"/>
    <xf numFmtId="0" fontId="10" fillId="0" borderId="0"/>
    <xf numFmtId="187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77" fillId="0" borderId="0"/>
    <xf numFmtId="0" fontId="3" fillId="0" borderId="0"/>
    <xf numFmtId="0" fontId="156" fillId="0" borderId="0"/>
    <xf numFmtId="0" fontId="10" fillId="0" borderId="0"/>
    <xf numFmtId="0" fontId="10" fillId="0" borderId="0"/>
    <xf numFmtId="0" fontId="34" fillId="0" borderId="0"/>
    <xf numFmtId="0" fontId="34" fillId="0" borderId="0"/>
    <xf numFmtId="0" fontId="34" fillId="0" borderId="0"/>
    <xf numFmtId="0" fontId="10" fillId="0" borderId="0"/>
    <xf numFmtId="0" fontId="34" fillId="0" borderId="0"/>
    <xf numFmtId="0" fontId="10" fillId="0" borderId="0"/>
    <xf numFmtId="0" fontId="77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91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79" fillId="129" borderId="48" applyNumberFormat="0" applyAlignment="0" applyProtection="0"/>
    <xf numFmtId="0" fontId="42" fillId="12" borderId="12" applyNumberFormat="0" applyFont="0" applyAlignment="0" applyProtection="0"/>
    <xf numFmtId="0" fontId="87" fillId="129" borderId="49" applyNumberFormat="0" applyAlignment="0" applyProtection="0"/>
    <xf numFmtId="0" fontId="3" fillId="12" borderId="12" applyNumberFormat="0" applyFont="0" applyAlignment="0" applyProtection="0"/>
    <xf numFmtId="0" fontId="87" fillId="129" borderId="21" applyNumberFormat="0" applyAlignment="0" applyProtection="0"/>
    <xf numFmtId="0" fontId="10" fillId="61" borderId="21" applyNumberFormat="0" applyFont="0" applyAlignment="0" applyProtection="0"/>
    <xf numFmtId="0" fontId="87" fillId="129" borderId="48" applyNumberForma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87" fillId="129" borderId="48" applyNumberForma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87" fillId="129" borderId="48" applyNumberForma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87" fillId="129" borderId="48" applyNumberForma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187" fontId="42" fillId="12" borderId="12" applyNumberFormat="0" applyFont="0" applyAlignment="0" applyProtection="0"/>
    <xf numFmtId="0" fontId="34" fillId="12" borderId="12" applyNumberFormat="0" applyFont="0" applyAlignment="0" applyProtection="0"/>
    <xf numFmtId="0" fontId="87" fillId="129" borderId="21" applyNumberFormat="0" applyAlignment="0" applyProtection="0"/>
    <xf numFmtId="0" fontId="34" fillId="12" borderId="12" applyNumberFormat="0" applyFont="0" applyAlignment="0" applyProtection="0"/>
    <xf numFmtId="0" fontId="83" fillId="61" borderId="21" applyNumberFormat="0" applyFont="0" applyAlignment="0" applyProtection="0"/>
    <xf numFmtId="0" fontId="10" fillId="61" borderId="21" applyNumberFormat="0" applyFont="0" applyAlignment="0" applyProtection="0"/>
    <xf numFmtId="0" fontId="10" fillId="61" borderId="21" applyNumberFormat="0" applyFont="0" applyAlignment="0" applyProtection="0"/>
    <xf numFmtId="0" fontId="34" fillId="12" borderId="12" applyNumberFormat="0" applyFont="0" applyAlignment="0" applyProtection="0"/>
    <xf numFmtId="187" fontId="10" fillId="61" borderId="21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55" fillId="45" borderId="9" applyNumberFormat="0" applyAlignment="0" applyProtection="0"/>
    <xf numFmtId="0" fontId="55" fillId="45" borderId="9" applyNumberFormat="0" applyAlignment="0" applyProtection="0"/>
    <xf numFmtId="0" fontId="55" fillId="45" borderId="9" applyNumberFormat="0" applyAlignment="0" applyProtection="0"/>
    <xf numFmtId="0" fontId="55" fillId="45" borderId="9" applyNumberFormat="0" applyAlignment="0" applyProtection="0"/>
    <xf numFmtId="0" fontId="55" fillId="45" borderId="9" applyNumberFormat="0" applyAlignment="0" applyProtection="0"/>
    <xf numFmtId="0" fontId="55" fillId="45" borderId="9" applyNumberFormat="0" applyAlignment="0" applyProtection="0"/>
    <xf numFmtId="0" fontId="27" fillId="10" borderId="9" applyNumberFormat="0" applyAlignment="0" applyProtection="0"/>
    <xf numFmtId="0" fontId="128" fillId="119" borderId="22" applyNumberFormat="0" applyAlignment="0" applyProtection="0"/>
    <xf numFmtId="0" fontId="128" fillId="120" borderId="22" applyNumberFormat="0" applyAlignment="0" applyProtection="0"/>
    <xf numFmtId="0" fontId="71" fillId="58" borderId="22" applyNumberFormat="0" applyAlignment="0" applyProtection="0"/>
    <xf numFmtId="0" fontId="128" fillId="119" borderId="22" applyNumberFormat="0" applyAlignment="0" applyProtection="0"/>
    <xf numFmtId="0" fontId="27" fillId="45" borderId="9" applyNumberFormat="0" applyAlignment="0" applyProtection="0"/>
    <xf numFmtId="0" fontId="27" fillId="45" borderId="9" applyNumberFormat="0" applyAlignment="0" applyProtection="0"/>
    <xf numFmtId="187" fontId="27" fillId="45" borderId="9" applyNumberFormat="0" applyAlignment="0" applyProtection="0"/>
    <xf numFmtId="0" fontId="128" fillId="121" borderId="22" applyNumberFormat="0" applyAlignment="0" applyProtection="0"/>
    <xf numFmtId="0" fontId="128" fillId="120" borderId="22" applyNumberFormat="0" applyAlignment="0" applyProtection="0"/>
    <xf numFmtId="0" fontId="89" fillId="58" borderId="22" applyNumberFormat="0" applyAlignment="0" applyProtection="0"/>
    <xf numFmtId="0" fontId="71" fillId="58" borderId="22" applyNumberFormat="0" applyAlignment="0" applyProtection="0"/>
    <xf numFmtId="0" fontId="129" fillId="120" borderId="22" applyNumberFormat="0" applyAlignment="0" applyProtection="0"/>
    <xf numFmtId="0" fontId="89" fillId="58" borderId="22" applyNumberFormat="0" applyAlignment="0" applyProtection="0"/>
    <xf numFmtId="0" fontId="71" fillId="58" borderId="22" applyNumberFormat="0" applyAlignment="0" applyProtection="0"/>
    <xf numFmtId="187" fontId="71" fillId="58" borderId="22" applyNumberFormat="0" applyAlignment="0" applyProtection="0"/>
    <xf numFmtId="0" fontId="55" fillId="45" borderId="9" applyNumberFormat="0" applyAlignment="0" applyProtection="0"/>
    <xf numFmtId="0" fontId="55" fillId="45" borderId="9" applyNumberFormat="0" applyAlignment="0" applyProtection="0"/>
    <xf numFmtId="0" fontId="55" fillId="45" borderId="9" applyNumberFormat="0" applyAlignment="0" applyProtection="0"/>
    <xf numFmtId="9" fontId="38" fillId="0" borderId="0" applyFont="0" applyFill="0" applyBorder="0" applyAlignment="0" applyProtection="0"/>
    <xf numFmtId="10" fontId="79" fillId="0" borderId="0" applyFill="0" applyBorder="0" applyAlignment="0" applyProtection="0"/>
    <xf numFmtId="10" fontId="87" fillId="0" borderId="0" applyFill="0" applyBorder="0" applyAlignment="0" applyProtection="0"/>
    <xf numFmtId="10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7" fillId="0" borderId="0" applyFont="0" applyFill="0" applyBorder="0" applyAlignment="0" applyProtection="0"/>
    <xf numFmtId="9" fontId="79" fillId="0" borderId="0" applyFill="0" applyBorder="0" applyAlignment="0" applyProtection="0"/>
    <xf numFmtId="9" fontId="79" fillId="0" borderId="0" applyFill="0" applyBorder="0" applyAlignment="0" applyProtection="0"/>
    <xf numFmtId="9" fontId="79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79" fillId="0" borderId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79" fillId="0" borderId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0" fontId="87" fillId="0" borderId="0" applyNumberFormat="0" applyFill="0" applyBorder="0" applyAlignment="0" applyProtection="0"/>
    <xf numFmtId="9" fontId="10" fillId="0" borderId="0" applyFont="0" applyFill="0" applyBorder="0" applyAlignment="0" applyProtection="0"/>
    <xf numFmtId="9" fontId="79" fillId="0" borderId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87" fillId="0" borderId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4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9" fontId="87" fillId="0" borderId="0" applyFill="0" applyBorder="0" applyAlignment="0" applyProtection="0"/>
    <xf numFmtId="0" fontId="87" fillId="0" borderId="0" applyNumberFormat="0" applyFill="0" applyBorder="0" applyAlignment="0" applyProtection="0"/>
    <xf numFmtId="0" fontId="137" fillId="0" borderId="0" applyNumberFormat="0" applyFont="0" applyFill="0" applyBorder="0" applyAlignment="0" applyProtection="0">
      <alignment horizontal="left"/>
    </xf>
    <xf numFmtId="0" fontId="165" fillId="0" borderId="0" applyNumberFormat="0" applyBorder="0" applyAlignment="0"/>
    <xf numFmtId="0" fontId="166" fillId="0" borderId="0" applyNumberFormat="0" applyBorder="0" applyAlignment="0"/>
    <xf numFmtId="0" fontId="167" fillId="0" borderId="0" applyNumberFormat="0" applyBorder="0" applyAlignment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87" fontId="9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87" fontId="7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6" fillId="0" borderId="50" applyNumberFormat="0" applyFill="0" applyAlignment="0" applyProtection="0"/>
    <xf numFmtId="0" fontId="56" fillId="0" borderId="50" applyNumberFormat="0" applyFill="0" applyAlignment="0" applyProtection="0"/>
    <xf numFmtId="0" fontId="56" fillId="0" borderId="50" applyNumberFormat="0" applyFill="0" applyAlignment="0" applyProtection="0"/>
    <xf numFmtId="0" fontId="56" fillId="0" borderId="50" applyNumberFormat="0" applyFill="0" applyAlignment="0" applyProtection="0"/>
    <xf numFmtId="0" fontId="56" fillId="0" borderId="50" applyNumberFormat="0" applyFill="0" applyAlignment="0" applyProtection="0"/>
    <xf numFmtId="0" fontId="56" fillId="0" borderId="50" applyNumberFormat="0" applyFill="0" applyAlignment="0" applyProtection="0"/>
    <xf numFmtId="0" fontId="18" fillId="0" borderId="13" applyNumberFormat="0" applyFill="0" applyAlignment="0" applyProtection="0"/>
    <xf numFmtId="0" fontId="132" fillId="0" borderId="51" applyNumberFormat="0" applyFill="0" applyAlignment="0" applyProtection="0"/>
    <xf numFmtId="0" fontId="87" fillId="0" borderId="0" applyNumberFormat="0" applyBorder="0" applyAlignment="0" applyProtection="0"/>
    <xf numFmtId="0" fontId="10" fillId="0" borderId="52" applyNumberFormat="0" applyFont="0" applyBorder="0" applyAlignment="0" applyProtection="0"/>
    <xf numFmtId="0" fontId="132" fillId="0" borderId="51" applyNumberFormat="0" applyFill="0" applyAlignment="0" applyProtection="0"/>
    <xf numFmtId="0" fontId="18" fillId="0" borderId="50" applyNumberFormat="0" applyFill="0" applyAlignment="0" applyProtection="0"/>
    <xf numFmtId="0" fontId="132" fillId="0" borderId="23" applyNumberFormat="0" applyFill="0" applyAlignment="0" applyProtection="0"/>
    <xf numFmtId="0" fontId="73" fillId="0" borderId="23" applyNumberFormat="0" applyFill="0" applyAlignment="0" applyProtection="0"/>
    <xf numFmtId="0" fontId="18" fillId="0" borderId="50" applyNumberFormat="0" applyFill="0" applyAlignment="0" applyProtection="0"/>
    <xf numFmtId="187" fontId="18" fillId="0" borderId="50" applyNumberFormat="0" applyFill="0" applyAlignment="0" applyProtection="0"/>
    <xf numFmtId="0" fontId="87" fillId="0" borderId="0" applyNumberFormat="0" applyBorder="0" applyAlignment="0" applyProtection="0"/>
    <xf numFmtId="0" fontId="10" fillId="0" borderId="52" applyNumberFormat="0" applyFont="0" applyBorder="0" applyAlignment="0" applyProtection="0"/>
    <xf numFmtId="0" fontId="132" fillId="0" borderId="23" applyNumberFormat="0" applyFill="0" applyAlignment="0" applyProtection="0"/>
    <xf numFmtId="0" fontId="86" fillId="0" borderId="23" applyNumberFormat="0" applyFill="0" applyAlignment="0" applyProtection="0"/>
    <xf numFmtId="0" fontId="73" fillId="0" borderId="23" applyNumberFormat="0" applyFill="0" applyAlignment="0" applyProtection="0"/>
    <xf numFmtId="0" fontId="10" fillId="0" borderId="52" applyNumberFormat="0" applyFont="0" applyBorder="0" applyAlignment="0" applyProtection="0"/>
    <xf numFmtId="0" fontId="73" fillId="0" borderId="23" applyNumberFormat="0" applyFill="0" applyAlignment="0" applyProtection="0"/>
    <xf numFmtId="187" fontId="73" fillId="0" borderId="23" applyNumberFormat="0" applyFill="0" applyAlignment="0" applyProtection="0"/>
    <xf numFmtId="0" fontId="56" fillId="0" borderId="50" applyNumberFormat="0" applyFill="0" applyAlignment="0" applyProtection="0"/>
    <xf numFmtId="0" fontId="56" fillId="0" borderId="50" applyNumberFormat="0" applyFill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7" fontId="31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87" fontId="74" fillId="0" borderId="0" applyNumberFormat="0" applyFill="0" applyBorder="0" applyAlignment="0" applyProtection="0"/>
    <xf numFmtId="0" fontId="3" fillId="14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187" fontId="3" fillId="45" borderId="0" applyNumberFormat="0" applyBorder="0" applyAlignment="0" applyProtection="0"/>
    <xf numFmtId="0" fontId="3" fillId="18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187" fontId="3" fillId="47" borderId="0" applyNumberFormat="0" applyBorder="0" applyAlignment="0" applyProtection="0"/>
    <xf numFmtId="0" fontId="3" fillId="22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187" fontId="3" fillId="61" borderId="0" applyNumberFormat="0" applyBorder="0" applyAlignment="0" applyProtection="0"/>
    <xf numFmtId="0" fontId="3" fillId="2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187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187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187" fontId="3" fillId="61" borderId="0" applyNumberFormat="0" applyBorder="0" applyAlignment="0" applyProtection="0"/>
    <xf numFmtId="0" fontId="3" fillId="15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187" fontId="3" fillId="5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187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187" fontId="3" fillId="60" borderId="0" applyNumberFormat="0" applyBorder="0" applyAlignment="0" applyProtection="0"/>
    <xf numFmtId="0" fontId="3" fillId="2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187" fontId="3" fillId="5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187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187" fontId="3" fillId="60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7" fontId="3" fillId="0" borderId="0"/>
    <xf numFmtId="0" fontId="3" fillId="0" borderId="0"/>
    <xf numFmtId="0" fontId="3" fillId="0" borderId="0"/>
    <xf numFmtId="18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42" fillId="12" borderId="12" applyNumberFormat="0" applyFont="0" applyAlignment="0" applyProtection="0"/>
    <xf numFmtId="0" fontId="3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0" fontId="42" fillId="12" borderId="12" applyNumberFormat="0" applyFont="0" applyAlignment="0" applyProtection="0"/>
    <xf numFmtId="187" fontId="42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9" fontId="38" fillId="0" borderId="0" applyFont="0" applyFill="0" applyBorder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9" fontId="3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48" fillId="45" borderId="15" applyNumberFormat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8" applyNumberFormat="0" applyAlignment="0" applyProtection="0"/>
    <xf numFmtId="0" fontId="27" fillId="10" borderId="9" applyNumberFormat="0" applyAlignment="0" applyProtection="0"/>
    <xf numFmtId="0" fontId="28" fillId="10" borderId="8" applyNumberFormat="0" applyAlignment="0" applyProtection="0"/>
    <xf numFmtId="0" fontId="29" fillId="0" borderId="10" applyNumberFormat="0" applyFill="0" applyAlignment="0" applyProtection="0"/>
    <xf numFmtId="0" fontId="30" fillId="11" borderId="11" applyNumberFormat="0" applyAlignment="0" applyProtection="0"/>
    <xf numFmtId="0" fontId="31" fillId="0" borderId="0" applyNumberFormat="0" applyFill="0" applyBorder="0" applyAlignment="0" applyProtection="0"/>
    <xf numFmtId="0" fontId="1" fillId="12" borderId="12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36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10" fillId="0" borderId="0"/>
    <xf numFmtId="173" fontId="10" fillId="0" borderId="0"/>
    <xf numFmtId="173" fontId="10" fillId="0" borderId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177" fontId="10" fillId="0" borderId="0"/>
    <xf numFmtId="177" fontId="10" fillId="0" borderId="0"/>
    <xf numFmtId="17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0" fillId="0" borderId="0"/>
    <xf numFmtId="173" fontId="10" fillId="0" borderId="0"/>
    <xf numFmtId="173" fontId="10" fillId="0" borderId="0"/>
    <xf numFmtId="177" fontId="10" fillId="0" borderId="0"/>
    <xf numFmtId="177" fontId="10" fillId="0" borderId="0"/>
    <xf numFmtId="177" fontId="1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1" fillId="0" borderId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7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7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7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9" borderId="8" applyNumberFormat="0" applyAlignment="0" applyProtection="0"/>
    <xf numFmtId="9" fontId="1" fillId="0" borderId="0" applyFont="0" applyFill="0" applyBorder="0" applyAlignment="0" applyProtection="0"/>
    <xf numFmtId="0" fontId="26" fillId="9" borderId="8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12" borderId="1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8" fillId="0" borderId="0"/>
    <xf numFmtId="43" fontId="38" fillId="0" borderId="0" applyFont="0" applyFill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3" fillId="16" borderId="0" applyNumberFormat="0" applyBorder="0" applyAlignment="0" applyProtection="0"/>
    <xf numFmtId="0" fontId="43" fillId="20" borderId="0" applyNumberFormat="0" applyBorder="0" applyAlignment="0" applyProtection="0"/>
    <xf numFmtId="0" fontId="43" fillId="24" borderId="0" applyNumberFormat="0" applyBorder="0" applyAlignment="0" applyProtection="0"/>
    <xf numFmtId="0" fontId="43" fillId="28" borderId="0" applyNumberFormat="0" applyBorder="0" applyAlignment="0" applyProtection="0"/>
    <xf numFmtId="0" fontId="43" fillId="32" borderId="0" applyNumberFormat="0" applyBorder="0" applyAlignment="0" applyProtection="0"/>
    <xf numFmtId="0" fontId="43" fillId="36" borderId="0" applyNumberFormat="0" applyBorder="0" applyAlignment="0" applyProtection="0"/>
    <xf numFmtId="0" fontId="43" fillId="13" borderId="0" applyNumberFormat="0" applyBorder="0" applyAlignment="0" applyProtection="0"/>
    <xf numFmtId="0" fontId="43" fillId="17" borderId="0" applyNumberFormat="0" applyBorder="0" applyAlignment="0" applyProtection="0"/>
    <xf numFmtId="0" fontId="43" fillId="21" borderId="0" applyNumberFormat="0" applyBorder="0" applyAlignment="0" applyProtection="0"/>
    <xf numFmtId="0" fontId="43" fillId="25" borderId="0" applyNumberFormat="0" applyBorder="0" applyAlignment="0" applyProtection="0"/>
    <xf numFmtId="0" fontId="43" fillId="29" borderId="0" applyNumberFormat="0" applyBorder="0" applyAlignment="0" applyProtection="0"/>
    <xf numFmtId="0" fontId="43" fillId="33" borderId="0" applyNumberFormat="0" applyBorder="0" applyAlignment="0" applyProtection="0"/>
    <xf numFmtId="0" fontId="44" fillId="7" borderId="0" applyNumberFormat="0" applyBorder="0" applyAlignment="0" applyProtection="0"/>
    <xf numFmtId="0" fontId="45" fillId="10" borderId="8" applyNumberFormat="0" applyAlignment="0" applyProtection="0"/>
    <xf numFmtId="0" fontId="46" fillId="11" borderId="11" applyNumberFormat="0" applyAlignment="0" applyProtection="0"/>
    <xf numFmtId="43" fontId="38" fillId="0" borderId="0" applyFont="0" applyFill="0" applyBorder="0" applyAlignment="0" applyProtection="0"/>
    <xf numFmtId="43" fontId="4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6" borderId="0" applyNumberFormat="0" applyBorder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1" fillId="0" borderId="7" applyNumberFormat="0" applyFill="0" applyAlignment="0" applyProtection="0"/>
    <xf numFmtId="0" fontId="51" fillId="0" borderId="0" applyNumberFormat="0" applyFill="0" applyBorder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2" fillId="9" borderId="8" applyNumberFormat="0" applyAlignment="0" applyProtection="0"/>
    <xf numFmtId="0" fontId="53" fillId="0" borderId="10" applyNumberFormat="0" applyFill="0" applyAlignment="0" applyProtection="0"/>
    <xf numFmtId="0" fontId="54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34" fillId="12" borderId="12" applyNumberFormat="0" applyFont="0" applyAlignment="0" applyProtection="0"/>
    <xf numFmtId="0" fontId="34" fillId="12" borderId="12" applyNumberFormat="0" applyFont="0" applyAlignment="0" applyProtection="0"/>
    <xf numFmtId="0" fontId="55" fillId="10" borderId="9" applyNumberFormat="0" applyAlignment="0" applyProtection="0"/>
    <xf numFmtId="0" fontId="56" fillId="0" borderId="13" applyNumberFormat="0" applyFill="0" applyAlignment="0" applyProtection="0"/>
    <xf numFmtId="0" fontId="16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8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0" fontId="1" fillId="0" borderId="0"/>
    <xf numFmtId="0" fontId="57" fillId="0" borderId="0" applyNumberForma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9" fontId="3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" fillId="0" borderId="0"/>
    <xf numFmtId="9" fontId="38" fillId="0" borderId="0" applyFont="0" applyFill="0" applyBorder="0" applyAlignment="0" applyProtection="0"/>
    <xf numFmtId="0" fontId="38" fillId="0" borderId="0"/>
    <xf numFmtId="9" fontId="1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" fillId="0" borderId="0"/>
    <xf numFmtId="44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" fillId="0" borderId="0"/>
    <xf numFmtId="0" fontId="38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" fillId="0" borderId="0"/>
    <xf numFmtId="0" fontId="73" fillId="0" borderId="23" applyNumberFormat="0" applyFill="0" applyAlignment="0" applyProtection="0"/>
    <xf numFmtId="0" fontId="61" fillId="58" borderId="15" applyNumberFormat="0" applyAlignment="0" applyProtection="0"/>
    <xf numFmtId="0" fontId="71" fillId="58" borderId="22" applyNumberFormat="0" applyAlignment="0" applyProtection="0"/>
    <xf numFmtId="0" fontId="61" fillId="58" borderId="15" applyNumberFormat="0" applyAlignment="0" applyProtection="0"/>
    <xf numFmtId="0" fontId="10" fillId="61" borderId="21" applyNumberFormat="0" applyFont="0" applyAlignment="0" applyProtection="0"/>
    <xf numFmtId="0" fontId="71" fillId="58" borderId="22" applyNumberFormat="0" applyAlignment="0" applyProtection="0"/>
    <xf numFmtId="0" fontId="73" fillId="0" borderId="23" applyNumberFormat="0" applyFill="0" applyAlignment="0" applyProtection="0"/>
    <xf numFmtId="0" fontId="1" fillId="0" borderId="0"/>
    <xf numFmtId="0" fontId="10" fillId="61" borderId="21" applyNumberFormat="0" applyFont="0" applyAlignment="0" applyProtection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61" borderId="21" applyNumberFormat="0" applyFont="0" applyAlignment="0" applyProtection="0"/>
    <xf numFmtId="0" fontId="10" fillId="0" borderId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" fillId="12" borderId="1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0" fontId="15" fillId="38" borderId="1" applyNumberFormat="0" applyBorder="0" applyAlignment="0" applyProtection="0"/>
    <xf numFmtId="0" fontId="10" fillId="61" borderId="21" applyNumberFormat="0" applyFont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10" fontId="15" fillId="38" borderId="54" applyNumberFormat="0" applyBorder="0" applyAlignment="0" applyProtection="0"/>
    <xf numFmtId="10" fontId="15" fillId="38" borderId="54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5" borderId="54" applyNumberFormat="0" applyProtection="0">
      <alignment horizontal="left" vertical="center"/>
    </xf>
    <xf numFmtId="44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</cellStyleXfs>
  <cellXfs count="249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 wrapText="1"/>
    </xf>
    <xf numFmtId="3" fontId="10" fillId="0" borderId="0" xfId="1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2" fillId="0" borderId="0" xfId="0" applyFont="1"/>
    <xf numFmtId="3" fontId="0" fillId="2" borderId="0" xfId="0" applyNumberFormat="1" applyFill="1" applyAlignment="1">
      <alignment horizontal="center"/>
    </xf>
    <xf numFmtId="17" fontId="12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0" borderId="0" xfId="0" applyAlignment="1">
      <alignment horizontal="left"/>
    </xf>
    <xf numFmtId="3" fontId="12" fillId="0" borderId="0" xfId="0" applyNumberFormat="1" applyFont="1"/>
    <xf numFmtId="0" fontId="13" fillId="0" borderId="0" xfId="0" applyFont="1"/>
    <xf numFmtId="167" fontId="0" fillId="0" borderId="0" xfId="0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166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6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38" fontId="0" fillId="0" borderId="0" xfId="0" applyNumberFormat="1" applyAlignment="1">
      <alignment horizontal="center"/>
    </xf>
    <xf numFmtId="1" fontId="0" fillId="0" borderId="0" xfId="0" applyNumberFormat="1"/>
    <xf numFmtId="3" fontId="10" fillId="3" borderId="0" xfId="0" applyNumberFormat="1" applyFont="1" applyFill="1" applyAlignment="1">
      <alignment horizontal="center" wrapText="1"/>
    </xf>
    <xf numFmtId="9" fontId="10" fillId="4" borderId="0" xfId="0" applyNumberFormat="1" applyFont="1" applyFill="1" applyAlignment="1">
      <alignment horizontal="center"/>
    </xf>
    <xf numFmtId="9" fontId="0" fillId="4" borderId="0" xfId="0" applyNumberFormat="1" applyFill="1" applyAlignment="1">
      <alignment horizontal="center"/>
    </xf>
    <xf numFmtId="0" fontId="10" fillId="0" borderId="0" xfId="0" applyFont="1" applyAlignment="1">
      <alignment horizontal="center"/>
    </xf>
    <xf numFmtId="170" fontId="0" fillId="39" borderId="0" xfId="0" applyNumberFormat="1" applyFill="1" applyAlignment="1">
      <alignment horizontal="center"/>
    </xf>
    <xf numFmtId="12" fontId="0" fillId="0" borderId="0" xfId="0" applyNumberFormat="1"/>
    <xf numFmtId="9" fontId="0" fillId="0" borderId="0" xfId="2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10" fillId="0" borderId="0" xfId="736" applyFont="1"/>
    <xf numFmtId="0" fontId="10" fillId="0" borderId="0" xfId="736" applyFont="1" applyAlignment="1">
      <alignment horizontal="center" vertical="center"/>
    </xf>
    <xf numFmtId="0" fontId="10" fillId="0" borderId="0" xfId="736" applyFont="1" applyAlignment="1">
      <alignment vertical="center"/>
    </xf>
    <xf numFmtId="0" fontId="10" fillId="0" borderId="0" xfId="736" applyFont="1" applyAlignment="1">
      <alignment horizontal="center"/>
    </xf>
    <xf numFmtId="0" fontId="10" fillId="0" borderId="0" xfId="1526" applyFont="1"/>
    <xf numFmtId="0" fontId="78" fillId="0" borderId="0" xfId="1526" applyFont="1" applyAlignment="1">
      <alignment horizontal="left" vertical="center"/>
    </xf>
    <xf numFmtId="0" fontId="76" fillId="0" borderId="0" xfId="1524" applyFont="1" applyAlignment="1">
      <alignment horizontal="center" vertical="center" wrapText="1"/>
    </xf>
    <xf numFmtId="0" fontId="10" fillId="0" borderId="1" xfId="1526" applyFont="1" applyBorder="1" applyAlignment="1">
      <alignment horizontal="center"/>
    </xf>
    <xf numFmtId="0" fontId="10" fillId="0" borderId="28" xfId="1526" applyFont="1" applyBorder="1" applyAlignment="1">
      <alignment horizontal="center"/>
    </xf>
    <xf numFmtId="1" fontId="10" fillId="0" borderId="29" xfId="1526" applyNumberFormat="1" applyFont="1" applyBorder="1" applyAlignment="1">
      <alignment horizontal="center"/>
    </xf>
    <xf numFmtId="0" fontId="10" fillId="0" borderId="30" xfId="1526" applyFont="1" applyBorder="1" applyAlignment="1">
      <alignment horizontal="left"/>
    </xf>
    <xf numFmtId="2" fontId="16" fillId="0" borderId="29" xfId="1526" applyNumberFormat="1" applyFont="1" applyBorder="1" applyAlignment="1">
      <alignment horizontal="center"/>
    </xf>
    <xf numFmtId="0" fontId="10" fillId="0" borderId="28" xfId="1526" applyFont="1" applyBorder="1" applyAlignment="1">
      <alignment horizontal="left"/>
    </xf>
    <xf numFmtId="0" fontId="10" fillId="0" borderId="31" xfId="1526" applyFont="1" applyBorder="1" applyAlignment="1">
      <alignment horizontal="center"/>
    </xf>
    <xf numFmtId="2" fontId="16" fillId="0" borderId="28" xfId="1526" applyNumberFormat="1" applyFont="1" applyBorder="1" applyAlignment="1">
      <alignment horizontal="center"/>
    </xf>
    <xf numFmtId="0" fontId="10" fillId="0" borderId="4" xfId="1526" applyFont="1" applyBorder="1" applyAlignment="1">
      <alignment horizontal="left"/>
    </xf>
    <xf numFmtId="2" fontId="16" fillId="0" borderId="33" xfId="1526" applyNumberFormat="1" applyFont="1" applyBorder="1" applyAlignment="1">
      <alignment horizontal="center"/>
    </xf>
    <xf numFmtId="0" fontId="10" fillId="0" borderId="29" xfId="1526" applyFont="1" applyBorder="1" applyAlignment="1">
      <alignment horizontal="left"/>
    </xf>
    <xf numFmtId="0" fontId="10" fillId="0" borderId="0" xfId="1526" applyFont="1" applyAlignment="1">
      <alignment horizontal="center"/>
    </xf>
    <xf numFmtId="17" fontId="10" fillId="0" borderId="0" xfId="1526" applyNumberFormat="1" applyFont="1" applyAlignment="1">
      <alignment horizontal="left"/>
    </xf>
    <xf numFmtId="1" fontId="10" fillId="64" borderId="27" xfId="1527" applyNumberFormat="1" applyFont="1" applyFill="1" applyBorder="1" applyAlignment="1">
      <alignment horizontal="center"/>
    </xf>
    <xf numFmtId="1" fontId="10" fillId="0" borderId="0" xfId="1526" applyNumberFormat="1" applyFont="1" applyAlignment="1">
      <alignment horizontal="center"/>
    </xf>
    <xf numFmtId="1" fontId="10" fillId="0" borderId="0" xfId="1526" applyNumberFormat="1" applyFont="1"/>
    <xf numFmtId="0" fontId="75" fillId="0" borderId="0" xfId="1524"/>
    <xf numFmtId="0" fontId="41" fillId="0" borderId="0" xfId="1526" applyFont="1" applyAlignment="1">
      <alignment horizontal="center"/>
    </xf>
    <xf numFmtId="1" fontId="41" fillId="0" borderId="0" xfId="1526" applyNumberFormat="1" applyFont="1" applyAlignment="1">
      <alignment horizontal="center"/>
    </xf>
    <xf numFmtId="0" fontId="10" fillId="4" borderId="0" xfId="0" applyFont="1" applyFill="1" applyAlignment="1">
      <alignment horizontal="center"/>
    </xf>
    <xf numFmtId="0" fontId="10" fillId="65" borderId="0" xfId="0" quotePrefix="1" applyFont="1" applyFill="1" applyAlignment="1">
      <alignment horizontal="center"/>
    </xf>
    <xf numFmtId="0" fontId="10" fillId="4" borderId="0" xfId="0" applyFont="1" applyFill="1" applyAlignment="1">
      <alignment horizontal="left"/>
    </xf>
    <xf numFmtId="0" fontId="10" fillId="65" borderId="0" xfId="0" applyFont="1" applyFill="1" applyAlignment="1">
      <alignment horizontal="left"/>
    </xf>
    <xf numFmtId="0" fontId="81" fillId="0" borderId="0" xfId="0" applyFont="1"/>
    <xf numFmtId="3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right"/>
    </xf>
    <xf numFmtId="10" fontId="0" fillId="0" borderId="0" xfId="2" applyNumberFormat="1" applyFont="1" applyAlignment="1">
      <alignment horizontal="center" vertical="center"/>
    </xf>
    <xf numFmtId="0" fontId="76" fillId="39" borderId="4" xfId="1524" applyFont="1" applyFill="1" applyBorder="1" applyAlignment="1">
      <alignment horizontal="center" vertical="center" wrapText="1"/>
    </xf>
    <xf numFmtId="0" fontId="76" fillId="67" borderId="28" xfId="1524" applyFont="1" applyFill="1" applyBorder="1" applyAlignment="1">
      <alignment horizontal="center" vertical="center" wrapText="1"/>
    </xf>
    <xf numFmtId="1" fontId="76" fillId="67" borderId="29" xfId="1524" applyNumberFormat="1" applyFont="1" applyFill="1" applyBorder="1" applyAlignment="1">
      <alignment horizontal="center" vertical="center" wrapText="1"/>
    </xf>
    <xf numFmtId="0" fontId="76" fillId="67" borderId="24" xfId="1524" applyFont="1" applyFill="1" applyBorder="1" applyAlignment="1">
      <alignment horizontal="center" vertical="center" wrapText="1"/>
    </xf>
    <xf numFmtId="1" fontId="76" fillId="67" borderId="25" xfId="1524" applyNumberFormat="1" applyFont="1" applyFill="1" applyBorder="1" applyAlignment="1">
      <alignment horizontal="center" vertical="center" wrapText="1"/>
    </xf>
    <xf numFmtId="0" fontId="76" fillId="67" borderId="26" xfId="1524" applyFont="1" applyFill="1" applyBorder="1" applyAlignment="1">
      <alignment horizontal="center" vertical="center" wrapText="1"/>
    </xf>
    <xf numFmtId="0" fontId="76" fillId="67" borderId="25" xfId="1524" applyFont="1" applyFill="1" applyBorder="1" applyAlignment="1">
      <alignment horizontal="center" vertical="center" wrapText="1"/>
    </xf>
    <xf numFmtId="0" fontId="76" fillId="67" borderId="27" xfId="1524" applyFont="1" applyFill="1" applyBorder="1" applyAlignment="1">
      <alignment horizontal="center" vertical="center" wrapText="1"/>
    </xf>
    <xf numFmtId="168" fontId="10" fillId="63" borderId="34" xfId="1" applyNumberFormat="1" applyFont="1" applyFill="1" applyBorder="1" applyAlignment="1">
      <alignment horizontal="center"/>
    </xf>
    <xf numFmtId="168" fontId="10" fillId="64" borderId="34" xfId="1" applyNumberFormat="1" applyFont="1" applyFill="1" applyBorder="1" applyAlignment="1">
      <alignment horizontal="center"/>
    </xf>
    <xf numFmtId="168" fontId="10" fillId="0" borderId="0" xfId="1526" applyNumberFormat="1" applyFont="1" applyAlignment="1">
      <alignment horizontal="center"/>
    </xf>
    <xf numFmtId="168" fontId="0" fillId="0" borderId="0" xfId="0" applyNumberFormat="1"/>
    <xf numFmtId="0" fontId="11" fillId="0" borderId="0" xfId="0" applyFont="1" applyAlignment="1">
      <alignment horizontal="center" vertical="center" wrapText="1"/>
    </xf>
    <xf numFmtId="167" fontId="10" fillId="0" borderId="0" xfId="0" applyNumberFormat="1" applyFont="1" applyAlignment="1">
      <alignment horizontal="center"/>
    </xf>
    <xf numFmtId="37" fontId="10" fillId="0" borderId="0" xfId="0" applyNumberFormat="1" applyFont="1" applyAlignment="1">
      <alignment horizontal="center"/>
    </xf>
    <xf numFmtId="168" fontId="10" fillId="0" borderId="0" xfId="1526" applyNumberFormat="1" applyFont="1"/>
    <xf numFmtId="168" fontId="10" fillId="0" borderId="0" xfId="736" applyNumberFormat="1" applyFont="1" applyAlignment="1">
      <alignment horizontal="center"/>
    </xf>
    <xf numFmtId="3" fontId="10" fillId="3" borderId="0" xfId="0" applyNumberFormat="1" applyFont="1" applyFill="1" applyAlignment="1">
      <alignment horizontal="center"/>
    </xf>
    <xf numFmtId="37" fontId="0" fillId="0" borderId="0" xfId="0" applyNumberFormat="1"/>
    <xf numFmtId="0" fontId="10" fillId="0" borderId="37" xfId="0" applyFont="1" applyBorder="1" applyAlignment="1">
      <alignment horizontal="right"/>
    </xf>
    <xf numFmtId="167" fontId="0" fillId="0" borderId="0" xfId="0" applyNumberFormat="1"/>
    <xf numFmtId="169" fontId="0" fillId="0" borderId="0" xfId="0" applyNumberFormat="1"/>
    <xf numFmtId="0" fontId="16" fillId="0" borderId="0" xfId="736" applyFont="1"/>
    <xf numFmtId="0" fontId="16" fillId="0" borderId="0" xfId="736" applyFont="1" applyAlignment="1">
      <alignment horizontal="center"/>
    </xf>
    <xf numFmtId="0" fontId="16" fillId="0" borderId="0" xfId="0" applyFont="1"/>
    <xf numFmtId="3" fontId="16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1" fontId="10" fillId="62" borderId="0" xfId="736" applyNumberFormat="1" applyFont="1" applyFill="1" applyAlignment="1">
      <alignment horizontal="center"/>
    </xf>
    <xf numFmtId="0" fontId="82" fillId="0" borderId="0" xfId="1524" applyFont="1" applyAlignment="1">
      <alignment vertical="center"/>
    </xf>
    <xf numFmtId="3" fontId="0" fillId="0" borderId="0" xfId="0" applyNumberFormat="1" applyAlignment="1">
      <alignment horizontal="left"/>
    </xf>
    <xf numFmtId="1" fontId="10" fillId="0" borderId="0" xfId="0" applyNumberFormat="1" applyFont="1"/>
    <xf numFmtId="168" fontId="10" fillId="0" borderId="34" xfId="1" applyNumberFormat="1" applyFont="1" applyFill="1" applyBorder="1" applyAlignment="1">
      <alignment horizontal="center"/>
    </xf>
    <xf numFmtId="1" fontId="10" fillId="0" borderId="32" xfId="1526" applyNumberFormat="1" applyFont="1" applyBorder="1" applyAlignment="1">
      <alignment horizontal="center"/>
    </xf>
    <xf numFmtId="168" fontId="10" fillId="133" borderId="34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16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Continuous"/>
    </xf>
    <xf numFmtId="169" fontId="10" fillId="0" borderId="0" xfId="0" applyNumberFormat="1" applyFont="1" applyAlignment="1">
      <alignment horizontal="center"/>
    </xf>
    <xf numFmtId="167" fontId="0" fillId="0" borderId="0" xfId="2" applyNumberFormat="1" applyFont="1" applyAlignment="1">
      <alignment horizontal="center" wrapText="1"/>
    </xf>
    <xf numFmtId="170" fontId="16" fillId="0" borderId="0" xfId="0" applyNumberFormat="1" applyFont="1" applyAlignment="1">
      <alignment horizontal="center"/>
    </xf>
    <xf numFmtId="0" fontId="15" fillId="0" borderId="0" xfId="3104" applyFont="1"/>
    <xf numFmtId="3" fontId="15" fillId="0" borderId="0" xfId="3104" applyNumberFormat="1" applyFont="1"/>
    <xf numFmtId="0" fontId="168" fillId="0" borderId="0" xfId="4063" applyFont="1"/>
    <xf numFmtId="0" fontId="169" fillId="0" borderId="0" xfId="4063" applyFont="1"/>
    <xf numFmtId="0" fontId="168" fillId="134" borderId="54" xfId="4063" applyFont="1" applyFill="1" applyBorder="1" applyAlignment="1">
      <alignment horizontal="center" vertical="center" wrapText="1"/>
    </xf>
    <xf numFmtId="0" fontId="169" fillId="0" borderId="0" xfId="4063" applyFont="1" applyAlignment="1">
      <alignment horizontal="center" vertical="center" wrapText="1"/>
    </xf>
    <xf numFmtId="0" fontId="169" fillId="0" borderId="54" xfId="4063" applyFont="1" applyBorder="1"/>
    <xf numFmtId="173" fontId="169" fillId="0" borderId="54" xfId="1" applyNumberFormat="1" applyFont="1" applyBorder="1"/>
    <xf numFmtId="172" fontId="169" fillId="0" borderId="54" xfId="1" applyNumberFormat="1" applyFont="1" applyBorder="1"/>
    <xf numFmtId="0" fontId="169" fillId="0" borderId="54" xfId="4063" applyFont="1" applyBorder="1" applyAlignment="1">
      <alignment horizontal="left"/>
    </xf>
    <xf numFmtId="43" fontId="169" fillId="0" borderId="54" xfId="1" applyNumberFormat="1" applyFont="1" applyBorder="1"/>
    <xf numFmtId="0" fontId="169" fillId="0" borderId="0" xfId="4063" applyFont="1" applyAlignment="1">
      <alignment wrapText="1"/>
    </xf>
    <xf numFmtId="188" fontId="169" fillId="0" borderId="54" xfId="4063" applyNumberFormat="1" applyFont="1" applyBorder="1"/>
    <xf numFmtId="172" fontId="15" fillId="0" borderId="54" xfId="1" applyNumberFormat="1" applyFont="1" applyBorder="1"/>
    <xf numFmtId="189" fontId="169" fillId="0" borderId="54" xfId="4063" applyNumberFormat="1" applyFont="1" applyBorder="1"/>
    <xf numFmtId="43" fontId="169" fillId="0" borderId="54" xfId="4063" applyNumberFormat="1" applyFont="1" applyBorder="1"/>
    <xf numFmtId="0" fontId="169" fillId="4" borderId="0" xfId="4063" applyFont="1" applyFill="1"/>
    <xf numFmtId="10" fontId="169" fillId="0" borderId="54" xfId="2" applyNumberFormat="1" applyFont="1" applyBorder="1"/>
    <xf numFmtId="2" fontId="169" fillId="0" borderId="54" xfId="4063" applyNumberFormat="1" applyFont="1" applyBorder="1"/>
    <xf numFmtId="4" fontId="169" fillId="0" borderId="54" xfId="4063" applyNumberFormat="1" applyFont="1" applyBorder="1"/>
    <xf numFmtId="166" fontId="169" fillId="0" borderId="54" xfId="1" applyFont="1" applyBorder="1"/>
    <xf numFmtId="172" fontId="169" fillId="0" borderId="54" xfId="4063" applyNumberFormat="1" applyFont="1" applyBorder="1"/>
    <xf numFmtId="0" fontId="168" fillId="0" borderId="0" xfId="4063" applyFont="1" applyAlignment="1">
      <alignment horizontal="center" vertical="center" wrapText="1"/>
    </xf>
    <xf numFmtId="0" fontId="168" fillId="0" borderId="0" xfId="4063" applyFont="1" applyAlignment="1">
      <alignment vertical="center" wrapText="1"/>
    </xf>
    <xf numFmtId="0" fontId="168" fillId="0" borderId="54" xfId="4063" applyFont="1" applyBorder="1"/>
    <xf numFmtId="10" fontId="168" fillId="0" borderId="54" xfId="2" applyNumberFormat="1" applyFont="1" applyBorder="1"/>
    <xf numFmtId="0" fontId="168" fillId="134" borderId="54" xfId="4063" applyFont="1" applyFill="1" applyBorder="1"/>
    <xf numFmtId="0" fontId="168" fillId="134" borderId="54" xfId="4063" applyFont="1" applyFill="1" applyBorder="1" applyAlignment="1">
      <alignment horizontal="center" vertical="center"/>
    </xf>
    <xf numFmtId="166" fontId="169" fillId="0" borderId="54" xfId="1" applyFont="1" applyBorder="1" applyAlignment="1">
      <alignment horizontal="center" vertical="center"/>
    </xf>
    <xf numFmtId="10" fontId="169" fillId="0" borderId="54" xfId="2" applyNumberFormat="1" applyFont="1" applyBorder="1" applyAlignment="1">
      <alignment horizontal="right"/>
    </xf>
    <xf numFmtId="166" fontId="169" fillId="0" borderId="54" xfId="4063" applyNumberFormat="1" applyFont="1" applyBorder="1"/>
    <xf numFmtId="0" fontId="170" fillId="4" borderId="0" xfId="4063" applyFont="1" applyFill="1"/>
    <xf numFmtId="3" fontId="168" fillId="134" borderId="54" xfId="4063" applyNumberFormat="1" applyFont="1" applyFill="1" applyBorder="1" applyAlignment="1">
      <alignment horizontal="center" vertical="center" wrapText="1"/>
    </xf>
    <xf numFmtId="169" fontId="169" fillId="0" borderId="54" xfId="4063" applyNumberFormat="1" applyFont="1" applyBorder="1"/>
    <xf numFmtId="0" fontId="170" fillId="0" borderId="0" xfId="4063" applyFont="1"/>
    <xf numFmtId="0" fontId="168" fillId="0" borderId="0" xfId="4063" applyFont="1" applyAlignment="1">
      <alignment wrapText="1"/>
    </xf>
    <xf numFmtId="172" fontId="169" fillId="0" borderId="54" xfId="1" applyNumberFormat="1" applyFont="1" applyFill="1" applyBorder="1"/>
    <xf numFmtId="10" fontId="169" fillId="0" borderId="54" xfId="2" applyNumberFormat="1" applyFont="1" applyFill="1" applyBorder="1"/>
    <xf numFmtId="172" fontId="169" fillId="0" borderId="54" xfId="1" applyNumberFormat="1" applyFont="1" applyBorder="1" applyAlignment="1"/>
    <xf numFmtId="172" fontId="169" fillId="0" borderId="54" xfId="1" applyNumberFormat="1" applyFont="1" applyFill="1" applyBorder="1" applyAlignment="1"/>
    <xf numFmtId="0" fontId="76" fillId="134" borderId="54" xfId="4063" applyFont="1" applyFill="1" applyBorder="1" applyAlignment="1">
      <alignment horizontal="center" vertical="center" wrapText="1"/>
    </xf>
    <xf numFmtId="0" fontId="169" fillId="0" borderId="0" xfId="3104" applyFont="1"/>
    <xf numFmtId="169" fontId="169" fillId="0" borderId="54" xfId="4063" applyNumberFormat="1" applyFont="1" applyBorder="1" applyAlignment="1">
      <alignment horizontal="center"/>
    </xf>
    <xf numFmtId="9" fontId="169" fillId="0" borderId="0" xfId="2" applyFont="1"/>
    <xf numFmtId="167" fontId="169" fillId="0" borderId="0" xfId="2" applyNumberFormat="1" applyFont="1"/>
    <xf numFmtId="172" fontId="168" fillId="134" borderId="54" xfId="4063" applyNumberFormat="1" applyFont="1" applyFill="1" applyBorder="1"/>
    <xf numFmtId="0" fontId="76" fillId="67" borderId="54" xfId="1524" applyFont="1" applyFill="1" applyBorder="1" applyAlignment="1">
      <alignment horizontal="center" vertical="center" wrapText="1"/>
    </xf>
    <xf numFmtId="0" fontId="12" fillId="68" borderId="54" xfId="736" applyFont="1" applyFill="1" applyBorder="1" applyAlignment="1">
      <alignment horizontal="center"/>
    </xf>
    <xf numFmtId="1" fontId="10" fillId="62" borderId="54" xfId="736" applyNumberFormat="1" applyFont="1" applyFill="1" applyBorder="1" applyAlignment="1">
      <alignment horizontal="center"/>
    </xf>
    <xf numFmtId="1" fontId="10" fillId="62" borderId="54" xfId="736" applyNumberFormat="1" applyFont="1" applyFill="1" applyBorder="1" applyAlignment="1">
      <alignment horizontal="center" wrapText="1"/>
    </xf>
    <xf numFmtId="0" fontId="76" fillId="39" borderId="54" xfId="1524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3" fontId="11" fillId="0" borderId="54" xfId="0" applyNumberFormat="1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12" fontId="11" fillId="0" borderId="54" xfId="0" applyNumberFormat="1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17" fontId="0" fillId="0" borderId="54" xfId="0" applyNumberFormat="1" applyBorder="1" applyAlignment="1">
      <alignment horizontal="left"/>
    </xf>
    <xf numFmtId="3" fontId="10" fillId="0" borderId="54" xfId="0" applyNumberFormat="1" applyFont="1" applyBorder="1" applyAlignment="1">
      <alignment horizontal="center" vertical="center" wrapText="1"/>
    </xf>
    <xf numFmtId="37" fontId="10" fillId="0" borderId="54" xfId="0" applyNumberFormat="1" applyFont="1" applyBorder="1" applyAlignment="1">
      <alignment horizontal="center"/>
    </xf>
    <xf numFmtId="1" fontId="10" fillId="0" borderId="54" xfId="0" applyNumberFormat="1" applyFont="1" applyBorder="1" applyAlignment="1">
      <alignment horizontal="center" vertical="center" wrapText="1"/>
    </xf>
    <xf numFmtId="12" fontId="10" fillId="0" borderId="54" xfId="0" applyNumberFormat="1" applyFont="1" applyBorder="1" applyAlignment="1">
      <alignment horizontal="center" vertical="center" wrapText="1"/>
    </xf>
    <xf numFmtId="37" fontId="10" fillId="62" borderId="54" xfId="0" applyNumberFormat="1" applyFont="1" applyFill="1" applyBorder="1" applyAlignment="1">
      <alignment horizontal="center"/>
    </xf>
    <xf numFmtId="37" fontId="10" fillId="4" borderId="54" xfId="0" applyNumberFormat="1" applyFont="1" applyFill="1" applyBorder="1" applyAlignment="1">
      <alignment horizontal="center"/>
    </xf>
    <xf numFmtId="37" fontId="10" fillId="65" borderId="54" xfId="0" applyNumberFormat="1" applyFont="1" applyFill="1" applyBorder="1" applyAlignment="1">
      <alignment horizontal="center"/>
    </xf>
    <xf numFmtId="12" fontId="10" fillId="0" borderId="0" xfId="0" applyNumberFormat="1" applyFont="1"/>
    <xf numFmtId="3" fontId="0" fillId="0" borderId="54" xfId="0" applyNumberFormat="1" applyBorder="1" applyAlignment="1">
      <alignment horizontal="center"/>
    </xf>
    <xf numFmtId="3" fontId="10" fillId="4" borderId="54" xfId="0" applyNumberFormat="1" applyFont="1" applyFill="1" applyBorder="1" applyAlignment="1">
      <alignment horizontal="center"/>
    </xf>
    <xf numFmtId="3" fontId="0" fillId="2" borderId="54" xfId="0" applyNumberFormat="1" applyFill="1" applyBorder="1" applyAlignment="1">
      <alignment horizontal="center"/>
    </xf>
    <xf numFmtId="0" fontId="0" fillId="0" borderId="54" xfId="0" applyBorder="1" applyAlignment="1">
      <alignment horizontal="right"/>
    </xf>
    <xf numFmtId="3" fontId="16" fillId="4" borderId="54" xfId="0" applyNumberFormat="1" applyFont="1" applyFill="1" applyBorder="1" applyAlignment="1">
      <alignment horizontal="center"/>
    </xf>
    <xf numFmtId="3" fontId="10" fillId="2" borderId="54" xfId="0" applyNumberFormat="1" applyFont="1" applyFill="1" applyBorder="1" applyAlignment="1">
      <alignment horizontal="center"/>
    </xf>
    <xf numFmtId="3" fontId="16" fillId="2" borderId="54" xfId="0" applyNumberFormat="1" applyFont="1" applyFill="1" applyBorder="1" applyAlignment="1">
      <alignment horizontal="center"/>
    </xf>
    <xf numFmtId="171" fontId="0" fillId="0" borderId="54" xfId="0" applyNumberFormat="1" applyBorder="1" applyAlignment="1">
      <alignment horizontal="center"/>
    </xf>
    <xf numFmtId="171" fontId="10" fillId="0" borderId="54" xfId="0" applyNumberFormat="1" applyFont="1" applyBorder="1" applyAlignment="1">
      <alignment horizontal="center"/>
    </xf>
    <xf numFmtId="172" fontId="15" fillId="0" borderId="54" xfId="4063" applyNumberFormat="1" applyFont="1" applyBorder="1"/>
    <xf numFmtId="1" fontId="169" fillId="0" borderId="0" xfId="4063" applyNumberFormat="1" applyFont="1"/>
    <xf numFmtId="10" fontId="0" fillId="0" borderId="0" xfId="2" applyNumberFormat="1" applyFont="1"/>
    <xf numFmtId="4" fontId="0" fillId="0" borderId="0" xfId="0" applyNumberFormat="1" applyAlignment="1">
      <alignment horizontal="center"/>
    </xf>
    <xf numFmtId="190" fontId="12" fillId="0" borderId="54" xfId="2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172" fontId="0" fillId="0" borderId="54" xfId="1" applyNumberFormat="1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72" fillId="135" borderId="54" xfId="4063" applyFont="1" applyFill="1" applyBorder="1" applyAlignment="1">
      <alignment wrapText="1"/>
    </xf>
    <xf numFmtId="0" fontId="172" fillId="135" borderId="54" xfId="4063" applyFont="1" applyFill="1" applyBorder="1" applyAlignment="1">
      <alignment horizontal="center" vertical="center" wrapText="1"/>
    </xf>
    <xf numFmtId="9" fontId="169" fillId="0" borderId="54" xfId="2" applyFont="1" applyBorder="1" applyAlignment="1">
      <alignment horizontal="center"/>
    </xf>
    <xf numFmtId="172" fontId="169" fillId="0" borderId="54" xfId="1" applyNumberFormat="1" applyFont="1" applyBorder="1" applyAlignment="1">
      <alignment horizontal="center"/>
    </xf>
    <xf numFmtId="0" fontId="168" fillId="0" borderId="54" xfId="4063" applyFont="1" applyBorder="1" applyAlignment="1">
      <alignment horizontal="center"/>
    </xf>
    <xf numFmtId="167" fontId="0" fillId="0" borderId="0" xfId="2" applyNumberFormat="1" applyFont="1"/>
    <xf numFmtId="0" fontId="12" fillId="0" borderId="1" xfId="1526" applyFont="1" applyBorder="1" applyAlignment="1">
      <alignment horizontal="center"/>
    </xf>
    <xf numFmtId="17" fontId="10" fillId="0" borderId="1" xfId="1526" applyNumberFormat="1" applyFont="1" applyBorder="1" applyAlignment="1">
      <alignment horizontal="left"/>
    </xf>
    <xf numFmtId="1" fontId="10" fillId="64" borderId="1" xfId="1527" applyNumberFormat="1" applyFont="1" applyFill="1" applyBorder="1" applyAlignment="1">
      <alignment horizontal="center"/>
    </xf>
    <xf numFmtId="1" fontId="10" fillId="63" borderId="1" xfId="1527" applyNumberFormat="1" applyFont="1" applyFill="1" applyBorder="1" applyAlignment="1">
      <alignment horizontal="center"/>
    </xf>
    <xf numFmtId="1" fontId="10" fillId="133" borderId="1" xfId="1527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3" fontId="10" fillId="4" borderId="0" xfId="0" applyNumberFormat="1" applyFont="1" applyFill="1" applyAlignment="1">
      <alignment horizontal="center"/>
    </xf>
    <xf numFmtId="0" fontId="168" fillId="134" borderId="55" xfId="4063" applyFont="1" applyFill="1" applyBorder="1" applyAlignment="1">
      <alignment horizontal="center" vertical="center"/>
    </xf>
    <xf numFmtId="0" fontId="168" fillId="134" borderId="57" xfId="4063" applyFont="1" applyFill="1" applyBorder="1" applyAlignment="1">
      <alignment horizontal="center" vertical="center"/>
    </xf>
    <xf numFmtId="0" fontId="168" fillId="134" borderId="54" xfId="4063" applyFont="1" applyFill="1" applyBorder="1" applyAlignment="1">
      <alignment horizontal="center" vertical="center"/>
    </xf>
    <xf numFmtId="0" fontId="168" fillId="0" borderId="55" xfId="4063" applyFont="1" applyBorder="1" applyAlignment="1">
      <alignment horizontal="left"/>
    </xf>
    <xf numFmtId="0" fontId="168" fillId="0" borderId="56" xfId="4063" applyFont="1" applyBorder="1" applyAlignment="1">
      <alignment horizontal="left"/>
    </xf>
    <xf numFmtId="0" fontId="168" fillId="0" borderId="57" xfId="4063" applyFont="1" applyBorder="1" applyAlignment="1">
      <alignment horizontal="left"/>
    </xf>
    <xf numFmtId="0" fontId="168" fillId="134" borderId="54" xfId="4063" applyFont="1" applyFill="1" applyBorder="1" applyAlignment="1">
      <alignment horizontal="center"/>
    </xf>
    <xf numFmtId="0" fontId="168" fillId="0" borderId="54" xfId="4063" applyFont="1" applyBorder="1" applyAlignment="1">
      <alignment horizontal="left"/>
    </xf>
    <xf numFmtId="0" fontId="168" fillId="0" borderId="54" xfId="4063" applyFont="1" applyBorder="1" applyAlignment="1">
      <alignment horizontal="left" vertical="center" wrapText="1"/>
    </xf>
    <xf numFmtId="0" fontId="169" fillId="0" borderId="55" xfId="4063" applyFont="1" applyBorder="1" applyAlignment="1">
      <alignment horizontal="center"/>
    </xf>
    <xf numFmtId="0" fontId="169" fillId="0" borderId="56" xfId="4063" applyFont="1" applyBorder="1" applyAlignment="1">
      <alignment horizontal="center"/>
    </xf>
    <xf numFmtId="0" fontId="169" fillId="0" borderId="57" xfId="4063" applyFont="1" applyBorder="1" applyAlignment="1">
      <alignment horizontal="center"/>
    </xf>
    <xf numFmtId="0" fontId="169" fillId="0" borderId="54" xfId="4063" applyFont="1" applyBorder="1" applyAlignment="1">
      <alignment horizontal="center"/>
    </xf>
    <xf numFmtId="0" fontId="82" fillId="66" borderId="54" xfId="1524" applyFont="1" applyFill="1" applyBorder="1" applyAlignment="1">
      <alignment horizontal="center" vertical="center"/>
    </xf>
    <xf numFmtId="0" fontId="82" fillId="66" borderId="55" xfId="1524" applyFont="1" applyFill="1" applyBorder="1" applyAlignment="1">
      <alignment horizontal="center" vertical="center" wrapText="1"/>
    </xf>
    <xf numFmtId="0" fontId="82" fillId="66" borderId="56" xfId="1524" applyFont="1" applyFill="1" applyBorder="1" applyAlignment="1">
      <alignment horizontal="center" vertical="center" wrapText="1"/>
    </xf>
    <xf numFmtId="0" fontId="82" fillId="66" borderId="57" xfId="1524" applyFont="1" applyFill="1" applyBorder="1" applyAlignment="1">
      <alignment horizontal="center" vertical="center" wrapText="1"/>
    </xf>
    <xf numFmtId="0" fontId="82" fillId="66" borderId="54" xfId="1524" applyFont="1" applyFill="1" applyBorder="1" applyAlignment="1">
      <alignment horizontal="center" vertical="center" wrapText="1"/>
    </xf>
    <xf numFmtId="0" fontId="76" fillId="67" borderId="36" xfId="1524" applyFont="1" applyFill="1" applyBorder="1" applyAlignment="1">
      <alignment horizontal="center" vertical="center" wrapText="1"/>
    </xf>
    <xf numFmtId="0" fontId="76" fillId="67" borderId="33" xfId="1524" applyFont="1" applyFill="1" applyBorder="1" applyAlignment="1">
      <alignment horizontal="center" vertical="center" wrapText="1"/>
    </xf>
    <xf numFmtId="0" fontId="76" fillId="67" borderId="35" xfId="1524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3" fontId="10" fillId="0" borderId="54" xfId="0" applyNumberFormat="1" applyFont="1" applyBorder="1" applyAlignment="1">
      <alignment horizontal="center"/>
    </xf>
    <xf numFmtId="3" fontId="0" fillId="0" borderId="54" xfId="0" applyNumberFormat="1" applyBorder="1" applyAlignment="1">
      <alignment horizontal="center"/>
    </xf>
  </cellXfs>
  <cellStyles count="5270">
    <cellStyle name="$" xfId="14" xr:uid="{00000000-0005-0000-0000-000000000000}"/>
    <cellStyle name="$ 2" xfId="1539" xr:uid="{DC7D798C-1488-4733-AFBF-E75C8A1FEFA1}"/>
    <cellStyle name="$ 2 2" xfId="1540" xr:uid="{6C0B4F19-D21D-4109-B404-CEDB24A299B5}"/>
    <cellStyle name="$ 3" xfId="1541" xr:uid="{8BCFF237-4DC9-4F59-B6CA-D6D76C7C8F38}"/>
    <cellStyle name="$ 4" xfId="1538" xr:uid="{F6579872-0711-48C1-9F83-278B4E9A84C5}"/>
    <cellStyle name="$.00" xfId="15" xr:uid="{00000000-0005-0000-0000-000001000000}"/>
    <cellStyle name="$.00 2" xfId="1543" xr:uid="{53DA118D-C54E-40E0-AEE2-D5C804855109}"/>
    <cellStyle name="$.00 2 2" xfId="1544" xr:uid="{A05351D3-6DD3-4865-B37B-A0ACFC6F33E8}"/>
    <cellStyle name="$.00 3" xfId="1545" xr:uid="{82D93504-2258-491A-B3A0-20674296EFDF}"/>
    <cellStyle name="$.00 4" xfId="1542" xr:uid="{D6501155-B076-4AFF-926E-DD5E98D831D2}"/>
    <cellStyle name="$_9. Rev2Cost_GDPIPI" xfId="16" xr:uid="{00000000-0005-0000-0000-000002000000}"/>
    <cellStyle name="$_9. Rev2Cost_GDPIPI 2" xfId="1547" xr:uid="{D4B386D9-FF95-4D24-9E20-721607873219}"/>
    <cellStyle name="$_9. Rev2Cost_GDPIPI 2 2" xfId="1548" xr:uid="{F58DE77F-838A-46C8-86DE-2EA2982A2917}"/>
    <cellStyle name="$_9. Rev2Cost_GDPIPI 3" xfId="1549" xr:uid="{44A2580D-7DD4-4CE1-8FC9-78D1BB3FD127}"/>
    <cellStyle name="$_9. Rev2Cost_GDPIPI 4" xfId="1546" xr:uid="{AE141548-0417-4E93-85B8-FE8729A7A828}"/>
    <cellStyle name="$_9. Rev2Cost_GDPIPI_6.2 CBR B" xfId="4230" xr:uid="{72779155-482E-4045-938D-D4550C5F56CB}"/>
    <cellStyle name="$_9. Rev2Cost_GDPIPI_9. Shared Tax - Rate Rider" xfId="4258" xr:uid="{8C18FB9A-6B2C-46DC-BF14-ABED9AB486EC}"/>
    <cellStyle name="$_lists" xfId="17" xr:uid="{00000000-0005-0000-0000-000003000000}"/>
    <cellStyle name="$_lists 2" xfId="1551" xr:uid="{7AAD034A-A202-44EF-979F-1193496A5204}"/>
    <cellStyle name="$_lists 2 2" xfId="1552" xr:uid="{3EB8DAD8-9BFE-4254-8D8D-0678DD655CFC}"/>
    <cellStyle name="$_lists 3" xfId="1553" xr:uid="{5C938A9C-4F76-4E63-9DAD-ED0A56C97372}"/>
    <cellStyle name="$_lists 4" xfId="1550" xr:uid="{9322C6C6-2E52-4FF7-8A86-FBB2118F4529}"/>
    <cellStyle name="$_lists_4. Current Monthly Fixed Charge" xfId="18" xr:uid="{00000000-0005-0000-0000-000004000000}"/>
    <cellStyle name="$_lists_4. Current Monthly Fixed Charge 2" xfId="1555" xr:uid="{7053EEE2-F137-408C-83E5-32B9A144DAF8}"/>
    <cellStyle name="$_lists_4. Current Monthly Fixed Charge 2 2" xfId="1556" xr:uid="{E0B43D43-2C10-4268-846B-D5134D1B64C1}"/>
    <cellStyle name="$_lists_4. Current Monthly Fixed Charge 3" xfId="1557" xr:uid="{E7EDB939-6194-4B98-8867-6CFC8D537BBD}"/>
    <cellStyle name="$_lists_4. Current Monthly Fixed Charge 4" xfId="1554" xr:uid="{59CE3787-1DA6-456C-903C-80451E5E8C82}"/>
    <cellStyle name="$_lists_6.2 CBR B" xfId="4231" xr:uid="{99AD1AA1-A44B-48E8-A6F0-1E4C5C13EB53}"/>
    <cellStyle name="$_lists_9. Shared Tax - Rate Rider" xfId="4259" xr:uid="{2921E7AA-E55D-408D-BCB7-DA0BF713D42D}"/>
    <cellStyle name="$_Sheet4" xfId="19" xr:uid="{00000000-0005-0000-0000-000005000000}"/>
    <cellStyle name="$_Sheet4 2" xfId="1559" xr:uid="{3700EE47-E3FF-4C5C-BB82-9FCF5FF1233A}"/>
    <cellStyle name="$_Sheet4 2 2" xfId="1560" xr:uid="{60EECBE1-503F-423C-BF50-EF9922EEF43A}"/>
    <cellStyle name="$_Sheet4 3" xfId="1561" xr:uid="{012E73D1-36EC-4471-9B8A-735CBA9F1B55}"/>
    <cellStyle name="$_Sheet4 4" xfId="1558" xr:uid="{1FBCFBB2-94B7-4A6E-B84F-CC8FAFE12759}"/>
    <cellStyle name="$_Sheet4_6.2 CBR B" xfId="4232" xr:uid="{C86F6AF9-C5CE-4384-B9FF-068B91CA47D8}"/>
    <cellStyle name="$_Sheet4_9. Shared Tax - Rate Rider" xfId="4260" xr:uid="{A905920B-523A-42B0-963D-399A098AEE9E}"/>
    <cellStyle name="$M" xfId="20" xr:uid="{00000000-0005-0000-0000-000006000000}"/>
    <cellStyle name="$M 2" xfId="1563" xr:uid="{9EE3717D-1888-448E-B13E-CD1AAEDFB591}"/>
    <cellStyle name="$M 2 2" xfId="1564" xr:uid="{A2EF5F7F-7642-4F95-B72F-17890AF83740}"/>
    <cellStyle name="$M 2 3" xfId="1565" xr:uid="{61224D2A-FE7B-4AF1-9A8F-B6A9CEA0DB10}"/>
    <cellStyle name="$M 3" xfId="1566" xr:uid="{C5A5FA2C-AEA4-44D9-BABD-0877EE946B9A}"/>
    <cellStyle name="$M 3 2" xfId="1567" xr:uid="{4C571E8B-67D7-4DA3-8BF3-E2B60CDFCFD7}"/>
    <cellStyle name="$M 4" xfId="1562" xr:uid="{38BFAC89-03B4-459E-AAF2-EFA8DA81924F}"/>
    <cellStyle name="$M.00" xfId="21" xr:uid="{00000000-0005-0000-0000-000007000000}"/>
    <cellStyle name="$M.00 2" xfId="1569" xr:uid="{25F87AA8-8314-4150-A163-D3F3F14DEB46}"/>
    <cellStyle name="$M.00 2 2" xfId="1570" xr:uid="{D6F09EB0-9C67-415F-AA59-50BEE376C265}"/>
    <cellStyle name="$M.00 3" xfId="1571" xr:uid="{D58CD686-EFA1-48D5-99B9-52958681C1F3}"/>
    <cellStyle name="$M.00 4" xfId="1568" xr:uid="{61BD11B6-A556-42F0-9FEA-19A921B599DE}"/>
    <cellStyle name="$M_9. Rev2Cost_GDPIPI" xfId="22" xr:uid="{00000000-0005-0000-0000-000008000000}"/>
    <cellStyle name="20% - Accent1 10" xfId="104" xr:uid="{3FA1FFCA-BE3F-41A7-8993-95B3F773BA7C}"/>
    <cellStyle name="20% - Accent1 10 2" xfId="1572" xr:uid="{6BF4F35E-CD53-40DA-A3E8-EB010913EA80}"/>
    <cellStyle name="20% - Accent1 11" xfId="105" xr:uid="{5649297F-154B-4C02-A181-973285B19D7D}"/>
    <cellStyle name="20% - Accent1 11 2" xfId="1573" xr:uid="{58EC474C-27F2-420A-A569-972D3021F214}"/>
    <cellStyle name="20% - Accent1 12" xfId="106" xr:uid="{E383FC1D-9847-4DFF-966B-4A3C321502F6}"/>
    <cellStyle name="20% - Accent1 12 2" xfId="1574" xr:uid="{28274820-9463-491C-8723-C248550A8E69}"/>
    <cellStyle name="20% - Accent1 13" xfId="107" xr:uid="{1217E4AB-7DED-403D-A5CC-F233870FFAD1}"/>
    <cellStyle name="20% - Accent1 13 2" xfId="1575" xr:uid="{12D67808-C5AC-4C64-A177-03B3A7301B6C}"/>
    <cellStyle name="20% - Accent1 14" xfId="108" xr:uid="{94913466-AC2B-4CA2-A0C2-791B5ABBC469}"/>
    <cellStyle name="20% - Accent1 14 2" xfId="1576" xr:uid="{3820A38B-4985-4889-B43B-E4EEA39915A9}"/>
    <cellStyle name="20% - Accent1 15" xfId="109" xr:uid="{8AB6D119-F782-40E6-9646-B552CB37096B}"/>
    <cellStyle name="20% - Accent1 15 2" xfId="1577" xr:uid="{DC8C7AC5-8274-4CC3-B019-95E0762D6F8B}"/>
    <cellStyle name="20% - Accent1 16" xfId="769" xr:uid="{45FBF829-0047-4ADB-BC05-C028DF6644DA}"/>
    <cellStyle name="20% - Accent1 16 2" xfId="3469" xr:uid="{59963751-68F1-4EFB-AF29-F182BD11DFE9}"/>
    <cellStyle name="20% - Accent1 16 3" xfId="1578" xr:uid="{70B64D88-B31F-42FF-9F1A-DB4A5A4593A2}"/>
    <cellStyle name="20% - Accent1 2" xfId="23" xr:uid="{00000000-0005-0000-0000-000009000000}"/>
    <cellStyle name="20% - Accent1 2 10" xfId="1580" xr:uid="{A25F32B5-B08D-4360-BC3A-3EE096CE6BDB}"/>
    <cellStyle name="20% - Accent1 2 10 2" xfId="3470" xr:uid="{5D086149-83A9-4AA7-A4D9-F629A4DED597}"/>
    <cellStyle name="20% - Accent1 2 11" xfId="1581" xr:uid="{3989CC5F-7CA3-4CD7-B7E0-899308F3840C}"/>
    <cellStyle name="20% - Accent1 2 12" xfId="1579" xr:uid="{942641B2-9243-4B23-AF06-5532F3989BD6}"/>
    <cellStyle name="20% - Accent1 2 13" xfId="4079" xr:uid="{C1E4E921-920B-4553-B90F-FD5A469B7768}"/>
    <cellStyle name="20% - Accent1 2 2" xfId="815" xr:uid="{1EAF84D8-4755-4733-849D-1BFF4F73BD94}"/>
    <cellStyle name="20% - Accent1 2 2 2" xfId="1583" xr:uid="{88FB1E26-4478-4E16-BA7F-0B6A9D922B3B}"/>
    <cellStyle name="20% - Accent1 2 2 2 2" xfId="5168" xr:uid="{302EDB66-9602-4712-93F9-D3B9B3819387}"/>
    <cellStyle name="20% - Accent1 2 2 3" xfId="1582" xr:uid="{D3E3A5E6-45FE-4EDF-B7B5-7F9CFCFE98E1}"/>
    <cellStyle name="20% - Accent1 2 2 3 2" xfId="4484" xr:uid="{F864C3A2-3BD0-47B0-B0E3-3A72AE674E92}"/>
    <cellStyle name="20% - Accent1 2 2 4" xfId="4175" xr:uid="{6FA9862C-7299-465B-87E4-165441EE8BD2}"/>
    <cellStyle name="20% - Accent1 2 3" xfId="110" xr:uid="{4A647E3F-96F3-4D22-89D1-F5D064BBDC62}"/>
    <cellStyle name="20% - Accent1 2 3 2" xfId="1585" xr:uid="{CFC01EA3-76A8-47E0-A6E5-FCE7C70A2654}"/>
    <cellStyle name="20% - Accent1 2 3 2 2" xfId="1586" xr:uid="{96809E70-28FC-47D9-84B0-2518EF49823C}"/>
    <cellStyle name="20% - Accent1 2 3 2 2 2" xfId="1587" xr:uid="{779FFF19-5BDC-4D17-96F7-48E6D68A2CD5}"/>
    <cellStyle name="20% - Accent1 2 3 2 2 2 2" xfId="3473" xr:uid="{9DD25969-B8B5-44AA-8E22-2C75DF0B5649}"/>
    <cellStyle name="20% - Accent1 2 3 2 2 3" xfId="1588" xr:uid="{DDF3D538-8CCD-46DA-B1E3-8700307B1105}"/>
    <cellStyle name="20% - Accent1 2 3 2 2 3 2" xfId="3474" xr:uid="{F77565E0-E154-43E5-AC5B-DF9AD464A66B}"/>
    <cellStyle name="20% - Accent1 2 3 2 2 4" xfId="3472" xr:uid="{BD2516C8-C482-48C7-89E3-8CCBB534CA16}"/>
    <cellStyle name="20% - Accent1 2 3 2 3" xfId="1589" xr:uid="{6C23FB39-BAA3-4C8B-BDBA-04C0A1F4FEC3}"/>
    <cellStyle name="20% - Accent1 2 3 2 3 2" xfId="3475" xr:uid="{7D604F0E-F7E9-420A-870E-EE60F09BF04A}"/>
    <cellStyle name="20% - Accent1 2 3 2 4" xfId="1590" xr:uid="{4B42F4E0-2D3D-485B-B7FF-F351D30680FE}"/>
    <cellStyle name="20% - Accent1 2 3 2 4 2" xfId="3476" xr:uid="{4790E7C3-1388-4CC1-951E-309BA53F7074}"/>
    <cellStyle name="20% - Accent1 2 3 2 5" xfId="3471" xr:uid="{07C3DC07-37FE-4883-BCFE-8E7CA92E0D90}"/>
    <cellStyle name="20% - Accent1 2 3 2 6" xfId="5200" xr:uid="{D5CFFAC4-B78A-4D98-9EC8-6629C28CE08A}"/>
    <cellStyle name="20% - Accent1 2 3 3" xfId="1591" xr:uid="{C98C43F0-05D3-40CC-BDDA-031ABD763A2B}"/>
    <cellStyle name="20% - Accent1 2 3 3 2" xfId="1592" xr:uid="{79FA9F18-2520-455F-AE32-81D60C2DB695}"/>
    <cellStyle name="20% - Accent1 2 3 3 2 2" xfId="3478" xr:uid="{62BAFB53-C303-4ACD-895D-0AF7A461C9BE}"/>
    <cellStyle name="20% - Accent1 2 3 3 3" xfId="1593" xr:uid="{8A78EA6F-3597-44A0-A790-4F5B98F00CE7}"/>
    <cellStyle name="20% - Accent1 2 3 3 3 2" xfId="3479" xr:uid="{73A4753C-BD89-4AFC-9045-3C6CE1769F52}"/>
    <cellStyle name="20% - Accent1 2 3 3 4" xfId="3477" xr:uid="{F808B248-56E7-4841-A71D-2A66F60D64AD}"/>
    <cellStyle name="20% - Accent1 2 3 4" xfId="1594" xr:uid="{2F9D2E10-444D-4553-9FAF-C91F1591114C}"/>
    <cellStyle name="20% - Accent1 2 3 4 2" xfId="3480" xr:uid="{34992794-605E-440C-8108-4AD000FFA1A0}"/>
    <cellStyle name="20% - Accent1 2 3 5" xfId="1595" xr:uid="{D01A08F7-70AC-4F43-9153-255BBE9998B0}"/>
    <cellStyle name="20% - Accent1 2 3 5 2" xfId="3481" xr:uid="{D3365284-FA83-4908-BF2F-B0BE6CD3BEAB}"/>
    <cellStyle name="20% - Accent1 2 3 6" xfId="1584" xr:uid="{3FCCB101-A57C-48EE-96E6-840C7BF6F514}"/>
    <cellStyle name="20% - Accent1 2 4" xfId="1596" xr:uid="{F0047D5A-D6FA-4B80-AD38-CAB560C92E08}"/>
    <cellStyle name="20% - Accent1 2 4 2" xfId="1597" xr:uid="{0536BBA9-9A60-4DC0-A1AD-4225E12DBABF}"/>
    <cellStyle name="20% - Accent1 2 4 2 2" xfId="1598" xr:uid="{E1AB101D-2A51-415C-8FA8-9D84B91AC237}"/>
    <cellStyle name="20% - Accent1 2 4 2 2 2" xfId="3483" xr:uid="{E9FE4D90-53CF-4910-AD2C-9990586AB7FB}"/>
    <cellStyle name="20% - Accent1 2 4 2 3" xfId="1599" xr:uid="{B38E8F7D-2F19-4150-BBC6-DE1CC31FC743}"/>
    <cellStyle name="20% - Accent1 2 4 2 3 2" xfId="3484" xr:uid="{5CB36BC8-9DE3-4F3C-B379-304A4B79691E}"/>
    <cellStyle name="20% - Accent1 2 4 2 4" xfId="3482" xr:uid="{BC510B2D-6D0C-4BBB-9E92-8F2636F4F329}"/>
    <cellStyle name="20% - Accent1 2 4 3" xfId="1600" xr:uid="{E982EA8A-F346-49D2-85DD-9D80C0026D80}"/>
    <cellStyle name="20% - Accent1 2 4 3 2" xfId="1601" xr:uid="{C679C5ED-E2B4-4D39-8B81-54D77212B161}"/>
    <cellStyle name="20% - Accent1 2 4 3 2 2" xfId="3486" xr:uid="{4ECD7B7C-405C-4987-9518-35327D2F4142}"/>
    <cellStyle name="20% - Accent1 2 4 3 3" xfId="1602" xr:uid="{5EEAB7D9-4011-4F64-A0AF-1D4B9182AD92}"/>
    <cellStyle name="20% - Accent1 2 4 3 3 2" xfId="3487" xr:uid="{A5299C58-A769-440D-96ED-A68530A8837B}"/>
    <cellStyle name="20% - Accent1 2 4 3 4" xfId="3485" xr:uid="{1130DB45-4DDA-46A2-83A5-1534E261356B}"/>
    <cellStyle name="20% - Accent1 2 4 4" xfId="1603" xr:uid="{3910F6B3-0A1A-4F23-AA5B-A80BE337FD2C}"/>
    <cellStyle name="20% - Accent1 2 4 4 2" xfId="3488" xr:uid="{E1A3AB27-41D9-4C02-860C-F3D89A979D3F}"/>
    <cellStyle name="20% - Accent1 2 4 5" xfId="1604" xr:uid="{3534CEDA-008F-4AFB-956B-298266490B58}"/>
    <cellStyle name="20% - Accent1 2 4 5 2" xfId="3489" xr:uid="{FFE2DDB9-4E91-48A4-874B-CC18C20ABFB7}"/>
    <cellStyle name="20% - Accent1 2 4 6" xfId="5135" xr:uid="{37F7B5C4-4A09-48E2-A5F1-543D10AE2C8C}"/>
    <cellStyle name="20% - Accent1 2 5" xfId="1605" xr:uid="{C881BAD1-4406-43DB-84F5-E451EB445C57}"/>
    <cellStyle name="20% - Accent1 2 5 2" xfId="1606" xr:uid="{526E4309-4048-4F60-8A26-7948F3225EC8}"/>
    <cellStyle name="20% - Accent1 2 5 2 2" xfId="1607" xr:uid="{C0FBAD79-BEBC-4C44-945E-9CB567FCB0F2}"/>
    <cellStyle name="20% - Accent1 2 5 2 2 2" xfId="3491" xr:uid="{F28B4B14-D1EF-4F35-8E7D-4F733388AFE2}"/>
    <cellStyle name="20% - Accent1 2 5 2 3" xfId="1608" xr:uid="{062D3BA1-F72B-4F07-AB41-DBB0650F561F}"/>
    <cellStyle name="20% - Accent1 2 5 2 3 2" xfId="3492" xr:uid="{B98B9C7A-C8BF-4575-A672-7DCD581DA7E4}"/>
    <cellStyle name="20% - Accent1 2 5 2 4" xfId="3490" xr:uid="{1D954730-AF8D-4A0D-A14B-A234C7DEF95B}"/>
    <cellStyle name="20% - Accent1 2 5 3" xfId="1609" xr:uid="{AD9C32B0-55CC-4EB3-8581-8AE49C841DA3}"/>
    <cellStyle name="20% - Accent1 2 5 3 2" xfId="3493" xr:uid="{E9432731-513C-4EE5-8F9A-CBB940153FE3}"/>
    <cellStyle name="20% - Accent1 2 5 4" xfId="1610" xr:uid="{86E31C07-B2F6-4932-9483-D8CAF7CB9E28}"/>
    <cellStyle name="20% - Accent1 2 5 4 2" xfId="3494" xr:uid="{BD500740-7FA5-4D4D-96A9-C0407F61C2BA}"/>
    <cellStyle name="20% - Accent1 2 5 5" xfId="5236" xr:uid="{A215D115-E536-42E4-8D44-80BD79C14FD5}"/>
    <cellStyle name="20% - Accent1 2 6" xfId="1611" xr:uid="{9C5B8F1C-4024-4E1D-A01E-80EA7E7DFF11}"/>
    <cellStyle name="20% - Accent1 2 6 2" xfId="1612" xr:uid="{209A72B3-B562-405B-A2FC-E6B2415CB7B0}"/>
    <cellStyle name="20% - Accent1 2 6 2 2" xfId="3495" xr:uid="{FAF157C3-E145-4EB2-B111-D8218ECFC5DC}"/>
    <cellStyle name="20% - Accent1 2 6 3" xfId="1613" xr:uid="{BD06E622-3949-4D28-99A8-7BADE331C2E8}"/>
    <cellStyle name="20% - Accent1 2 6 3 2" xfId="3496" xr:uid="{325FAA5F-4C1B-4E8A-91B7-08DF7E082576}"/>
    <cellStyle name="20% - Accent1 2 6 4" xfId="4315" xr:uid="{AB9EA02B-8489-4CA3-8C55-90C7FFA67B4F}"/>
    <cellStyle name="20% - Accent1 2 7" xfId="1614" xr:uid="{F0605EFF-CA12-4CB6-A66B-015F7DD30A74}"/>
    <cellStyle name="20% - Accent1 2 7 2" xfId="3497" xr:uid="{F995F9B6-4136-4B56-B747-E07E8D6BE170}"/>
    <cellStyle name="20% - Accent1 2 8" xfId="1615" xr:uid="{7C410E33-FF10-45DD-AB04-90FD226817D4}"/>
    <cellStyle name="20% - Accent1 2 8 2" xfId="3498" xr:uid="{3C2720E3-E308-4E98-9B33-783C9E105047}"/>
    <cellStyle name="20% - Accent1 2 9" xfId="1616" xr:uid="{DE2A6DA9-40E5-4F1B-9C2A-A0143182AD25}"/>
    <cellStyle name="20% - Accent1 2_6.2 CBR B" xfId="4233" xr:uid="{4FDEEC2B-9963-403B-BC9D-E19D54C4533B}"/>
    <cellStyle name="20% - Accent1 3" xfId="111" xr:uid="{BBBC7D0B-BD48-4D03-AA8A-2C01413CC7B2}"/>
    <cellStyle name="20% - Accent1 3 2" xfId="1618" xr:uid="{651CB397-079C-4E69-8A15-90D6E56FA925}"/>
    <cellStyle name="20% - Accent1 3 2 2" xfId="4349" xr:uid="{E25EB5C7-E50D-437E-9A0C-A5B10C74DC7F}"/>
    <cellStyle name="20% - Accent1 3 3" xfId="1619" xr:uid="{BB96AA6B-9CCE-45CF-A743-8A97866B84F8}"/>
    <cellStyle name="20% - Accent1 3 4" xfId="1617" xr:uid="{0F8B8448-DC56-4C9F-A49D-2F01AE62306E}"/>
    <cellStyle name="20% - Accent1 3 5" xfId="4204" xr:uid="{638DE5ED-B726-44AE-9DD5-E6055A1F7136}"/>
    <cellStyle name="20% - Accent1 4" xfId="112" xr:uid="{967EE2E3-4945-4801-8E05-BC4B5DE50086}"/>
    <cellStyle name="20% - Accent1 4 2" xfId="1621" xr:uid="{7BED6B01-481A-4220-822C-89A37898108C}"/>
    <cellStyle name="20% - Accent1 4 2 2" xfId="4350" xr:uid="{37C07B98-4BFD-442B-8266-EA4984336B20}"/>
    <cellStyle name="20% - Accent1 4 3" xfId="1620" xr:uid="{EFAA87F3-69DE-4D1D-823F-997E19C652FD}"/>
    <cellStyle name="20% - Accent1 4 4" xfId="4128" xr:uid="{0F1E8D00-7AEF-4BAA-8A1F-D07F0529D8F4}"/>
    <cellStyle name="20% - Accent1 5" xfId="113" xr:uid="{7E251424-5435-4D56-B08E-62A05FE87F7E}"/>
    <cellStyle name="20% - Accent1 5 2" xfId="1622" xr:uid="{60E25958-6DCF-49A8-BDA7-D7AB779361E6}"/>
    <cellStyle name="20% - Accent1 6" xfId="114" xr:uid="{376DAE87-F0AA-4C7C-9983-5B8780A7A441}"/>
    <cellStyle name="20% - Accent1 6 2" xfId="1623" xr:uid="{DB3AD73B-7A16-4E33-BD6A-BEAB16AFC5F3}"/>
    <cellStyle name="20% - Accent1 7" xfId="115" xr:uid="{443E02D2-0543-42C4-875F-F2E9B3167F6C}"/>
    <cellStyle name="20% - Accent1 7 2" xfId="1624" xr:uid="{A1018D0D-9C86-4569-91B0-BB6FFC444DA9}"/>
    <cellStyle name="20% - Accent1 8" xfId="116" xr:uid="{E2A56F3A-271E-4A07-8608-251A3D42C601}"/>
    <cellStyle name="20% - Accent1 8 2" xfId="1625" xr:uid="{5AE4378F-D1BD-4FF3-8677-8B08DE0B7A37}"/>
    <cellStyle name="20% - Accent1 9" xfId="117" xr:uid="{2CB79A3F-4E62-4EAE-9F90-44BF93F1D182}"/>
    <cellStyle name="20% - Accent1 9 2" xfId="1626" xr:uid="{139CC221-7B8D-4C3A-BE0E-CD4B49E78B0E}"/>
    <cellStyle name="20% - Accent2 10" xfId="118" xr:uid="{6C190751-8BFA-4BAD-AFD5-DC099043E3FC}"/>
    <cellStyle name="20% - Accent2 10 2" xfId="1627" xr:uid="{F98D6139-E3A2-4919-953B-526F15D2DA14}"/>
    <cellStyle name="20% - Accent2 11" xfId="119" xr:uid="{A10CC3DB-1218-4CDC-9E9D-72567D40C1B9}"/>
    <cellStyle name="20% - Accent2 11 2" xfId="1628" xr:uid="{277BB9B0-95FC-40A0-9395-DC19FBE788AD}"/>
    <cellStyle name="20% - Accent2 12" xfId="120" xr:uid="{1EB12AEB-951A-4D60-87C9-8A7E59E24A01}"/>
    <cellStyle name="20% - Accent2 12 2" xfId="1629" xr:uid="{69175F6E-C0A5-4E5E-A624-828FE06B63E4}"/>
    <cellStyle name="20% - Accent2 13" xfId="121" xr:uid="{473F8E8B-6183-4F6C-B892-4BD1091F10E0}"/>
    <cellStyle name="20% - Accent2 13 2" xfId="1630" xr:uid="{A655A893-D355-4395-84B1-F352E866A304}"/>
    <cellStyle name="20% - Accent2 14" xfId="122" xr:uid="{13696E75-2D2C-4621-955F-23F7900D4AAA}"/>
    <cellStyle name="20% - Accent2 14 2" xfId="1631" xr:uid="{788F19DF-32D8-48AA-B55C-C9DA8E1537CD}"/>
    <cellStyle name="20% - Accent2 15" xfId="123" xr:uid="{F0E2D41A-B837-46EC-BBEA-2CAE487D301E}"/>
    <cellStyle name="20% - Accent2 15 2" xfId="1632" xr:uid="{C5F89A45-DEA0-4BEC-B9E3-06CA6BAC4DB3}"/>
    <cellStyle name="20% - Accent2 16" xfId="770" xr:uid="{D6013404-A408-4AAB-80F1-09258BC9B437}"/>
    <cellStyle name="20% - Accent2 16 2" xfId="3499" xr:uid="{0083D55E-D262-4508-B027-803A0D477C50}"/>
    <cellStyle name="20% - Accent2 16 3" xfId="1633" xr:uid="{C5310CBD-5F73-4A2E-989E-E34ECECAE2E2}"/>
    <cellStyle name="20% - Accent2 2" xfId="24" xr:uid="{00000000-0005-0000-0000-00000A000000}"/>
    <cellStyle name="20% - Accent2 2 10" xfId="1635" xr:uid="{018191F1-B44D-4E7D-B0C7-0D77909E7936}"/>
    <cellStyle name="20% - Accent2 2 10 2" xfId="3500" xr:uid="{B7A63478-1A08-468D-BC60-362E349E2916}"/>
    <cellStyle name="20% - Accent2 2 11" xfId="1634" xr:uid="{6E312378-E9AA-4A20-9B67-5E6E9518C87C}"/>
    <cellStyle name="20% - Accent2 2 12" xfId="4080" xr:uid="{C2C2B12D-F731-44E3-B9D9-543CE028D72D}"/>
    <cellStyle name="20% - Accent2 2 2" xfId="819" xr:uid="{88E9716D-ED26-4B0C-B13D-E8B8E843EB65}"/>
    <cellStyle name="20% - Accent2 2 2 2" xfId="1637" xr:uid="{326A2147-49A9-4EFD-BC9D-4008580C120E}"/>
    <cellStyle name="20% - Accent2 2 2 2 2" xfId="5170" xr:uid="{998170B0-51E9-45B3-94C9-440CE8686052}"/>
    <cellStyle name="20% - Accent2 2 2 3" xfId="1636" xr:uid="{F4A28F98-4C2B-41B9-AF17-5AFDC4CE5A58}"/>
    <cellStyle name="20% - Accent2 2 2 3 2" xfId="4486" xr:uid="{F4BD4CE8-8C29-48A9-8C5B-F17B2891CCE1}"/>
    <cellStyle name="20% - Accent2 2 2 4" xfId="4176" xr:uid="{5D0A46B4-C803-438F-9299-159DB49EA15B}"/>
    <cellStyle name="20% - Accent2 2 3" xfId="124" xr:uid="{9A2CCDBD-6CEB-439D-8ED1-7C033D7D4909}"/>
    <cellStyle name="20% - Accent2 2 3 2" xfId="1639" xr:uid="{1B91A986-D377-4B37-9ADC-3316B7DD44F6}"/>
    <cellStyle name="20% - Accent2 2 3 2 2" xfId="1640" xr:uid="{54BCF315-7BB7-4620-97CB-A2555A3968C5}"/>
    <cellStyle name="20% - Accent2 2 3 2 2 2" xfId="1641" xr:uid="{0A92EB4C-199F-4460-A535-04AE4B0700B2}"/>
    <cellStyle name="20% - Accent2 2 3 2 2 2 2" xfId="3503" xr:uid="{59E42F24-9D09-473F-B6C3-9DC82D2C819E}"/>
    <cellStyle name="20% - Accent2 2 3 2 2 3" xfId="1642" xr:uid="{C5CE9C36-744A-4130-AF9B-BDBE576B7761}"/>
    <cellStyle name="20% - Accent2 2 3 2 2 3 2" xfId="3504" xr:uid="{57C084F7-E5C4-4430-97B8-AC6B558082EE}"/>
    <cellStyle name="20% - Accent2 2 3 2 2 4" xfId="3502" xr:uid="{E6D1D44B-A7EA-43D0-B3F1-74B8E4855F27}"/>
    <cellStyle name="20% - Accent2 2 3 2 3" xfId="1643" xr:uid="{FECD1559-6341-4F45-B9D3-108C6355F478}"/>
    <cellStyle name="20% - Accent2 2 3 2 3 2" xfId="3505" xr:uid="{8EDA025E-CB43-4978-81CE-970F98E2982B}"/>
    <cellStyle name="20% - Accent2 2 3 2 4" xfId="1644" xr:uid="{76F7149B-984A-4549-9600-D0AB82EA2797}"/>
    <cellStyle name="20% - Accent2 2 3 2 4 2" xfId="3506" xr:uid="{B6DA816F-93D1-492C-93AC-164AC3BDB817}"/>
    <cellStyle name="20% - Accent2 2 3 2 5" xfId="3501" xr:uid="{516BD600-D3F2-4C59-BB16-1ADC3C174A8C}"/>
    <cellStyle name="20% - Accent2 2 3 2 6" xfId="5202" xr:uid="{04C43DA0-E741-4237-BEA9-A8C4A72BBEDA}"/>
    <cellStyle name="20% - Accent2 2 3 3" xfId="1645" xr:uid="{16DE2237-4E95-4A3A-B195-F2918011E67E}"/>
    <cellStyle name="20% - Accent2 2 3 3 2" xfId="1646" xr:uid="{E932F04F-3993-4BCC-814A-8CAA26E54A1B}"/>
    <cellStyle name="20% - Accent2 2 3 3 2 2" xfId="3508" xr:uid="{41EE042C-A49B-4FD4-98D3-35F7FDCE93CA}"/>
    <cellStyle name="20% - Accent2 2 3 3 3" xfId="1647" xr:uid="{D4468AC5-E7E5-496A-90BF-5E9D5E3C89C4}"/>
    <cellStyle name="20% - Accent2 2 3 3 3 2" xfId="3509" xr:uid="{BC8A5D6A-7434-45E6-9671-5D552F287642}"/>
    <cellStyle name="20% - Accent2 2 3 3 4" xfId="3507" xr:uid="{55B6B2AA-B147-42C4-9796-7FDEF1107916}"/>
    <cellStyle name="20% - Accent2 2 3 4" xfId="1648" xr:uid="{23A3A032-8650-4FDC-81C4-C2681C5A397C}"/>
    <cellStyle name="20% - Accent2 2 3 4 2" xfId="3510" xr:uid="{82228431-F2A4-4617-B860-DF3C6D16AD7D}"/>
    <cellStyle name="20% - Accent2 2 3 5" xfId="1649" xr:uid="{5A012894-767F-4EC5-AD4E-B18C87862737}"/>
    <cellStyle name="20% - Accent2 2 3 5 2" xfId="3511" xr:uid="{8F474EEB-E493-47EE-8416-CE1DDD25849C}"/>
    <cellStyle name="20% - Accent2 2 3 6" xfId="1638" xr:uid="{9024F288-A07D-4489-A269-B22105CE3C6E}"/>
    <cellStyle name="20% - Accent2 2 4" xfId="1650" xr:uid="{8D03F837-15BD-4FAC-97D1-22E881B1DA96}"/>
    <cellStyle name="20% - Accent2 2 4 2" xfId="1651" xr:uid="{08E5896D-8919-4D1F-BC05-974985EA3F8D}"/>
    <cellStyle name="20% - Accent2 2 4 2 2" xfId="1652" xr:uid="{280423C1-6460-4E5B-AC36-52D1552F6343}"/>
    <cellStyle name="20% - Accent2 2 4 2 2 2" xfId="3513" xr:uid="{EC1527AE-B19A-4A54-AE2F-BEB56DA599CB}"/>
    <cellStyle name="20% - Accent2 2 4 2 3" xfId="1653" xr:uid="{B1C0231E-6D68-4911-B8BA-694EE683017B}"/>
    <cellStyle name="20% - Accent2 2 4 2 3 2" xfId="3514" xr:uid="{E11BEB28-0360-4D60-A817-C6DB204094F8}"/>
    <cellStyle name="20% - Accent2 2 4 2 4" xfId="3512" xr:uid="{BDECF81F-7F09-4E83-A370-0569F0E0764B}"/>
    <cellStyle name="20% - Accent2 2 4 3" xfId="1654" xr:uid="{45F5517C-2C7E-4D86-B677-ED09B8A4D32E}"/>
    <cellStyle name="20% - Accent2 2 4 3 2" xfId="1655" xr:uid="{AACCA577-A6FD-4424-9A45-5B3CDBC68997}"/>
    <cellStyle name="20% - Accent2 2 4 3 2 2" xfId="3516" xr:uid="{EDCD70B3-8B4C-4FD6-9ED5-9A48F0AC4064}"/>
    <cellStyle name="20% - Accent2 2 4 3 3" xfId="1656" xr:uid="{481364D6-F235-4B0D-90E9-7D947CDA697E}"/>
    <cellStyle name="20% - Accent2 2 4 3 3 2" xfId="3517" xr:uid="{65573C29-4E8E-46F9-8160-50F50930E1EF}"/>
    <cellStyle name="20% - Accent2 2 4 3 4" xfId="3515" xr:uid="{37B9C613-9F14-4D72-9FA2-6A1C2C45C178}"/>
    <cellStyle name="20% - Accent2 2 4 4" xfId="1657" xr:uid="{B1B6CB8C-80E6-479A-8946-CA02C0583761}"/>
    <cellStyle name="20% - Accent2 2 4 4 2" xfId="3518" xr:uid="{1171E8F6-7E7F-4F2A-9B04-93D2AD3EF97F}"/>
    <cellStyle name="20% - Accent2 2 4 5" xfId="1658" xr:uid="{4C74FB3F-9B98-459F-8C3C-F7DFECA00FA2}"/>
    <cellStyle name="20% - Accent2 2 4 5 2" xfId="3519" xr:uid="{1E1C8BB5-304B-4A45-A0CD-CCE27B686CF2}"/>
    <cellStyle name="20% - Accent2 2 4 6" xfId="5137" xr:uid="{C6AD6D08-4018-4E61-AA86-9B96820FDB01}"/>
    <cellStyle name="20% - Accent2 2 5" xfId="1659" xr:uid="{B765C95D-F292-473E-AEE3-489DF942F1C8}"/>
    <cellStyle name="20% - Accent2 2 5 2" xfId="1660" xr:uid="{43DFDFD0-01BA-4410-A3CA-5F2B601B1870}"/>
    <cellStyle name="20% - Accent2 2 5 2 2" xfId="1661" xr:uid="{EAA006CC-F814-4975-9393-B0CCBA5C8263}"/>
    <cellStyle name="20% - Accent2 2 5 2 2 2" xfId="3521" xr:uid="{679DDE5C-DF8B-487C-8224-4F831F764D06}"/>
    <cellStyle name="20% - Accent2 2 5 2 3" xfId="1662" xr:uid="{0D8D81B3-BD64-462C-A461-486E6E6F7A11}"/>
    <cellStyle name="20% - Accent2 2 5 2 3 2" xfId="3522" xr:uid="{CE7975E0-5522-4F33-8411-053D2CAAF57E}"/>
    <cellStyle name="20% - Accent2 2 5 2 4" xfId="3520" xr:uid="{51F92030-8772-49E4-BC5F-0372CCE7526A}"/>
    <cellStyle name="20% - Accent2 2 5 3" xfId="1663" xr:uid="{DD7B5048-8544-422E-99B0-9C6262CC9A06}"/>
    <cellStyle name="20% - Accent2 2 5 3 2" xfId="3523" xr:uid="{77D92E2C-7BE4-44BD-AAA6-085AD5CB2C24}"/>
    <cellStyle name="20% - Accent2 2 5 4" xfId="1664" xr:uid="{35979B49-2587-4686-8697-5B0A7360A8D5}"/>
    <cellStyle name="20% - Accent2 2 5 4 2" xfId="3524" xr:uid="{1B373F42-EDED-4840-A220-96498F713EF2}"/>
    <cellStyle name="20% - Accent2 2 5 5" xfId="5237" xr:uid="{9458A03F-90C8-4F32-ABC6-A18B9532A415}"/>
    <cellStyle name="20% - Accent2 2 6" xfId="1665" xr:uid="{1B828E3A-9BD1-4008-97C1-B0CD5B835A40}"/>
    <cellStyle name="20% - Accent2 2 6 2" xfId="1666" xr:uid="{AC7B14F3-266E-48F7-900D-847C6B505AF3}"/>
    <cellStyle name="20% - Accent2 2 6 2 2" xfId="3525" xr:uid="{24596568-97EE-45E8-B55D-1786F2D20886}"/>
    <cellStyle name="20% - Accent2 2 6 3" xfId="1667" xr:uid="{8EE6A0D8-68F0-4589-A991-37D803E4B9FA}"/>
    <cellStyle name="20% - Accent2 2 6 3 2" xfId="3526" xr:uid="{87683655-7AA7-4706-97D5-B828A415C948}"/>
    <cellStyle name="20% - Accent2 2 6 4" xfId="4316" xr:uid="{7E8083F2-7B77-4CC9-8948-A357131EFA8F}"/>
    <cellStyle name="20% - Accent2 2 7" xfId="1668" xr:uid="{3B79F7A2-66EC-4C36-BDAE-240A69BAC9AA}"/>
    <cellStyle name="20% - Accent2 2 7 2" xfId="3527" xr:uid="{4FD18627-0533-49FB-911C-9C7E9E16EE74}"/>
    <cellStyle name="20% - Accent2 2 8" xfId="1669" xr:uid="{F959C8D6-C0C7-443B-AE2F-80985F0F7719}"/>
    <cellStyle name="20% - Accent2 2 8 2" xfId="3528" xr:uid="{004FC7F8-91DB-4210-BAF5-043B72900E1F}"/>
    <cellStyle name="20% - Accent2 2 9" xfId="1670" xr:uid="{FD4A0A44-0609-4556-BF49-324ECE2F5FCE}"/>
    <cellStyle name="20% - Accent2 2_6.2 CBR B" xfId="4234" xr:uid="{83F64A16-0064-4AD6-B161-35698D02ED68}"/>
    <cellStyle name="20% - Accent2 3" xfId="125" xr:uid="{55000463-8A6F-4E5F-895F-1D6836E3F798}"/>
    <cellStyle name="20% - Accent2 3 2" xfId="1672" xr:uid="{488451AF-13BC-47B1-9ED7-99BDB1696020}"/>
    <cellStyle name="20% - Accent2 3 2 2" xfId="4351" xr:uid="{5C882E10-0377-4F16-95A7-B16F5DAD4253}"/>
    <cellStyle name="20% - Accent2 3 3" xfId="1673" xr:uid="{023C04CB-A46C-4325-96DE-1B9A40C6489F}"/>
    <cellStyle name="20% - Accent2 3 4" xfId="1671" xr:uid="{35F7BB10-D0FF-4F97-A05D-9D30714D2B70}"/>
    <cellStyle name="20% - Accent2 3 5" xfId="4206" xr:uid="{3D151767-6774-4D6A-A600-9C9B393B0F16}"/>
    <cellStyle name="20% - Accent2 4" xfId="126" xr:uid="{AF859086-CC51-40A1-9C3C-6366AA79F1FF}"/>
    <cellStyle name="20% - Accent2 4 2" xfId="1675" xr:uid="{2243EB06-06CB-4E10-B1E4-85DEB459254B}"/>
    <cellStyle name="20% - Accent2 4 2 2" xfId="4352" xr:uid="{5CC26819-5E98-4F39-BB2E-3C5D1F7D71D3}"/>
    <cellStyle name="20% - Accent2 4 3" xfId="1674" xr:uid="{E30C4478-CEF1-4CA5-A38B-55A9C9C0807F}"/>
    <cellStyle name="20% - Accent2 4 4" xfId="4132" xr:uid="{2E474F5A-822A-4369-8579-44916F5A89AA}"/>
    <cellStyle name="20% - Accent2 5" xfId="127" xr:uid="{832429B3-E619-4DDA-B4A3-64363250CB45}"/>
    <cellStyle name="20% - Accent2 5 2" xfId="1676" xr:uid="{28AA3499-6E6C-4DF2-9DF0-5B67A44897FE}"/>
    <cellStyle name="20% - Accent2 6" xfId="128" xr:uid="{B89B8E96-1DD4-4C95-A573-00A44AE3E0E0}"/>
    <cellStyle name="20% - Accent2 6 2" xfId="1677" xr:uid="{88D096AA-AEDA-4E61-91BA-61D065F80CE4}"/>
    <cellStyle name="20% - Accent2 7" xfId="129" xr:uid="{7EE69995-BB3B-41D4-8136-EBAEC511BB7C}"/>
    <cellStyle name="20% - Accent2 7 2" xfId="1678" xr:uid="{4F12F673-57BE-42FF-9B59-5DC3317E7EE7}"/>
    <cellStyle name="20% - Accent2 8" xfId="130" xr:uid="{2725C661-C278-4344-B0A1-619B40DB1CEF}"/>
    <cellStyle name="20% - Accent2 8 2" xfId="1679" xr:uid="{0498E39B-2113-4ED8-BD1A-F91C386D5F98}"/>
    <cellStyle name="20% - Accent2 9" xfId="131" xr:uid="{48AAB1AD-A964-4460-92AD-A040CBF8F10D}"/>
    <cellStyle name="20% - Accent2 9 2" xfId="1680" xr:uid="{BB713DBC-D432-4F95-A7C1-FA073AEDC9DE}"/>
    <cellStyle name="20% - Accent3 10" xfId="132" xr:uid="{7ACE94B7-11FE-4305-941E-C0B5D6C40E5D}"/>
    <cellStyle name="20% - Accent3 10 2" xfId="1681" xr:uid="{D0C76420-31B1-461A-A0B4-E3D2DACE5C80}"/>
    <cellStyle name="20% - Accent3 11" xfId="133" xr:uid="{238C467B-9463-4905-866D-FE45FF0EE60B}"/>
    <cellStyle name="20% - Accent3 11 2" xfId="1682" xr:uid="{594C3054-3DEC-49D8-A059-50537647ACE7}"/>
    <cellStyle name="20% - Accent3 12" xfId="134" xr:uid="{442C9A86-B726-436B-A8EE-CBE9AFDBF4D7}"/>
    <cellStyle name="20% - Accent3 12 2" xfId="1683" xr:uid="{CBC80F4B-DFCE-4410-AA48-C4AF2D4DEE92}"/>
    <cellStyle name="20% - Accent3 13" xfId="135" xr:uid="{2CD00547-C846-4ECE-B078-3A0B79C7A7F7}"/>
    <cellStyle name="20% - Accent3 13 2" xfId="1684" xr:uid="{86EAFC9B-2590-4D54-B04A-2837B8133826}"/>
    <cellStyle name="20% - Accent3 14" xfId="136" xr:uid="{223898B6-3510-4569-AEE2-C0DBD9EC9E21}"/>
    <cellStyle name="20% - Accent3 14 2" xfId="1685" xr:uid="{348645AA-5794-49B7-832D-CFC3AB8A293B}"/>
    <cellStyle name="20% - Accent3 15" xfId="137" xr:uid="{ECFD3754-2839-443F-93D6-2988AB81F926}"/>
    <cellStyle name="20% - Accent3 15 2" xfId="1686" xr:uid="{8119AE2B-79F3-4133-9903-69A4DBF1DA9E}"/>
    <cellStyle name="20% - Accent3 16" xfId="771" xr:uid="{12D4EFAA-CEF6-43E3-AECD-3B0EF030DC19}"/>
    <cellStyle name="20% - Accent3 16 2" xfId="3529" xr:uid="{68022E14-461C-4F52-92EF-6785E73BA26D}"/>
    <cellStyle name="20% - Accent3 16 3" xfId="1687" xr:uid="{273E9753-C62E-400E-9C02-433FAE6CA56F}"/>
    <cellStyle name="20% - Accent3 2" xfId="25" xr:uid="{00000000-0005-0000-0000-00000B000000}"/>
    <cellStyle name="20% - Accent3 2 10" xfId="1689" xr:uid="{7B7202AD-78B0-4001-A64E-057FAC03658E}"/>
    <cellStyle name="20% - Accent3 2 10 2" xfId="3530" xr:uid="{7B3B5E4D-020D-41A5-A820-B8A9B6CFD799}"/>
    <cellStyle name="20% - Accent3 2 11" xfId="1690" xr:uid="{1C32B86F-6D64-4764-A6CB-DF1AD99E0AE6}"/>
    <cellStyle name="20% - Accent3 2 12" xfId="1688" xr:uid="{06EF9732-C3D4-4DCD-94D6-35035A4EBAA7}"/>
    <cellStyle name="20% - Accent3 2 13" xfId="4081" xr:uid="{ECB463BA-F6F0-4AAC-BB3B-B58FA3FF239C}"/>
    <cellStyle name="20% - Accent3 2 2" xfId="823" xr:uid="{BC8980A8-10CB-4C9B-80DC-B668AC15844F}"/>
    <cellStyle name="20% - Accent3 2 2 2" xfId="1692" xr:uid="{CF8DE8A9-2591-4DDF-8C92-2BF6F51B7F79}"/>
    <cellStyle name="20% - Accent3 2 2 2 2" xfId="5172" xr:uid="{F7DE0AE6-4A72-4BDD-8993-4D6B9518A3E2}"/>
    <cellStyle name="20% - Accent3 2 2 3" xfId="1691" xr:uid="{BBB2F8C0-D295-4F22-8B63-71FFD9DCB700}"/>
    <cellStyle name="20% - Accent3 2 2 3 2" xfId="4488" xr:uid="{7F26483C-3277-4845-9C86-3D4013947B17}"/>
    <cellStyle name="20% - Accent3 2 2 4" xfId="4177" xr:uid="{ABC127A2-C744-4736-AA1A-925896566EC9}"/>
    <cellStyle name="20% - Accent3 2 3" xfId="138" xr:uid="{0A9F25B4-70CA-4082-AB6C-473346FA893F}"/>
    <cellStyle name="20% - Accent3 2 3 2" xfId="1694" xr:uid="{4F1D0776-27BC-4D11-A132-2AF038A4849F}"/>
    <cellStyle name="20% - Accent3 2 3 2 2" xfId="1695" xr:uid="{1E2D75E0-E738-41F8-B477-7FE21C29687A}"/>
    <cellStyle name="20% - Accent3 2 3 2 2 2" xfId="1696" xr:uid="{F66B6ABA-B216-4F82-B912-F73FCEA53CDE}"/>
    <cellStyle name="20% - Accent3 2 3 2 2 2 2" xfId="3533" xr:uid="{890615C6-BD27-449C-8112-312FB3532786}"/>
    <cellStyle name="20% - Accent3 2 3 2 2 3" xfId="1697" xr:uid="{668D7B41-CC2E-4593-A3AE-762B07B7A592}"/>
    <cellStyle name="20% - Accent3 2 3 2 2 3 2" xfId="3534" xr:uid="{F491CBE3-59F4-4825-84E2-A6B59C260195}"/>
    <cellStyle name="20% - Accent3 2 3 2 2 4" xfId="3532" xr:uid="{699BD587-C7DF-4B69-9F2D-75C941C72B79}"/>
    <cellStyle name="20% - Accent3 2 3 2 3" xfId="1698" xr:uid="{2F5CA694-25BF-4463-BDA2-B2C3D2527812}"/>
    <cellStyle name="20% - Accent3 2 3 2 3 2" xfId="3535" xr:uid="{58690748-910D-4875-8351-8D1B018612A3}"/>
    <cellStyle name="20% - Accent3 2 3 2 4" xfId="1699" xr:uid="{88786BC9-FF9B-4D95-AFBC-E071E46BAB63}"/>
    <cellStyle name="20% - Accent3 2 3 2 4 2" xfId="3536" xr:uid="{B05FA707-C89F-4CA1-B3B4-643FD025EBFB}"/>
    <cellStyle name="20% - Accent3 2 3 2 5" xfId="3531" xr:uid="{4A86380C-930F-4EBA-90FD-27B29E6127D0}"/>
    <cellStyle name="20% - Accent3 2 3 2 6" xfId="5204" xr:uid="{C38EDA34-8448-4D93-A7A7-C380B0ADBF81}"/>
    <cellStyle name="20% - Accent3 2 3 3" xfId="1700" xr:uid="{40D6EA77-04F1-43E9-BB09-49D6CC858B3B}"/>
    <cellStyle name="20% - Accent3 2 3 3 2" xfId="1701" xr:uid="{FABB9EEC-65CE-4810-B7B8-C011D1D33AE3}"/>
    <cellStyle name="20% - Accent3 2 3 3 2 2" xfId="3538" xr:uid="{27F8F79B-C311-4B29-A201-495308183164}"/>
    <cellStyle name="20% - Accent3 2 3 3 3" xfId="1702" xr:uid="{C84C2FEC-D092-458A-BEA2-D3372B2058AB}"/>
    <cellStyle name="20% - Accent3 2 3 3 3 2" xfId="3539" xr:uid="{04088CF5-D91F-42BE-A721-55DD1EB69C4A}"/>
    <cellStyle name="20% - Accent3 2 3 3 4" xfId="3537" xr:uid="{2D3D7367-4300-408E-A05D-4E6F6B3744D4}"/>
    <cellStyle name="20% - Accent3 2 3 4" xfId="1703" xr:uid="{BB0DD3FC-FC3A-4B92-822F-057FCCD53478}"/>
    <cellStyle name="20% - Accent3 2 3 4 2" xfId="3540" xr:uid="{30B6CAD9-1A40-4A2F-B025-5330A193702C}"/>
    <cellStyle name="20% - Accent3 2 3 5" xfId="1704" xr:uid="{85C0EC2A-9624-420D-9313-90C9D87E5801}"/>
    <cellStyle name="20% - Accent3 2 3 5 2" xfId="3541" xr:uid="{75A00C58-2FE3-4279-8B67-4C63059F66DC}"/>
    <cellStyle name="20% - Accent3 2 3 6" xfId="1693" xr:uid="{81F6E966-E867-4261-8BFB-A5F74E2A5206}"/>
    <cellStyle name="20% - Accent3 2 4" xfId="1705" xr:uid="{CA3C68E7-776F-42D9-AF5D-60553694F42A}"/>
    <cellStyle name="20% - Accent3 2 4 2" xfId="1706" xr:uid="{2BBD4AF1-0B8D-4A58-B3A2-5FF4BCAE0781}"/>
    <cellStyle name="20% - Accent3 2 4 2 2" xfId="1707" xr:uid="{F2B82E81-3F76-4B0A-A9C8-9E0909D41E0F}"/>
    <cellStyle name="20% - Accent3 2 4 2 2 2" xfId="3543" xr:uid="{4E236713-BD63-4228-AEF2-771F0C3C5CAD}"/>
    <cellStyle name="20% - Accent3 2 4 2 3" xfId="1708" xr:uid="{0EC57764-1E56-4318-AB63-BE66B281F084}"/>
    <cellStyle name="20% - Accent3 2 4 2 3 2" xfId="3544" xr:uid="{2760C2E9-07CC-4F53-90FA-68694D71E108}"/>
    <cellStyle name="20% - Accent3 2 4 2 4" xfId="3542" xr:uid="{51E44D80-9C5A-4ACF-8203-5CED3C0404FA}"/>
    <cellStyle name="20% - Accent3 2 4 3" xfId="1709" xr:uid="{A36EA30B-FB78-43E6-BDCC-8DEF67FD3586}"/>
    <cellStyle name="20% - Accent3 2 4 3 2" xfId="1710" xr:uid="{47305E96-9C72-4D60-A3C2-AFDFF811B920}"/>
    <cellStyle name="20% - Accent3 2 4 3 2 2" xfId="3546" xr:uid="{12011FCA-A2F8-4FED-BE89-B8129374B697}"/>
    <cellStyle name="20% - Accent3 2 4 3 3" xfId="1711" xr:uid="{087B50FF-34B9-4D90-B0D9-91147882E34B}"/>
    <cellStyle name="20% - Accent3 2 4 3 3 2" xfId="3547" xr:uid="{BBE3D067-03FE-4A96-8AE5-E575A83D2EF0}"/>
    <cellStyle name="20% - Accent3 2 4 3 4" xfId="3545" xr:uid="{F5B22487-A388-4850-BE5A-BA389E4D35E5}"/>
    <cellStyle name="20% - Accent3 2 4 4" xfId="1712" xr:uid="{CB81ABAE-F1C4-4F70-A348-72B5CACE04E1}"/>
    <cellStyle name="20% - Accent3 2 4 4 2" xfId="3548" xr:uid="{F6EDC96C-F8E6-4976-BCD8-5B542D6EF961}"/>
    <cellStyle name="20% - Accent3 2 4 5" xfId="1713" xr:uid="{A2A73118-1558-42A9-B1E4-28EAA7A83E48}"/>
    <cellStyle name="20% - Accent3 2 4 5 2" xfId="3549" xr:uid="{6A7E8D1E-C38D-4E8D-B99E-996E310DDD03}"/>
    <cellStyle name="20% - Accent3 2 4 6" xfId="5139" xr:uid="{9FE2396C-9B82-4DC2-AADE-9D887AC2FB87}"/>
    <cellStyle name="20% - Accent3 2 5" xfId="1714" xr:uid="{CAEA8500-D315-4889-9354-5605FCE0C555}"/>
    <cellStyle name="20% - Accent3 2 5 2" xfId="1715" xr:uid="{48FEEEDF-676E-48BA-8DA1-DEF49A8B4540}"/>
    <cellStyle name="20% - Accent3 2 5 2 2" xfId="1716" xr:uid="{2F8C42E2-81F3-4C92-BC9E-E2114FE00A61}"/>
    <cellStyle name="20% - Accent3 2 5 2 2 2" xfId="3551" xr:uid="{4140FF0E-32A6-488D-941D-2B49BCBB2733}"/>
    <cellStyle name="20% - Accent3 2 5 2 3" xfId="1717" xr:uid="{F6CA4DCE-90EA-4649-A99D-428AF930AC5A}"/>
    <cellStyle name="20% - Accent3 2 5 2 3 2" xfId="3552" xr:uid="{63652EEB-23B1-461C-BD4F-C8B7BF1A9D49}"/>
    <cellStyle name="20% - Accent3 2 5 2 4" xfId="3550" xr:uid="{61B3B21D-CABB-4DD5-92A9-FF9115BAD488}"/>
    <cellStyle name="20% - Accent3 2 5 3" xfId="1718" xr:uid="{836ABFE8-14A6-4A46-A1BB-F36301A4CF0E}"/>
    <cellStyle name="20% - Accent3 2 5 3 2" xfId="3553" xr:uid="{8E0E6294-CF0E-48F5-9A1E-9D63C62E42BB}"/>
    <cellStyle name="20% - Accent3 2 5 4" xfId="1719" xr:uid="{EA7C75F5-77D9-425C-BF54-5DF18233D2C2}"/>
    <cellStyle name="20% - Accent3 2 5 4 2" xfId="3554" xr:uid="{5766F592-F9DD-4F8C-BCCB-BE292B60EB17}"/>
    <cellStyle name="20% - Accent3 2 5 5" xfId="5238" xr:uid="{06D7B96D-E04C-4792-B180-6104F42371A6}"/>
    <cellStyle name="20% - Accent3 2 6" xfId="1720" xr:uid="{9E016CEC-07CB-4638-9C93-D1BBCA8C7B25}"/>
    <cellStyle name="20% - Accent3 2 6 2" xfId="1721" xr:uid="{B350F275-FBA3-40E7-A64A-B455D168F20E}"/>
    <cellStyle name="20% - Accent3 2 6 2 2" xfId="3555" xr:uid="{7D57F336-24F3-4450-82DA-510D1DFECD4B}"/>
    <cellStyle name="20% - Accent3 2 6 3" xfId="1722" xr:uid="{45C7C6CA-772A-4AA1-B2CF-37559BD38C3E}"/>
    <cellStyle name="20% - Accent3 2 6 3 2" xfId="3556" xr:uid="{5BFAD7B0-1069-4352-8425-37DD73C8698A}"/>
    <cellStyle name="20% - Accent3 2 6 4" xfId="4317" xr:uid="{6605DDF6-2ACC-40A4-A226-86023E991A68}"/>
    <cellStyle name="20% - Accent3 2 7" xfId="1723" xr:uid="{303CF0A1-D67C-48E5-A007-37294F22C460}"/>
    <cellStyle name="20% - Accent3 2 7 2" xfId="3557" xr:uid="{0E0C65FD-99B5-4635-A393-C0ABC9B1D7A1}"/>
    <cellStyle name="20% - Accent3 2 8" xfId="1724" xr:uid="{7FD7CA61-94B2-493B-99D4-22F31FC1BC90}"/>
    <cellStyle name="20% - Accent3 2 8 2" xfId="3558" xr:uid="{40275532-4C5B-44BC-BE52-DA91FA84D528}"/>
    <cellStyle name="20% - Accent3 2 9" xfId="1725" xr:uid="{955093DE-0B93-401B-9676-B8AFA123BC5B}"/>
    <cellStyle name="20% - Accent3 2_6.2 CBR B" xfId="4235" xr:uid="{85A1DFA2-41E7-48E8-BC3B-018F7013D364}"/>
    <cellStyle name="20% - Accent3 3" xfId="139" xr:uid="{FC3BB4A7-30D5-4C60-A940-C9F97270670D}"/>
    <cellStyle name="20% - Accent3 3 2" xfId="1727" xr:uid="{392CE5B5-F655-4E24-8BD2-768F3F2EA0D4}"/>
    <cellStyle name="20% - Accent3 3 2 2" xfId="4353" xr:uid="{95EC3D7D-5EE6-4018-9A3B-02AC7FD6F835}"/>
    <cellStyle name="20% - Accent3 3 3" xfId="1728" xr:uid="{844C20DA-98A0-4631-B3AC-BB625A5F48D6}"/>
    <cellStyle name="20% - Accent3 3 4" xfId="1726" xr:uid="{38E70B0F-4CCD-473F-A0A3-8F29F1821743}"/>
    <cellStyle name="20% - Accent3 3 5" xfId="4208" xr:uid="{F520C921-F99A-439A-9A08-A9493823ED60}"/>
    <cellStyle name="20% - Accent3 4" xfId="140" xr:uid="{9BFF5A1D-111E-40A5-846A-74F9CC4C6F78}"/>
    <cellStyle name="20% - Accent3 4 2" xfId="1730" xr:uid="{47D05C5E-F7D2-4C5F-B077-0BCEC24A47D6}"/>
    <cellStyle name="20% - Accent3 4 2 2" xfId="4354" xr:uid="{6E9A90CE-D467-4B8C-8657-C08BB43E794E}"/>
    <cellStyle name="20% - Accent3 4 3" xfId="1729" xr:uid="{8F49E467-9E03-4321-817E-959F962EC003}"/>
    <cellStyle name="20% - Accent3 4 4" xfId="4136" xr:uid="{DBBA5A20-8CFE-4F62-BAB7-389492C82894}"/>
    <cellStyle name="20% - Accent3 5" xfId="141" xr:uid="{6ED29ED2-D5FA-4F82-8DDE-AC56B37D1B7B}"/>
    <cellStyle name="20% - Accent3 5 2" xfId="1731" xr:uid="{6D9F7BA5-6F14-40F8-82C1-55545F266504}"/>
    <cellStyle name="20% - Accent3 6" xfId="142" xr:uid="{2EE88B77-B4ED-4224-8F5A-1F5F717E398A}"/>
    <cellStyle name="20% - Accent3 6 2" xfId="1732" xr:uid="{B6E19204-33EE-40BE-9A49-4996FC379871}"/>
    <cellStyle name="20% - Accent3 7" xfId="143" xr:uid="{7FE3F72A-B20C-4FA5-8174-BF46E31A47FA}"/>
    <cellStyle name="20% - Accent3 7 2" xfId="1733" xr:uid="{CEF3873A-656D-4670-BC21-B32AA77748AC}"/>
    <cellStyle name="20% - Accent3 8" xfId="144" xr:uid="{26BDBDB6-96C4-4DE8-8498-1D3EDB6B5361}"/>
    <cellStyle name="20% - Accent3 8 2" xfId="1734" xr:uid="{B49B0CF3-CC70-48BC-A4EB-587E601252FE}"/>
    <cellStyle name="20% - Accent3 9" xfId="145" xr:uid="{58ACF6E2-883C-4F05-A549-358FF04DE678}"/>
    <cellStyle name="20% - Accent3 9 2" xfId="1735" xr:uid="{D12B27CB-07F2-4815-9AD6-B7E322094C87}"/>
    <cellStyle name="20% - Accent4 10" xfId="146" xr:uid="{91A615A8-05D8-4E89-9B9D-40BB1EBF12DF}"/>
    <cellStyle name="20% - Accent4 10 2" xfId="1736" xr:uid="{BA8294D2-FA09-4412-A07A-933863EC7B44}"/>
    <cellStyle name="20% - Accent4 11" xfId="147" xr:uid="{4BF0B27D-D287-4453-B607-E298CBF863AC}"/>
    <cellStyle name="20% - Accent4 11 2" xfId="1737" xr:uid="{63B72A89-BCA6-44ED-AFEE-A0D5C86CC1C9}"/>
    <cellStyle name="20% - Accent4 12" xfId="148" xr:uid="{7B996A7E-4836-4E27-8B5A-D813B5202EE1}"/>
    <cellStyle name="20% - Accent4 12 2" xfId="1738" xr:uid="{98A00F11-8B3A-486B-93FE-4D593BC9D0CA}"/>
    <cellStyle name="20% - Accent4 13" xfId="149" xr:uid="{37B53B62-2DCD-4744-95D8-F12FA4004CB2}"/>
    <cellStyle name="20% - Accent4 13 2" xfId="1739" xr:uid="{CD7157A2-A41C-45A8-A270-0E238F09BA2D}"/>
    <cellStyle name="20% - Accent4 14" xfId="150" xr:uid="{E09126FA-9152-4B23-9983-B1F228217BF6}"/>
    <cellStyle name="20% - Accent4 14 2" xfId="1740" xr:uid="{4F6AB182-9230-4621-B194-63A170F2D3DD}"/>
    <cellStyle name="20% - Accent4 15" xfId="151" xr:uid="{2FAAE852-EEC6-4346-A0B9-174305E14DEC}"/>
    <cellStyle name="20% - Accent4 15 2" xfId="1741" xr:uid="{E966DF4B-758C-42A5-A2ED-BBA4F09525ED}"/>
    <cellStyle name="20% - Accent4 16" xfId="772" xr:uid="{85D136F8-EEB5-44EA-BB38-A6FEF4273F13}"/>
    <cellStyle name="20% - Accent4 16 2" xfId="3559" xr:uid="{764970AB-BFAA-4C90-AD4B-259C304E5B8A}"/>
    <cellStyle name="20% - Accent4 16 3" xfId="1742" xr:uid="{950D1841-D465-44CD-AC38-BBF3A603ACAC}"/>
    <cellStyle name="20% - Accent4 2" xfId="26" xr:uid="{00000000-0005-0000-0000-00000C000000}"/>
    <cellStyle name="20% - Accent4 2 10" xfId="1744" xr:uid="{54D073FE-89B5-42AF-8800-4936D4FC8816}"/>
    <cellStyle name="20% - Accent4 2 10 2" xfId="3560" xr:uid="{F0FCC6E9-9A38-49D1-9927-3B607C82477D}"/>
    <cellStyle name="20% - Accent4 2 11" xfId="1745" xr:uid="{77C37D7D-AD4E-4E44-AAC8-62FDBF96F9D0}"/>
    <cellStyle name="20% - Accent4 2 12" xfId="1743" xr:uid="{AFA13CE3-10B8-4DED-87A6-6B6400BA135A}"/>
    <cellStyle name="20% - Accent4 2 13" xfId="4082" xr:uid="{9A9C404A-5D97-4306-9C07-5E11B3827833}"/>
    <cellStyle name="20% - Accent4 2 2" xfId="827" xr:uid="{D06E2F48-0918-4986-B898-28978AD07AFD}"/>
    <cellStyle name="20% - Accent4 2 2 2" xfId="1747" xr:uid="{678E97AB-0FB7-44E8-84B9-CE9C363EF2B5}"/>
    <cellStyle name="20% - Accent4 2 2 2 2" xfId="5174" xr:uid="{B7ADCB58-EAEB-447A-9D69-270D2A0D8BA4}"/>
    <cellStyle name="20% - Accent4 2 2 3" xfId="1746" xr:uid="{D7C4F4BB-EDA9-484D-A385-99C3C678F403}"/>
    <cellStyle name="20% - Accent4 2 2 3 2" xfId="4490" xr:uid="{58316CF9-E8DA-4125-A7AA-BACDAD83681C}"/>
    <cellStyle name="20% - Accent4 2 2 4" xfId="4178" xr:uid="{31839D52-928E-463A-9483-71D7D8F743AD}"/>
    <cellStyle name="20% - Accent4 2 3" xfId="152" xr:uid="{628FC5C7-725D-4262-97F4-6C2D4880CC12}"/>
    <cellStyle name="20% - Accent4 2 3 2" xfId="1749" xr:uid="{69D0A0ED-2CDC-4063-A111-A82F96B41BD4}"/>
    <cellStyle name="20% - Accent4 2 3 2 2" xfId="1750" xr:uid="{283353C4-3096-4729-B65C-126A06F63F43}"/>
    <cellStyle name="20% - Accent4 2 3 2 2 2" xfId="1751" xr:uid="{33BB1330-B8D5-46C8-B018-822EBD77C0E6}"/>
    <cellStyle name="20% - Accent4 2 3 2 2 2 2" xfId="3563" xr:uid="{12B4B666-3698-412A-BC90-CDB4DFD043C5}"/>
    <cellStyle name="20% - Accent4 2 3 2 2 3" xfId="1752" xr:uid="{79023508-297B-4F79-836A-EA83F48BEA9E}"/>
    <cellStyle name="20% - Accent4 2 3 2 2 3 2" xfId="3564" xr:uid="{194AD7FE-B059-4472-9C21-F32980C1F739}"/>
    <cellStyle name="20% - Accent4 2 3 2 2 4" xfId="3562" xr:uid="{75F65987-F25B-4946-BC22-BEEA44F84039}"/>
    <cellStyle name="20% - Accent4 2 3 2 3" xfId="1753" xr:uid="{13CC0873-A7A7-4B81-B3D2-2779F588AA6F}"/>
    <cellStyle name="20% - Accent4 2 3 2 3 2" xfId="3565" xr:uid="{7D00510F-52CD-4B92-B63A-CDA9E15983ED}"/>
    <cellStyle name="20% - Accent4 2 3 2 4" xfId="1754" xr:uid="{E68A0AA9-8EEF-4750-B064-71F61369D7CC}"/>
    <cellStyle name="20% - Accent4 2 3 2 4 2" xfId="3566" xr:uid="{A1F9D459-7634-4D20-BCDB-4945A883C0B1}"/>
    <cellStyle name="20% - Accent4 2 3 2 5" xfId="3561" xr:uid="{28B0F5FA-6346-4F3D-A62E-73AFC3E2C391}"/>
    <cellStyle name="20% - Accent4 2 3 2 6" xfId="5206" xr:uid="{906AA202-BDDC-43B6-9FA2-685EB2D23E28}"/>
    <cellStyle name="20% - Accent4 2 3 3" xfId="1755" xr:uid="{9D364379-B6D4-4BF5-B77F-BCACE24BDE4B}"/>
    <cellStyle name="20% - Accent4 2 3 3 2" xfId="1756" xr:uid="{0B506E59-D69B-4588-8269-13CE5E593D7F}"/>
    <cellStyle name="20% - Accent4 2 3 3 2 2" xfId="3568" xr:uid="{94F89B3A-E1DE-415F-8292-3BC4A067D7A5}"/>
    <cellStyle name="20% - Accent4 2 3 3 3" xfId="1757" xr:uid="{8545E290-4B57-41FD-931D-A002DB89A433}"/>
    <cellStyle name="20% - Accent4 2 3 3 3 2" xfId="3569" xr:uid="{9784FB1E-4F16-4710-ADE0-59DAA769B334}"/>
    <cellStyle name="20% - Accent4 2 3 3 4" xfId="3567" xr:uid="{83E94726-342D-49C5-83A1-9BF415FC1A33}"/>
    <cellStyle name="20% - Accent4 2 3 4" xfId="1758" xr:uid="{2476ED10-30BE-4102-91DA-85F4BB7B7EE6}"/>
    <cellStyle name="20% - Accent4 2 3 4 2" xfId="3570" xr:uid="{CB1F2BC7-1A4B-4814-A358-BD6B0254B50E}"/>
    <cellStyle name="20% - Accent4 2 3 5" xfId="1759" xr:uid="{F94FCD33-2F63-400C-9C58-12AFD7C3BFD9}"/>
    <cellStyle name="20% - Accent4 2 3 5 2" xfId="3571" xr:uid="{48D0839C-B2F6-4FF6-AAAA-DE5AD4CF833A}"/>
    <cellStyle name="20% - Accent4 2 3 6" xfId="1748" xr:uid="{EE66645C-6120-4E1E-AA54-D3E3A5DE838C}"/>
    <cellStyle name="20% - Accent4 2 4" xfId="1760" xr:uid="{7952B619-E684-4878-B32F-6A13386345AA}"/>
    <cellStyle name="20% - Accent4 2 4 2" xfId="1761" xr:uid="{315D7DEB-F00F-466B-B2ED-A724C74606EC}"/>
    <cellStyle name="20% - Accent4 2 4 2 2" xfId="1762" xr:uid="{3B709003-D2FE-49FC-A4F9-1F8FF7FDE45E}"/>
    <cellStyle name="20% - Accent4 2 4 2 2 2" xfId="3573" xr:uid="{8E5AEB89-095C-4653-9C72-D4C46B9CC24B}"/>
    <cellStyle name="20% - Accent4 2 4 2 3" xfId="1763" xr:uid="{814BE4C3-256E-41DF-94FB-9FF0429C3042}"/>
    <cellStyle name="20% - Accent4 2 4 2 3 2" xfId="3574" xr:uid="{F47F5A96-69C6-41AD-B7C6-20A9BD94428C}"/>
    <cellStyle name="20% - Accent4 2 4 2 4" xfId="3572" xr:uid="{E2E7FBE2-D5A8-474C-935D-BEBA7C61F486}"/>
    <cellStyle name="20% - Accent4 2 4 3" xfId="1764" xr:uid="{611627E5-1508-4957-A006-FFFBEA1D07C8}"/>
    <cellStyle name="20% - Accent4 2 4 3 2" xfId="1765" xr:uid="{7738B659-F889-46F5-80B0-2182CAE98115}"/>
    <cellStyle name="20% - Accent4 2 4 3 2 2" xfId="3576" xr:uid="{EDEA2F8B-879A-402D-9296-D33C472162E0}"/>
    <cellStyle name="20% - Accent4 2 4 3 3" xfId="1766" xr:uid="{0D8B1020-3025-4B62-968E-52396DD9BDD2}"/>
    <cellStyle name="20% - Accent4 2 4 3 3 2" xfId="3577" xr:uid="{D8C30CCD-E059-4D5B-B355-7A2380FC0249}"/>
    <cellStyle name="20% - Accent4 2 4 3 4" xfId="3575" xr:uid="{5F0B4037-0847-4E2C-BAEA-62B4179C4FCF}"/>
    <cellStyle name="20% - Accent4 2 4 4" xfId="1767" xr:uid="{D8461180-32B6-43A0-B065-72A33417F281}"/>
    <cellStyle name="20% - Accent4 2 4 4 2" xfId="3578" xr:uid="{6D73A7BB-442A-442C-AA03-B53ADF260CC3}"/>
    <cellStyle name="20% - Accent4 2 4 5" xfId="1768" xr:uid="{06C37E18-20E3-4224-9FEA-7EBDB22CE016}"/>
    <cellStyle name="20% - Accent4 2 4 5 2" xfId="3579" xr:uid="{469443F5-8581-4D85-BE21-6BBABFB677E7}"/>
    <cellStyle name="20% - Accent4 2 4 6" xfId="5141" xr:uid="{4C78FC1D-B7F4-4A64-9ACC-99B295D09B99}"/>
    <cellStyle name="20% - Accent4 2 5" xfId="1769" xr:uid="{25C2BEDF-53BA-461B-9E7B-A0DEA97C32AC}"/>
    <cellStyle name="20% - Accent4 2 5 2" xfId="1770" xr:uid="{25550139-50AF-424D-80A1-E9AD95BE82A6}"/>
    <cellStyle name="20% - Accent4 2 5 2 2" xfId="1771" xr:uid="{FD7EA22A-724D-488E-A498-3F2198D68930}"/>
    <cellStyle name="20% - Accent4 2 5 2 2 2" xfId="3581" xr:uid="{3ABB0F9C-FCBB-4BCC-846E-E38032408F2B}"/>
    <cellStyle name="20% - Accent4 2 5 2 3" xfId="1772" xr:uid="{A89A1DF8-6FB4-4722-83D6-D0F3DD17C6A0}"/>
    <cellStyle name="20% - Accent4 2 5 2 3 2" xfId="3582" xr:uid="{3331A5C4-23DC-4A8C-A379-1291AF59D2AB}"/>
    <cellStyle name="20% - Accent4 2 5 2 4" xfId="3580" xr:uid="{1EF04296-F4C4-4361-ADDB-EF01B6094F7E}"/>
    <cellStyle name="20% - Accent4 2 5 3" xfId="1773" xr:uid="{92434B3E-05FA-48C4-ACB4-BB5E68059A82}"/>
    <cellStyle name="20% - Accent4 2 5 3 2" xfId="3583" xr:uid="{3FAB0361-5598-4FF8-BE29-3981AD588D5E}"/>
    <cellStyle name="20% - Accent4 2 5 4" xfId="1774" xr:uid="{B43F12B6-C8BE-4D3B-9FBF-F46C163BB608}"/>
    <cellStyle name="20% - Accent4 2 5 4 2" xfId="3584" xr:uid="{7E43AC10-0C43-4D98-A66A-F854A8711FEF}"/>
    <cellStyle name="20% - Accent4 2 5 5" xfId="5239" xr:uid="{AD6C7445-D84E-4DE0-BC8D-638D191DD516}"/>
    <cellStyle name="20% - Accent4 2 6" xfId="1775" xr:uid="{724BB150-FCCF-4380-BEB7-CF2253E66C4F}"/>
    <cellStyle name="20% - Accent4 2 6 2" xfId="1776" xr:uid="{09491894-4FB0-4065-B418-F674D8C7B267}"/>
    <cellStyle name="20% - Accent4 2 6 2 2" xfId="3585" xr:uid="{86CA2B0B-4D7D-40FD-A26E-33D06D9F9F08}"/>
    <cellStyle name="20% - Accent4 2 6 3" xfId="1777" xr:uid="{2CBD9E7D-2751-410F-B491-8E6381702292}"/>
    <cellStyle name="20% - Accent4 2 6 3 2" xfId="3586" xr:uid="{933E32FD-6883-4278-873C-A3B94CF88997}"/>
    <cellStyle name="20% - Accent4 2 6 4" xfId="4318" xr:uid="{6D88D805-7F15-4F43-99E2-80593834E826}"/>
    <cellStyle name="20% - Accent4 2 7" xfId="1778" xr:uid="{77A96DC0-DD1B-468F-BE56-7FD0E5E42E3B}"/>
    <cellStyle name="20% - Accent4 2 7 2" xfId="3587" xr:uid="{3790F5D9-72DF-4EBF-8F10-696D5352410D}"/>
    <cellStyle name="20% - Accent4 2 8" xfId="1779" xr:uid="{575E8197-C13E-4BD0-9E04-5706E8613CC1}"/>
    <cellStyle name="20% - Accent4 2 8 2" xfId="3588" xr:uid="{56E28D11-E2A8-4FEF-AE75-3C9F5B296963}"/>
    <cellStyle name="20% - Accent4 2 9" xfId="1780" xr:uid="{F028F8DA-5D83-4E60-BB9B-522A4323BD1F}"/>
    <cellStyle name="20% - Accent4 2_6.2 CBR B" xfId="4236" xr:uid="{B5CE0DF6-04F9-4251-BFEB-8FA83353A56B}"/>
    <cellStyle name="20% - Accent4 3" xfId="153" xr:uid="{67E18104-DDA9-43A1-8F21-8E27D7C24A4F}"/>
    <cellStyle name="20% - Accent4 3 2" xfId="1782" xr:uid="{3C1BB383-95D0-4427-9906-10DA8817DD26}"/>
    <cellStyle name="20% - Accent4 3 2 2" xfId="4355" xr:uid="{882DAC58-5070-4CDB-9021-39C0A154B09F}"/>
    <cellStyle name="20% - Accent4 3 3" xfId="1783" xr:uid="{8FB1666A-F503-4A6E-97A0-266560F68304}"/>
    <cellStyle name="20% - Accent4 3 4" xfId="1781" xr:uid="{320A6996-6902-4E45-882C-DEB6DE128407}"/>
    <cellStyle name="20% - Accent4 3 5" xfId="4210" xr:uid="{8C8FFB82-F4E7-466A-ABA5-FE521EE1F503}"/>
    <cellStyle name="20% - Accent4 4" xfId="154" xr:uid="{53918B96-84C3-4AA2-ABA4-AFB5DA482B70}"/>
    <cellStyle name="20% - Accent4 4 2" xfId="1785" xr:uid="{F8713150-42DD-4521-930D-306984A51487}"/>
    <cellStyle name="20% - Accent4 4 2 2" xfId="4356" xr:uid="{7477B4E3-DEDE-4C29-B26C-964002412727}"/>
    <cellStyle name="20% - Accent4 4 3" xfId="1784" xr:uid="{3DED4420-8A5C-478F-A9FC-6D89BBC53C99}"/>
    <cellStyle name="20% - Accent4 4 4" xfId="4140" xr:uid="{4110DAC4-2140-438E-A183-A24DEA969621}"/>
    <cellStyle name="20% - Accent4 5" xfId="155" xr:uid="{03FA5905-9E5F-405E-AEB8-80E98202F63F}"/>
    <cellStyle name="20% - Accent4 5 2" xfId="1786" xr:uid="{C56B01B5-4049-40F7-87AF-5355435594E9}"/>
    <cellStyle name="20% - Accent4 6" xfId="156" xr:uid="{34A83AA0-64AF-4F94-A503-6B66AF786291}"/>
    <cellStyle name="20% - Accent4 6 2" xfId="1787" xr:uid="{525E2910-2FE2-42CF-9225-16A81E7A1DB6}"/>
    <cellStyle name="20% - Accent4 7" xfId="157" xr:uid="{F133B68C-37B6-4046-B43A-51FDE6B78839}"/>
    <cellStyle name="20% - Accent4 7 2" xfId="1788" xr:uid="{6CC9F2B1-EF84-471E-9F9A-204453412814}"/>
    <cellStyle name="20% - Accent4 8" xfId="158" xr:uid="{C6135576-4E9B-4065-8B00-004EF1FCA6D1}"/>
    <cellStyle name="20% - Accent4 8 2" xfId="1789" xr:uid="{8419A936-CF19-4979-A51F-7A50AF69CD37}"/>
    <cellStyle name="20% - Accent4 9" xfId="159" xr:uid="{40EED231-805A-4BF5-97A3-F43A32E53F31}"/>
    <cellStyle name="20% - Accent4 9 2" xfId="1790" xr:uid="{AC6A86F8-775F-406F-9E53-EDA4F096CEDC}"/>
    <cellStyle name="20% - Accent5" xfId="1536" builtinId="46" customBuiltin="1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16 2" xfId="3589" xr:uid="{FE345CCE-B84E-4A89-ADEA-544E2D7209AD}"/>
    <cellStyle name="20% - Accent5 2" xfId="27" xr:uid="{00000000-0005-0000-0000-00000D000000}"/>
    <cellStyle name="20% - Accent5 2 10" xfId="1792" xr:uid="{71C98489-7B69-4EEF-826B-65BB30118EA7}"/>
    <cellStyle name="20% - Accent5 2 10 2" xfId="3590" xr:uid="{7BCF6B3E-19DC-4392-9C20-9239FDA0B4E8}"/>
    <cellStyle name="20% - Accent5 2 11" xfId="1793" xr:uid="{EE300081-7C92-4304-95BC-1E3F98984CD1}"/>
    <cellStyle name="20% - Accent5 2 12" xfId="1791" xr:uid="{6A3D2981-2F34-4314-8A9C-74A20B6B0C38}"/>
    <cellStyle name="20% - Accent5 2 13" xfId="4083" xr:uid="{CCE81AF8-1E44-43A5-A2F6-5CA72AF9F59C}"/>
    <cellStyle name="20% - Accent5 2 2" xfId="831" xr:uid="{652E9BFD-81A6-4A19-BEF1-E7BFF3FAB0F1}"/>
    <cellStyle name="20% - Accent5 2 2 2" xfId="1795" xr:uid="{B3424F52-1549-40BE-9424-0058C7B31C4A}"/>
    <cellStyle name="20% - Accent5 2 2 2 2" xfId="5176" xr:uid="{F33E5ACD-E15C-45C5-9001-5A52A96E8A73}"/>
    <cellStyle name="20% - Accent5 2 2 3" xfId="1794" xr:uid="{6199E84D-BF15-49F2-BC02-07E00DE8BC58}"/>
    <cellStyle name="20% - Accent5 2 2 3 2" xfId="4492" xr:uid="{15F62171-0CC3-436B-B44E-6AE388256D92}"/>
    <cellStyle name="20% - Accent5 2 2 4" xfId="4179" xr:uid="{3AE198F7-ECD6-4A63-8B39-3584668B8469}"/>
    <cellStyle name="20% - Accent5 2 3" xfId="166" xr:uid="{23D49ADB-2FF4-4148-9B22-B3C738EA11E9}"/>
    <cellStyle name="20% - Accent5 2 3 2" xfId="1797" xr:uid="{27794E6E-6D4C-4F6D-9230-BADF28E7F82D}"/>
    <cellStyle name="20% - Accent5 2 3 2 2" xfId="1798" xr:uid="{E20B2E87-E381-4C89-86FD-1320FF189085}"/>
    <cellStyle name="20% - Accent5 2 3 2 2 2" xfId="1799" xr:uid="{5E05B93B-BC92-40A7-8B7D-5E4DAB9DCD6E}"/>
    <cellStyle name="20% - Accent5 2 3 2 2 2 2" xfId="3593" xr:uid="{605A1994-BD55-4CF4-A99F-5CD9936CF409}"/>
    <cellStyle name="20% - Accent5 2 3 2 2 3" xfId="1800" xr:uid="{0B95B2EE-7245-42FA-BEE0-295418FE7D98}"/>
    <cellStyle name="20% - Accent5 2 3 2 2 3 2" xfId="3594" xr:uid="{12736E35-586E-4EB5-8449-946FB9B67442}"/>
    <cellStyle name="20% - Accent5 2 3 2 2 4" xfId="3592" xr:uid="{E9EF7DA4-CFCE-42BE-8C9E-6C59342521D2}"/>
    <cellStyle name="20% - Accent5 2 3 2 3" xfId="1801" xr:uid="{36905932-0293-4A5E-9834-FE39D9B43F55}"/>
    <cellStyle name="20% - Accent5 2 3 2 3 2" xfId="3595" xr:uid="{C5105758-1FA8-4780-8629-B59215E78BCB}"/>
    <cellStyle name="20% - Accent5 2 3 2 4" xfId="1802" xr:uid="{44725669-244D-4B16-82A1-8A4F87833BC6}"/>
    <cellStyle name="20% - Accent5 2 3 2 4 2" xfId="3596" xr:uid="{8341948F-B45E-42FA-A55E-F53940E4DDBD}"/>
    <cellStyle name="20% - Accent5 2 3 2 5" xfId="3591" xr:uid="{E18D2F25-2640-421B-A0AF-808A96B0084C}"/>
    <cellStyle name="20% - Accent5 2 3 2 6" xfId="5208" xr:uid="{15D7D47F-40CF-42C6-A425-B3E4BD29168F}"/>
    <cellStyle name="20% - Accent5 2 3 3" xfId="1803" xr:uid="{BA038834-D3CF-447C-9B7A-32DFD8C1C178}"/>
    <cellStyle name="20% - Accent5 2 3 3 2" xfId="1804" xr:uid="{A954605A-3E1E-4435-953A-6783E2E168D8}"/>
    <cellStyle name="20% - Accent5 2 3 3 2 2" xfId="3598" xr:uid="{C1C4694A-5F2C-4220-B1C0-1AC2C674414E}"/>
    <cellStyle name="20% - Accent5 2 3 3 3" xfId="1805" xr:uid="{0DED8B16-E356-4629-998D-F3160F7D9BAF}"/>
    <cellStyle name="20% - Accent5 2 3 3 3 2" xfId="3599" xr:uid="{D3E2D998-B3B2-4D6D-9A12-299734A5D654}"/>
    <cellStyle name="20% - Accent5 2 3 3 4" xfId="3597" xr:uid="{39C2D6E8-B96F-4B3F-B9C3-A7135C92806E}"/>
    <cellStyle name="20% - Accent5 2 3 4" xfId="1806" xr:uid="{82B3BD61-24FA-42A5-ADC2-D8931A4F6940}"/>
    <cellStyle name="20% - Accent5 2 3 4 2" xfId="3600" xr:uid="{8B8BE1AC-65DD-4460-AD19-B4DF3CB3EF25}"/>
    <cellStyle name="20% - Accent5 2 3 5" xfId="1807" xr:uid="{C807238B-D19F-4B94-A68B-D352156AACA9}"/>
    <cellStyle name="20% - Accent5 2 3 5 2" xfId="3601" xr:uid="{294E5BEC-BE01-4E84-9864-010A0D596E54}"/>
    <cellStyle name="20% - Accent5 2 3 6" xfId="1796" xr:uid="{B3E89FB7-C03A-4FA7-B0C9-DC00824A0616}"/>
    <cellStyle name="20% - Accent5 2 4" xfId="1808" xr:uid="{CCEDD613-B1E9-433D-A9FF-0AFA374F7473}"/>
    <cellStyle name="20% - Accent5 2 4 2" xfId="1809" xr:uid="{3B1CD36D-0747-47A7-BCE5-5E01CCF316D6}"/>
    <cellStyle name="20% - Accent5 2 4 2 2" xfId="1810" xr:uid="{6B801E50-5EE8-42A6-A07C-2B07BD0E2051}"/>
    <cellStyle name="20% - Accent5 2 4 2 2 2" xfId="3603" xr:uid="{5B2EA176-E72E-460B-B156-5ADBBF7F1667}"/>
    <cellStyle name="20% - Accent5 2 4 2 3" xfId="1811" xr:uid="{40BEE81D-FFE9-48DF-B18C-65B242BC6562}"/>
    <cellStyle name="20% - Accent5 2 4 2 3 2" xfId="3604" xr:uid="{CABC28D2-2E51-4CA0-B3FC-10DF7B01C1DD}"/>
    <cellStyle name="20% - Accent5 2 4 2 4" xfId="3602" xr:uid="{BAD8F3E4-931E-4ECB-99FA-D5874BE4358F}"/>
    <cellStyle name="20% - Accent5 2 4 3" xfId="1812" xr:uid="{C322152E-41FB-4C0E-B418-23D8EA072659}"/>
    <cellStyle name="20% - Accent5 2 4 3 2" xfId="1813" xr:uid="{AB636476-AC29-4ECB-86F6-431ABE656312}"/>
    <cellStyle name="20% - Accent5 2 4 3 2 2" xfId="3606" xr:uid="{9CDECF2D-0912-4488-BB8D-EE3372F2E77C}"/>
    <cellStyle name="20% - Accent5 2 4 3 3" xfId="1814" xr:uid="{AE5C2B64-6479-4F56-BD44-19E79D91DBE6}"/>
    <cellStyle name="20% - Accent5 2 4 3 3 2" xfId="3607" xr:uid="{CB1EB954-886A-4ECE-A9D3-F2CF9BFBF4AC}"/>
    <cellStyle name="20% - Accent5 2 4 3 4" xfId="3605" xr:uid="{4FEC6C5A-8BDD-4B59-B107-9EDB7E96831A}"/>
    <cellStyle name="20% - Accent5 2 4 4" xfId="1815" xr:uid="{A6234B20-AC46-405B-94A0-81018B860867}"/>
    <cellStyle name="20% - Accent5 2 4 4 2" xfId="3608" xr:uid="{0F3EEE9E-E4E6-4B5A-A3F3-04257A9BCFB4}"/>
    <cellStyle name="20% - Accent5 2 4 5" xfId="1816" xr:uid="{B8ED3670-D86E-48E5-B45F-950F447F9003}"/>
    <cellStyle name="20% - Accent5 2 4 5 2" xfId="3609" xr:uid="{45269C00-6851-43C0-A9F3-74D8BB16486B}"/>
    <cellStyle name="20% - Accent5 2 4 6" xfId="5143" xr:uid="{5EEAF061-BFB9-49C4-BF78-4E76AF6247B1}"/>
    <cellStyle name="20% - Accent5 2 5" xfId="1817" xr:uid="{2656896C-6E78-4704-AC5E-18E29CA10FC6}"/>
    <cellStyle name="20% - Accent5 2 5 2" xfId="1818" xr:uid="{9DBFEB37-D709-40EF-925A-428A15F3EE0F}"/>
    <cellStyle name="20% - Accent5 2 5 2 2" xfId="1819" xr:uid="{852D3812-0177-4220-915C-5898FF792078}"/>
    <cellStyle name="20% - Accent5 2 5 2 2 2" xfId="3611" xr:uid="{2DE91874-2139-4E27-A5BE-393FBB452932}"/>
    <cellStyle name="20% - Accent5 2 5 2 3" xfId="1820" xr:uid="{AB51A72D-C103-4A1C-AF4E-C3368F208D26}"/>
    <cellStyle name="20% - Accent5 2 5 2 3 2" xfId="3612" xr:uid="{20C3EDFF-58F1-4ACA-9E3E-DAFF8B3197FA}"/>
    <cellStyle name="20% - Accent5 2 5 2 4" xfId="3610" xr:uid="{69B82281-5DCB-4D17-A2E1-8C45ED0CAE10}"/>
    <cellStyle name="20% - Accent5 2 5 3" xfId="1821" xr:uid="{1CD9EC5C-9D4D-4624-9B2F-DEF54C7B24CE}"/>
    <cellStyle name="20% - Accent5 2 5 3 2" xfId="3613" xr:uid="{1946A986-6622-44B7-86FB-763D2D5DE60C}"/>
    <cellStyle name="20% - Accent5 2 5 4" xfId="1822" xr:uid="{30FE2364-432D-4172-BE0F-E002706C3391}"/>
    <cellStyle name="20% - Accent5 2 5 4 2" xfId="3614" xr:uid="{60B59F4D-2DF8-4092-A3CF-7982F7507FEB}"/>
    <cellStyle name="20% - Accent5 2 5 5" xfId="5240" xr:uid="{8F5C321B-0FE6-48E5-B330-5BA773DDE7A1}"/>
    <cellStyle name="20% - Accent5 2 6" xfId="1823" xr:uid="{AE8CE67D-9DF8-4788-9138-3E4E3A3C1972}"/>
    <cellStyle name="20% - Accent5 2 6 2" xfId="1824" xr:uid="{00BEAD57-D085-4BAF-BBED-E2AE8F6C388A}"/>
    <cellStyle name="20% - Accent5 2 6 2 2" xfId="3615" xr:uid="{E8C840E8-9E75-49AD-B6CA-090B9F609A95}"/>
    <cellStyle name="20% - Accent5 2 6 3" xfId="1825" xr:uid="{88C76C3D-87B2-45D3-9C64-61D2494D0E16}"/>
    <cellStyle name="20% - Accent5 2 6 3 2" xfId="3616" xr:uid="{6EBEC55A-F440-46F2-8334-E53BB0948729}"/>
    <cellStyle name="20% - Accent5 2 6 4" xfId="4319" xr:uid="{E32765BF-D2D9-43DB-9B79-1CA2C4052A1D}"/>
    <cellStyle name="20% - Accent5 2 7" xfId="1826" xr:uid="{3C2548D1-7CA5-444E-AA66-4C52A2EA0ADE}"/>
    <cellStyle name="20% - Accent5 2 7 2" xfId="3617" xr:uid="{78452E12-3331-4A59-99B5-867AE81D4517}"/>
    <cellStyle name="20% - Accent5 2 8" xfId="1827" xr:uid="{5FC512A0-11EC-42B0-93CF-9AC4270D6686}"/>
    <cellStyle name="20% - Accent5 2 8 2" xfId="3618" xr:uid="{D989BE92-8F41-4BC0-A2BE-0E1CDA7F1C86}"/>
    <cellStyle name="20% - Accent5 2 9" xfId="1828" xr:uid="{298C4E27-D5CD-4888-B774-25B335674F21}"/>
    <cellStyle name="20% - Accent5 2_6.2 CBR B" xfId="4237" xr:uid="{0BAC89DB-3C13-4E43-8DC4-250AFD4C08DC}"/>
    <cellStyle name="20% - Accent5 3" xfId="167" xr:uid="{E98098AD-5A8D-48A7-8DE0-9ADC2266105D}"/>
    <cellStyle name="20% - Accent5 3 2" xfId="1830" xr:uid="{1414CA7F-9BBC-4C98-A924-AC6E9B8947F7}"/>
    <cellStyle name="20% - Accent5 3 2 2" xfId="4357" xr:uid="{F71C381F-55D7-4E8A-9660-DF61B8004497}"/>
    <cellStyle name="20% - Accent5 3 3" xfId="1831" xr:uid="{8057AF8A-F792-42BD-A2A2-AC201ECF05B7}"/>
    <cellStyle name="20% - Accent5 3 4" xfId="1829" xr:uid="{26169768-8B99-45F1-BD6E-21882DA9950D}"/>
    <cellStyle name="20% - Accent5 3 5" xfId="4212" xr:uid="{E7E81CDF-5E65-47EA-9A31-F5D94F0C55DF}"/>
    <cellStyle name="20% - Accent5 4" xfId="168" xr:uid="{1C1E91C7-7042-429F-B1C5-411ACF9CBBCF}"/>
    <cellStyle name="20% - Accent5 4 2" xfId="1833" xr:uid="{D3AC57D8-B1FE-4ED1-ABA2-67D28A9C4621}"/>
    <cellStyle name="20% - Accent5 4 2 2" xfId="4358" xr:uid="{CC6DCEFE-9B63-4A74-A05F-3F041090247A}"/>
    <cellStyle name="20% - Accent5 4 3" xfId="1832" xr:uid="{10EDFFD2-26C1-4130-A345-10F25E4D1307}"/>
    <cellStyle name="20% - Accent5 4 4" xfId="4144" xr:uid="{7D13CFEF-BE27-4A7D-8D39-EBB7C373E4A9}"/>
    <cellStyle name="20% - Accent5 5" xfId="169" xr:uid="{422A26CC-E4B4-4336-AA0F-8359A04D7B83}"/>
    <cellStyle name="20% - Accent5 5 2" xfId="1834" xr:uid="{DCA32202-F6B7-4785-A61A-90C37B2B7F52}"/>
    <cellStyle name="20% - Accent5 6" xfId="170" xr:uid="{1B4D09BC-54C5-442E-ADA7-412AA2DFD1A5}"/>
    <cellStyle name="20% - Accent5 6 2" xfId="1835" xr:uid="{5413F737-A350-46A2-9749-0B9753862096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0 2" xfId="1836" xr:uid="{4075EBDF-8885-4E7A-BCCE-F44457AD2599}"/>
    <cellStyle name="20% - Accent6 11" xfId="175" xr:uid="{AC3EC00E-9E37-44DC-9918-23252D168BF2}"/>
    <cellStyle name="20% - Accent6 11 2" xfId="1837" xr:uid="{6A542AC8-E240-45F6-92FB-AB5EA3E9589A}"/>
    <cellStyle name="20% - Accent6 12" xfId="176" xr:uid="{58693F19-3FFD-4B09-A291-A5F2514A84CD}"/>
    <cellStyle name="20% - Accent6 12 2" xfId="1838" xr:uid="{4FBD6B97-FFE7-4DD3-9EE1-1121DB5CF54D}"/>
    <cellStyle name="20% - Accent6 13" xfId="177" xr:uid="{3198F183-ADFC-4503-9E1D-F891D7E566AF}"/>
    <cellStyle name="20% - Accent6 13 2" xfId="1839" xr:uid="{95A9D394-2A1B-4847-A736-024C47AC0430}"/>
    <cellStyle name="20% - Accent6 14" xfId="178" xr:uid="{B60C7443-327B-4F8E-9518-15019205241A}"/>
    <cellStyle name="20% - Accent6 14 2" xfId="1840" xr:uid="{B8DF27CD-E3F7-4374-9D83-0EA22B10CC6E}"/>
    <cellStyle name="20% - Accent6 15" xfId="179" xr:uid="{45E4AECC-F318-4938-BD9F-65DC08E5D592}"/>
    <cellStyle name="20% - Accent6 15 2" xfId="1841" xr:uid="{CAC3E483-6142-41AD-8242-A6D9B6AC6F75}"/>
    <cellStyle name="20% - Accent6 16" xfId="774" xr:uid="{4F2E5720-5564-4734-A561-D6DED9723019}"/>
    <cellStyle name="20% - Accent6 16 2" xfId="3619" xr:uid="{D975B56B-ED72-456B-97D8-6BB6161BC447}"/>
    <cellStyle name="20% - Accent6 16 3" xfId="1842" xr:uid="{D32A9AD5-8833-4D95-8E3A-7C13750DE7F2}"/>
    <cellStyle name="20% - Accent6 2" xfId="28" xr:uid="{00000000-0005-0000-0000-00000E000000}"/>
    <cellStyle name="20% - Accent6 2 10" xfId="1844" xr:uid="{A218894C-2917-4CDF-B0F2-1405AE7ECC0E}"/>
    <cellStyle name="20% - Accent6 2 10 2" xfId="3620" xr:uid="{AA265A97-5C0C-4AF8-BB76-6846FC37AF01}"/>
    <cellStyle name="20% - Accent6 2 11" xfId="1845" xr:uid="{9B977E00-8775-4F07-BDC8-DD726FF47FBB}"/>
    <cellStyle name="20% - Accent6 2 12" xfId="1843" xr:uid="{91538E26-D45B-4210-9EB3-61D408847985}"/>
    <cellStyle name="20% - Accent6 2 13" xfId="4084" xr:uid="{118DFC50-434A-494B-A556-839EC84D90F4}"/>
    <cellStyle name="20% - Accent6 2 2" xfId="835" xr:uid="{E1ACEB4D-35CF-439A-A936-4E9FAADC3D97}"/>
    <cellStyle name="20% - Accent6 2 2 2" xfId="1847" xr:uid="{39D26186-7A49-4016-B2E2-AE32B1243692}"/>
    <cellStyle name="20% - Accent6 2 2 2 2" xfId="5178" xr:uid="{DA2AAA70-BA56-4277-8431-AA260C3C96F6}"/>
    <cellStyle name="20% - Accent6 2 2 3" xfId="1846" xr:uid="{DCDB8022-39F9-41CF-87B6-33A83D870B74}"/>
    <cellStyle name="20% - Accent6 2 2 3 2" xfId="4494" xr:uid="{E65A7818-77A3-4EEC-9B86-19BFBA6C4EFF}"/>
    <cellStyle name="20% - Accent6 2 2 4" xfId="4180" xr:uid="{4170AA18-F8B6-4BC9-86CF-D96EF2902AF4}"/>
    <cellStyle name="20% - Accent6 2 3" xfId="180" xr:uid="{23858E14-2CB1-44A7-B23D-E19C6229B1E9}"/>
    <cellStyle name="20% - Accent6 2 3 2" xfId="1849" xr:uid="{6C63CF01-C394-4AB4-A25D-58CAE29191F8}"/>
    <cellStyle name="20% - Accent6 2 3 2 2" xfId="1850" xr:uid="{CA240F9E-51C7-49B3-BE7D-30CDED4BEB75}"/>
    <cellStyle name="20% - Accent6 2 3 2 2 2" xfId="1851" xr:uid="{D5F01CF7-4EDF-4F79-B0FA-F53F2754BFF3}"/>
    <cellStyle name="20% - Accent6 2 3 2 2 2 2" xfId="3623" xr:uid="{E4145732-22AF-4D3B-821E-BEDA847F0E08}"/>
    <cellStyle name="20% - Accent6 2 3 2 2 3" xfId="1852" xr:uid="{C7066290-5C85-40D4-804E-74E2D005164F}"/>
    <cellStyle name="20% - Accent6 2 3 2 2 3 2" xfId="3624" xr:uid="{10AB21A2-CA1A-48D4-9430-AB8282289CE6}"/>
    <cellStyle name="20% - Accent6 2 3 2 2 4" xfId="3622" xr:uid="{FDE3BAB7-CB46-4D17-8867-5DA67CB8ADD3}"/>
    <cellStyle name="20% - Accent6 2 3 2 3" xfId="1853" xr:uid="{406C0B30-3C72-4B70-96F7-99ECC47F2275}"/>
    <cellStyle name="20% - Accent6 2 3 2 3 2" xfId="3625" xr:uid="{009C7ED2-4B4C-4C6B-97A4-BAAA5BBDB866}"/>
    <cellStyle name="20% - Accent6 2 3 2 4" xfId="1854" xr:uid="{6B82D52E-6786-48C7-90BB-5F71EC00C1DB}"/>
    <cellStyle name="20% - Accent6 2 3 2 4 2" xfId="3626" xr:uid="{AE3F5D1D-0A63-461E-9DFE-64174B5597D0}"/>
    <cellStyle name="20% - Accent6 2 3 2 5" xfId="3621" xr:uid="{D3D60DE0-217E-4854-9911-C1448CE239BE}"/>
    <cellStyle name="20% - Accent6 2 3 2 6" xfId="5210" xr:uid="{F2044148-440A-45F7-A4BF-1351BC24000F}"/>
    <cellStyle name="20% - Accent6 2 3 3" xfId="1855" xr:uid="{7D1FAED3-C5D0-4F4E-A14B-4C0DF42C287E}"/>
    <cellStyle name="20% - Accent6 2 3 3 2" xfId="1856" xr:uid="{401C20F6-1B80-474D-BA51-E6894A9753B1}"/>
    <cellStyle name="20% - Accent6 2 3 3 2 2" xfId="3628" xr:uid="{ED065807-770A-435D-89D0-D9C1D131AAB0}"/>
    <cellStyle name="20% - Accent6 2 3 3 3" xfId="1857" xr:uid="{86B92519-5459-479C-A9F5-ABC11EF27365}"/>
    <cellStyle name="20% - Accent6 2 3 3 3 2" xfId="3629" xr:uid="{D7713012-AFEB-4F41-BFAA-C1156D1EB046}"/>
    <cellStyle name="20% - Accent6 2 3 3 4" xfId="3627" xr:uid="{ED96A0F2-6C5D-43E8-95CF-41BB1F22D8CE}"/>
    <cellStyle name="20% - Accent6 2 3 4" xfId="1858" xr:uid="{64AF398D-23B6-451F-8CD4-E438559B4922}"/>
    <cellStyle name="20% - Accent6 2 3 4 2" xfId="3630" xr:uid="{892D6F91-1BB6-41EA-849A-1E28A074C6B3}"/>
    <cellStyle name="20% - Accent6 2 3 5" xfId="1859" xr:uid="{F6C6279F-AD85-4CBE-9DBB-29279372B198}"/>
    <cellStyle name="20% - Accent6 2 3 5 2" xfId="3631" xr:uid="{0E6DD9F1-5FFC-430F-A24E-A26116D60315}"/>
    <cellStyle name="20% - Accent6 2 3 6" xfId="1848" xr:uid="{A45CE743-4F9A-42C7-9F70-72B6C1885BB4}"/>
    <cellStyle name="20% - Accent6 2 4" xfId="1860" xr:uid="{F6865488-F289-4E5F-B66B-7E1367A4C648}"/>
    <cellStyle name="20% - Accent6 2 4 2" xfId="1861" xr:uid="{9A52E259-76B7-45E2-8217-960A4451CC17}"/>
    <cellStyle name="20% - Accent6 2 4 2 2" xfId="1862" xr:uid="{EC90CFF3-5639-45C0-9721-0123943AE19C}"/>
    <cellStyle name="20% - Accent6 2 4 2 2 2" xfId="3633" xr:uid="{989B03C9-4988-4C99-8C7F-2B7AA6F84805}"/>
    <cellStyle name="20% - Accent6 2 4 2 3" xfId="1863" xr:uid="{A976CD2A-4896-4654-8640-BDEC9F19D453}"/>
    <cellStyle name="20% - Accent6 2 4 2 3 2" xfId="3634" xr:uid="{F33434C9-E9F2-4BBB-82B7-5A58EE333608}"/>
    <cellStyle name="20% - Accent6 2 4 2 4" xfId="3632" xr:uid="{882405F6-6346-4420-8FD0-D67C901AA3D6}"/>
    <cellStyle name="20% - Accent6 2 4 3" xfId="1864" xr:uid="{349B197B-665D-4F89-8BA4-EE3C709F1F68}"/>
    <cellStyle name="20% - Accent6 2 4 3 2" xfId="1865" xr:uid="{23B79C68-9FFC-4A54-BF41-EB9E33BDF47E}"/>
    <cellStyle name="20% - Accent6 2 4 3 2 2" xfId="3636" xr:uid="{722DD36B-0E85-4801-8FAC-DA37B28C07E9}"/>
    <cellStyle name="20% - Accent6 2 4 3 3" xfId="1866" xr:uid="{3F4022C2-F4B8-412C-BEDA-AF7D70D5086C}"/>
    <cellStyle name="20% - Accent6 2 4 3 3 2" xfId="3637" xr:uid="{6067AE05-CFC7-49F6-915E-D0CE1FEC446C}"/>
    <cellStyle name="20% - Accent6 2 4 3 4" xfId="3635" xr:uid="{B1BB9164-4308-4E4F-BE31-9C58050FFF5F}"/>
    <cellStyle name="20% - Accent6 2 4 4" xfId="1867" xr:uid="{2C355F21-04AC-41ED-9FCD-21E65FEEDAF7}"/>
    <cellStyle name="20% - Accent6 2 4 4 2" xfId="3638" xr:uid="{4A8E5C93-FE09-4638-B9B8-BAE7D5225FB2}"/>
    <cellStyle name="20% - Accent6 2 4 5" xfId="1868" xr:uid="{B5621B72-AF99-44F3-8CA2-2B1CCD080215}"/>
    <cellStyle name="20% - Accent6 2 4 5 2" xfId="3639" xr:uid="{BB7C9880-6D9B-43D9-AF90-2D711A49956A}"/>
    <cellStyle name="20% - Accent6 2 4 6" xfId="5145" xr:uid="{B2470417-73CA-4D64-9F6F-FBB6F3009997}"/>
    <cellStyle name="20% - Accent6 2 5" xfId="1869" xr:uid="{B81A29B6-D5A1-47E4-8731-2E94681D3D20}"/>
    <cellStyle name="20% - Accent6 2 5 2" xfId="1870" xr:uid="{8059A593-E160-4FBB-ABB7-6CFF7F4F7317}"/>
    <cellStyle name="20% - Accent6 2 5 2 2" xfId="1871" xr:uid="{03964C40-9D53-4059-8727-5C929EF94EB3}"/>
    <cellStyle name="20% - Accent6 2 5 2 2 2" xfId="3641" xr:uid="{97E60AAE-6C99-4BF9-AFA7-6978B8C7B4D1}"/>
    <cellStyle name="20% - Accent6 2 5 2 3" xfId="1872" xr:uid="{8E5787FE-D952-40CF-9211-FF05B3FB59E9}"/>
    <cellStyle name="20% - Accent6 2 5 2 3 2" xfId="3642" xr:uid="{509D6ED2-DA8F-42C0-83DE-64DA08DF04AE}"/>
    <cellStyle name="20% - Accent6 2 5 2 4" xfId="3640" xr:uid="{A621A568-019C-4258-92C5-67F0A077914E}"/>
    <cellStyle name="20% - Accent6 2 5 3" xfId="1873" xr:uid="{45D5856E-C041-4A15-9F35-5D7A2C5007FD}"/>
    <cellStyle name="20% - Accent6 2 5 3 2" xfId="3643" xr:uid="{C55797BB-DBC4-4D2F-9A35-4D46C9DA1AFB}"/>
    <cellStyle name="20% - Accent6 2 5 4" xfId="1874" xr:uid="{F181882C-5B84-4472-93FF-C1ACD53BDF87}"/>
    <cellStyle name="20% - Accent6 2 5 4 2" xfId="3644" xr:uid="{33950539-70C3-432E-8F3C-9653B45626A9}"/>
    <cellStyle name="20% - Accent6 2 5 5" xfId="5241" xr:uid="{B8759072-E163-4854-A202-E27F92957347}"/>
    <cellStyle name="20% - Accent6 2 6" xfId="1875" xr:uid="{C8E04D6A-E87A-4D90-AC48-33B7208DED46}"/>
    <cellStyle name="20% - Accent6 2 6 2" xfId="1876" xr:uid="{92891946-016F-45B2-A6D0-0A015574F3A3}"/>
    <cellStyle name="20% - Accent6 2 6 2 2" xfId="3645" xr:uid="{78EA7AF3-332E-44CE-BD76-25FA47660F2C}"/>
    <cellStyle name="20% - Accent6 2 6 3" xfId="1877" xr:uid="{5C293639-9677-4CBC-B632-75E37D68D342}"/>
    <cellStyle name="20% - Accent6 2 6 3 2" xfId="3646" xr:uid="{288E92F7-975F-4F5E-92F2-1A910A09BE2E}"/>
    <cellStyle name="20% - Accent6 2 6 4" xfId="4320" xr:uid="{F69C2D0C-C469-4AAC-AA5C-A44827F2B4E5}"/>
    <cellStyle name="20% - Accent6 2 7" xfId="1878" xr:uid="{3225EC68-D918-4DAB-9B48-1FDC9B7D12F9}"/>
    <cellStyle name="20% - Accent6 2 7 2" xfId="3647" xr:uid="{C2722BC4-5E33-4F1A-90BC-4424A80191A6}"/>
    <cellStyle name="20% - Accent6 2 8" xfId="1879" xr:uid="{8FC25B4E-C72D-489E-BD0A-30223C6EFDDA}"/>
    <cellStyle name="20% - Accent6 2 8 2" xfId="3648" xr:uid="{51E49769-3B5D-45E2-8FD9-4A7F71406172}"/>
    <cellStyle name="20% - Accent6 2 9" xfId="1880" xr:uid="{B09D870B-1C26-4944-9E0E-D3508D876196}"/>
    <cellStyle name="20% - Accent6 2_6.2 CBR B" xfId="4238" xr:uid="{184307E0-D712-44A1-B81E-7C152311ABB3}"/>
    <cellStyle name="20% - Accent6 3" xfId="181" xr:uid="{C954C1DA-9CC4-4F08-ADE4-65A5EFF632AE}"/>
    <cellStyle name="20% - Accent6 3 2" xfId="1882" xr:uid="{D9BA174B-5B5C-4BCE-8596-EAE2B3AEF3D8}"/>
    <cellStyle name="20% - Accent6 3 2 2" xfId="4359" xr:uid="{35873F76-5653-4CF2-9D67-FE7D3D9A8063}"/>
    <cellStyle name="20% - Accent6 3 3" xfId="1883" xr:uid="{346C3691-959D-490F-9158-F678056C785D}"/>
    <cellStyle name="20% - Accent6 3 4" xfId="1881" xr:uid="{23E61432-755A-4DCE-A1BC-D46DEFE6E29D}"/>
    <cellStyle name="20% - Accent6 3 5" xfId="4214" xr:uid="{3252D19A-741E-41A3-9CB1-427B1BECCD58}"/>
    <cellStyle name="20% - Accent6 4" xfId="182" xr:uid="{D27369D7-1364-455F-97A9-5A80947173E2}"/>
    <cellStyle name="20% - Accent6 4 2" xfId="1885" xr:uid="{EA5F32AF-AC76-47A8-A943-0E25B609BD34}"/>
    <cellStyle name="20% - Accent6 4 2 2" xfId="4360" xr:uid="{74432B32-066C-4AD9-8FC3-179BA992B777}"/>
    <cellStyle name="20% - Accent6 4 3" xfId="1884" xr:uid="{F6DF2EC6-758A-4065-A233-9432569A659D}"/>
    <cellStyle name="20% - Accent6 4 4" xfId="4148" xr:uid="{78514890-B7C3-489C-96AC-433F6DE80AC5}"/>
    <cellStyle name="20% - Accent6 5" xfId="183" xr:uid="{66135377-1C7B-48AD-BBEB-E351F4E0F924}"/>
    <cellStyle name="20% - Accent6 5 2" xfId="1886" xr:uid="{8F1721BD-95E2-41F3-9596-7A564FB2F876}"/>
    <cellStyle name="20% - Accent6 6" xfId="184" xr:uid="{4389F928-9B8B-4D54-BEC3-08B3FBDA9B3F}"/>
    <cellStyle name="20% - Accent6 6 2" xfId="1887" xr:uid="{6A4D943C-D002-495E-8F1B-08AEB3F5C528}"/>
    <cellStyle name="20% - Accent6 7" xfId="185" xr:uid="{C2867C10-48D2-4372-BA82-BD0E35CB215A}"/>
    <cellStyle name="20% - Accent6 7 2" xfId="1888" xr:uid="{CB62D260-F9A2-4FCF-9A70-2816488921BC}"/>
    <cellStyle name="20% - Accent6 8" xfId="186" xr:uid="{D841A974-F1F2-4713-A333-1804D458F962}"/>
    <cellStyle name="20% - Accent6 8 2" xfId="1889" xr:uid="{C2A00ED0-47D9-4ACE-84AA-98DEF64E6687}"/>
    <cellStyle name="20% - Accent6 9" xfId="187" xr:uid="{6025B705-C6CF-44DA-AB4D-B4DE7650F5E3}"/>
    <cellStyle name="20% - Accent6 9 2" xfId="1890" xr:uid="{35184BCE-730E-42E7-B7D9-1A75C1E86DF6}"/>
    <cellStyle name="40% - Accent1 10" xfId="188" xr:uid="{B0E83834-BEB3-4CE3-97BF-242EE57722C5}"/>
    <cellStyle name="40% - Accent1 10 2" xfId="1891" xr:uid="{FD259CA4-D14A-4A83-BEE6-B08A173C9F6F}"/>
    <cellStyle name="40% - Accent1 11" xfId="189" xr:uid="{B4A2DA17-1254-4028-8D4F-31196E952D02}"/>
    <cellStyle name="40% - Accent1 11 2" xfId="1892" xr:uid="{DE2243A3-A02D-4322-8DF6-13608E46288C}"/>
    <cellStyle name="40% - Accent1 12" xfId="190" xr:uid="{5A5E40CA-9493-4F17-9194-C528CF9B1274}"/>
    <cellStyle name="40% - Accent1 12 2" xfId="1893" xr:uid="{93B68D34-F57D-4608-B9EA-4900314464EF}"/>
    <cellStyle name="40% - Accent1 13" xfId="191" xr:uid="{DFBCE186-3B79-43D4-9BFB-7D3DA7941470}"/>
    <cellStyle name="40% - Accent1 13 2" xfId="1894" xr:uid="{1C08F7CD-2BC5-44E7-846E-1E141A090D32}"/>
    <cellStyle name="40% - Accent1 14" xfId="192" xr:uid="{AD3BC8B0-7404-4C7A-AD16-9753D6A66FD7}"/>
    <cellStyle name="40% - Accent1 14 2" xfId="1895" xr:uid="{C91BFA94-C2F6-4DDA-BE0F-BCFAC33E36DB}"/>
    <cellStyle name="40% - Accent1 15" xfId="193" xr:uid="{09743533-13AB-44D0-BB58-9017799A680D}"/>
    <cellStyle name="40% - Accent1 15 2" xfId="1896" xr:uid="{2EA430A7-4395-41BD-946C-AFE56A27C03E}"/>
    <cellStyle name="40% - Accent1 16" xfId="775" xr:uid="{3A388316-DEF4-42F9-ABDC-31C94B0C904F}"/>
    <cellStyle name="40% - Accent1 16 2" xfId="3649" xr:uid="{8C546689-3FB7-4BF2-AA28-878FD13D67F4}"/>
    <cellStyle name="40% - Accent1 16 3" xfId="1897" xr:uid="{56B8371F-8991-45D5-A48A-E9BF4142E737}"/>
    <cellStyle name="40% - Accent1 2" xfId="29" xr:uid="{00000000-0005-0000-0000-00000F000000}"/>
    <cellStyle name="40% - Accent1 2 10" xfId="1899" xr:uid="{86480A7C-E1C2-4DCA-9F07-3CFDD0C0B49A}"/>
    <cellStyle name="40% - Accent1 2 10 2" xfId="3650" xr:uid="{6A79264A-B2E1-4F95-8A50-608018527010}"/>
    <cellStyle name="40% - Accent1 2 11" xfId="1898" xr:uid="{36D8C5C3-5372-4679-8534-708481D2FC72}"/>
    <cellStyle name="40% - Accent1 2 12" xfId="4085" xr:uid="{053A4A59-DBAF-49F9-A23B-3CB9C2A0BB7F}"/>
    <cellStyle name="40% - Accent1 2 2" xfId="816" xr:uid="{D5E74BFD-9148-4EE4-B593-8994D85408E0}"/>
    <cellStyle name="40% - Accent1 2 2 2" xfId="1901" xr:uid="{B025797B-36E3-402E-9ADE-E1A4953CE618}"/>
    <cellStyle name="40% - Accent1 2 2 2 2" xfId="5169" xr:uid="{D6109DF0-764A-46A3-BE3A-0B97EE311509}"/>
    <cellStyle name="40% - Accent1 2 2 3" xfId="1900" xr:uid="{8F13A841-80F0-4185-8F81-CA27761BB17C}"/>
    <cellStyle name="40% - Accent1 2 2 3 2" xfId="4485" xr:uid="{2FFF7158-A2F1-4A3A-87A0-ED7B0DA34650}"/>
    <cellStyle name="40% - Accent1 2 2 4" xfId="4181" xr:uid="{E7EC96D1-44E2-46CF-AD2D-1F8E7A708E55}"/>
    <cellStyle name="40% - Accent1 2 3" xfId="194" xr:uid="{452896B4-C918-4AB8-BF14-9E16F99BDB5A}"/>
    <cellStyle name="40% - Accent1 2 3 2" xfId="1903" xr:uid="{A080A96A-852D-4AAB-9C5B-434735874BFE}"/>
    <cellStyle name="40% - Accent1 2 3 2 2" xfId="1904" xr:uid="{6B3B05F0-017D-480D-9D42-69C51699D65E}"/>
    <cellStyle name="40% - Accent1 2 3 2 2 2" xfId="1905" xr:uid="{B91EB9F1-4731-472F-A185-2463087BE919}"/>
    <cellStyle name="40% - Accent1 2 3 2 2 2 2" xfId="3653" xr:uid="{0E0F5889-F391-4EE3-AC1A-BD9473F485D1}"/>
    <cellStyle name="40% - Accent1 2 3 2 2 3" xfId="1906" xr:uid="{9103BEF0-10E2-4263-984A-4B7A32DBE347}"/>
    <cellStyle name="40% - Accent1 2 3 2 2 3 2" xfId="3654" xr:uid="{D9687A3F-5000-4E9B-8EE6-AE75B788F56F}"/>
    <cellStyle name="40% - Accent1 2 3 2 2 4" xfId="3652" xr:uid="{B80FDB50-D049-4F56-9D02-7D6EC3490C5F}"/>
    <cellStyle name="40% - Accent1 2 3 2 3" xfId="1907" xr:uid="{3170B846-AD89-4136-B5A9-87F7AD0F4871}"/>
    <cellStyle name="40% - Accent1 2 3 2 3 2" xfId="3655" xr:uid="{CED98CD7-38B2-4FD9-A5CF-79CD275C8D97}"/>
    <cellStyle name="40% - Accent1 2 3 2 4" xfId="1908" xr:uid="{E34EA1D0-8C1B-4B60-AB37-DFA0726464B2}"/>
    <cellStyle name="40% - Accent1 2 3 2 4 2" xfId="3656" xr:uid="{FFFF86AD-D00B-4C8D-97BA-71B89BCF3344}"/>
    <cellStyle name="40% - Accent1 2 3 2 5" xfId="3651" xr:uid="{BC448843-D413-4C7F-8880-5920609EAFC8}"/>
    <cellStyle name="40% - Accent1 2 3 2 6" xfId="5201" xr:uid="{A3778C84-25DD-4DD4-BE57-EF89C9DE2A29}"/>
    <cellStyle name="40% - Accent1 2 3 3" xfId="1909" xr:uid="{44EAD870-2599-47B2-A2A4-F639364815D7}"/>
    <cellStyle name="40% - Accent1 2 3 3 2" xfId="1910" xr:uid="{1C040EDD-B425-4C30-BFD7-8E63B9FB4246}"/>
    <cellStyle name="40% - Accent1 2 3 3 2 2" xfId="3658" xr:uid="{13D44BE8-60D4-47BE-8857-2775FD56B172}"/>
    <cellStyle name="40% - Accent1 2 3 3 3" xfId="1911" xr:uid="{E54CBC2C-2AD4-4EC3-A311-FEB4B219178D}"/>
    <cellStyle name="40% - Accent1 2 3 3 3 2" xfId="3659" xr:uid="{FE69E336-18BF-43A3-825B-08A308546969}"/>
    <cellStyle name="40% - Accent1 2 3 3 4" xfId="3657" xr:uid="{1A9DA1F6-7F4E-40D2-94BB-3F94DD0F208E}"/>
    <cellStyle name="40% - Accent1 2 3 4" xfId="1912" xr:uid="{A19C0621-FACD-4BD0-BA0D-8748E83C58E9}"/>
    <cellStyle name="40% - Accent1 2 3 4 2" xfId="3660" xr:uid="{2DE10121-471E-4939-9EE0-CA0176F7C46A}"/>
    <cellStyle name="40% - Accent1 2 3 5" xfId="1913" xr:uid="{F2E18CD7-1C3E-4BC1-8E3E-9D691A8639F0}"/>
    <cellStyle name="40% - Accent1 2 3 5 2" xfId="3661" xr:uid="{7D476EE4-A3FB-47E0-8B2A-67E7F48E3C56}"/>
    <cellStyle name="40% - Accent1 2 3 6" xfId="1902" xr:uid="{C1C7BD5F-745B-450E-B405-AED97CBEB1D0}"/>
    <cellStyle name="40% - Accent1 2 4" xfId="1914" xr:uid="{4640D152-CCD1-455D-AB2A-C5AD7FBE9972}"/>
    <cellStyle name="40% - Accent1 2 4 2" xfId="1915" xr:uid="{CA3323C5-4F20-4893-81CE-0A79F9E910DC}"/>
    <cellStyle name="40% - Accent1 2 4 2 2" xfId="1916" xr:uid="{41AEAB71-E0FE-439B-BC0C-EE7A5B0BA26B}"/>
    <cellStyle name="40% - Accent1 2 4 2 2 2" xfId="3663" xr:uid="{42FDB26B-D0A8-4FC5-B52A-4D7F28905024}"/>
    <cellStyle name="40% - Accent1 2 4 2 3" xfId="1917" xr:uid="{398343A7-F111-4FC7-8960-33ED256C03AD}"/>
    <cellStyle name="40% - Accent1 2 4 2 3 2" xfId="3664" xr:uid="{B5039873-5A15-4CCB-8D9E-B7A3F54258C0}"/>
    <cellStyle name="40% - Accent1 2 4 2 4" xfId="3662" xr:uid="{79BF4B02-17CE-42F2-8137-5C964D5F5708}"/>
    <cellStyle name="40% - Accent1 2 4 3" xfId="1918" xr:uid="{F5E625F3-7F12-47D0-B30E-C689FB5839F0}"/>
    <cellStyle name="40% - Accent1 2 4 3 2" xfId="1919" xr:uid="{C33CF491-F44E-44D2-859E-8F10F18E1531}"/>
    <cellStyle name="40% - Accent1 2 4 3 2 2" xfId="3666" xr:uid="{B54BFB1A-CC74-4DD9-931A-4A55C726E10C}"/>
    <cellStyle name="40% - Accent1 2 4 3 3" xfId="1920" xr:uid="{8F71F01B-F439-4AB9-B41A-275AED5BE3BE}"/>
    <cellStyle name="40% - Accent1 2 4 3 3 2" xfId="3667" xr:uid="{68BE8902-4334-41E1-A88E-01DEB41F4E7D}"/>
    <cellStyle name="40% - Accent1 2 4 3 4" xfId="3665" xr:uid="{FC74B98F-A66D-49A2-992C-57609BA40EA7}"/>
    <cellStyle name="40% - Accent1 2 4 4" xfId="1921" xr:uid="{2DAFB31F-DB3E-4BD0-AFBF-94FB03351240}"/>
    <cellStyle name="40% - Accent1 2 4 4 2" xfId="3668" xr:uid="{C6ABCA66-272C-41B6-823D-95A922E35238}"/>
    <cellStyle name="40% - Accent1 2 4 5" xfId="1922" xr:uid="{A1BE572D-6C99-45A9-A14C-262F947452EB}"/>
    <cellStyle name="40% - Accent1 2 4 5 2" xfId="3669" xr:uid="{B6E47FCB-1713-4110-B20A-48F72A821191}"/>
    <cellStyle name="40% - Accent1 2 4 6" xfId="5136" xr:uid="{A9C5435A-47A8-41E3-9E05-032612FC2A36}"/>
    <cellStyle name="40% - Accent1 2 5" xfId="1923" xr:uid="{F4A4A73A-A596-4158-8992-8A6B1F9E495D}"/>
    <cellStyle name="40% - Accent1 2 5 2" xfId="1924" xr:uid="{BBF8E2A8-F869-4E88-90E9-44D7C2622882}"/>
    <cellStyle name="40% - Accent1 2 5 2 2" xfId="1925" xr:uid="{B5512C65-2CEC-4A07-9E00-13164A63CFE9}"/>
    <cellStyle name="40% - Accent1 2 5 2 2 2" xfId="3671" xr:uid="{987D7770-C2A4-4BD4-88FE-33FD09C12371}"/>
    <cellStyle name="40% - Accent1 2 5 2 3" xfId="1926" xr:uid="{754FE990-C57C-4FC3-A5B7-F0272E32C91C}"/>
    <cellStyle name="40% - Accent1 2 5 2 3 2" xfId="3672" xr:uid="{8E5B9645-CD03-4539-AE66-26575A5C2E3B}"/>
    <cellStyle name="40% - Accent1 2 5 2 4" xfId="3670" xr:uid="{889EE08E-64EC-4071-97B5-077F9D0C532B}"/>
    <cellStyle name="40% - Accent1 2 5 3" xfId="1927" xr:uid="{A04BE045-66A2-4004-BD91-A12EFEB052DF}"/>
    <cellStyle name="40% - Accent1 2 5 3 2" xfId="3673" xr:uid="{5C923B81-0B20-4F8C-A070-0BFB4A8C52CC}"/>
    <cellStyle name="40% - Accent1 2 5 4" xfId="1928" xr:uid="{E34C2B17-08FE-4905-819E-32B04AC0A1A5}"/>
    <cellStyle name="40% - Accent1 2 5 4 2" xfId="3674" xr:uid="{C3D69701-03D4-4AC5-9E7D-3EB9662CE0A5}"/>
    <cellStyle name="40% - Accent1 2 5 5" xfId="5242" xr:uid="{6EF8E3F1-156A-4206-9D31-B7CA76A86754}"/>
    <cellStyle name="40% - Accent1 2 6" xfId="1929" xr:uid="{8A615FC5-43F4-44F4-AEF0-62E04E024EB7}"/>
    <cellStyle name="40% - Accent1 2 6 2" xfId="1930" xr:uid="{25344157-6F4B-4517-A965-C8EA5FAB1998}"/>
    <cellStyle name="40% - Accent1 2 6 2 2" xfId="3675" xr:uid="{FD03CFCE-8DD3-48B0-A14A-7AC000ABAE1F}"/>
    <cellStyle name="40% - Accent1 2 6 3" xfId="1931" xr:uid="{1EA24969-848A-4609-A2FF-5F057B565430}"/>
    <cellStyle name="40% - Accent1 2 6 3 2" xfId="3676" xr:uid="{C40A265E-6FCA-4FC0-B7BE-039D7995A535}"/>
    <cellStyle name="40% - Accent1 2 6 4" xfId="4321" xr:uid="{C8B24598-70DC-4B9E-B7A0-EE29CFBFD543}"/>
    <cellStyle name="40% - Accent1 2 7" xfId="1932" xr:uid="{BE0F6C58-06C4-4CB9-8D04-79BDC593C50A}"/>
    <cellStyle name="40% - Accent1 2 7 2" xfId="3677" xr:uid="{E97020E5-DF1A-4F54-B73A-6C5BDBEAB4FE}"/>
    <cellStyle name="40% - Accent1 2 8" xfId="1933" xr:uid="{69D54E9C-B33D-4CAB-8A22-CA7ED7A03378}"/>
    <cellStyle name="40% - Accent1 2 8 2" xfId="3678" xr:uid="{DC40B014-C83A-450B-9D85-96A12AD2A78B}"/>
    <cellStyle name="40% - Accent1 2 9" xfId="1934" xr:uid="{A40F90CE-8349-44EF-93D0-3E01D1929A63}"/>
    <cellStyle name="40% - Accent1 2_6.2 CBR B" xfId="4239" xr:uid="{1EAF7F7B-831A-4403-A667-18887D4CAD95}"/>
    <cellStyle name="40% - Accent1 3" xfId="195" xr:uid="{FBDA3C72-C9BF-4515-B12A-B99BEA22797E}"/>
    <cellStyle name="40% - Accent1 3 2" xfId="1936" xr:uid="{F61EA39E-18B3-4255-AF46-690AC7FAEEB3}"/>
    <cellStyle name="40% - Accent1 3 2 2" xfId="4361" xr:uid="{B8025EE0-582C-43FE-935E-8DB0AA17FF9E}"/>
    <cellStyle name="40% - Accent1 3 3" xfId="1937" xr:uid="{D04710E2-DD4F-4EE9-98F3-3468F2578F7B}"/>
    <cellStyle name="40% - Accent1 3 4" xfId="1935" xr:uid="{E79919F4-E8E6-4BB6-A97A-6D384BDC84A5}"/>
    <cellStyle name="40% - Accent1 3 5" xfId="4205" xr:uid="{5B2AC948-6FAA-4C28-8D18-F38B797AE157}"/>
    <cellStyle name="40% - Accent1 4" xfId="196" xr:uid="{7B5C1FE6-1EB8-4FDE-823F-5809E39BB777}"/>
    <cellStyle name="40% - Accent1 4 2" xfId="1939" xr:uid="{7A57B748-D585-4994-8632-BF97D26C3BD5}"/>
    <cellStyle name="40% - Accent1 4 2 2" xfId="4362" xr:uid="{EDC59E17-BE65-44D3-AF73-3E4694522439}"/>
    <cellStyle name="40% - Accent1 4 3" xfId="1938" xr:uid="{AE247352-067A-4028-9513-632293B14934}"/>
    <cellStyle name="40% - Accent1 4 4" xfId="4129" xr:uid="{9A4C882A-E541-45E6-A261-2047A997A8DF}"/>
    <cellStyle name="40% - Accent1 5" xfId="197" xr:uid="{EA059D40-C3A0-47F2-AA34-92AF78C5112C}"/>
    <cellStyle name="40% - Accent1 5 2" xfId="1940" xr:uid="{4EED3984-3900-40B9-A876-7C128222798C}"/>
    <cellStyle name="40% - Accent1 6" xfId="198" xr:uid="{18438076-76AD-4E68-A52D-25EFD9FD58CB}"/>
    <cellStyle name="40% - Accent1 6 2" xfId="1941" xr:uid="{D608E5C5-D2C8-4527-9DED-6D76C15EFB38}"/>
    <cellStyle name="40% - Accent1 7" xfId="199" xr:uid="{877D8177-7E96-445E-930E-4EAF5ACB4BC6}"/>
    <cellStyle name="40% - Accent1 7 2" xfId="1942" xr:uid="{54ED7FAB-26F6-413E-BC33-085DB1DBB076}"/>
    <cellStyle name="40% - Accent1 8" xfId="200" xr:uid="{45082CB2-B4D3-45AF-8A37-0A1A6BBA137C}"/>
    <cellStyle name="40% - Accent1 8 2" xfId="1943" xr:uid="{9F633D23-98CB-4981-BD0A-7AE63FE239AD}"/>
    <cellStyle name="40% - Accent1 9" xfId="201" xr:uid="{FD82306A-7FF0-4AD6-9E20-BB1960E1B9E5}"/>
    <cellStyle name="40% - Accent1 9 2" xfId="1944" xr:uid="{3359DA2C-7B2F-4639-9C28-BCA086A8E08A}"/>
    <cellStyle name="40% - Accent2" xfId="1534" builtinId="35" customBuiltin="1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16 2" xfId="3679" xr:uid="{6BDB3DD0-E69B-4A1C-A5EE-796219DAE3E8}"/>
    <cellStyle name="40% - Accent2 2" xfId="30" xr:uid="{00000000-0005-0000-0000-000010000000}"/>
    <cellStyle name="40% - Accent2 2 10" xfId="1946" xr:uid="{55CE1DC5-E3C8-492D-B2D1-4101D12DEC37}"/>
    <cellStyle name="40% - Accent2 2 10 2" xfId="3680" xr:uid="{D2A65231-CF5A-46BE-B0CA-EBDD5D2459BA}"/>
    <cellStyle name="40% - Accent2 2 11" xfId="1945" xr:uid="{DF22AF65-3B26-4AB2-96E3-78A7C46A5447}"/>
    <cellStyle name="40% - Accent2 2 12" xfId="4086" xr:uid="{E26303A6-7648-4518-B60F-BF86A017DBF7}"/>
    <cellStyle name="40% - Accent2 2 2" xfId="820" xr:uid="{C2D10E15-E426-4108-B85B-6C7DE3C1A0B1}"/>
    <cellStyle name="40% - Accent2 2 2 2" xfId="1948" xr:uid="{01767CC5-6E15-496F-96F2-AE52DEC9EE67}"/>
    <cellStyle name="40% - Accent2 2 2 2 2" xfId="5171" xr:uid="{C7DC55FC-FF43-4609-9083-A2326096DF52}"/>
    <cellStyle name="40% - Accent2 2 2 3" xfId="1947" xr:uid="{D575B18E-508A-4B9E-85A9-778A6141856F}"/>
    <cellStyle name="40% - Accent2 2 2 3 2" xfId="4487" xr:uid="{28257374-7EED-40D5-BA9D-A06CB480E072}"/>
    <cellStyle name="40% - Accent2 2 2 4" xfId="4182" xr:uid="{1934E225-C199-4959-A5E8-2B9785D19C05}"/>
    <cellStyle name="40% - Accent2 2 3" xfId="208" xr:uid="{AE931783-BF8A-406C-9218-F3BDF4370B32}"/>
    <cellStyle name="40% - Accent2 2 3 2" xfId="1950" xr:uid="{F858CE35-E0C8-45CD-BC5A-83D7DC093959}"/>
    <cellStyle name="40% - Accent2 2 3 2 2" xfId="1951" xr:uid="{16BA7821-E058-4A9C-847C-A8D6D17CAA90}"/>
    <cellStyle name="40% - Accent2 2 3 2 2 2" xfId="1952" xr:uid="{55299994-A56F-480C-9F37-00C8B5F00B8D}"/>
    <cellStyle name="40% - Accent2 2 3 2 2 2 2" xfId="3683" xr:uid="{40DBC3A3-78BD-4973-A199-2A8365A07B24}"/>
    <cellStyle name="40% - Accent2 2 3 2 2 3" xfId="1953" xr:uid="{7C48BFB1-8A35-4919-A0AD-1ADFA68A0B1A}"/>
    <cellStyle name="40% - Accent2 2 3 2 2 3 2" xfId="3684" xr:uid="{BA4152D2-3BEF-45D8-8DC4-337992482406}"/>
    <cellStyle name="40% - Accent2 2 3 2 2 4" xfId="3682" xr:uid="{0DDF3175-6D60-49CF-8A1C-523A93A34D9D}"/>
    <cellStyle name="40% - Accent2 2 3 2 3" xfId="1954" xr:uid="{5063C0BB-5471-4BC5-9FBC-BDB6A8675B44}"/>
    <cellStyle name="40% - Accent2 2 3 2 3 2" xfId="3685" xr:uid="{D041DB0A-A8F8-4B59-8734-B1CD8DF413AD}"/>
    <cellStyle name="40% - Accent2 2 3 2 4" xfId="1955" xr:uid="{B7282325-4A79-411F-8E16-1FBA3309E324}"/>
    <cellStyle name="40% - Accent2 2 3 2 4 2" xfId="3686" xr:uid="{C63A88B3-6B6B-4EC3-8F81-94323F4BC600}"/>
    <cellStyle name="40% - Accent2 2 3 2 5" xfId="3681" xr:uid="{5548F1C0-5DA3-436F-8363-50D0A0EADB22}"/>
    <cellStyle name="40% - Accent2 2 3 2 6" xfId="5203" xr:uid="{A4FC97E7-DFDE-42A5-A776-F3A7D358E21D}"/>
    <cellStyle name="40% - Accent2 2 3 3" xfId="1956" xr:uid="{458761A3-DEC3-4EF9-8495-012ECFE5A4BA}"/>
    <cellStyle name="40% - Accent2 2 3 3 2" xfId="1957" xr:uid="{56DBA081-C0B9-4E35-B9FF-394AF6CF06E3}"/>
    <cellStyle name="40% - Accent2 2 3 3 2 2" xfId="3688" xr:uid="{8D74475C-DC4D-4B90-903A-587C6697DBE7}"/>
    <cellStyle name="40% - Accent2 2 3 3 3" xfId="1958" xr:uid="{1D0C5AD3-9167-4A4D-B78E-7BC57DB74360}"/>
    <cellStyle name="40% - Accent2 2 3 3 3 2" xfId="3689" xr:uid="{6950C83E-D29E-4539-B480-64F26E9956A5}"/>
    <cellStyle name="40% - Accent2 2 3 3 4" xfId="3687" xr:uid="{ECDA8A52-AEBF-460E-B492-7D36AEC87A8F}"/>
    <cellStyle name="40% - Accent2 2 3 4" xfId="1959" xr:uid="{E7C32934-2E0E-43AE-904E-76BAF674D17C}"/>
    <cellStyle name="40% - Accent2 2 3 4 2" xfId="3690" xr:uid="{AF265C36-CF94-429D-8C22-DD861E66770F}"/>
    <cellStyle name="40% - Accent2 2 3 5" xfId="1960" xr:uid="{D4C117F6-918D-4081-AB1C-7E9CDE7526EA}"/>
    <cellStyle name="40% - Accent2 2 3 5 2" xfId="3691" xr:uid="{91C732E4-2212-4DB8-A56C-212139BCB1F4}"/>
    <cellStyle name="40% - Accent2 2 3 6" xfId="1949" xr:uid="{B9269023-2031-4976-AAB5-8A69F5A9BA77}"/>
    <cellStyle name="40% - Accent2 2 4" xfId="1961" xr:uid="{E9A5AC77-EAAB-482C-97A0-3D12E44B8067}"/>
    <cellStyle name="40% - Accent2 2 4 2" xfId="1962" xr:uid="{C70D498D-CC3D-43D1-9BF8-17D3C321B28E}"/>
    <cellStyle name="40% - Accent2 2 4 2 2" xfId="1963" xr:uid="{639A5555-DC1C-4EDE-A771-F30444E68D9E}"/>
    <cellStyle name="40% - Accent2 2 4 2 2 2" xfId="3693" xr:uid="{10571EAC-52AF-4520-A2CA-0591E8EA06DF}"/>
    <cellStyle name="40% - Accent2 2 4 2 3" xfId="1964" xr:uid="{6910DEEF-035B-4044-AA6A-CA4CFE624C50}"/>
    <cellStyle name="40% - Accent2 2 4 2 3 2" xfId="3694" xr:uid="{4F8D96C7-1C2F-4375-BA3F-412710D1B49C}"/>
    <cellStyle name="40% - Accent2 2 4 2 4" xfId="3692" xr:uid="{A59B2A44-BED5-4A34-8C05-60E362842F19}"/>
    <cellStyle name="40% - Accent2 2 4 3" xfId="1965" xr:uid="{CE9A55F3-080D-44BA-98BE-F263C9B6A570}"/>
    <cellStyle name="40% - Accent2 2 4 3 2" xfId="1966" xr:uid="{5ADB3A77-66FE-4C6E-8D4A-F5C98BBA993C}"/>
    <cellStyle name="40% - Accent2 2 4 3 2 2" xfId="3696" xr:uid="{3BA469D3-BCB7-4956-B91F-A90C5F73877B}"/>
    <cellStyle name="40% - Accent2 2 4 3 3" xfId="1967" xr:uid="{E428C36A-7A5D-4D64-8F8D-19F223C8CD04}"/>
    <cellStyle name="40% - Accent2 2 4 3 3 2" xfId="3697" xr:uid="{1977F1A5-F290-4B5D-AC96-78A0DD4F63F9}"/>
    <cellStyle name="40% - Accent2 2 4 3 4" xfId="3695" xr:uid="{2E2B9DDE-8C88-4E61-86D1-FC2EA9CBBB1F}"/>
    <cellStyle name="40% - Accent2 2 4 4" xfId="1968" xr:uid="{4C0F61DD-85CD-4A4A-97E6-D0D145C0DFB9}"/>
    <cellStyle name="40% - Accent2 2 4 4 2" xfId="3698" xr:uid="{308ADCC3-6F19-4775-8D27-C16047B6E76A}"/>
    <cellStyle name="40% - Accent2 2 4 5" xfId="1969" xr:uid="{756C4BC5-2104-4376-802A-6077D6061C6A}"/>
    <cellStyle name="40% - Accent2 2 4 5 2" xfId="3699" xr:uid="{6F71A02C-6F40-4C44-AE0E-E52615833EFC}"/>
    <cellStyle name="40% - Accent2 2 4 6" xfId="5138" xr:uid="{58402F73-C3DE-4930-9686-5275BD5C1E9B}"/>
    <cellStyle name="40% - Accent2 2 5" xfId="1970" xr:uid="{18ED71AE-6B3A-458C-BD8C-D86D51568622}"/>
    <cellStyle name="40% - Accent2 2 5 2" xfId="1971" xr:uid="{FD293946-0680-4669-849D-EF63B761BE75}"/>
    <cellStyle name="40% - Accent2 2 5 2 2" xfId="1972" xr:uid="{2C04ECD9-CF35-4C64-84B7-8A0E9FE1EF6B}"/>
    <cellStyle name="40% - Accent2 2 5 2 2 2" xfId="3701" xr:uid="{F7498F1E-1548-47AC-88AE-AFCF342BFB3D}"/>
    <cellStyle name="40% - Accent2 2 5 2 3" xfId="1973" xr:uid="{82F5BB23-36BC-4414-A549-1F7CDD0D297F}"/>
    <cellStyle name="40% - Accent2 2 5 2 3 2" xfId="3702" xr:uid="{7E4C8D81-1A24-4AB8-805E-C7A9DEF7B9AA}"/>
    <cellStyle name="40% - Accent2 2 5 2 4" xfId="3700" xr:uid="{E78A50AD-8FE9-4860-9FA6-E88F2C9E792E}"/>
    <cellStyle name="40% - Accent2 2 5 3" xfId="1974" xr:uid="{9A61F7DB-CAF0-4AF9-B063-F6C2713DB2CA}"/>
    <cellStyle name="40% - Accent2 2 5 3 2" xfId="3703" xr:uid="{73AA1F6B-6489-4DD1-9C9E-8C53976B4305}"/>
    <cellStyle name="40% - Accent2 2 5 4" xfId="1975" xr:uid="{AD8D5F71-D5B3-4EC6-84D0-AE19D3F916C5}"/>
    <cellStyle name="40% - Accent2 2 5 4 2" xfId="3704" xr:uid="{B4F32BDB-10BA-482D-B1AE-A4A16DF44722}"/>
    <cellStyle name="40% - Accent2 2 5 5" xfId="5243" xr:uid="{ADBD5B50-4063-425E-BFAA-D8AA0348636A}"/>
    <cellStyle name="40% - Accent2 2 6" xfId="1976" xr:uid="{907626F5-5EF6-42F0-B3C1-47C6A010983D}"/>
    <cellStyle name="40% - Accent2 2 6 2" xfId="1977" xr:uid="{EB4E3AF3-62BB-4917-9CEF-6E1EF9016C4E}"/>
    <cellStyle name="40% - Accent2 2 6 2 2" xfId="3705" xr:uid="{2F2B7EE9-F2F3-4384-9DEC-C8EC0B9E2655}"/>
    <cellStyle name="40% - Accent2 2 6 3" xfId="1978" xr:uid="{78594652-5E5C-4532-B82E-49782A9CFF75}"/>
    <cellStyle name="40% - Accent2 2 6 3 2" xfId="3706" xr:uid="{1F75AA54-587B-4CDF-87EA-2D4D691A0501}"/>
    <cellStyle name="40% - Accent2 2 6 4" xfId="4322" xr:uid="{2ACDB367-08A3-49BA-8B32-078A6B052BE4}"/>
    <cellStyle name="40% - Accent2 2 7" xfId="1979" xr:uid="{44B6E722-3CCF-4B7F-8B74-CA5F1D788CEF}"/>
    <cellStyle name="40% - Accent2 2 7 2" xfId="3707" xr:uid="{B8C5BBF3-6A17-4D98-AC51-AB5289E7FE4F}"/>
    <cellStyle name="40% - Accent2 2 8" xfId="1980" xr:uid="{99064B0C-F909-4DA5-BE32-B571DB082AC7}"/>
    <cellStyle name="40% - Accent2 2 8 2" xfId="3708" xr:uid="{C7B6EEBE-E2B5-4693-BF20-8D5B9187012D}"/>
    <cellStyle name="40% - Accent2 2 9" xfId="1981" xr:uid="{CB047F06-A90E-454E-AC64-ED4E5A55C216}"/>
    <cellStyle name="40% - Accent2 2_6.2 CBR B" xfId="4240" xr:uid="{CDA7640F-F2AA-48BB-B258-BB26754EA2F9}"/>
    <cellStyle name="40% - Accent2 3" xfId="209" xr:uid="{AE954E18-8794-49A9-9415-299F014F3527}"/>
    <cellStyle name="40% - Accent2 3 2" xfId="1983" xr:uid="{8A6F7FB2-ACB2-479D-A1F8-42628B6D7070}"/>
    <cellStyle name="40% - Accent2 3 2 2" xfId="4363" xr:uid="{C32268FE-48E5-45E8-9A0B-C281458C471D}"/>
    <cellStyle name="40% - Accent2 3 3" xfId="1984" xr:uid="{28F0E609-37F4-400E-96C3-5099F0D52174}"/>
    <cellStyle name="40% - Accent2 3 4" xfId="1982" xr:uid="{1C75283B-30B4-44CC-81B8-0F22DA9ABD37}"/>
    <cellStyle name="40% - Accent2 3 5" xfId="4207" xr:uid="{C27F43E2-0D60-4937-ACDB-E70115D4A14C}"/>
    <cellStyle name="40% - Accent2 4" xfId="210" xr:uid="{19745F1D-242C-4B9C-B9F3-916AFB931858}"/>
    <cellStyle name="40% - Accent2 4 2" xfId="1986" xr:uid="{52E23492-1AA8-499F-AD2F-7447F18387C6}"/>
    <cellStyle name="40% - Accent2 4 2 2" xfId="4364" xr:uid="{2AAABDED-7E21-44BE-A8BA-1056D2FA34CD}"/>
    <cellStyle name="40% - Accent2 4 3" xfId="1985" xr:uid="{30819E0D-C4C3-4B3E-AA7E-E7B0E38B7520}"/>
    <cellStyle name="40% - Accent2 4 4" xfId="4133" xr:uid="{343A1C49-FD33-41D9-AD4D-007419628C2B}"/>
    <cellStyle name="40% - Accent2 5" xfId="211" xr:uid="{09233828-006D-4D7D-9EDF-A94417D6147F}"/>
    <cellStyle name="40% - Accent2 5 2" xfId="1987" xr:uid="{91DC06FD-0749-48BD-84FC-1B51B69B0D10}"/>
    <cellStyle name="40% - Accent2 6" xfId="212" xr:uid="{04B1B4C5-A88C-4470-82AA-4DF8A01568D5}"/>
    <cellStyle name="40% - Accent2 6 2" xfId="1988" xr:uid="{8330618A-336A-4003-BCD7-8D2F4CBDAFFA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0 2" xfId="1989" xr:uid="{3A54B0B0-6946-4A13-BCE4-EDB7371A54AB}"/>
    <cellStyle name="40% - Accent3 11" xfId="217" xr:uid="{0E1C3A02-FACD-48C2-B8F2-CBEDA32FEA63}"/>
    <cellStyle name="40% - Accent3 11 2" xfId="1990" xr:uid="{66BF3C8D-1F52-45C5-BCBA-DBDB5448F81D}"/>
    <cellStyle name="40% - Accent3 12" xfId="218" xr:uid="{205049EA-A559-4F65-9A9F-92C97EDD3397}"/>
    <cellStyle name="40% - Accent3 12 2" xfId="1991" xr:uid="{D5DEF27D-EB9C-492A-882C-8B705C115278}"/>
    <cellStyle name="40% - Accent3 13" xfId="219" xr:uid="{A076CB8B-D8B6-4B16-86C2-8BDE586D8BF9}"/>
    <cellStyle name="40% - Accent3 13 2" xfId="1992" xr:uid="{500BD251-55F7-45A1-A5F5-1A4DF25DC862}"/>
    <cellStyle name="40% - Accent3 14" xfId="220" xr:uid="{6E255168-72C6-47AA-AAE6-7EC8F79CB76F}"/>
    <cellStyle name="40% - Accent3 14 2" xfId="1993" xr:uid="{3025D2BA-7082-4151-B86C-521950D3FDE9}"/>
    <cellStyle name="40% - Accent3 15" xfId="221" xr:uid="{3933DF1D-A360-4D2B-AE67-695AA53DA308}"/>
    <cellStyle name="40% - Accent3 15 2" xfId="1994" xr:uid="{B4570298-6274-4696-B6DA-14EA21222C18}"/>
    <cellStyle name="40% - Accent3 16" xfId="777" xr:uid="{D2E2E13A-FC2E-4B8B-A8C3-A662CCA596DB}"/>
    <cellStyle name="40% - Accent3 16 2" xfId="3709" xr:uid="{5A3953D6-6CAE-45C6-AAA9-E6E5CFD4CDA9}"/>
    <cellStyle name="40% - Accent3 16 3" xfId="1995" xr:uid="{37799C27-F8F3-4E61-8D00-6CD0D511746B}"/>
    <cellStyle name="40% - Accent3 2" xfId="31" xr:uid="{00000000-0005-0000-0000-000011000000}"/>
    <cellStyle name="40% - Accent3 2 10" xfId="1997" xr:uid="{D00F901B-E0C2-46D6-9226-DFCB595A283B}"/>
    <cellStyle name="40% - Accent3 2 10 2" xfId="3710" xr:uid="{460021A6-73BD-4A2E-B91A-1C0DD7F68988}"/>
    <cellStyle name="40% - Accent3 2 11" xfId="1998" xr:uid="{94FD2913-676B-4F16-BC8F-2A22F7B7887B}"/>
    <cellStyle name="40% - Accent3 2 12" xfId="1996" xr:uid="{BB1D70A6-715C-4618-99FF-2135BA8D4E6E}"/>
    <cellStyle name="40% - Accent3 2 13" xfId="4087" xr:uid="{C7CA6619-3E31-4990-9D42-E5C887F3AE67}"/>
    <cellStyle name="40% - Accent3 2 2" xfId="824" xr:uid="{3FFE699D-FF22-4CD8-8F49-961EC3463774}"/>
    <cellStyle name="40% - Accent3 2 2 2" xfId="2000" xr:uid="{4D5274EE-0DE3-4CF4-9C8B-E7D5ABA504C3}"/>
    <cellStyle name="40% - Accent3 2 2 2 2" xfId="5173" xr:uid="{13B95A34-04B9-48C9-8DAC-72F5CBBFC39E}"/>
    <cellStyle name="40% - Accent3 2 2 3" xfId="1999" xr:uid="{802D68EE-CECE-49C6-BA93-692489722C8D}"/>
    <cellStyle name="40% - Accent3 2 2 3 2" xfId="4489" xr:uid="{699BE36E-69B5-489E-A13F-7A4DFC8B17E9}"/>
    <cellStyle name="40% - Accent3 2 2 4" xfId="4183" xr:uid="{FD601711-B1A6-433B-8119-B02C9FAB72F4}"/>
    <cellStyle name="40% - Accent3 2 3" xfId="222" xr:uid="{CA5F1453-1410-43C5-A45C-F86291F2E44F}"/>
    <cellStyle name="40% - Accent3 2 3 2" xfId="2002" xr:uid="{2A69F6E4-9EA6-4765-A7B7-E2A89F76D0A7}"/>
    <cellStyle name="40% - Accent3 2 3 2 2" xfId="2003" xr:uid="{1FA4A59E-B830-4381-9571-A7C054FFAADF}"/>
    <cellStyle name="40% - Accent3 2 3 2 2 2" xfId="2004" xr:uid="{B30A508E-40FF-43F4-AA97-9791AC158F81}"/>
    <cellStyle name="40% - Accent3 2 3 2 2 2 2" xfId="3713" xr:uid="{3AD458A5-6E75-4DCD-953A-2C4A128A52B0}"/>
    <cellStyle name="40% - Accent3 2 3 2 2 3" xfId="2005" xr:uid="{D1E7AE94-E507-4EE2-A889-D7E6A7F53292}"/>
    <cellStyle name="40% - Accent3 2 3 2 2 3 2" xfId="3714" xr:uid="{8A34C378-A4C6-4D4F-A040-217E7420BC3B}"/>
    <cellStyle name="40% - Accent3 2 3 2 2 4" xfId="3712" xr:uid="{04CDACDB-989B-4C86-BED0-CBA3D190ECFD}"/>
    <cellStyle name="40% - Accent3 2 3 2 3" xfId="2006" xr:uid="{DCAAA172-41A2-4E09-BA8B-511A3C0F1B2F}"/>
    <cellStyle name="40% - Accent3 2 3 2 3 2" xfId="3715" xr:uid="{174B796D-50BA-44A1-8824-C676C4EC14A3}"/>
    <cellStyle name="40% - Accent3 2 3 2 4" xfId="2007" xr:uid="{899B5D8E-66BA-4361-BB21-E2CB34449B33}"/>
    <cellStyle name="40% - Accent3 2 3 2 4 2" xfId="3716" xr:uid="{BED3417E-1734-4BBE-A86F-A51FECF1F59E}"/>
    <cellStyle name="40% - Accent3 2 3 2 5" xfId="3711" xr:uid="{FD958771-3BD6-47D3-A294-10253C965ED9}"/>
    <cellStyle name="40% - Accent3 2 3 2 6" xfId="5205" xr:uid="{498E829B-4753-4B60-A18B-FBBC851C1694}"/>
    <cellStyle name="40% - Accent3 2 3 3" xfId="2008" xr:uid="{CBDBA5B6-B46A-496E-8B2B-BCB7480CE0C3}"/>
    <cellStyle name="40% - Accent3 2 3 3 2" xfId="2009" xr:uid="{6C75E895-F0E2-4D3C-80F1-827F1FAE06FB}"/>
    <cellStyle name="40% - Accent3 2 3 3 2 2" xfId="3718" xr:uid="{C117B6C2-BC96-4BF4-A6CD-4ED721195278}"/>
    <cellStyle name="40% - Accent3 2 3 3 3" xfId="2010" xr:uid="{743AB885-A720-4049-8DCA-966970608ED8}"/>
    <cellStyle name="40% - Accent3 2 3 3 3 2" xfId="3719" xr:uid="{C044E6DF-4900-49CD-A2AB-D63F63CC2D5C}"/>
    <cellStyle name="40% - Accent3 2 3 3 4" xfId="3717" xr:uid="{8C1C07EA-4B05-4367-A1AA-697884657B0C}"/>
    <cellStyle name="40% - Accent3 2 3 4" xfId="2011" xr:uid="{AB1A0E71-CD19-4F15-A5A5-D4BA3FC2C046}"/>
    <cellStyle name="40% - Accent3 2 3 4 2" xfId="3720" xr:uid="{4C03B405-CAF8-4FEA-9A7F-8645288AD614}"/>
    <cellStyle name="40% - Accent3 2 3 5" xfId="2012" xr:uid="{2A7294F4-2D2E-42F2-9449-EA20E926B7D7}"/>
    <cellStyle name="40% - Accent3 2 3 5 2" xfId="3721" xr:uid="{50EB7BD0-0EC1-4ADC-B958-BFA8DF42FEA7}"/>
    <cellStyle name="40% - Accent3 2 3 6" xfId="2001" xr:uid="{D147AAEB-9EBC-48EE-A212-71E57CF7B015}"/>
    <cellStyle name="40% - Accent3 2 4" xfId="2013" xr:uid="{A366DE42-61DF-4D3A-B2CE-2D67562EF71B}"/>
    <cellStyle name="40% - Accent3 2 4 2" xfId="2014" xr:uid="{929263FC-21D9-4C65-9CE5-D54A972599EF}"/>
    <cellStyle name="40% - Accent3 2 4 2 2" xfId="2015" xr:uid="{686E31D0-F0E1-4E64-BB32-ACDC30AEFCAE}"/>
    <cellStyle name="40% - Accent3 2 4 2 2 2" xfId="3723" xr:uid="{740F24C3-2912-463A-894A-D3392C9A05F1}"/>
    <cellStyle name="40% - Accent3 2 4 2 3" xfId="2016" xr:uid="{DC8215F8-107C-4582-BC68-A85AD5A78D11}"/>
    <cellStyle name="40% - Accent3 2 4 2 3 2" xfId="3724" xr:uid="{D95B1E75-6FF7-4EED-8E74-B7E06D438B9D}"/>
    <cellStyle name="40% - Accent3 2 4 2 4" xfId="3722" xr:uid="{BE02F784-BEE2-4076-8437-E3DC51DD2059}"/>
    <cellStyle name="40% - Accent3 2 4 3" xfId="2017" xr:uid="{29CEB846-4E32-4DA5-A2F4-B0FC2575C042}"/>
    <cellStyle name="40% - Accent3 2 4 3 2" xfId="2018" xr:uid="{7CAB87C8-D6FC-4DAE-8E40-7374620105ED}"/>
    <cellStyle name="40% - Accent3 2 4 3 2 2" xfId="3726" xr:uid="{3E26CF52-BBE8-4804-BED2-FCAFF6B3AAA0}"/>
    <cellStyle name="40% - Accent3 2 4 3 3" xfId="2019" xr:uid="{CE4CB7C4-9006-4436-8557-C566FD10ED11}"/>
    <cellStyle name="40% - Accent3 2 4 3 3 2" xfId="3727" xr:uid="{9DBBE177-543B-4514-9422-91819CF7D88E}"/>
    <cellStyle name="40% - Accent3 2 4 3 4" xfId="3725" xr:uid="{4C4022FB-C433-4300-8193-D313EBFE2FF9}"/>
    <cellStyle name="40% - Accent3 2 4 4" xfId="2020" xr:uid="{F4B37CD9-F64F-4BFC-B335-385478F232AD}"/>
    <cellStyle name="40% - Accent3 2 4 4 2" xfId="3728" xr:uid="{6C83ECCA-841F-4FCB-8B4D-122313F56C32}"/>
    <cellStyle name="40% - Accent3 2 4 5" xfId="2021" xr:uid="{D2BC9F94-03C1-4057-A3F0-395D174A32FF}"/>
    <cellStyle name="40% - Accent3 2 4 5 2" xfId="3729" xr:uid="{3EEB0144-CA22-48E3-A96C-DD6FED702344}"/>
    <cellStyle name="40% - Accent3 2 4 6" xfId="5140" xr:uid="{BCCBA5B5-45D2-4C50-AD7D-787F2E0BB072}"/>
    <cellStyle name="40% - Accent3 2 5" xfId="2022" xr:uid="{70A8C382-EA5B-414B-A104-2856BF8AC1E0}"/>
    <cellStyle name="40% - Accent3 2 5 2" xfId="2023" xr:uid="{DA00DAD4-A500-44A9-8A72-0184BC2BE7EF}"/>
    <cellStyle name="40% - Accent3 2 5 2 2" xfId="2024" xr:uid="{F976E941-87EA-4DB2-A5CF-DAA7CD0127AC}"/>
    <cellStyle name="40% - Accent3 2 5 2 2 2" xfId="3731" xr:uid="{58E9EFA5-582E-4B94-9B93-89F88AB42BC1}"/>
    <cellStyle name="40% - Accent3 2 5 2 3" xfId="2025" xr:uid="{051D46E8-9F85-4906-9CC6-F4EAEDF9C06B}"/>
    <cellStyle name="40% - Accent3 2 5 2 3 2" xfId="3732" xr:uid="{78C6F6E8-2751-4722-9B3F-1653DF883C7D}"/>
    <cellStyle name="40% - Accent3 2 5 2 4" xfId="3730" xr:uid="{50B91CAB-D85F-418F-A0C6-C88AEAE18992}"/>
    <cellStyle name="40% - Accent3 2 5 3" xfId="2026" xr:uid="{174003D4-BAA0-4E53-B4F5-3F260A6D3C1B}"/>
    <cellStyle name="40% - Accent3 2 5 3 2" xfId="3733" xr:uid="{8A19FE6F-CA5D-4EA9-8FD4-647BA5869E84}"/>
    <cellStyle name="40% - Accent3 2 5 4" xfId="2027" xr:uid="{931EA761-CC49-4041-8A56-37F0942EA0B7}"/>
    <cellStyle name="40% - Accent3 2 5 4 2" xfId="3734" xr:uid="{7B0D7A05-F2E1-4F71-900D-47EA6C5B30D9}"/>
    <cellStyle name="40% - Accent3 2 5 5" xfId="5244" xr:uid="{248953AB-B9DB-48D3-A5D1-992B3EC7792E}"/>
    <cellStyle name="40% - Accent3 2 6" xfId="2028" xr:uid="{CD8FAB58-8D64-4C8C-8FAE-88101AD817A8}"/>
    <cellStyle name="40% - Accent3 2 6 2" xfId="2029" xr:uid="{D44C8D20-BB6A-462C-A5CF-A959B1AA7FC1}"/>
    <cellStyle name="40% - Accent3 2 6 2 2" xfId="3735" xr:uid="{A41DDF43-5E86-4339-9C5E-746EC995B49E}"/>
    <cellStyle name="40% - Accent3 2 6 3" xfId="2030" xr:uid="{B836BD73-7519-4873-8365-5411CC2E02D8}"/>
    <cellStyle name="40% - Accent3 2 6 3 2" xfId="3736" xr:uid="{3A3E4FD2-79B3-41C2-B6B6-823E8F6AA2D0}"/>
    <cellStyle name="40% - Accent3 2 6 4" xfId="4323" xr:uid="{F2C634DD-C4CC-499A-9A02-36F6C0F80659}"/>
    <cellStyle name="40% - Accent3 2 7" xfId="2031" xr:uid="{7B5CE63D-54FB-4F3D-9836-24D2B5FDD5B6}"/>
    <cellStyle name="40% - Accent3 2 7 2" xfId="3737" xr:uid="{2EEA7EA9-8507-4048-8901-5247A695738D}"/>
    <cellStyle name="40% - Accent3 2 8" xfId="2032" xr:uid="{965A8A9F-03AD-4D6C-A9A3-5F7B09542DAC}"/>
    <cellStyle name="40% - Accent3 2 8 2" xfId="3738" xr:uid="{229BCF5D-CB50-4323-A736-3841CADF427D}"/>
    <cellStyle name="40% - Accent3 2 9" xfId="2033" xr:uid="{58CFDDC1-C52B-402B-B053-440B3635A651}"/>
    <cellStyle name="40% - Accent3 2_6.2 CBR B" xfId="4241" xr:uid="{ECCB27DF-040C-479A-B30D-2466B2821858}"/>
    <cellStyle name="40% - Accent3 3" xfId="223" xr:uid="{00545917-E985-4949-A135-C0069F2F5964}"/>
    <cellStyle name="40% - Accent3 3 2" xfId="2035" xr:uid="{D3292BCD-7EEA-4646-AB51-AA519D716961}"/>
    <cellStyle name="40% - Accent3 3 2 2" xfId="4365" xr:uid="{26A59E5D-79D1-4F53-8396-8EC9DC0D0E1F}"/>
    <cellStyle name="40% - Accent3 3 3" xfId="2036" xr:uid="{E6AEE4DB-A453-469E-945E-088CF1E6A015}"/>
    <cellStyle name="40% - Accent3 3 4" xfId="2034" xr:uid="{3A27130D-9EEF-4256-94C0-0626147F47EF}"/>
    <cellStyle name="40% - Accent3 3 5" xfId="4209" xr:uid="{035E11CD-ECBE-4517-AA22-CAF57684C122}"/>
    <cellStyle name="40% - Accent3 4" xfId="224" xr:uid="{373FD863-FF50-420B-A6A3-4C553869201B}"/>
    <cellStyle name="40% - Accent3 4 2" xfId="2038" xr:uid="{5984417B-2B3B-4831-9263-B70C04CB71D4}"/>
    <cellStyle name="40% - Accent3 4 2 2" xfId="4366" xr:uid="{1C447600-A3A5-48CC-AB2E-39934049D743}"/>
    <cellStyle name="40% - Accent3 4 3" xfId="2037" xr:uid="{71018042-2787-4E0D-94B6-282CDA664D2B}"/>
    <cellStyle name="40% - Accent3 4 4" xfId="4137" xr:uid="{B95E2322-0D29-484D-984A-B9AC0AFC9C83}"/>
    <cellStyle name="40% - Accent3 5" xfId="225" xr:uid="{7B0301B7-EBBE-4B25-9875-AB0F581B3909}"/>
    <cellStyle name="40% - Accent3 5 2" xfId="2039" xr:uid="{49EB427D-B831-4396-96D4-0F96B05A925C}"/>
    <cellStyle name="40% - Accent3 6" xfId="226" xr:uid="{C97DF1CF-8857-464C-BF5B-4571AF10A22A}"/>
    <cellStyle name="40% - Accent3 6 2" xfId="2040" xr:uid="{8FD4A198-38C6-4F37-BCA5-3612DB1D6030}"/>
    <cellStyle name="40% - Accent3 7" xfId="227" xr:uid="{9ED2E067-CF4B-41D8-8695-210DD1ED4E22}"/>
    <cellStyle name="40% - Accent3 7 2" xfId="2041" xr:uid="{A5D3AE56-DEA7-4282-BCF5-DD5C8151CC7A}"/>
    <cellStyle name="40% - Accent3 8" xfId="228" xr:uid="{D9516C01-C1C0-4BEA-AF36-6AC586D99DD9}"/>
    <cellStyle name="40% - Accent3 8 2" xfId="2042" xr:uid="{FE972F42-377A-4BFE-B9A7-2F3A4EFED4EF}"/>
    <cellStyle name="40% - Accent3 9" xfId="229" xr:uid="{1557B7B0-3521-4375-A1F2-1FCE64DA907E}"/>
    <cellStyle name="40% - Accent3 9 2" xfId="2043" xr:uid="{A59EAF34-790B-473A-A297-35304E767E50}"/>
    <cellStyle name="40% - Accent4 10" xfId="230" xr:uid="{FCC8DAE6-7C6C-4C69-83C0-E6494C8B087E}"/>
    <cellStyle name="40% - Accent4 10 2" xfId="2044" xr:uid="{FAF4A20C-2318-4CF6-B571-DAF7714033A8}"/>
    <cellStyle name="40% - Accent4 11" xfId="231" xr:uid="{710562A4-BDAA-474B-8C7A-E4207F04BDF2}"/>
    <cellStyle name="40% - Accent4 11 2" xfId="2045" xr:uid="{905A32E0-9C92-492E-8305-F0106DCE28A8}"/>
    <cellStyle name="40% - Accent4 12" xfId="232" xr:uid="{A8FC7048-3047-4266-997A-9AC419A602D4}"/>
    <cellStyle name="40% - Accent4 12 2" xfId="2046" xr:uid="{78F2C15B-DC86-466E-B92D-3654ED447C43}"/>
    <cellStyle name="40% - Accent4 13" xfId="233" xr:uid="{2840B729-B5EE-4D9B-BDD5-DA990CC2D323}"/>
    <cellStyle name="40% - Accent4 13 2" xfId="2047" xr:uid="{B35AA0BE-70F0-46B3-AB67-0ADD06549D38}"/>
    <cellStyle name="40% - Accent4 14" xfId="234" xr:uid="{E21DA2E5-CA4F-4300-8540-BD274395AB98}"/>
    <cellStyle name="40% - Accent4 14 2" xfId="2048" xr:uid="{93AEF313-4BBE-4C76-A0A8-2E437D0BBEC1}"/>
    <cellStyle name="40% - Accent4 15" xfId="235" xr:uid="{5F076097-3A67-4408-A0B3-27E99AED263A}"/>
    <cellStyle name="40% - Accent4 15 2" xfId="2049" xr:uid="{B1D1DE2E-F4AA-420A-9F06-1BF64ECB5933}"/>
    <cellStyle name="40% - Accent4 16" xfId="778" xr:uid="{9C7A0D89-12CC-4951-A852-99B7293D9A6E}"/>
    <cellStyle name="40% - Accent4 16 2" xfId="3739" xr:uid="{2A0D90DB-0751-4BD4-85BC-769555C7E69A}"/>
    <cellStyle name="40% - Accent4 16 3" xfId="2050" xr:uid="{5C6F1BCA-FD14-4C15-A658-A9578A457C64}"/>
    <cellStyle name="40% - Accent4 2" xfId="32" xr:uid="{00000000-0005-0000-0000-000012000000}"/>
    <cellStyle name="40% - Accent4 2 10" xfId="2052" xr:uid="{93623DE7-BBB7-4AD4-AE96-879753B90502}"/>
    <cellStyle name="40% - Accent4 2 10 2" xfId="3740" xr:uid="{26715A9A-B8D4-4E6B-8F3E-F1038531F88C}"/>
    <cellStyle name="40% - Accent4 2 11" xfId="2051" xr:uid="{0B4A0839-1B4F-4E14-A554-0E7BC0DF9376}"/>
    <cellStyle name="40% - Accent4 2 12" xfId="4088" xr:uid="{29A94EEC-9B2D-437B-A621-EBC43B3DBDD3}"/>
    <cellStyle name="40% - Accent4 2 2" xfId="828" xr:uid="{DE96DD59-C572-4829-9421-70ACC85D81E7}"/>
    <cellStyle name="40% - Accent4 2 2 2" xfId="2054" xr:uid="{21AC0873-5CD4-43B3-AAB6-75C062135791}"/>
    <cellStyle name="40% - Accent4 2 2 2 2" xfId="5175" xr:uid="{583C5C03-1559-4B39-92BE-FB9581AA44E5}"/>
    <cellStyle name="40% - Accent4 2 2 3" xfId="2053" xr:uid="{9C7EAE82-D531-4B78-8E2A-A1C184AC3A1F}"/>
    <cellStyle name="40% - Accent4 2 2 3 2" xfId="4491" xr:uid="{60FA2FF7-EADB-4578-82ED-E1FCB18601F5}"/>
    <cellStyle name="40% - Accent4 2 2 4" xfId="4184" xr:uid="{356DA755-E0B6-4DF0-BC22-6223696A9048}"/>
    <cellStyle name="40% - Accent4 2 3" xfId="236" xr:uid="{5FB646AB-A516-4BDF-BFE6-9741474BEB55}"/>
    <cellStyle name="40% - Accent4 2 3 2" xfId="2056" xr:uid="{72C963B0-EE91-409B-86D5-12D4D2CD5C11}"/>
    <cellStyle name="40% - Accent4 2 3 2 2" xfId="2057" xr:uid="{296312BF-A211-4851-9811-0E1852F4564C}"/>
    <cellStyle name="40% - Accent4 2 3 2 2 2" xfId="2058" xr:uid="{7432AB94-FDAF-4926-B35C-4AE40C20769A}"/>
    <cellStyle name="40% - Accent4 2 3 2 2 2 2" xfId="3743" xr:uid="{9AE7905B-5E91-4CA7-B42F-A49B43BBF2F8}"/>
    <cellStyle name="40% - Accent4 2 3 2 2 3" xfId="2059" xr:uid="{FCE3F4DA-0265-4511-84B0-EB8375A63F05}"/>
    <cellStyle name="40% - Accent4 2 3 2 2 3 2" xfId="3744" xr:uid="{98F38946-4D76-435B-BB51-B1700CD4558C}"/>
    <cellStyle name="40% - Accent4 2 3 2 2 4" xfId="3742" xr:uid="{087B30A5-C021-47F3-8662-B024940A2166}"/>
    <cellStyle name="40% - Accent4 2 3 2 3" xfId="2060" xr:uid="{95318B9C-7990-429A-B942-354F8DD6D449}"/>
    <cellStyle name="40% - Accent4 2 3 2 3 2" xfId="3745" xr:uid="{F99E4D89-C9CE-4BDF-B40B-3D4F3DB9A098}"/>
    <cellStyle name="40% - Accent4 2 3 2 4" xfId="2061" xr:uid="{3C217DFE-8323-49AA-A4C8-226240A67805}"/>
    <cellStyle name="40% - Accent4 2 3 2 4 2" xfId="3746" xr:uid="{2B0078EE-8621-4AF7-A8AA-EA524E2ADE83}"/>
    <cellStyle name="40% - Accent4 2 3 2 5" xfId="3741" xr:uid="{D099688D-DC61-470E-81AC-F23914750CEE}"/>
    <cellStyle name="40% - Accent4 2 3 2 6" xfId="5207" xr:uid="{0E411013-AD05-4B5A-B3B3-6236FABF9CCD}"/>
    <cellStyle name="40% - Accent4 2 3 3" xfId="2062" xr:uid="{1701538C-715C-4609-817A-A088F0D352A8}"/>
    <cellStyle name="40% - Accent4 2 3 3 2" xfId="2063" xr:uid="{112BFCDF-D600-44F5-91FC-7E7FD844ED3E}"/>
    <cellStyle name="40% - Accent4 2 3 3 2 2" xfId="3748" xr:uid="{82C8302C-EA20-44AC-A83F-ECCDE0C3D5E9}"/>
    <cellStyle name="40% - Accent4 2 3 3 3" xfId="2064" xr:uid="{788E9B13-2F56-4866-8196-D1D7013901DF}"/>
    <cellStyle name="40% - Accent4 2 3 3 3 2" xfId="3749" xr:uid="{08337E7F-F951-41B7-954D-D0DB39498EE5}"/>
    <cellStyle name="40% - Accent4 2 3 3 4" xfId="3747" xr:uid="{3783D3CE-140B-44FD-8CE7-D7050D9DA6D2}"/>
    <cellStyle name="40% - Accent4 2 3 4" xfId="2065" xr:uid="{65BA9CA4-A69C-40F7-8C18-B6F8DE79A9AE}"/>
    <cellStyle name="40% - Accent4 2 3 4 2" xfId="3750" xr:uid="{9013C3FD-983D-49AE-B711-CA1E01729A53}"/>
    <cellStyle name="40% - Accent4 2 3 5" xfId="2066" xr:uid="{FC4D5125-58E4-45DF-95CA-EFB08B1674A0}"/>
    <cellStyle name="40% - Accent4 2 3 5 2" xfId="3751" xr:uid="{5BBFB98A-610A-4CE9-8A54-223A0ECB3F35}"/>
    <cellStyle name="40% - Accent4 2 3 6" xfId="2055" xr:uid="{CE157EDA-12AD-4A12-8C29-856645CBF50C}"/>
    <cellStyle name="40% - Accent4 2 4" xfId="2067" xr:uid="{A888E0A9-8920-4605-94A7-E498D684AE58}"/>
    <cellStyle name="40% - Accent4 2 4 2" xfId="2068" xr:uid="{C1158CE6-45BE-440F-8187-5B769B0FCCF2}"/>
    <cellStyle name="40% - Accent4 2 4 2 2" xfId="2069" xr:uid="{D2B0A86E-FA71-4922-943C-5C4E88E6307F}"/>
    <cellStyle name="40% - Accent4 2 4 2 2 2" xfId="3753" xr:uid="{71AC3BA3-1A8E-4356-9E99-CDF5A708CCC3}"/>
    <cellStyle name="40% - Accent4 2 4 2 3" xfId="2070" xr:uid="{C6B84DE6-65C7-494F-9718-043A7C083C8C}"/>
    <cellStyle name="40% - Accent4 2 4 2 3 2" xfId="3754" xr:uid="{9539DA44-D7FB-4C16-986B-85761B25A6F4}"/>
    <cellStyle name="40% - Accent4 2 4 2 4" xfId="3752" xr:uid="{3FF21211-61F0-46E2-B4B5-5A781C8F71F9}"/>
    <cellStyle name="40% - Accent4 2 4 3" xfId="2071" xr:uid="{A60BCECF-504E-4041-802E-4989D5F7FCDA}"/>
    <cellStyle name="40% - Accent4 2 4 3 2" xfId="2072" xr:uid="{1D8B7DB5-D8FF-4FAA-AFCF-84AB05D12C8E}"/>
    <cellStyle name="40% - Accent4 2 4 3 2 2" xfId="3756" xr:uid="{024A3B4E-26F5-482A-82FD-97A37C77784D}"/>
    <cellStyle name="40% - Accent4 2 4 3 3" xfId="2073" xr:uid="{41887F75-5C97-4067-A744-BAE683FAC958}"/>
    <cellStyle name="40% - Accent4 2 4 3 3 2" xfId="3757" xr:uid="{2FC2BEFC-D4FE-44B1-878C-2FE7320BF974}"/>
    <cellStyle name="40% - Accent4 2 4 3 4" xfId="3755" xr:uid="{AB0AC81A-5F8E-4E41-8917-467A0654086A}"/>
    <cellStyle name="40% - Accent4 2 4 4" xfId="2074" xr:uid="{936A8B07-BECA-4851-B088-D61C832D7B4D}"/>
    <cellStyle name="40% - Accent4 2 4 4 2" xfId="3758" xr:uid="{F47015C4-2096-4811-9511-64FF07B476DE}"/>
    <cellStyle name="40% - Accent4 2 4 5" xfId="2075" xr:uid="{FA48CBC1-1D6C-4FBE-AE07-430F0E339F35}"/>
    <cellStyle name="40% - Accent4 2 4 5 2" xfId="3759" xr:uid="{8899106F-2752-4BA1-9354-8342DD9E9ECD}"/>
    <cellStyle name="40% - Accent4 2 4 6" xfId="5142" xr:uid="{E26D8878-A05C-4325-A06C-259CD734674C}"/>
    <cellStyle name="40% - Accent4 2 5" xfId="2076" xr:uid="{CACB2A7E-3C71-4DEB-AE5D-7EC52E3DBE32}"/>
    <cellStyle name="40% - Accent4 2 5 2" xfId="2077" xr:uid="{140FE7B3-3B50-443D-99C6-D320C57A6D0E}"/>
    <cellStyle name="40% - Accent4 2 5 2 2" xfId="2078" xr:uid="{A8A0E3EC-6ED5-4920-8538-499347409AF3}"/>
    <cellStyle name="40% - Accent4 2 5 2 2 2" xfId="3761" xr:uid="{01E029B4-0E6F-447A-B4D7-92C31B7AF7DB}"/>
    <cellStyle name="40% - Accent4 2 5 2 3" xfId="2079" xr:uid="{7F1337AD-0170-4149-B47F-4D68A38D389B}"/>
    <cellStyle name="40% - Accent4 2 5 2 3 2" xfId="3762" xr:uid="{F2FB172E-ED6F-4990-8298-64C05D3F7026}"/>
    <cellStyle name="40% - Accent4 2 5 2 4" xfId="3760" xr:uid="{8BB1CB6B-5FFD-4A2B-8CD1-83F9873EF4E9}"/>
    <cellStyle name="40% - Accent4 2 5 3" xfId="2080" xr:uid="{A5B38F77-B285-4EA3-B837-67432839A33A}"/>
    <cellStyle name="40% - Accent4 2 5 3 2" xfId="3763" xr:uid="{4A518B31-D2FB-4C45-A86B-F192C7C389AC}"/>
    <cellStyle name="40% - Accent4 2 5 4" xfId="2081" xr:uid="{53857701-6A92-4F16-807E-33F5E837FE97}"/>
    <cellStyle name="40% - Accent4 2 5 4 2" xfId="3764" xr:uid="{483A6F10-7C23-4B00-ADD0-22427A5C2DC0}"/>
    <cellStyle name="40% - Accent4 2 5 5" xfId="5245" xr:uid="{592271A6-25D6-4CE4-942E-A56120ACC2E2}"/>
    <cellStyle name="40% - Accent4 2 6" xfId="2082" xr:uid="{C36BE1B4-5525-4AB1-A108-93FB012F8489}"/>
    <cellStyle name="40% - Accent4 2 6 2" xfId="2083" xr:uid="{B07FBBF6-C90A-4AFF-99E4-6037590FD6AD}"/>
    <cellStyle name="40% - Accent4 2 6 2 2" xfId="3765" xr:uid="{E64D7367-431A-425A-A9DE-90FEA2687698}"/>
    <cellStyle name="40% - Accent4 2 6 3" xfId="2084" xr:uid="{7F1E6AF1-F888-44D8-B05A-ABD63ED1FFF4}"/>
    <cellStyle name="40% - Accent4 2 6 3 2" xfId="3766" xr:uid="{689CC651-9306-4544-A286-47BDFBF40E09}"/>
    <cellStyle name="40% - Accent4 2 6 4" xfId="4324" xr:uid="{3E32B1AC-B1AA-4E06-805B-3B4A2B31F7DF}"/>
    <cellStyle name="40% - Accent4 2 7" xfId="2085" xr:uid="{3D647791-CBEB-4FA4-A288-5FB3276DBD15}"/>
    <cellStyle name="40% - Accent4 2 7 2" xfId="3767" xr:uid="{E10F6D34-28AD-4B9B-A5E4-CD830537AE49}"/>
    <cellStyle name="40% - Accent4 2 8" xfId="2086" xr:uid="{FC294B26-EFD4-418E-8A34-51BCFB7766BD}"/>
    <cellStyle name="40% - Accent4 2 8 2" xfId="3768" xr:uid="{EB5FBEEB-2433-47B8-A218-A2BA5786752E}"/>
    <cellStyle name="40% - Accent4 2 9" xfId="2087" xr:uid="{19C2088F-FD16-402C-9BBA-37C46407FB4E}"/>
    <cellStyle name="40% - Accent4 2_6.2 CBR B" xfId="4242" xr:uid="{021C1452-60A4-4E67-8A73-BE139F62C0F5}"/>
    <cellStyle name="40% - Accent4 3" xfId="237" xr:uid="{447B0CD2-53AC-46E0-9B9A-0E0BB08CFE6A}"/>
    <cellStyle name="40% - Accent4 3 2" xfId="2089" xr:uid="{598D064B-17F5-4595-BF27-C975228F7835}"/>
    <cellStyle name="40% - Accent4 3 2 2" xfId="4367" xr:uid="{40F55078-E707-466E-A572-32E442045646}"/>
    <cellStyle name="40% - Accent4 3 3" xfId="2090" xr:uid="{371AAAAC-D6CD-4422-B9B2-7BF627B20B5D}"/>
    <cellStyle name="40% - Accent4 3 4" xfId="2088" xr:uid="{FB93E774-62A5-4CF6-B351-0343A84C04CC}"/>
    <cellStyle name="40% - Accent4 3 5" xfId="4211" xr:uid="{14827327-292F-4B4E-BAA6-5803931DDCE4}"/>
    <cellStyle name="40% - Accent4 4" xfId="238" xr:uid="{3B7BF122-F8C8-49C7-B305-63AE385C82DE}"/>
    <cellStyle name="40% - Accent4 4 2" xfId="2092" xr:uid="{10975047-F4BF-42B3-880B-43B688D09AA4}"/>
    <cellStyle name="40% - Accent4 4 2 2" xfId="4368" xr:uid="{EC8DC372-03B5-47C3-B02A-9B9C5142479E}"/>
    <cellStyle name="40% - Accent4 4 3" xfId="2091" xr:uid="{386548C9-BC2E-4D38-9D31-9ECE4240F336}"/>
    <cellStyle name="40% - Accent4 4 4" xfId="4141" xr:uid="{7295CCA1-22DD-4B28-9973-328D58A49A4A}"/>
    <cellStyle name="40% - Accent4 5" xfId="239" xr:uid="{C4F3B33C-40F7-4211-86F9-2A5435ABE83C}"/>
    <cellStyle name="40% - Accent4 5 2" xfId="2093" xr:uid="{8F815776-A57C-4100-B54B-CCED789C680C}"/>
    <cellStyle name="40% - Accent4 6" xfId="240" xr:uid="{3C1C6561-A7F6-422A-B8D6-2AE50DA1EF28}"/>
    <cellStyle name="40% - Accent4 6 2" xfId="2094" xr:uid="{693FC3CC-6BB8-4D30-B5F5-5DED94413B50}"/>
    <cellStyle name="40% - Accent4 7" xfId="241" xr:uid="{9F58035A-5FDA-42DA-AD9E-4290B130CD8D}"/>
    <cellStyle name="40% - Accent4 7 2" xfId="2095" xr:uid="{611DC8B3-E8FC-4B80-9A60-EBE973A956D7}"/>
    <cellStyle name="40% - Accent4 8" xfId="242" xr:uid="{F8347329-2424-479F-B0FB-36BB9B9677F2}"/>
    <cellStyle name="40% - Accent4 8 2" xfId="2096" xr:uid="{2674857D-C30A-4655-8A65-E87C5F225113}"/>
    <cellStyle name="40% - Accent4 9" xfId="243" xr:uid="{A7A92B1F-77C3-466D-ADF9-21AFB314A7BB}"/>
    <cellStyle name="40% - Accent4 9 2" xfId="2097" xr:uid="{091ACB75-149A-4DEE-B715-672D860DCFA2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10" xfId="2099" xr:uid="{E3BC79CB-D67A-4186-9D5D-123F9B22EFA8}"/>
    <cellStyle name="40% - Accent5 2 10 2" xfId="3769" xr:uid="{A34932C4-7FC5-4964-85D9-27D0E0A850AB}"/>
    <cellStyle name="40% - Accent5 2 11" xfId="2098" xr:uid="{4A4AA9AE-EBAB-4754-BDA3-06309DBAC371}"/>
    <cellStyle name="40% - Accent5 2 12" xfId="4089" xr:uid="{D8037562-7D5D-4FCE-B234-0F4E6299F4BA}"/>
    <cellStyle name="40% - Accent5 2 2" xfId="832" xr:uid="{3A0664EE-7C38-43B4-B8FD-5C6C0FC3BDE3}"/>
    <cellStyle name="40% - Accent5 2 2 2" xfId="2101" xr:uid="{4B56F98E-448B-4418-8817-B83DE7F41489}"/>
    <cellStyle name="40% - Accent5 2 2 2 2" xfId="5177" xr:uid="{EED8359F-3462-48D6-AA77-79A6163FA041}"/>
    <cellStyle name="40% - Accent5 2 2 3" xfId="2100" xr:uid="{F3AAE296-25CE-4643-8FC0-158BA1642573}"/>
    <cellStyle name="40% - Accent5 2 2 3 2" xfId="4493" xr:uid="{BAE5A4B9-3769-4120-9602-80DA944F82A7}"/>
    <cellStyle name="40% - Accent5 2 2 4" xfId="4185" xr:uid="{7F8A94BD-D450-40FC-8E5E-6F97668C285C}"/>
    <cellStyle name="40% - Accent5 2 3" xfId="250" xr:uid="{F82C0BC5-6E74-4D55-9F8B-18ADB943D5E2}"/>
    <cellStyle name="40% - Accent5 2 3 2" xfId="2103" xr:uid="{8EBA80A9-A62D-415A-A91B-5F388B278E84}"/>
    <cellStyle name="40% - Accent5 2 3 2 2" xfId="2104" xr:uid="{B6AE63E7-8133-4BF2-97DF-79054BE3DB61}"/>
    <cellStyle name="40% - Accent5 2 3 2 2 2" xfId="2105" xr:uid="{FECF3FB0-F065-4A6F-B0F4-EC089FFA0972}"/>
    <cellStyle name="40% - Accent5 2 3 2 2 2 2" xfId="3772" xr:uid="{654448A8-B748-43B4-8343-48C942E35B92}"/>
    <cellStyle name="40% - Accent5 2 3 2 2 3" xfId="2106" xr:uid="{B98C4CBB-4B95-4228-BAAA-6F8A7E708474}"/>
    <cellStyle name="40% - Accent5 2 3 2 2 3 2" xfId="3773" xr:uid="{FF5B5D49-731B-41DB-8029-9FACFD0D1D12}"/>
    <cellStyle name="40% - Accent5 2 3 2 2 4" xfId="3771" xr:uid="{200489D1-CC1D-412A-B19A-772669CEA677}"/>
    <cellStyle name="40% - Accent5 2 3 2 3" xfId="2107" xr:uid="{C2884AB6-D744-4B50-A6EF-2C9DB8B0F83D}"/>
    <cellStyle name="40% - Accent5 2 3 2 3 2" xfId="3774" xr:uid="{C95E4550-8937-478B-8E6F-63AD07D1E6F7}"/>
    <cellStyle name="40% - Accent5 2 3 2 4" xfId="2108" xr:uid="{651F5AE0-C859-452C-95F3-7FC5A2DBD611}"/>
    <cellStyle name="40% - Accent5 2 3 2 4 2" xfId="3775" xr:uid="{7815EA9B-A214-4EC2-AA3F-730CE0C328A2}"/>
    <cellStyle name="40% - Accent5 2 3 2 5" xfId="3770" xr:uid="{56A73730-3D5D-413C-BC0C-1541F838E657}"/>
    <cellStyle name="40% - Accent5 2 3 2 6" xfId="5209" xr:uid="{81788AA1-1F48-4374-93D4-27AD3CC8ED3E}"/>
    <cellStyle name="40% - Accent5 2 3 3" xfId="2109" xr:uid="{C96D78A3-4DE6-42A1-A05A-1FB60BB26D07}"/>
    <cellStyle name="40% - Accent5 2 3 3 2" xfId="2110" xr:uid="{1902EDF8-31E5-47C6-AAAD-B1F993C61228}"/>
    <cellStyle name="40% - Accent5 2 3 3 2 2" xfId="3777" xr:uid="{D9485CDF-F195-40EA-B8F2-5C3F4979BA4D}"/>
    <cellStyle name="40% - Accent5 2 3 3 3" xfId="2111" xr:uid="{791608A4-59EE-4F2B-BEAD-E8112997E705}"/>
    <cellStyle name="40% - Accent5 2 3 3 3 2" xfId="3778" xr:uid="{3B648327-5718-4F82-B664-321902A5B3E0}"/>
    <cellStyle name="40% - Accent5 2 3 3 4" xfId="3776" xr:uid="{A833AC02-CC07-4FD2-B2B3-83614C9E6F0B}"/>
    <cellStyle name="40% - Accent5 2 3 4" xfId="2112" xr:uid="{0E9FB371-D0F1-45FD-A9D4-F1FFF66BDA26}"/>
    <cellStyle name="40% - Accent5 2 3 4 2" xfId="3779" xr:uid="{F2693932-09DF-4E75-B7A0-8BF390145829}"/>
    <cellStyle name="40% - Accent5 2 3 5" xfId="2113" xr:uid="{5925EDA7-4BCF-440C-B04F-2F1258DBB186}"/>
    <cellStyle name="40% - Accent5 2 3 5 2" xfId="3780" xr:uid="{28D5E2EE-3500-4F00-8B82-50F022F4B9CE}"/>
    <cellStyle name="40% - Accent5 2 3 6" xfId="2102" xr:uid="{E2AF64D5-40DE-4BE4-BA3D-BDCC3F62014C}"/>
    <cellStyle name="40% - Accent5 2 4" xfId="2114" xr:uid="{D656A6C3-0A18-4B4C-BFAA-0B2B6240943F}"/>
    <cellStyle name="40% - Accent5 2 4 2" xfId="2115" xr:uid="{0B1A2063-BE0F-4E38-BBFB-133A91FA3313}"/>
    <cellStyle name="40% - Accent5 2 4 2 2" xfId="2116" xr:uid="{D170660D-4E4B-4EE4-8394-48DBD7CB1310}"/>
    <cellStyle name="40% - Accent5 2 4 2 2 2" xfId="3782" xr:uid="{0268B2A7-98AE-459A-8646-BC4EDEEAE5D2}"/>
    <cellStyle name="40% - Accent5 2 4 2 3" xfId="2117" xr:uid="{07432C2C-6245-4E16-B80D-54FCC82BEC10}"/>
    <cellStyle name="40% - Accent5 2 4 2 3 2" xfId="3783" xr:uid="{DB23CEF5-DBE1-4442-954F-098C629AAB46}"/>
    <cellStyle name="40% - Accent5 2 4 2 4" xfId="3781" xr:uid="{501093ED-3979-4B77-BCB4-69D15532E6AA}"/>
    <cellStyle name="40% - Accent5 2 4 3" xfId="2118" xr:uid="{D10B9E84-AAC8-4C44-9459-454E6224458A}"/>
    <cellStyle name="40% - Accent5 2 4 3 2" xfId="2119" xr:uid="{E2D0FDCD-F99D-4FBF-94BB-09FC007AB534}"/>
    <cellStyle name="40% - Accent5 2 4 3 2 2" xfId="3785" xr:uid="{C676E698-B5E8-4F0F-9F0A-A4CD245BBE67}"/>
    <cellStyle name="40% - Accent5 2 4 3 3" xfId="2120" xr:uid="{4D869DBA-C522-4EF4-8C82-E24CE089CCE8}"/>
    <cellStyle name="40% - Accent5 2 4 3 3 2" xfId="3786" xr:uid="{776208CA-4E87-43C1-AA22-081B2C3BCFE7}"/>
    <cellStyle name="40% - Accent5 2 4 3 4" xfId="3784" xr:uid="{41DA21B7-B414-431C-B047-33A2489BE215}"/>
    <cellStyle name="40% - Accent5 2 4 4" xfId="2121" xr:uid="{0A74D0F6-597B-4350-B917-AF0BF3A7CED4}"/>
    <cellStyle name="40% - Accent5 2 4 4 2" xfId="3787" xr:uid="{0D71C0EB-3B00-4FF6-A278-C45EB31EB5CA}"/>
    <cellStyle name="40% - Accent5 2 4 5" xfId="2122" xr:uid="{C4F81AED-0879-494C-B9C4-22DD6738B07C}"/>
    <cellStyle name="40% - Accent5 2 4 5 2" xfId="3788" xr:uid="{4D0E4AAB-554B-4F5B-9715-AD5C9A685775}"/>
    <cellStyle name="40% - Accent5 2 4 6" xfId="5144" xr:uid="{98D338CD-F257-40A4-8D5C-684034AED1BD}"/>
    <cellStyle name="40% - Accent5 2 5" xfId="2123" xr:uid="{173ED613-E07E-46F2-B0B7-CD22BC952199}"/>
    <cellStyle name="40% - Accent5 2 5 2" xfId="2124" xr:uid="{17E0D7EF-AC8E-4637-8702-CC2B01C73D52}"/>
    <cellStyle name="40% - Accent5 2 5 2 2" xfId="2125" xr:uid="{2EE73E96-8C1A-481B-ACFF-F11FCE0B539A}"/>
    <cellStyle name="40% - Accent5 2 5 2 2 2" xfId="3790" xr:uid="{4133E06D-AB3A-46FC-B699-4DAF95A22C4F}"/>
    <cellStyle name="40% - Accent5 2 5 2 3" xfId="2126" xr:uid="{280E1808-DE0C-4DEB-B8C2-E559DCBB48E0}"/>
    <cellStyle name="40% - Accent5 2 5 2 3 2" xfId="3791" xr:uid="{D9C51117-3755-4EF0-ABB3-71F45428C98F}"/>
    <cellStyle name="40% - Accent5 2 5 2 4" xfId="3789" xr:uid="{FB812BF5-F12B-43C3-BBFB-7AAE554723B4}"/>
    <cellStyle name="40% - Accent5 2 5 3" xfId="2127" xr:uid="{973EDB05-8A86-485A-89D7-A7A3C9F6D0B9}"/>
    <cellStyle name="40% - Accent5 2 5 3 2" xfId="3792" xr:uid="{977D3C56-BF2F-4311-9269-C4E037097B9C}"/>
    <cellStyle name="40% - Accent5 2 5 4" xfId="2128" xr:uid="{B2710E1C-7E52-4337-8629-F6ED30586D2C}"/>
    <cellStyle name="40% - Accent5 2 5 4 2" xfId="3793" xr:uid="{B23A6D3D-9014-4BAB-A926-11688A26DCFF}"/>
    <cellStyle name="40% - Accent5 2 5 5" xfId="5246" xr:uid="{4889C298-FD53-4958-B3DF-78630C54A791}"/>
    <cellStyle name="40% - Accent5 2 6" xfId="2129" xr:uid="{365DF758-31F6-4685-A35A-4DDF0094049D}"/>
    <cellStyle name="40% - Accent5 2 6 2" xfId="2130" xr:uid="{F0C18B3F-AC48-40F3-B80E-4F8C5D3CBD1B}"/>
    <cellStyle name="40% - Accent5 2 6 2 2" xfId="3794" xr:uid="{15D04BF0-C056-4666-B689-87A49CD7D002}"/>
    <cellStyle name="40% - Accent5 2 6 3" xfId="2131" xr:uid="{9BE83A0D-A067-4438-9BBF-D50D38AACAB7}"/>
    <cellStyle name="40% - Accent5 2 6 3 2" xfId="3795" xr:uid="{CE1FF2D6-9BD1-44DE-BF99-96115ED21976}"/>
    <cellStyle name="40% - Accent5 2 6 4" xfId="4325" xr:uid="{30C38F60-C68E-4843-90F8-4C4CCB0356F1}"/>
    <cellStyle name="40% - Accent5 2 7" xfId="2132" xr:uid="{7D8D71A9-83A8-4A9F-81D2-22DFF0FAFE68}"/>
    <cellStyle name="40% - Accent5 2 7 2" xfId="3796" xr:uid="{7BAE8611-C705-4CAF-AA5D-9AAF459FB2B4}"/>
    <cellStyle name="40% - Accent5 2 8" xfId="2133" xr:uid="{C5B44EB3-DF43-436C-8583-77DEBD261DE0}"/>
    <cellStyle name="40% - Accent5 2 8 2" xfId="3797" xr:uid="{38B2E8BF-1627-4589-A44C-21E2CAC0E620}"/>
    <cellStyle name="40% - Accent5 2 9" xfId="2134" xr:uid="{08A383A9-C633-4BA5-AE81-889C03AB0121}"/>
    <cellStyle name="40% - Accent5 2_6.2 CBR B" xfId="4243" xr:uid="{34379BE5-81B3-4336-859F-708B34623153}"/>
    <cellStyle name="40% - Accent5 3" xfId="251" xr:uid="{BED4D3FC-DB10-446F-9B58-67F7BB355728}"/>
    <cellStyle name="40% - Accent5 3 2" xfId="2136" xr:uid="{B5F698A8-7165-42CD-B240-5F377BA09AE1}"/>
    <cellStyle name="40% - Accent5 3 2 2" xfId="4369" xr:uid="{B2166B24-4E97-4FF9-9B6E-2E433E44EE98}"/>
    <cellStyle name="40% - Accent5 3 3" xfId="2137" xr:uid="{0CB74143-4E43-4FE7-80A1-4F5D8FDAD8BF}"/>
    <cellStyle name="40% - Accent5 3 4" xfId="2135" xr:uid="{563A3FB7-E7ED-4C88-A7AE-CFA854EC6541}"/>
    <cellStyle name="40% - Accent5 3 5" xfId="4213" xr:uid="{9C0D0013-9279-4DFD-88C0-B6E18D9A071B}"/>
    <cellStyle name="40% - Accent5 4" xfId="252" xr:uid="{146C250D-9876-48CC-A43A-80CCE03EAF69}"/>
    <cellStyle name="40% - Accent5 4 2" xfId="2139" xr:uid="{030065F4-80C4-45D7-AD95-F20BE1672F2A}"/>
    <cellStyle name="40% - Accent5 4 2 2" xfId="4370" xr:uid="{1868A33E-5FC7-48F1-A4ED-861469FDFAE5}"/>
    <cellStyle name="40% - Accent5 4 3" xfId="2138" xr:uid="{2E6AE68C-7AF9-4C8F-A491-795E824AA000}"/>
    <cellStyle name="40% - Accent5 4 4" xfId="4145" xr:uid="{DFEF688C-8B56-47F1-B993-B174C497F05F}"/>
    <cellStyle name="40% - Accent5 5" xfId="253" xr:uid="{2E069F66-4FD1-485F-812E-2D334075FE3F}"/>
    <cellStyle name="40% - Accent5 5 2" xfId="2140" xr:uid="{04443090-BA34-4389-A92E-FBC2650EF97E}"/>
    <cellStyle name="40% - Accent5 6" xfId="254" xr:uid="{A67D1C26-A7E1-4249-8F0A-B74EE22C90FC}"/>
    <cellStyle name="40% - Accent5 6 2" xfId="2141" xr:uid="{0B1EBC23-E750-49A6-9AA8-B7320606B7F0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0 2" xfId="2142" xr:uid="{79577FA3-8200-4582-B782-B995C1D5E757}"/>
    <cellStyle name="40% - Accent6 11" xfId="259" xr:uid="{3A0D6BD3-2517-47F4-ACF6-063BCFEA6422}"/>
    <cellStyle name="40% - Accent6 11 2" xfId="2143" xr:uid="{634D07EB-76C8-4DED-BBF2-B749673D1D3A}"/>
    <cellStyle name="40% - Accent6 12" xfId="260" xr:uid="{AFAEDE9C-9F9B-4894-8747-392B027FD40C}"/>
    <cellStyle name="40% - Accent6 12 2" xfId="2144" xr:uid="{2EA2B5DB-9D2E-451E-86A8-FF16DFBA05EC}"/>
    <cellStyle name="40% - Accent6 13" xfId="261" xr:uid="{66721FAF-ACD8-4D7A-ACA0-DE12C31F562A}"/>
    <cellStyle name="40% - Accent6 13 2" xfId="2145" xr:uid="{1823E8DA-7B32-42C4-B6A3-5B1BD1F28E97}"/>
    <cellStyle name="40% - Accent6 14" xfId="262" xr:uid="{24DC32D0-C8F7-4E3B-8854-2AA9EEB4903D}"/>
    <cellStyle name="40% - Accent6 14 2" xfId="2146" xr:uid="{26BC72BA-4A93-4051-9E81-1738702EFE31}"/>
    <cellStyle name="40% - Accent6 15" xfId="263" xr:uid="{5D979095-49EC-40DE-9D27-4F2C3CF8FC56}"/>
    <cellStyle name="40% - Accent6 15 2" xfId="2147" xr:uid="{B1816E1B-5E7A-4EC8-9076-E4116C835D1C}"/>
    <cellStyle name="40% - Accent6 16" xfId="780" xr:uid="{D226C986-725A-4430-BB2E-923F5DB35BE0}"/>
    <cellStyle name="40% - Accent6 16 2" xfId="3798" xr:uid="{9940C314-4963-4C19-9703-879C9551F5FB}"/>
    <cellStyle name="40% - Accent6 16 3" xfId="2148" xr:uid="{5501DAB6-82F1-4AA2-9D8D-CC307BDC11AD}"/>
    <cellStyle name="40% - Accent6 2" xfId="34" xr:uid="{00000000-0005-0000-0000-000014000000}"/>
    <cellStyle name="40% - Accent6 2 10" xfId="2150" xr:uid="{B32A667C-F25E-4092-AF2F-54A43B348A83}"/>
    <cellStyle name="40% - Accent6 2 10 2" xfId="3799" xr:uid="{0FC9ADB1-B86F-48E2-AB52-779731186EA2}"/>
    <cellStyle name="40% - Accent6 2 11" xfId="2151" xr:uid="{C4E6490B-B863-4882-B859-C08B8C39214B}"/>
    <cellStyle name="40% - Accent6 2 12" xfId="2149" xr:uid="{CC77005C-2E58-4E49-9E9E-D23B8F4CD989}"/>
    <cellStyle name="40% - Accent6 2 13" xfId="4090" xr:uid="{E291745F-002E-4CFF-88CA-1CA10309EBA0}"/>
    <cellStyle name="40% - Accent6 2 2" xfId="836" xr:uid="{55D6C8D3-8343-4C9B-AF9D-E057025C2BCB}"/>
    <cellStyle name="40% - Accent6 2 2 2" xfId="2153" xr:uid="{BA99C0BF-A0FB-4374-9BEC-FAA12034A45A}"/>
    <cellStyle name="40% - Accent6 2 2 2 2" xfId="5179" xr:uid="{B7625463-5252-4085-839A-582CC451F4D2}"/>
    <cellStyle name="40% - Accent6 2 2 3" xfId="2152" xr:uid="{5BE64C2B-08D6-4EE1-A8FA-3530C9C7C4D9}"/>
    <cellStyle name="40% - Accent6 2 2 3 2" xfId="4495" xr:uid="{505926E4-1A2A-4E28-AA05-2BFA2B101533}"/>
    <cellStyle name="40% - Accent6 2 2 4" xfId="4186" xr:uid="{6192D932-11E7-4736-97C4-109AA26E0A05}"/>
    <cellStyle name="40% - Accent6 2 3" xfId="264" xr:uid="{66A8F444-729A-480D-91B8-2A2A0AEADE80}"/>
    <cellStyle name="40% - Accent6 2 3 2" xfId="2155" xr:uid="{BD9F5ED8-AD0B-4ADA-9E34-254E7D231A4A}"/>
    <cellStyle name="40% - Accent6 2 3 2 2" xfId="2156" xr:uid="{A6FDCC00-3484-4C83-8FCE-02E22C52612C}"/>
    <cellStyle name="40% - Accent6 2 3 2 2 2" xfId="2157" xr:uid="{7C46B5D0-4F5C-4157-B157-1A415A616427}"/>
    <cellStyle name="40% - Accent6 2 3 2 2 2 2" xfId="3802" xr:uid="{008E24D2-39F7-4805-8DFA-C2686EC78E2D}"/>
    <cellStyle name="40% - Accent6 2 3 2 2 3" xfId="2158" xr:uid="{E0DAB2C1-D87A-4772-8F53-D33D1BE1BAB6}"/>
    <cellStyle name="40% - Accent6 2 3 2 2 3 2" xfId="3803" xr:uid="{5E42FF93-E283-4A0F-BEFC-B85F6A152AB1}"/>
    <cellStyle name="40% - Accent6 2 3 2 2 4" xfId="3801" xr:uid="{D008AB00-6973-41D7-94E9-FFE782530C27}"/>
    <cellStyle name="40% - Accent6 2 3 2 3" xfId="2159" xr:uid="{7581C7A0-0B73-4C5F-A839-FF3FA9A2B793}"/>
    <cellStyle name="40% - Accent6 2 3 2 3 2" xfId="3804" xr:uid="{013D5C66-1A7B-48B5-BABF-3B4AB87ECABB}"/>
    <cellStyle name="40% - Accent6 2 3 2 4" xfId="2160" xr:uid="{D3CC930A-7ED2-4A55-A51A-328D35CE566D}"/>
    <cellStyle name="40% - Accent6 2 3 2 4 2" xfId="3805" xr:uid="{17C2271B-22DA-49C3-A39F-52E5D4DE6631}"/>
    <cellStyle name="40% - Accent6 2 3 2 5" xfId="3800" xr:uid="{842BF991-D3B3-4BAD-B960-D1CC4EC53D9F}"/>
    <cellStyle name="40% - Accent6 2 3 2 6" xfId="5211" xr:uid="{C43F14E8-76BD-4022-AB76-BBD1F5BA7D55}"/>
    <cellStyle name="40% - Accent6 2 3 3" xfId="2161" xr:uid="{79AAA50D-F387-4607-8E36-38647D346F31}"/>
    <cellStyle name="40% - Accent6 2 3 3 2" xfId="2162" xr:uid="{27A2875F-FCBA-4DDF-B5D0-3EDC43BFB820}"/>
    <cellStyle name="40% - Accent6 2 3 3 2 2" xfId="3807" xr:uid="{AC2F3EC6-CDC0-4377-AA93-ECEFAE9187F0}"/>
    <cellStyle name="40% - Accent6 2 3 3 3" xfId="2163" xr:uid="{699C7795-9084-4408-A0C3-CE157DE3299D}"/>
    <cellStyle name="40% - Accent6 2 3 3 3 2" xfId="3808" xr:uid="{698F89B8-932D-4C28-9311-30B256999DAA}"/>
    <cellStyle name="40% - Accent6 2 3 3 4" xfId="3806" xr:uid="{35EDF5F3-1B2E-4004-A65B-BCFE2903042D}"/>
    <cellStyle name="40% - Accent6 2 3 4" xfId="2164" xr:uid="{78AB1291-FBDE-474A-86F7-52E3F5628D73}"/>
    <cellStyle name="40% - Accent6 2 3 4 2" xfId="3809" xr:uid="{B83F5239-6136-43DC-B44A-D75FCB8C03C5}"/>
    <cellStyle name="40% - Accent6 2 3 5" xfId="2165" xr:uid="{F50D5549-E057-4DB1-90B4-6EBCFAA9E0EE}"/>
    <cellStyle name="40% - Accent6 2 3 5 2" xfId="3810" xr:uid="{F791F7A9-D282-4D49-9D5F-3C5F5A42EC0A}"/>
    <cellStyle name="40% - Accent6 2 3 6" xfId="2154" xr:uid="{838DF984-5B44-4DC6-8BF9-8667F6789131}"/>
    <cellStyle name="40% - Accent6 2 4" xfId="2166" xr:uid="{65B94287-A226-4F66-8ED6-176A182CBF90}"/>
    <cellStyle name="40% - Accent6 2 4 2" xfId="2167" xr:uid="{9FD67C71-8DD9-4498-9644-68FA712ED11B}"/>
    <cellStyle name="40% - Accent6 2 4 2 2" xfId="2168" xr:uid="{864391E5-B295-4365-B81B-B908DDF6C753}"/>
    <cellStyle name="40% - Accent6 2 4 2 2 2" xfId="3812" xr:uid="{876B46BB-29FB-49E9-9ABA-5E3488E8B568}"/>
    <cellStyle name="40% - Accent6 2 4 2 3" xfId="2169" xr:uid="{AF38E5E4-B629-4D51-96E0-FDB7F88B652D}"/>
    <cellStyle name="40% - Accent6 2 4 2 3 2" xfId="3813" xr:uid="{29FDEEE4-E5BF-4D1D-88B0-5F84004D58D9}"/>
    <cellStyle name="40% - Accent6 2 4 2 4" xfId="3811" xr:uid="{0B4DD215-ACED-418D-8644-6271CFE5BA4E}"/>
    <cellStyle name="40% - Accent6 2 4 3" xfId="2170" xr:uid="{8F8A33B9-60A4-4BB8-8BC5-93BD0B38F7CD}"/>
    <cellStyle name="40% - Accent6 2 4 3 2" xfId="2171" xr:uid="{CF848EEA-8867-41D0-951B-1F4C9514DA8C}"/>
    <cellStyle name="40% - Accent6 2 4 3 2 2" xfId="3815" xr:uid="{83DFF8FA-58DD-4A6F-9493-93195913F668}"/>
    <cellStyle name="40% - Accent6 2 4 3 3" xfId="2172" xr:uid="{178540C5-29CC-42DA-9A23-B0E177813B04}"/>
    <cellStyle name="40% - Accent6 2 4 3 3 2" xfId="3816" xr:uid="{93E3B46C-B5D7-4101-A364-80484536A7CB}"/>
    <cellStyle name="40% - Accent6 2 4 3 4" xfId="3814" xr:uid="{25FA92F5-0895-461B-8754-1BC646E00B86}"/>
    <cellStyle name="40% - Accent6 2 4 4" xfId="2173" xr:uid="{02D4C5D7-693C-4E13-8E0B-70008C930344}"/>
    <cellStyle name="40% - Accent6 2 4 4 2" xfId="3817" xr:uid="{AF4C1D9F-BA02-44DD-AE8B-D903F6863228}"/>
    <cellStyle name="40% - Accent6 2 4 5" xfId="2174" xr:uid="{3C0215EA-1A9C-472F-90B0-E6165671139B}"/>
    <cellStyle name="40% - Accent6 2 4 5 2" xfId="3818" xr:uid="{00519B39-E782-4020-93BF-11B22C6DD8C8}"/>
    <cellStyle name="40% - Accent6 2 4 6" xfId="5146" xr:uid="{3D6A015C-EE3B-47DB-B997-448153FC8BAE}"/>
    <cellStyle name="40% - Accent6 2 5" xfId="2175" xr:uid="{07706E51-25EA-4E6E-96E5-93CC3C4BD617}"/>
    <cellStyle name="40% - Accent6 2 5 2" xfId="2176" xr:uid="{AC7451F6-A54B-4882-9F00-2266A3B699BF}"/>
    <cellStyle name="40% - Accent6 2 5 2 2" xfId="2177" xr:uid="{5780A676-160E-4858-9A01-AE0C4235B721}"/>
    <cellStyle name="40% - Accent6 2 5 2 2 2" xfId="3820" xr:uid="{44CBD844-9A3A-4562-9313-EF52D225A147}"/>
    <cellStyle name="40% - Accent6 2 5 2 3" xfId="2178" xr:uid="{6304A2F5-705E-4EF8-963C-479D4DDFF91D}"/>
    <cellStyle name="40% - Accent6 2 5 2 3 2" xfId="3821" xr:uid="{AB0B5F25-2392-4841-92B0-70FE43F55BFF}"/>
    <cellStyle name="40% - Accent6 2 5 2 4" xfId="3819" xr:uid="{8891502F-9A58-44EF-8B3B-21A0316A97E3}"/>
    <cellStyle name="40% - Accent6 2 5 3" xfId="2179" xr:uid="{2D5A4A30-0E00-4965-BD21-86E745DB5C33}"/>
    <cellStyle name="40% - Accent6 2 5 3 2" xfId="3822" xr:uid="{6BB4D5BB-500D-4CCD-8DAE-E2747D105A9A}"/>
    <cellStyle name="40% - Accent6 2 5 4" xfId="2180" xr:uid="{F4B8EF40-3F88-4553-80CE-50CEE19E66F9}"/>
    <cellStyle name="40% - Accent6 2 5 4 2" xfId="3823" xr:uid="{ECF6FB49-4727-4A21-8CC5-A7F51FEF1610}"/>
    <cellStyle name="40% - Accent6 2 5 5" xfId="5247" xr:uid="{2A1D6DB0-8B4C-45EC-858A-727822B0B637}"/>
    <cellStyle name="40% - Accent6 2 6" xfId="2181" xr:uid="{27898831-EE04-41F0-8D4D-3FBE158D2EF0}"/>
    <cellStyle name="40% - Accent6 2 6 2" xfId="2182" xr:uid="{6FBF7D09-6BCD-42DD-AB92-992A20F6D45D}"/>
    <cellStyle name="40% - Accent6 2 6 2 2" xfId="3824" xr:uid="{71549226-7F4B-4C1A-B702-3A3D79403417}"/>
    <cellStyle name="40% - Accent6 2 6 3" xfId="2183" xr:uid="{C71EEB84-C5C7-47AA-9407-1113F8093DE9}"/>
    <cellStyle name="40% - Accent6 2 6 3 2" xfId="3825" xr:uid="{DA9BDEA7-F600-41B7-A43B-F34F1685DAB6}"/>
    <cellStyle name="40% - Accent6 2 6 4" xfId="4326" xr:uid="{21553613-0867-4AB6-8603-5886CE9B90B0}"/>
    <cellStyle name="40% - Accent6 2 7" xfId="2184" xr:uid="{1C46381B-ABFD-4BFE-9E25-D1EA0B684B27}"/>
    <cellStyle name="40% - Accent6 2 7 2" xfId="3826" xr:uid="{933AE112-D937-4F7C-92DC-4CA27BB1CCBC}"/>
    <cellStyle name="40% - Accent6 2 8" xfId="2185" xr:uid="{D17C29B9-0F14-4F84-A645-190487A0EE68}"/>
    <cellStyle name="40% - Accent6 2 8 2" xfId="3827" xr:uid="{353F976F-450A-4960-BE2C-4E24AA751363}"/>
    <cellStyle name="40% - Accent6 2 9" xfId="2186" xr:uid="{7FEF3CCF-560D-486E-A6B2-AB94E9BA7781}"/>
    <cellStyle name="40% - Accent6 2_6.2 CBR B" xfId="4244" xr:uid="{AF427911-F0A8-474C-B5D2-646D0F0AC5F8}"/>
    <cellStyle name="40% - Accent6 3" xfId="265" xr:uid="{30099454-2072-4D8D-A920-2C35B492A4D9}"/>
    <cellStyle name="40% - Accent6 3 2" xfId="2188" xr:uid="{75683870-2652-4EEC-B7CE-DBC340C9FDBB}"/>
    <cellStyle name="40% - Accent6 3 2 2" xfId="4371" xr:uid="{C9BE95E2-6FCD-4FA5-BFC7-DFB72175D7A0}"/>
    <cellStyle name="40% - Accent6 3 3" xfId="2189" xr:uid="{DC72FD27-B5AF-4158-B062-8EBDAE23A17E}"/>
    <cellStyle name="40% - Accent6 3 4" xfId="2187" xr:uid="{C54825DC-0DB4-4369-A5D8-AEEF359A7848}"/>
    <cellStyle name="40% - Accent6 3 5" xfId="4215" xr:uid="{1DA9E393-B8F5-4DED-A747-694951F97683}"/>
    <cellStyle name="40% - Accent6 4" xfId="266" xr:uid="{CF27A3A7-120B-4E2B-8CD6-64D7A7BC6399}"/>
    <cellStyle name="40% - Accent6 4 2" xfId="2191" xr:uid="{74482026-C026-4353-A218-06E01837E578}"/>
    <cellStyle name="40% - Accent6 4 2 2" xfId="4372" xr:uid="{E1E666CD-26AA-49FF-9D4D-E70BB8889312}"/>
    <cellStyle name="40% - Accent6 4 3" xfId="2190" xr:uid="{723AC84D-9E22-4F05-8008-7E8E1876ED6A}"/>
    <cellStyle name="40% - Accent6 4 4" xfId="4149" xr:uid="{4F22664D-5049-47EB-9432-4825F6FECED5}"/>
    <cellStyle name="40% - Accent6 5" xfId="267" xr:uid="{A557B3E1-5E14-4490-9399-C90860D40BF4}"/>
    <cellStyle name="40% - Accent6 5 2" xfId="2192" xr:uid="{0ABD566A-3A7B-4EC2-8A7C-585CBC35CFA6}"/>
    <cellStyle name="40% - Accent6 6" xfId="268" xr:uid="{DF3145FD-ABB6-4AD0-A84E-8B8FE4DE779A}"/>
    <cellStyle name="40% - Accent6 6 2" xfId="2193" xr:uid="{84CF3DC0-47BF-40D5-B236-46F282E079F8}"/>
    <cellStyle name="40% - Accent6 7" xfId="269" xr:uid="{EBA005D8-ACE1-451A-98F8-07DA1AA4DB1D}"/>
    <cellStyle name="40% - Accent6 7 2" xfId="2194" xr:uid="{72AAE407-DE44-4A55-9BFA-5724B8B3E8D4}"/>
    <cellStyle name="40% - Accent6 8" xfId="270" xr:uid="{4CB26E9C-9ECA-4043-A3A1-22AA5784988E}"/>
    <cellStyle name="40% - Accent6 8 2" xfId="2195" xr:uid="{3CA06C62-B7AF-4087-8D23-AB98C9D5BD91}"/>
    <cellStyle name="40% - Accent6 9" xfId="271" xr:uid="{4CCF379F-2F25-4939-A225-C4B8453ECE3A}"/>
    <cellStyle name="40% - Accent6 9 2" xfId="2196" xr:uid="{03B9AACD-1DD4-4228-A432-9CB30F264C92}"/>
    <cellStyle name="60% - Accent1 10" xfId="272" xr:uid="{121D0AB9-CE72-4784-9393-8E3D367A5FC1}"/>
    <cellStyle name="60% - Accent1 10 2" xfId="2197" xr:uid="{88D2178D-AF6A-45E2-AF7F-2694BABAE304}"/>
    <cellStyle name="60% - Accent1 11" xfId="273" xr:uid="{B7F2F6D3-662C-4B06-81D7-AA81CDFFE44C}"/>
    <cellStyle name="60% - Accent1 11 2" xfId="2198" xr:uid="{1E818C38-7A7A-4BA9-B993-FF63F5E6602D}"/>
    <cellStyle name="60% - Accent1 12" xfId="274" xr:uid="{CF0770D2-01E8-4E33-BAF7-91F084A95505}"/>
    <cellStyle name="60% - Accent1 12 2" xfId="2199" xr:uid="{F27AF413-A4A0-4988-9162-FEA7EB3F566F}"/>
    <cellStyle name="60% - Accent1 13" xfId="275" xr:uid="{7CEC125A-2191-4C31-8E75-FA3AA08AF528}"/>
    <cellStyle name="60% - Accent1 13 2" xfId="2200" xr:uid="{68CF2BC4-8C41-4F6C-A4A9-65FC64ED1982}"/>
    <cellStyle name="60% - Accent1 14" xfId="276" xr:uid="{4F76651C-E0C6-4828-8638-CCE7CBEF79BC}"/>
    <cellStyle name="60% - Accent1 14 2" xfId="2201" xr:uid="{3A945C15-A315-4207-89C0-3572FE04AF6F}"/>
    <cellStyle name="60% - Accent1 15" xfId="277" xr:uid="{8CA670D0-8B0E-4D89-B2A5-E65A4631E0D0}"/>
    <cellStyle name="60% - Accent1 15 2" xfId="2202" xr:uid="{A6A40181-5605-4CA2-B684-08E461C0B548}"/>
    <cellStyle name="60% - Accent1 16" xfId="781" xr:uid="{EE15427E-4B7D-46C4-A810-A0149D768BE3}"/>
    <cellStyle name="60% - Accent1 16 2" xfId="2203" xr:uid="{3F254301-5541-4ADE-B1BE-B0E8D2C4C5F6}"/>
    <cellStyle name="60% - Accent1 2" xfId="35" xr:uid="{00000000-0005-0000-0000-000015000000}"/>
    <cellStyle name="60% - Accent1 2 2" xfId="817" xr:uid="{DA53280A-48A4-4C8D-B351-917BE633AA11}"/>
    <cellStyle name="60% - Accent1 2 2 2" xfId="2206" xr:uid="{6B4F5262-41DA-41E9-BE1E-C2D5478C23B7}"/>
    <cellStyle name="60% - Accent1 2 2 3" xfId="2205" xr:uid="{0075C5F9-E6B8-4333-B4F5-48887510105B}"/>
    <cellStyle name="60% - Accent1 2 3" xfId="278" xr:uid="{B22BB10A-14FF-4849-A0B3-5F4CFF0AD886}"/>
    <cellStyle name="60% - Accent1 2 3 2" xfId="2208" xr:uid="{CD5601F1-A7A4-4222-A028-4312A1A5202C}"/>
    <cellStyle name="60% - Accent1 2 3 3" xfId="2207" xr:uid="{B978AD3B-9349-4D30-A345-49E3986CE93C}"/>
    <cellStyle name="60% - Accent1 2 4" xfId="2209" xr:uid="{DBF3CE9D-49E6-4312-9C08-B4D4C4D34430}"/>
    <cellStyle name="60% - Accent1 2 5" xfId="2210" xr:uid="{F7C9DECC-F2E1-462E-B575-F08561FD9312}"/>
    <cellStyle name="60% - Accent1 2 6" xfId="2211" xr:uid="{43A6D6A6-F97F-47AB-BFC4-BC8EA369C4E2}"/>
    <cellStyle name="60% - Accent1 2 7" xfId="2204" xr:uid="{9EBC768A-F8CB-449E-A55F-D2ADC0FAA5EC}"/>
    <cellStyle name="60% - Accent1 3" xfId="279" xr:uid="{F081065D-FB71-4871-914C-CE127F402382}"/>
    <cellStyle name="60% - Accent1 3 2" xfId="2213" xr:uid="{A87E2DCF-15A6-4F08-9A56-0DFB5E0A0C07}"/>
    <cellStyle name="60% - Accent1 3 2 2" xfId="4373" xr:uid="{903A70F9-1593-43AB-8A75-7B50901ADFDF}"/>
    <cellStyle name="60% - Accent1 3 3" xfId="2214" xr:uid="{CEF178BF-D5FD-4C4C-954D-CFB53BAE2041}"/>
    <cellStyle name="60% - Accent1 3 4" xfId="2212" xr:uid="{E0EF02C5-226D-4CCD-A2DE-1E7B6985F1F2}"/>
    <cellStyle name="60% - Accent1 3 5" xfId="4130" xr:uid="{2C8E216C-D037-497B-AC0B-CAE2D57D993C}"/>
    <cellStyle name="60% - Accent1 4" xfId="280" xr:uid="{B2DAFC0D-440B-4325-81DF-8AACD2800598}"/>
    <cellStyle name="60% - Accent1 4 2" xfId="2216" xr:uid="{325B8FC0-7524-4A58-B7BE-815F52FEF680}"/>
    <cellStyle name="60% - Accent1 4 3" xfId="2215" xr:uid="{AE8A5268-E66F-4402-8EFF-0F82F905CCB0}"/>
    <cellStyle name="60% - Accent1 5" xfId="281" xr:uid="{DC694C4B-078D-4F35-B8DF-EF8AD1F9CBB4}"/>
    <cellStyle name="60% - Accent1 5 2" xfId="2217" xr:uid="{AB1ECFC4-FC9F-4A2D-8E30-6464EC7C6B26}"/>
    <cellStyle name="60% - Accent1 6" xfId="282" xr:uid="{73B8B9D5-1E27-4E10-ADCD-1AB4364307CA}"/>
    <cellStyle name="60% - Accent1 6 2" xfId="2218" xr:uid="{24ACED36-552C-4556-9DB6-0EF4E26A0F1C}"/>
    <cellStyle name="60% - Accent1 7" xfId="283" xr:uid="{04916911-431D-4FD8-AEB9-9527C7EA90A5}"/>
    <cellStyle name="60% - Accent1 7 2" xfId="2219" xr:uid="{7B2BE777-7202-49B0-AA51-77053FA32DE0}"/>
    <cellStyle name="60% - Accent1 8" xfId="284" xr:uid="{BEC5E216-0D73-4287-B87E-A081C003DB91}"/>
    <cellStyle name="60% - Accent1 8 2" xfId="2220" xr:uid="{597F6936-AFCE-449C-9AA6-634A3425736B}"/>
    <cellStyle name="60% - Accent1 9" xfId="285" xr:uid="{6EC31DE2-92E7-4685-8893-10EC7B245FFB}"/>
    <cellStyle name="60% - Accent1 9 2" xfId="2221" xr:uid="{4F179CD4-62E3-4119-BFE8-D0188E551677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2 2" xfId="2224" xr:uid="{E7B67D9C-47D1-471F-A2C1-C6B351F035D9}"/>
    <cellStyle name="60% - Accent2 2 2 3" xfId="2223" xr:uid="{0F66981C-FD0F-4FAE-8C74-4D185FB76E7E}"/>
    <cellStyle name="60% - Accent2 2 3" xfId="292" xr:uid="{958FB846-B3E0-48B1-98D9-EA000ED18435}"/>
    <cellStyle name="60% - Accent2 2 3 2" xfId="2226" xr:uid="{6B3F930D-9A57-4237-8917-2FFE48B253E0}"/>
    <cellStyle name="60% - Accent2 2 3 3" xfId="2225" xr:uid="{D7827820-51C1-4CFC-9519-5018CC45FA01}"/>
    <cellStyle name="60% - Accent2 2 4" xfId="2227" xr:uid="{70686BD9-6DCF-4817-A451-B26BC3178107}"/>
    <cellStyle name="60% - Accent2 2 5" xfId="2228" xr:uid="{90D91369-7709-4630-9946-4C631254EE91}"/>
    <cellStyle name="60% - Accent2 2 6" xfId="2229" xr:uid="{C769FA2E-F38E-43A7-AEC6-A3258D161BB1}"/>
    <cellStyle name="60% - Accent2 2 7" xfId="2222" xr:uid="{EC53C54D-5755-41FF-A009-B47B21381ABF}"/>
    <cellStyle name="60% - Accent2 3" xfId="293" xr:uid="{1E6A68D4-E7D6-45D5-8321-239EECB71DBD}"/>
    <cellStyle name="60% - Accent2 3 2" xfId="2231" xr:uid="{D8F222B7-32B8-48AA-AFDC-8B15108635A2}"/>
    <cellStyle name="60% - Accent2 3 2 2" xfId="4374" xr:uid="{2B35CA35-A293-43EB-89C1-D083E93985D6}"/>
    <cellStyle name="60% - Accent2 3 3" xfId="2232" xr:uid="{9E4D8185-C8F0-4C8E-B50D-D96795FBB406}"/>
    <cellStyle name="60% - Accent2 3 4" xfId="2230" xr:uid="{ACF88EB2-035E-4D03-A604-7847F641915E}"/>
    <cellStyle name="60% - Accent2 3 5" xfId="4134" xr:uid="{A4BB2A44-349A-46F8-AC53-8CB93BDA77B5}"/>
    <cellStyle name="60% - Accent2 4" xfId="294" xr:uid="{1AB2AFBD-AA6A-41C7-8244-42E5F5D3FD1C}"/>
    <cellStyle name="60% - Accent2 4 2" xfId="2234" xr:uid="{BBDDE2EB-8D49-4910-9FCA-65FE755E6930}"/>
    <cellStyle name="60% - Accent2 4 3" xfId="2233" xr:uid="{2317CD5A-A02A-4A37-BAE0-95FE07CB6F1E}"/>
    <cellStyle name="60% - Accent2 5" xfId="295" xr:uid="{1C19E159-F86C-42A9-ABE1-591CDBC84F90}"/>
    <cellStyle name="60% - Accent2 5 2" xfId="2235" xr:uid="{F07818C9-3892-40E5-BDBA-1DE7CF36B804}"/>
    <cellStyle name="60% - Accent2 6" xfId="296" xr:uid="{9EE756B7-D35D-45CE-8233-30596E37DD24}"/>
    <cellStyle name="60% - Accent2 6 2" xfId="2236" xr:uid="{9BCE5D11-0E91-4505-AD5F-6621A164703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0 2" xfId="2237" xr:uid="{FD7E5803-2380-4975-AE91-AF4240BA7324}"/>
    <cellStyle name="60% - Accent3 11" xfId="301" xr:uid="{39BED4F6-819E-4365-8C8B-40178C8674D1}"/>
    <cellStyle name="60% - Accent3 11 2" xfId="2238" xr:uid="{9291E3FD-4F6A-442C-A919-128FCC8EED2A}"/>
    <cellStyle name="60% - Accent3 12" xfId="302" xr:uid="{49B92048-6C3F-4A6B-B81F-749B819D0DE2}"/>
    <cellStyle name="60% - Accent3 12 2" xfId="2239" xr:uid="{971354D9-51AC-4470-9B4A-95C2D7429E89}"/>
    <cellStyle name="60% - Accent3 13" xfId="303" xr:uid="{89E54486-4DB7-4A0E-807A-CC52AEC1AE84}"/>
    <cellStyle name="60% - Accent3 13 2" xfId="2240" xr:uid="{B8F39C9A-209E-4B49-B97C-CC8A0BCE680C}"/>
    <cellStyle name="60% - Accent3 14" xfId="304" xr:uid="{3729815D-C0C0-44FE-B70F-512CB7FC63E9}"/>
    <cellStyle name="60% - Accent3 14 2" xfId="2241" xr:uid="{B1412312-91A3-4201-A70D-5E5C3F5A68A7}"/>
    <cellStyle name="60% - Accent3 15" xfId="305" xr:uid="{E3BCEA63-A2DB-4B83-AC76-8977550F608C}"/>
    <cellStyle name="60% - Accent3 15 2" xfId="2242" xr:uid="{74D52D38-5B30-4373-B227-A09F2F7C473F}"/>
    <cellStyle name="60% - Accent3 16" xfId="783" xr:uid="{CB624445-18FF-43B8-971E-E4297F509989}"/>
    <cellStyle name="60% - Accent3 16 2" xfId="2243" xr:uid="{2FD1A1E7-07AD-419A-B392-8E150F2E60AC}"/>
    <cellStyle name="60% - Accent3 2" xfId="37" xr:uid="{00000000-0005-0000-0000-000017000000}"/>
    <cellStyle name="60% - Accent3 2 2" xfId="825" xr:uid="{44DD17FD-58C8-4F15-8A99-9B8CF79411B3}"/>
    <cellStyle name="60% - Accent3 2 2 2" xfId="2246" xr:uid="{A2B0EDEC-ACC0-4901-B2D2-EE2B007BE5F1}"/>
    <cellStyle name="60% - Accent3 2 2 3" xfId="2245" xr:uid="{DA6942B8-9934-491B-8DD0-9614FBEF58A7}"/>
    <cellStyle name="60% - Accent3 2 3" xfId="306" xr:uid="{D6AF060B-685D-4A0E-ADAF-C6E5982631E4}"/>
    <cellStyle name="60% - Accent3 2 3 2" xfId="2248" xr:uid="{D35C1FA1-C8BA-423E-AF8E-80225B3D66B2}"/>
    <cellStyle name="60% - Accent3 2 3 3" xfId="2247" xr:uid="{5827CF86-D0E2-4525-A577-4FAB5EB76FEF}"/>
    <cellStyle name="60% - Accent3 2 4" xfId="2249" xr:uid="{BFDE3ED6-255E-4484-BC8D-B77F8765AB10}"/>
    <cellStyle name="60% - Accent3 2 5" xfId="2250" xr:uid="{41BA8682-CDD4-45F7-8FFD-A82108ECCCAD}"/>
    <cellStyle name="60% - Accent3 2 6" xfId="2251" xr:uid="{A67069DC-A624-44E0-B98B-69D3DA9F15D8}"/>
    <cellStyle name="60% - Accent3 2 7" xfId="2252" xr:uid="{1CCCE18D-DA01-4C3A-A719-46F73E960EA0}"/>
    <cellStyle name="60% - Accent3 2 8" xfId="2244" xr:uid="{A685B06D-11BF-4953-844C-AFD3401E371D}"/>
    <cellStyle name="60% - Accent3 3" xfId="307" xr:uid="{066235C4-8112-4190-9BB8-40460448C492}"/>
    <cellStyle name="60% - Accent3 3 2" xfId="2254" xr:uid="{3B7269C4-1684-4DE0-A710-A6BCF434864D}"/>
    <cellStyle name="60% - Accent3 3 2 2" xfId="4375" xr:uid="{34795DBF-48D9-42C9-8DF2-D512F9281996}"/>
    <cellStyle name="60% - Accent3 3 3" xfId="2255" xr:uid="{E026CE39-F8A5-493B-A2B0-B81151926C2B}"/>
    <cellStyle name="60% - Accent3 3 4" xfId="2253" xr:uid="{590F3FB2-D840-4D9B-B37C-72AE041FA019}"/>
    <cellStyle name="60% - Accent3 3 5" xfId="4138" xr:uid="{5F8513E2-5829-4966-A587-F3FB0D38A143}"/>
    <cellStyle name="60% - Accent3 4" xfId="308" xr:uid="{FB275DE9-577B-4B6B-B7EB-0300703382DB}"/>
    <cellStyle name="60% - Accent3 4 2" xfId="2257" xr:uid="{D6CCB33C-C311-459A-A26D-222165A5563C}"/>
    <cellStyle name="60% - Accent3 4 3" xfId="2256" xr:uid="{59ED9852-1773-4680-8337-789C9097B0D3}"/>
    <cellStyle name="60% - Accent3 5" xfId="309" xr:uid="{21626179-22AF-4425-B3E3-D323B8D89A3B}"/>
    <cellStyle name="60% - Accent3 5 2" xfId="2258" xr:uid="{8FBE4C6E-85B4-4781-A25F-EE60271265A5}"/>
    <cellStyle name="60% - Accent3 6" xfId="310" xr:uid="{F2DDA026-78E1-4C8D-A288-3C57E26AD150}"/>
    <cellStyle name="60% - Accent3 6 2" xfId="2259" xr:uid="{69276D9A-C43A-45F7-BBE3-805C8333C954}"/>
    <cellStyle name="60% - Accent3 7" xfId="311" xr:uid="{83E38BA6-8E54-4ABC-91A3-3ED49925CD9D}"/>
    <cellStyle name="60% - Accent3 7 2" xfId="2260" xr:uid="{4CD109FB-9F00-4435-9AFA-7BEC34763DBB}"/>
    <cellStyle name="60% - Accent3 8" xfId="312" xr:uid="{26390211-D61D-45BF-BBC5-7FE49861737C}"/>
    <cellStyle name="60% - Accent3 8 2" xfId="2261" xr:uid="{C28C644E-C79D-47D7-BB5D-5F04704DAF4F}"/>
    <cellStyle name="60% - Accent3 9" xfId="313" xr:uid="{B612C642-70BE-4649-930A-BBD649C8A156}"/>
    <cellStyle name="60% - Accent3 9 2" xfId="2262" xr:uid="{D9D82AF4-159C-4B06-B774-5159339417CE}"/>
    <cellStyle name="60% - Accent4 10" xfId="314" xr:uid="{AAF16347-5166-4508-BA3F-D490E39D1490}"/>
    <cellStyle name="60% - Accent4 10 2" xfId="2263" xr:uid="{BA41AF22-E61C-48B0-9864-98B14F8DC1D8}"/>
    <cellStyle name="60% - Accent4 11" xfId="315" xr:uid="{EB04CC85-EF0F-448E-B94C-16E0F738326D}"/>
    <cellStyle name="60% - Accent4 11 2" xfId="2264" xr:uid="{DCBE8ABF-7E48-48D4-8C8A-4EB81ACB3E7C}"/>
    <cellStyle name="60% - Accent4 12" xfId="316" xr:uid="{87018657-7442-4BF1-A854-F7EF377F7D05}"/>
    <cellStyle name="60% - Accent4 12 2" xfId="2265" xr:uid="{79DC6158-402C-43B2-A8F4-20B499A2AE36}"/>
    <cellStyle name="60% - Accent4 13" xfId="317" xr:uid="{9F1F49B9-CB22-4964-8A30-06E5D0B30654}"/>
    <cellStyle name="60% - Accent4 13 2" xfId="2266" xr:uid="{9BE58E2D-F7A4-44B1-BDB4-D0A731CF97B2}"/>
    <cellStyle name="60% - Accent4 14" xfId="318" xr:uid="{AD06B357-9DA6-4627-8EC8-A5220D680CE6}"/>
    <cellStyle name="60% - Accent4 14 2" xfId="2267" xr:uid="{33400AA4-9BF2-4456-BD50-FA1750F015B4}"/>
    <cellStyle name="60% - Accent4 15" xfId="319" xr:uid="{361052E9-8026-4A4E-A7FB-42F9CB6ED48F}"/>
    <cellStyle name="60% - Accent4 15 2" xfId="2268" xr:uid="{CD039FF4-1C10-48B7-B391-52C71B9D8321}"/>
    <cellStyle name="60% - Accent4 16" xfId="784" xr:uid="{47C94269-E3DE-4187-8087-4B76933C7F34}"/>
    <cellStyle name="60% - Accent4 16 2" xfId="2269" xr:uid="{27F76005-B1CB-4F8A-95F8-67551A234179}"/>
    <cellStyle name="60% - Accent4 2" xfId="38" xr:uid="{00000000-0005-0000-0000-000018000000}"/>
    <cellStyle name="60% - Accent4 2 2" xfId="829" xr:uid="{9A15E3F0-3BDC-4AE9-A088-651919D69ED0}"/>
    <cellStyle name="60% - Accent4 2 2 2" xfId="2272" xr:uid="{1DFBDE5D-7BD5-4200-9FFE-C996CCC2C209}"/>
    <cellStyle name="60% - Accent4 2 2 3" xfId="2271" xr:uid="{EEB78645-3DEF-47BB-AC69-50EE7A0237BD}"/>
    <cellStyle name="60% - Accent4 2 3" xfId="320" xr:uid="{72D010D9-7502-45D0-B05F-B92BABA26233}"/>
    <cellStyle name="60% - Accent4 2 3 2" xfId="2274" xr:uid="{1CE67578-9B5F-4F09-A3F2-12A37EC763E6}"/>
    <cellStyle name="60% - Accent4 2 3 3" xfId="2273" xr:uid="{B5F6AAEA-1C69-471A-898A-D8D08E2C1B0A}"/>
    <cellStyle name="60% - Accent4 2 4" xfId="2275" xr:uid="{34C5F013-F138-4B0A-A4E4-2B4176FC9031}"/>
    <cellStyle name="60% - Accent4 2 5" xfId="2276" xr:uid="{3E2497CD-8147-43F6-9641-1E0F8DCD2EEC}"/>
    <cellStyle name="60% - Accent4 2 6" xfId="2277" xr:uid="{252260F7-7CA0-4502-B25A-28D62FBDE390}"/>
    <cellStyle name="60% - Accent4 2 7" xfId="2278" xr:uid="{45EC6AF5-F59A-4361-97C1-2961A8B937CA}"/>
    <cellStyle name="60% - Accent4 2 8" xfId="2270" xr:uid="{527FB832-E6FF-4B7E-84D7-3E2438A30F64}"/>
    <cellStyle name="60% - Accent4 3" xfId="321" xr:uid="{ADFC752E-942C-43E0-BF1D-F592C797999E}"/>
    <cellStyle name="60% - Accent4 3 2" xfId="2280" xr:uid="{3C508C34-BD03-4890-A90C-75820BE9F8C5}"/>
    <cellStyle name="60% - Accent4 3 2 2" xfId="4376" xr:uid="{9AE3670D-0B64-40CA-A0E7-B6D12C86B4E9}"/>
    <cellStyle name="60% - Accent4 3 3" xfId="2281" xr:uid="{4E61FC62-11CC-4D64-ABB8-687E39CB8F54}"/>
    <cellStyle name="60% - Accent4 3 4" xfId="2279" xr:uid="{E7C19865-1607-4308-8918-A9EE4802504E}"/>
    <cellStyle name="60% - Accent4 3 5" xfId="4142" xr:uid="{06F7A714-FCCA-4847-B5A2-01ECBAC47034}"/>
    <cellStyle name="60% - Accent4 4" xfId="322" xr:uid="{55B6F08B-7D92-4A8E-B30C-65C9C70CD56A}"/>
    <cellStyle name="60% - Accent4 4 2" xfId="2283" xr:uid="{D4CD7BF0-65EA-4CF9-A4AE-FA5F9F16EA43}"/>
    <cellStyle name="60% - Accent4 4 3" xfId="2282" xr:uid="{2D84014F-CA21-4A02-A797-1F6E1BD4E183}"/>
    <cellStyle name="60% - Accent4 5" xfId="323" xr:uid="{62F88DA3-F11D-4E51-9969-77F5BDD6C53F}"/>
    <cellStyle name="60% - Accent4 5 2" xfId="2284" xr:uid="{4E46E653-C265-4545-80AB-97389873A276}"/>
    <cellStyle name="60% - Accent4 6" xfId="324" xr:uid="{7155239E-D1BE-44CB-8A50-536C5CC3A744}"/>
    <cellStyle name="60% - Accent4 6 2" xfId="2285" xr:uid="{8E81DFB8-276F-4BB5-A83E-68D19F3711F4}"/>
    <cellStyle name="60% - Accent4 7" xfId="325" xr:uid="{D393407F-B740-4E6D-B506-76010AAD788B}"/>
    <cellStyle name="60% - Accent4 7 2" xfId="2286" xr:uid="{E3842D55-123C-4168-87CB-E0F22D658E88}"/>
    <cellStyle name="60% - Accent4 8" xfId="326" xr:uid="{66A852E5-31EB-4F6D-8728-E8A2B5CE781F}"/>
    <cellStyle name="60% - Accent4 8 2" xfId="2287" xr:uid="{FED1368A-5EAB-453C-BB7B-5A0FD939D67E}"/>
    <cellStyle name="60% - Accent4 9" xfId="327" xr:uid="{BA84BE9B-99F1-4CD6-9C7E-856F335BE3C2}"/>
    <cellStyle name="60% - Accent4 9 2" xfId="2288" xr:uid="{6FA4BC0B-7888-42CF-9DED-0E3FC767005D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2 2" xfId="2291" xr:uid="{6673137F-896C-4351-9FC0-98EE9C734EE7}"/>
    <cellStyle name="60% - Accent5 2 2 3" xfId="2290" xr:uid="{28756416-F3BC-4630-9696-ED27AC07260A}"/>
    <cellStyle name="60% - Accent5 2 3" xfId="334" xr:uid="{2B160FDD-523E-44FA-BBF2-A885ABBFA819}"/>
    <cellStyle name="60% - Accent5 2 3 2" xfId="2293" xr:uid="{BA3AF3CB-76ED-4DD7-904A-FE696148B6F3}"/>
    <cellStyle name="60% - Accent5 2 3 3" xfId="2292" xr:uid="{9E7E1198-0A34-4A3A-A658-E573A43C6C0B}"/>
    <cellStyle name="60% - Accent5 2 4" xfId="2294" xr:uid="{42933BAE-B502-4E62-9316-57DA99A3A8DE}"/>
    <cellStyle name="60% - Accent5 2 5" xfId="2295" xr:uid="{FE02C354-F2B5-48C9-BE9B-295F5F72686B}"/>
    <cellStyle name="60% - Accent5 2 6" xfId="2296" xr:uid="{6F3FA976-7347-485E-A997-7F414C65E56E}"/>
    <cellStyle name="60% - Accent5 2 7" xfId="2289" xr:uid="{382DEDDC-C75A-4933-9719-78D2B2DF152B}"/>
    <cellStyle name="60% - Accent5 3" xfId="335" xr:uid="{228875CA-4A37-4DD6-B065-693F85C8A0B2}"/>
    <cellStyle name="60% - Accent5 3 2" xfId="2298" xr:uid="{AA8F911C-CA7F-44B2-A4B1-5CAB9B508ED0}"/>
    <cellStyle name="60% - Accent5 3 2 2" xfId="4377" xr:uid="{EF59BFA1-31D0-44DF-A0CD-F397F322F3FF}"/>
    <cellStyle name="60% - Accent5 3 3" xfId="2299" xr:uid="{83207BFA-4B4E-4B52-9FE0-E11FC5A08F0F}"/>
    <cellStyle name="60% - Accent5 3 4" xfId="2297" xr:uid="{56D8639E-6EB8-45FE-BF8B-122E69E8C727}"/>
    <cellStyle name="60% - Accent5 3 5" xfId="4146" xr:uid="{68FC9C27-C657-4498-A411-F39B6DD61D1D}"/>
    <cellStyle name="60% - Accent5 4" xfId="336" xr:uid="{03B501A0-8915-47F7-989C-079DCC58520A}"/>
    <cellStyle name="60% - Accent5 4 2" xfId="2301" xr:uid="{F4ED5F2B-F93D-4061-A94A-5ED7270EF63E}"/>
    <cellStyle name="60% - Accent5 4 3" xfId="2300" xr:uid="{83435EFD-89E7-4D66-BE8F-FA99D999D60C}"/>
    <cellStyle name="60% - Accent5 5" xfId="337" xr:uid="{DBBAEAE6-E755-4C0F-8909-F7E95E331556}"/>
    <cellStyle name="60% - Accent5 5 2" xfId="2302" xr:uid="{98F5125A-BAC4-4F71-9854-99649835A36A}"/>
    <cellStyle name="60% - Accent5 6" xfId="338" xr:uid="{6CBDED8D-5F78-4A1E-8FDF-5124269990F2}"/>
    <cellStyle name="60% - Accent5 6 2" xfId="2303" xr:uid="{1F7686A7-A57E-4D6F-B6EB-43D5C1C64834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0 2" xfId="2304" xr:uid="{E3D18B85-CCF1-4A32-A2F1-333DF6C7DFBB}"/>
    <cellStyle name="60% - Accent6 11" xfId="343" xr:uid="{8EB07F71-F72B-44EE-A412-CA0C9E9CCEB9}"/>
    <cellStyle name="60% - Accent6 11 2" xfId="2305" xr:uid="{7BD5C7B8-38B1-4B3A-A850-2F3E6DED0C26}"/>
    <cellStyle name="60% - Accent6 12" xfId="344" xr:uid="{CEA9548B-BB37-42BD-8290-27DFFFF7464D}"/>
    <cellStyle name="60% - Accent6 12 2" xfId="2306" xr:uid="{BAC0F787-06E3-4577-9E21-804D99446E1C}"/>
    <cellStyle name="60% - Accent6 13" xfId="345" xr:uid="{05E0F87D-45F8-4B63-A506-191888AD78D6}"/>
    <cellStyle name="60% - Accent6 13 2" xfId="2307" xr:uid="{44A39B46-C0B4-4386-A85D-BC9B562A6AD7}"/>
    <cellStyle name="60% - Accent6 14" xfId="346" xr:uid="{EDB37D45-0450-4071-AD0E-5EF631CD35AC}"/>
    <cellStyle name="60% - Accent6 14 2" xfId="2308" xr:uid="{EC5ABC94-9F68-4CD3-A5F2-684D1AB586AB}"/>
    <cellStyle name="60% - Accent6 15" xfId="347" xr:uid="{6C7DF8D5-D93F-4C3F-8A1B-B840732D2150}"/>
    <cellStyle name="60% - Accent6 15 2" xfId="2309" xr:uid="{82A53A5B-A3F5-4B60-A521-A204D215FEE9}"/>
    <cellStyle name="60% - Accent6 16" xfId="786" xr:uid="{AC620523-7C15-4129-8994-447C11F011E2}"/>
    <cellStyle name="60% - Accent6 16 2" xfId="2310" xr:uid="{86ABB4C5-4440-4E25-9D5C-8D6CFC4295B7}"/>
    <cellStyle name="60% - Accent6 2" xfId="40" xr:uid="{00000000-0005-0000-0000-00001A000000}"/>
    <cellStyle name="60% - Accent6 2 2" xfId="837" xr:uid="{C211F60E-4F1E-462D-90B1-D1C59A7CA834}"/>
    <cellStyle name="60% - Accent6 2 2 2" xfId="2313" xr:uid="{EF9447D3-CC05-44CD-9222-8B18F247CE9C}"/>
    <cellStyle name="60% - Accent6 2 2 3" xfId="2312" xr:uid="{38F3BFA7-3704-45F8-B8A2-EDF1D4235B86}"/>
    <cellStyle name="60% - Accent6 2 3" xfId="348" xr:uid="{8FEDC37A-83AA-453F-B9D4-61E8375107AA}"/>
    <cellStyle name="60% - Accent6 2 3 2" xfId="2315" xr:uid="{6D1EA30A-96E1-45B2-99DE-DB9A8129B8BD}"/>
    <cellStyle name="60% - Accent6 2 3 3" xfId="2314" xr:uid="{74BC0A1E-6329-4327-91FF-8025C58789F1}"/>
    <cellStyle name="60% - Accent6 2 4" xfId="2316" xr:uid="{9179506F-AD93-4923-A53E-64C2041E0EE2}"/>
    <cellStyle name="60% - Accent6 2 5" xfId="2317" xr:uid="{A40F204C-985F-4557-8FA8-ABD996FEB285}"/>
    <cellStyle name="60% - Accent6 2 6" xfId="2318" xr:uid="{02FB3E57-8462-4B29-B287-33D63643D305}"/>
    <cellStyle name="60% - Accent6 2 7" xfId="2311" xr:uid="{38CE2D5A-38BF-4C77-B6D6-E693F56B8141}"/>
    <cellStyle name="60% - Accent6 3" xfId="349" xr:uid="{A63D4885-BA94-4853-A7BD-AFFFAC1920B8}"/>
    <cellStyle name="60% - Accent6 3 2" xfId="2320" xr:uid="{A61B2354-E289-43E7-B849-381337EBCA6B}"/>
    <cellStyle name="60% - Accent6 3 2 2" xfId="4378" xr:uid="{12437A9E-49F3-4C93-8D84-6C0C72162EED}"/>
    <cellStyle name="60% - Accent6 3 3" xfId="2321" xr:uid="{6FB69E6E-754F-4338-997E-633A299F79D4}"/>
    <cellStyle name="60% - Accent6 3 4" xfId="2319" xr:uid="{95CBF943-5FCB-4618-914F-B730C0BBF22E}"/>
    <cellStyle name="60% - Accent6 3 5" xfId="4150" xr:uid="{B620B14B-A5F0-43CD-B333-C1CE2C840252}"/>
    <cellStyle name="60% - Accent6 4" xfId="350" xr:uid="{8A3CFC16-1705-4DF2-8A6F-AA9875D68BA0}"/>
    <cellStyle name="60% - Accent6 4 2" xfId="2323" xr:uid="{91156364-7EE9-48BC-9FC6-5324D45CE605}"/>
    <cellStyle name="60% - Accent6 4 3" xfId="2322" xr:uid="{A1244805-DADE-4146-8E9D-FBAE4269B0A8}"/>
    <cellStyle name="60% - Accent6 5" xfId="351" xr:uid="{DB292F6C-AB35-4BEF-B436-04DCF7815BDF}"/>
    <cellStyle name="60% - Accent6 5 2" xfId="2324" xr:uid="{5DDA595E-B22E-4046-8F1A-E7DA0691DDE0}"/>
    <cellStyle name="60% - Accent6 6" xfId="352" xr:uid="{5024521E-5F69-4CDE-8085-03959B8B9E73}"/>
    <cellStyle name="60% - Accent6 6 2" xfId="2325" xr:uid="{C36CA03D-4BB2-4F09-A2A2-D63F859984C7}"/>
    <cellStyle name="60% - Accent6 7" xfId="353" xr:uid="{A2573E77-FB71-4184-9A07-0F342EA9BCFD}"/>
    <cellStyle name="60% - Accent6 7 2" xfId="2326" xr:uid="{BC3B2F90-23F5-4396-A645-A45E015A5263}"/>
    <cellStyle name="60% - Accent6 8" xfId="354" xr:uid="{FF57B009-A40C-4C40-AD15-1BD3894F9A34}"/>
    <cellStyle name="60% - Accent6 8 2" xfId="2327" xr:uid="{A24A5A19-5FAA-4603-853A-F5658646C5A5}"/>
    <cellStyle name="60% - Accent6 9" xfId="355" xr:uid="{7F460525-0B9B-431B-AC5C-1E2EE8771FBF}"/>
    <cellStyle name="60% - Accent6 9 2" xfId="2328" xr:uid="{8574A18B-F1C2-4062-B679-DA014F2C5550}"/>
    <cellStyle name="Accent1 10" xfId="356" xr:uid="{5D702F71-5298-448D-95F3-3C43CD194A53}"/>
    <cellStyle name="Accent1 10 2" xfId="2329" xr:uid="{8937BEA9-71A8-47C3-BBB4-E946C66553E6}"/>
    <cellStyle name="Accent1 11" xfId="357" xr:uid="{85567DA3-A5FA-4720-9124-13817F6F24CF}"/>
    <cellStyle name="Accent1 11 2" xfId="2330" xr:uid="{6A468818-41D2-4308-B7AE-F099F2072D0D}"/>
    <cellStyle name="Accent1 12" xfId="358" xr:uid="{9F8CB846-DD76-474F-9C05-DE4B0B7C6A62}"/>
    <cellStyle name="Accent1 12 2" xfId="2331" xr:uid="{083F9C58-B619-4A6A-AFED-55EE4D60C335}"/>
    <cellStyle name="Accent1 13" xfId="359" xr:uid="{D44710D6-FEB4-4B8E-AA73-202B4284C3C8}"/>
    <cellStyle name="Accent1 13 2" xfId="2332" xr:uid="{D93795EA-B950-46A5-8C96-7CB805929D5F}"/>
    <cellStyle name="Accent1 14" xfId="360" xr:uid="{422053BA-6D94-4F2E-A1B1-ABAC4525B803}"/>
    <cellStyle name="Accent1 14 2" xfId="2333" xr:uid="{54B45575-89C8-4261-92FC-EE76FFBD8396}"/>
    <cellStyle name="Accent1 15" xfId="361" xr:uid="{A1875704-5ECE-4612-9772-19904B18B858}"/>
    <cellStyle name="Accent1 15 2" xfId="2334" xr:uid="{332CD7FF-51D2-4A81-8408-20BBE94756FF}"/>
    <cellStyle name="Accent1 16" xfId="787" xr:uid="{A97D7B3B-83A4-460F-AF58-77C7E8A85F3B}"/>
    <cellStyle name="Accent1 16 2" xfId="2335" xr:uid="{6BCAEB91-351F-4E0F-9DBA-2701E410DCE6}"/>
    <cellStyle name="Accent1 2" xfId="41" xr:uid="{00000000-0005-0000-0000-00001B000000}"/>
    <cellStyle name="Accent1 2 2" xfId="814" xr:uid="{D8C6A5BA-9C94-42E7-B238-00124BC1E5B7}"/>
    <cellStyle name="Accent1 2 2 2" xfId="2338" xr:uid="{8C5EA4C2-94F8-4DDF-85DA-603B8549F805}"/>
    <cellStyle name="Accent1 2 2 3" xfId="2337" xr:uid="{C6E59CB5-6455-455E-9CC8-7A9FF6455288}"/>
    <cellStyle name="Accent1 2 3" xfId="362" xr:uid="{A8C6951A-18E5-4626-BFDA-A274AA07EA64}"/>
    <cellStyle name="Accent1 2 3 2" xfId="2340" xr:uid="{9EED526F-52D8-4843-83B3-FEB8C80E58BF}"/>
    <cellStyle name="Accent1 2 3 3" xfId="2339" xr:uid="{8AD7D033-314F-4ED7-A119-0BF8C28E5E66}"/>
    <cellStyle name="Accent1 2 4" xfId="2341" xr:uid="{08E7E173-8BC8-4E44-A70A-3637EA121674}"/>
    <cellStyle name="Accent1 2 5" xfId="2342" xr:uid="{D7EDE8C9-F296-4C00-93FC-0630B3EF1D7C}"/>
    <cellStyle name="Accent1 2 6" xfId="2343" xr:uid="{54F8AB59-423B-421F-A0FE-B2A5A8D3FE30}"/>
    <cellStyle name="Accent1 2 7" xfId="2344" xr:uid="{C964083A-AC92-46E4-8F85-84D44AA57947}"/>
    <cellStyle name="Accent1 2 8" xfId="2336" xr:uid="{41C51798-61FD-4B45-8C78-0B983B4FD654}"/>
    <cellStyle name="Accent1 3" xfId="363" xr:uid="{A7AD30D4-1F8B-4798-A5E8-B007655B61F5}"/>
    <cellStyle name="Accent1 3 2" xfId="2346" xr:uid="{7947E1F7-ED42-4473-9980-7D7895A80E60}"/>
    <cellStyle name="Accent1 3 2 2" xfId="4379" xr:uid="{41BF04B4-9839-4333-AA11-3BD8553A34A4}"/>
    <cellStyle name="Accent1 3 3" xfId="2347" xr:uid="{144040AE-00A2-42B0-A04C-63FE8D5F671A}"/>
    <cellStyle name="Accent1 3 4" xfId="2345" xr:uid="{BE06FF5F-1751-48F9-A3FF-1DC6EAAEF259}"/>
    <cellStyle name="Accent1 3 5" xfId="4127" xr:uid="{9A248D4A-4397-4B3D-B182-C19AE8410C71}"/>
    <cellStyle name="Accent1 4" xfId="364" xr:uid="{F70D2A21-5E75-427B-9A49-C7879FEFE499}"/>
    <cellStyle name="Accent1 4 2" xfId="2349" xr:uid="{D40EB692-0847-4276-ADCF-6634FD8A12E7}"/>
    <cellStyle name="Accent1 4 3" xfId="2348" xr:uid="{E8CFF516-711F-4519-AE60-E87BC4836BCA}"/>
    <cellStyle name="Accent1 5" xfId="365" xr:uid="{195574B9-FA2C-4D0E-80EC-E9D2B3E99470}"/>
    <cellStyle name="Accent1 5 2" xfId="2350" xr:uid="{DC99F07A-F6FA-4C7C-AC81-6EE30A7CE48B}"/>
    <cellStyle name="Accent1 6" xfId="366" xr:uid="{35A9CE23-BAE9-4556-9CF8-319451A6CC0B}"/>
    <cellStyle name="Accent1 6 2" xfId="2351" xr:uid="{1E6139C8-F5A8-4493-9C52-4479E2A25C59}"/>
    <cellStyle name="Accent1 7" xfId="367" xr:uid="{A92F728B-D892-42C5-9F6B-7F264DED586E}"/>
    <cellStyle name="Accent1 7 2" xfId="2352" xr:uid="{05EA00F8-CB90-4B46-A5D8-5C8A35A91102}"/>
    <cellStyle name="Accent1 8" xfId="368" xr:uid="{C2C70A46-7D76-4ED2-BEF2-B25DB1E2677B}"/>
    <cellStyle name="Accent1 8 2" xfId="2353" xr:uid="{D1F330DA-4225-46AF-BA13-38F587E1C83F}"/>
    <cellStyle name="Accent1 9" xfId="369" xr:uid="{294B5A8D-A5E3-4272-8D09-3F68D8E68C21}"/>
    <cellStyle name="Accent1 9 2" xfId="2354" xr:uid="{173C9CCB-CAAB-4D21-BEC6-42151F66FEEB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2 2" xfId="2357" xr:uid="{22879CAC-2A5E-4A30-97A7-7C395FFB14E0}"/>
    <cellStyle name="Accent2 2 2 3" xfId="2356" xr:uid="{08F9F54E-2B02-42FD-90D5-E90BB9063D88}"/>
    <cellStyle name="Accent2 2 3" xfId="376" xr:uid="{658ACFBF-F8A5-46A6-A4A8-BB00CA5F6D24}"/>
    <cellStyle name="Accent2 2 3 2" xfId="2359" xr:uid="{DC1B2045-D80D-4DC7-8A70-0B4D9527C5CB}"/>
    <cellStyle name="Accent2 2 3 3" xfId="2358" xr:uid="{DC576983-033D-4CDA-8E3D-EC990CDC02D3}"/>
    <cellStyle name="Accent2 2 4" xfId="2360" xr:uid="{CBB68267-C345-45D4-A315-CA144C4AB677}"/>
    <cellStyle name="Accent2 2 5" xfId="2361" xr:uid="{477C5320-3454-454D-B676-15A310ABD1E0}"/>
    <cellStyle name="Accent2 2 6" xfId="2362" xr:uid="{87EB7467-3465-471B-9AC0-9EC9E6B75F81}"/>
    <cellStyle name="Accent2 2 7" xfId="2363" xr:uid="{07D3BA8C-12B2-44DC-9B8B-98652F7E8BB3}"/>
    <cellStyle name="Accent2 2 8" xfId="2355" xr:uid="{839FCC63-DBA9-49D6-A7D2-90E2DEC56ED1}"/>
    <cellStyle name="Accent2 3" xfId="377" xr:uid="{0E04D4DB-0043-4EF3-B1DE-89D122024744}"/>
    <cellStyle name="Accent2 3 2" xfId="2365" xr:uid="{EAD8E930-3266-41CD-8DB9-306E4DB813A4}"/>
    <cellStyle name="Accent2 3 2 2" xfId="4380" xr:uid="{5A852ABD-8029-4D8A-8DCE-43E5FA3F8A93}"/>
    <cellStyle name="Accent2 3 3" xfId="2366" xr:uid="{E73EAF32-64D9-41DC-A8AF-B221E258820A}"/>
    <cellStyle name="Accent2 3 4" xfId="2364" xr:uid="{03EC08E1-384F-4489-9B84-80407A18FFA3}"/>
    <cellStyle name="Accent2 3 5" xfId="4131" xr:uid="{370EBFD7-060E-4A78-8874-EBD817A26BBB}"/>
    <cellStyle name="Accent2 4" xfId="378" xr:uid="{ABEA153E-575F-4599-8F2D-CDDDE8620568}"/>
    <cellStyle name="Accent2 4 2" xfId="2368" xr:uid="{A9316B93-7AF4-4F3C-843B-67E2F418FC6C}"/>
    <cellStyle name="Accent2 4 3" xfId="2367" xr:uid="{D42959A5-74D5-4AC8-822B-760B02D29C65}"/>
    <cellStyle name="Accent2 5" xfId="379" xr:uid="{B6F33499-F77A-45F7-88AF-FED3701ABE51}"/>
    <cellStyle name="Accent2 5 2" xfId="2369" xr:uid="{BE59137F-F437-4BE4-8333-426D93549EAF}"/>
    <cellStyle name="Accent2 6" xfId="380" xr:uid="{3C76C1D3-42D0-4088-9FDA-A18118ACC297}"/>
    <cellStyle name="Accent2 6 2" xfId="2370" xr:uid="{6FD5FE9F-F0AD-40CC-8470-6C8B9E3399CC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2 2" xfId="2373" xr:uid="{4664DBB0-7990-4624-8BE8-5B4244188554}"/>
    <cellStyle name="Accent3 2 2 3" xfId="2372" xr:uid="{A87083BC-C1A0-4985-A770-753A98C2387B}"/>
    <cellStyle name="Accent3 2 3" xfId="390" xr:uid="{2CBCA5EE-BE77-4470-897F-E80E0D5DF163}"/>
    <cellStyle name="Accent3 2 3 2" xfId="2375" xr:uid="{FD65230E-2BDE-439D-A4CA-DB689FB7547C}"/>
    <cellStyle name="Accent3 2 3 3" xfId="2374" xr:uid="{50CE4C5E-5779-4232-8C0A-6EBC2593D71F}"/>
    <cellStyle name="Accent3 2 4" xfId="2376" xr:uid="{6BC33AFB-D70B-4530-903C-3C561629C8B8}"/>
    <cellStyle name="Accent3 2 5" xfId="2377" xr:uid="{224071FB-306D-407C-AA4D-6C02FEF157B1}"/>
    <cellStyle name="Accent3 2 6" xfId="2378" xr:uid="{35CB817F-0459-4A1F-BA87-0BD499304688}"/>
    <cellStyle name="Accent3 2 7" xfId="2379" xr:uid="{DF148C6C-84F0-445F-9EE4-7081E1CD7B79}"/>
    <cellStyle name="Accent3 2 8" xfId="2371" xr:uid="{ED3C6499-FC7E-4299-9593-A5B5F04CCB53}"/>
    <cellStyle name="Accent3 3" xfId="391" xr:uid="{7E5E41E5-0AAC-4B04-8490-B57402A0F4BA}"/>
    <cellStyle name="Accent3 3 2" xfId="2381" xr:uid="{D2EEEB50-34E8-4D22-994C-5A0DBF5817D4}"/>
    <cellStyle name="Accent3 3 2 2" xfId="4381" xr:uid="{090F659D-8AB8-41BD-880E-A3052D9E122B}"/>
    <cellStyle name="Accent3 3 3" xfId="2382" xr:uid="{D1484F13-F5FB-45C1-813C-35E9EBF869D6}"/>
    <cellStyle name="Accent3 3 4" xfId="2380" xr:uid="{F71F3720-1486-4CF4-9B1B-B855EA71F162}"/>
    <cellStyle name="Accent3 3 5" xfId="4135" xr:uid="{71D31B40-5017-439C-AC4E-A6F7E5A98984}"/>
    <cellStyle name="Accent3 4" xfId="392" xr:uid="{F95D2CCE-8F67-4454-A2EA-427DF7044C56}"/>
    <cellStyle name="Accent3 4 2" xfId="2384" xr:uid="{BDB3E029-253E-4E90-A004-48A0B69DDFEA}"/>
    <cellStyle name="Accent3 4 3" xfId="2383" xr:uid="{BF1A2AEC-35EA-424A-978B-A05574AF8B83}"/>
    <cellStyle name="Accent3 5" xfId="393" xr:uid="{904401F1-D588-4BF1-8332-30B44D2882A5}"/>
    <cellStyle name="Accent3 5 2" xfId="2385" xr:uid="{EFEC5C05-498D-4CEB-9A65-20B534B63401}"/>
    <cellStyle name="Accent3 6" xfId="394" xr:uid="{51445725-488F-4395-9089-4CD2E9935CCB}"/>
    <cellStyle name="Accent3 6 2" xfId="2386" xr:uid="{DB46E9E5-C2B9-47AC-8AFA-0A83A101FAEE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0 2" xfId="2387" xr:uid="{FCE00729-5978-41BF-B3CA-9E8AA2F549AD}"/>
    <cellStyle name="Accent4 11" xfId="399" xr:uid="{AA8A6EFE-68D5-4939-8663-F4C12ECA1874}"/>
    <cellStyle name="Accent4 11 2" xfId="2388" xr:uid="{16A90B9C-B021-44BE-961E-7EFB5DA6159D}"/>
    <cellStyle name="Accent4 12" xfId="400" xr:uid="{BCCE4523-5EAE-4B0A-A908-B2BEF07910AA}"/>
    <cellStyle name="Accent4 12 2" xfId="2389" xr:uid="{B1A8324D-48AA-4C99-89CD-D35F32B50B8A}"/>
    <cellStyle name="Accent4 13" xfId="401" xr:uid="{BE8BA843-2C3B-498E-AA84-AF0EEA4A9D08}"/>
    <cellStyle name="Accent4 13 2" xfId="2390" xr:uid="{81948A46-05D8-43DE-8414-22C6DB63F483}"/>
    <cellStyle name="Accent4 14" xfId="402" xr:uid="{2942FC04-1DCE-4A87-932C-CDFCD7D8C80D}"/>
    <cellStyle name="Accent4 14 2" xfId="2391" xr:uid="{A5B99604-02FE-4525-A6DA-690B67304F8B}"/>
    <cellStyle name="Accent4 15" xfId="403" xr:uid="{CA723D49-D18A-40A2-B08B-E9563211ABCA}"/>
    <cellStyle name="Accent4 15 2" xfId="2392" xr:uid="{8034C123-8264-4D6C-B11A-70035D3ADD9E}"/>
    <cellStyle name="Accent4 16" xfId="871" xr:uid="{A6928AFA-45D5-4ECE-B72F-01121C16BFEF}"/>
    <cellStyle name="Accent4 16 2" xfId="2393" xr:uid="{88DCA4BD-1423-435F-81FC-BC3D031196AA}"/>
    <cellStyle name="Accent4 2" xfId="44" xr:uid="{00000000-0005-0000-0000-00001E000000}"/>
    <cellStyle name="Accent4 2 2" xfId="826" xr:uid="{46F873C4-B866-4F77-AF9B-F232FFBB5B98}"/>
    <cellStyle name="Accent4 2 2 2" xfId="2396" xr:uid="{B41F85E3-5B3C-4D11-8194-7156F6CFB8D3}"/>
    <cellStyle name="Accent4 2 2 3" xfId="2395" xr:uid="{4EEC94A7-A2D0-4D5A-8835-4A89D911D9CA}"/>
    <cellStyle name="Accent4 2 3" xfId="404" xr:uid="{975A9701-FA0E-4A13-B8DD-CDF2819CD5A2}"/>
    <cellStyle name="Accent4 2 3 2" xfId="2398" xr:uid="{33468CAC-D12A-4E60-A40B-3A2009C64948}"/>
    <cellStyle name="Accent4 2 3 3" xfId="2397" xr:uid="{A7145F8F-3F07-4D63-BCB5-2312736FCE07}"/>
    <cellStyle name="Accent4 2 4" xfId="2399" xr:uid="{33AFA998-4ED3-47D8-B640-853F6BDE21BF}"/>
    <cellStyle name="Accent4 2 5" xfId="2400" xr:uid="{921905D4-8484-4348-A3C9-C9261C474792}"/>
    <cellStyle name="Accent4 2 6" xfId="2401" xr:uid="{C874A2C5-7237-4FD7-A2E4-79360B3FDB23}"/>
    <cellStyle name="Accent4 2 7" xfId="2402" xr:uid="{E3AEE5FA-3860-4392-A600-AAA1FACCBDE7}"/>
    <cellStyle name="Accent4 2 8" xfId="2394" xr:uid="{754524C4-7D16-4934-AD68-08DFADAD2969}"/>
    <cellStyle name="Accent4 3" xfId="405" xr:uid="{5B4974FB-59DB-46B5-BB8E-1D441665E735}"/>
    <cellStyle name="Accent4 3 2" xfId="2404" xr:uid="{18370608-26FE-47CD-A06F-1A003886880A}"/>
    <cellStyle name="Accent4 3 2 2" xfId="4382" xr:uid="{91B18E78-AF15-43B7-8C57-2C5B4F98FC0C}"/>
    <cellStyle name="Accent4 3 3" xfId="2405" xr:uid="{F1C7780D-000E-44AB-B0EB-3B6942C24EE2}"/>
    <cellStyle name="Accent4 3 4" xfId="2403" xr:uid="{B1B545FF-FD37-4CA7-A96C-BA4F9CD95770}"/>
    <cellStyle name="Accent4 3 5" xfId="4139" xr:uid="{0F8C8EAF-B075-4AC0-B54C-BACD510A87B4}"/>
    <cellStyle name="Accent4 4" xfId="406" xr:uid="{F373D766-E62C-4E35-B388-048F69949A2A}"/>
    <cellStyle name="Accent4 4 2" xfId="2407" xr:uid="{AD19EF95-7A97-4A61-B0AA-740B09A9F2AC}"/>
    <cellStyle name="Accent4 4 3" xfId="2406" xr:uid="{B32AEABD-8568-407A-9EA7-FD23280E7287}"/>
    <cellStyle name="Accent4 5" xfId="407" xr:uid="{2737E294-DCBF-46EF-86B0-FE5C12C02CAA}"/>
    <cellStyle name="Accent4 5 2" xfId="2408" xr:uid="{FEE7815C-0136-4876-B66E-835CB21F9B6A}"/>
    <cellStyle name="Accent4 6" xfId="408" xr:uid="{107DD55B-0855-48BB-8177-89B07261A147}"/>
    <cellStyle name="Accent4 6 2" xfId="2409" xr:uid="{A5C98145-F6D5-4BF4-9601-748F4E12499C}"/>
    <cellStyle name="Accent4 7" xfId="409" xr:uid="{0B450E02-87F3-46FC-ABCF-14FF49675432}"/>
    <cellStyle name="Accent4 7 2" xfId="2410" xr:uid="{2E9655AE-0754-4DE3-A7FA-8BD49468D964}"/>
    <cellStyle name="Accent4 8" xfId="410" xr:uid="{FA4F0027-AB48-4607-A2C9-2F6DFA011570}"/>
    <cellStyle name="Accent4 8 2" xfId="2411" xr:uid="{9A91E73A-F257-4277-9082-77388B1245A5}"/>
    <cellStyle name="Accent4 9" xfId="411" xr:uid="{8B350769-DEE4-4AA9-9969-CF5914B7C43B}"/>
    <cellStyle name="Accent4 9 2" xfId="2412" xr:uid="{D4677853-61FF-4840-AB18-385C62CD63CA}"/>
    <cellStyle name="Accent5" xfId="1535" builtinId="45" customBuiltin="1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2 2" xfId="2415" xr:uid="{7F9D4634-5682-4C71-A9B5-82C3162C8D2E}"/>
    <cellStyle name="Accent5 2 2 3" xfId="2414" xr:uid="{01069922-2747-4C74-9B21-EC9BE407B8AD}"/>
    <cellStyle name="Accent5 2 3" xfId="418" xr:uid="{5179EA49-A272-41FC-993B-E4F55677CBC9}"/>
    <cellStyle name="Accent5 2 3 2" xfId="2417" xr:uid="{0ECA0298-F851-4ED6-8381-B261B09753F8}"/>
    <cellStyle name="Accent5 2 3 3" xfId="2416" xr:uid="{F8837573-BF1B-48F3-A424-A1CF28222782}"/>
    <cellStyle name="Accent5 2 4" xfId="2418" xr:uid="{443FF2DA-4F98-4AB8-9AFA-8F4E36608B69}"/>
    <cellStyle name="Accent5 2 5" xfId="2419" xr:uid="{784EDB8B-8733-46CC-9D25-2EB451A4E4A4}"/>
    <cellStyle name="Accent5 2 6" xfId="2420" xr:uid="{41A05FE0-721B-41C7-807F-4BBBF2AF3FA8}"/>
    <cellStyle name="Accent5 2 7" xfId="2413" xr:uid="{A27B6DEC-8FC4-4C32-AE00-8E88ED3AFDAF}"/>
    <cellStyle name="Accent5 3" xfId="419" xr:uid="{2D1C5A73-024B-4C15-B18B-3D645AB7F0C1}"/>
    <cellStyle name="Accent5 3 2" xfId="2422" xr:uid="{B5F7529C-B3D0-4844-AA21-2A4B006BE35C}"/>
    <cellStyle name="Accent5 3 2 2" xfId="4383" xr:uid="{1F330A8C-F054-4529-B270-C34B1F70A613}"/>
    <cellStyle name="Accent5 3 3" xfId="2423" xr:uid="{64FB0B36-E684-405A-9129-32111C65BA81}"/>
    <cellStyle name="Accent5 3 4" xfId="2421" xr:uid="{FB886F88-5317-4155-A194-A526AB79EB82}"/>
    <cellStyle name="Accent5 3 5" xfId="4143" xr:uid="{29D67CDB-CDC1-44F6-A7DD-37C5081E01E5}"/>
    <cellStyle name="Accent5 4" xfId="420" xr:uid="{6800D9EF-155D-4AE6-942B-0EED17109F2A}"/>
    <cellStyle name="Accent5 4 2" xfId="2425" xr:uid="{5A4433B8-05B3-4FAF-900D-D5526A97FE8F}"/>
    <cellStyle name="Accent5 4 3" xfId="2424" xr:uid="{59D29531-1459-4760-B0C8-ABC7B12A021D}"/>
    <cellStyle name="Accent5 5" xfId="421" xr:uid="{7270F192-3905-4544-A9C9-2686AF21939D}"/>
    <cellStyle name="Accent5 5 2" xfId="2426" xr:uid="{7EC9C8D1-1D2A-4666-8ACB-10C1365E6F3D}"/>
    <cellStyle name="Accent5 6" xfId="422" xr:uid="{55C18A12-D324-472C-9022-BE401BF33F42}"/>
    <cellStyle name="Accent5 6 2" xfId="2427" xr:uid="{542D470B-5F44-414D-855D-0866EC1421F6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2 2" xfId="2430" xr:uid="{5868CEAF-6FC6-4169-B646-A336C9BACE7C}"/>
    <cellStyle name="Accent6 2 2 3" xfId="2429" xr:uid="{BC191767-CFFA-41E7-AF2F-7BE819883748}"/>
    <cellStyle name="Accent6 2 3" xfId="432" xr:uid="{A6EF0BCD-1951-4469-A103-C10605D9C201}"/>
    <cellStyle name="Accent6 2 3 2" xfId="2432" xr:uid="{EFBB39EA-D2A1-470B-AC66-015F1E827F3D}"/>
    <cellStyle name="Accent6 2 3 3" xfId="2431" xr:uid="{E18C3DA8-4B52-4818-B57C-2550607401E6}"/>
    <cellStyle name="Accent6 2 4" xfId="2433" xr:uid="{4540F9CE-88EB-4209-BB3B-090338ADAE49}"/>
    <cellStyle name="Accent6 2 5" xfId="2434" xr:uid="{549809B5-EA4A-4AEA-AE1F-D7F8AA9889AF}"/>
    <cellStyle name="Accent6 2 6" xfId="2435" xr:uid="{B50B231C-C04F-4053-905E-285CDDAD29CD}"/>
    <cellStyle name="Accent6 2 7" xfId="2436" xr:uid="{59A28209-E0D1-45F7-B4ED-34F1B4461A48}"/>
    <cellStyle name="Accent6 2 8" xfId="2428" xr:uid="{246A0006-BB3D-4C62-B17D-14343CC73C27}"/>
    <cellStyle name="Accent6 3" xfId="433" xr:uid="{937A6A4B-0827-42B7-94E1-ED48F95052E5}"/>
    <cellStyle name="Accent6 3 2" xfId="2438" xr:uid="{92038881-682F-40D8-9B41-E6CDF6D32564}"/>
    <cellStyle name="Accent6 3 2 2" xfId="4384" xr:uid="{5E6713BC-E3DC-4254-906D-A0588046FF10}"/>
    <cellStyle name="Accent6 3 3" xfId="2439" xr:uid="{3C290618-F8D8-43BA-8061-403E54207A41}"/>
    <cellStyle name="Accent6 3 4" xfId="2437" xr:uid="{821CC154-8155-4261-A83A-BA3676C1B5A1}"/>
    <cellStyle name="Accent6 3 5" xfId="4147" xr:uid="{ABE9AF8E-6FB2-4FBF-B5B5-DACCBEA9E03B}"/>
    <cellStyle name="Accent6 4" xfId="434" xr:uid="{02437E66-BCE1-4A90-A9A2-DA098689900A}"/>
    <cellStyle name="Accent6 4 2" xfId="2441" xr:uid="{DD653AF4-80DA-40CA-932C-C8E2A9C27675}"/>
    <cellStyle name="Accent6 4 3" xfId="2440" xr:uid="{098BB484-354B-4942-8854-3B334257F073}"/>
    <cellStyle name="Accent6 5" xfId="435" xr:uid="{577460C7-DC19-4713-88DB-4CA0D0F9C622}"/>
    <cellStyle name="Accent6 5 2" xfId="2442" xr:uid="{6FE8CFCF-FF3C-4E4F-9219-1A3051ED00DB}"/>
    <cellStyle name="Accent6 6" xfId="436" xr:uid="{D59A24A9-41A8-46BF-B9B3-6D69CD3561C7}"/>
    <cellStyle name="Accent6 6 2" xfId="2443" xr:uid="{62DA20CF-B8BB-4A99-A5FE-EE0C985EAB83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2 2" xfId="2446" xr:uid="{DE23B9B4-56D1-4B23-BFD1-39B9FE75AF93}"/>
    <cellStyle name="Bad 2 2 3" xfId="2445" xr:uid="{1F7D3F76-0E35-4BD7-9E22-EB2AA875F460}"/>
    <cellStyle name="Bad 2 3" xfId="446" xr:uid="{41A6028F-ABDC-42B2-A98C-558E769DDBB8}"/>
    <cellStyle name="Bad 2 3 2" xfId="2448" xr:uid="{EC81F99F-E9DC-4BE4-8924-591A1F198C84}"/>
    <cellStyle name="Bad 2 3 3" xfId="2447" xr:uid="{340FB6E5-51AB-4E32-89E3-74D08AB26EF5}"/>
    <cellStyle name="Bad 2 4" xfId="2449" xr:uid="{905C0D5D-FB5C-4BC3-99D1-994155E8E912}"/>
    <cellStyle name="Bad 2 5" xfId="2450" xr:uid="{878BD53A-60ED-4964-BED0-270931D18049}"/>
    <cellStyle name="Bad 2 6" xfId="2451" xr:uid="{95509CD7-6B6C-4D1B-BE66-DD688EBD4B3B}"/>
    <cellStyle name="Bad 2 7" xfId="2444" xr:uid="{523735D1-4561-43B1-94AF-1B3DAAEE2F58}"/>
    <cellStyle name="Bad 3" xfId="447" xr:uid="{D76F6138-44C3-441E-875B-A4F2C607CE4C}"/>
    <cellStyle name="Bad 3 2" xfId="2453" xr:uid="{10E7D766-5C01-4BA9-B85B-4DB2439E79DC}"/>
    <cellStyle name="Bad 3 2 2" xfId="4385" xr:uid="{97835C03-C440-45D5-857D-E2D3510CEA23}"/>
    <cellStyle name="Bad 3 3" xfId="2454" xr:uid="{0A061AE4-2862-49BC-AE62-8CAD31BDD6E9}"/>
    <cellStyle name="Bad 3 4" xfId="2452" xr:uid="{593F95FA-3112-4EFE-B107-6AC987B85D3E}"/>
    <cellStyle name="Bad 3 5" xfId="4116" xr:uid="{63B42ECD-8B18-4DD7-84F7-989FE28CD6CA}"/>
    <cellStyle name="Bad 4" xfId="448" xr:uid="{85042327-E6F6-4E0C-A834-E27C1FB2195B}"/>
    <cellStyle name="Bad 4 2" xfId="2456" xr:uid="{3D70F714-1C24-4B67-B915-F2FA6305062B}"/>
    <cellStyle name="Bad 4 3" xfId="2455" xr:uid="{EEFC0006-F066-4858-B4A6-D7BDEA64BF7D}"/>
    <cellStyle name="Bad 5" xfId="449" xr:uid="{71EA3BCB-4953-42EF-A94D-10BF71005792}"/>
    <cellStyle name="Bad 5 2" xfId="2457" xr:uid="{277BD7E7-0CED-4F7B-8B40-72AC9760D01D}"/>
    <cellStyle name="Bad 6" xfId="450" xr:uid="{EBC9A3A2-CE6B-425B-A05F-6EAEE22CBFDA}"/>
    <cellStyle name="Bad 6 2" xfId="2458" xr:uid="{48B81082-79CF-490D-85F2-032D53C426BC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0 2" xfId="2459" xr:uid="{13527332-A620-414E-9748-F0164C5D9890}"/>
    <cellStyle name="Calculation 11" xfId="455" xr:uid="{47971860-E666-4C29-97F9-161A08A9FF1E}"/>
    <cellStyle name="Calculation 11 2" xfId="2460" xr:uid="{5E6551A1-DC2A-4D7E-8934-F683A33D639D}"/>
    <cellStyle name="Calculation 12" xfId="456" xr:uid="{2FC89415-36AF-4353-B5B7-78192B53DA51}"/>
    <cellStyle name="Calculation 12 2" xfId="2461" xr:uid="{4330A457-C9D5-4118-8E44-91EA8F6857AB}"/>
    <cellStyle name="Calculation 13" xfId="457" xr:uid="{726743D5-765F-4053-A7B0-CF1E385961A9}"/>
    <cellStyle name="Calculation 13 2" xfId="2462" xr:uid="{4EE3E0CB-C541-4554-9E4D-628CB4F08C9E}"/>
    <cellStyle name="Calculation 14" xfId="458" xr:uid="{E82CFC78-EA29-42A0-8624-BC3BB0C4CF1B}"/>
    <cellStyle name="Calculation 14 2" xfId="2463" xr:uid="{38BE7D1F-AF5F-4E86-A8DE-9E7CB4539664}"/>
    <cellStyle name="Calculation 15" xfId="459" xr:uid="{599CDEE9-E7D5-4FCC-9B2A-54F4711FE356}"/>
    <cellStyle name="Calculation 15 2" xfId="2464" xr:uid="{F481E3F0-69FF-4AB4-BC54-8B231F620509}"/>
    <cellStyle name="Calculation 16" xfId="790" xr:uid="{712A35D0-6342-4FA3-89E2-CC72CF61E961}"/>
    <cellStyle name="Calculation 16 2" xfId="2465" xr:uid="{B841A64E-538B-4BF4-BD69-31FE8691B15B}"/>
    <cellStyle name="Calculation 17" xfId="5126" xr:uid="{BD393EAF-06A5-4C20-A7CA-6343AB2C511C}"/>
    <cellStyle name="Calculation 18" xfId="5128" xr:uid="{C586B415-86D4-444F-BC87-CB5B9FEF88BA}"/>
    <cellStyle name="Calculation 2" xfId="48" xr:uid="{00000000-0005-0000-0000-000022000000}"/>
    <cellStyle name="Calculation 2 2" xfId="807" xr:uid="{B42AAE89-5EA0-4B4D-BAFF-47773D7B4CFD}"/>
    <cellStyle name="Calculation 2 2 2" xfId="2468" xr:uid="{35787713-DE1E-4380-B0C6-55D5E5E2CB01}"/>
    <cellStyle name="Calculation 2 2 3" xfId="2467" xr:uid="{080FD8AF-0DE7-4CCB-BCCF-28C46EF312D7}"/>
    <cellStyle name="Calculation 2 3" xfId="460" xr:uid="{C4C74B5B-8AE0-4EC3-9C78-1196B7B6FD0D}"/>
    <cellStyle name="Calculation 2 3 2" xfId="2470" xr:uid="{F4CAB96A-10FF-4E6C-AA1A-F7C07DAA6780}"/>
    <cellStyle name="Calculation 2 3 3" xfId="2469" xr:uid="{706C54E4-C10C-44DA-AC93-C5246ECAD030}"/>
    <cellStyle name="Calculation 2 4" xfId="2471" xr:uid="{66779077-6688-47D6-B517-8B4EEAC3D332}"/>
    <cellStyle name="Calculation 2 5" xfId="2472" xr:uid="{D764BBBC-4049-461B-945D-907379A9DF55}"/>
    <cellStyle name="Calculation 2 6" xfId="2473" xr:uid="{8A355FB3-C983-4776-B7C5-7CC4BFF128A6}"/>
    <cellStyle name="Calculation 2 7" xfId="2466" xr:uid="{0EAB0F7D-9440-4D4A-B76D-EE209EA7D0B2}"/>
    <cellStyle name="Calculation 3" xfId="461" xr:uid="{1F8CEF80-6E40-44C7-B96B-7343048F4087}"/>
    <cellStyle name="Calculation 3 2" xfId="2475" xr:uid="{5D5B1988-2686-473B-8959-ABE33ACB673E}"/>
    <cellStyle name="Calculation 3 2 2" xfId="4386" xr:uid="{B4AD4CE3-5B84-43F0-9870-EC51C890051B}"/>
    <cellStyle name="Calculation 3 3" xfId="2476" xr:uid="{4367C864-9ED4-4826-86E6-4FF518F332A6}"/>
    <cellStyle name="Calculation 3 4" xfId="2474" xr:uid="{67DBB770-B66E-4AB3-B336-3DEEA471C3FF}"/>
    <cellStyle name="Calculation 3 5" xfId="4120" xr:uid="{E63481C3-E5F7-4D1F-A711-252AA66B7E4A}"/>
    <cellStyle name="Calculation 4" xfId="462" xr:uid="{701D28DE-684A-499C-A8BF-54C60C03DEAE}"/>
    <cellStyle name="Calculation 4 2" xfId="2478" xr:uid="{9F183183-746E-4000-9CD8-E67939989D9F}"/>
    <cellStyle name="Calculation 4 3" xfId="2477" xr:uid="{425DF638-8D04-4512-B0DC-A2959F5B7FB5}"/>
    <cellStyle name="Calculation 5" xfId="463" xr:uid="{408654D6-6674-41DB-91CE-F0969FF2081D}"/>
    <cellStyle name="Calculation 5 2" xfId="2479" xr:uid="{5F534B4A-6F92-4F3E-842D-5AA93C73446B}"/>
    <cellStyle name="Calculation 6" xfId="464" xr:uid="{5D482EDF-5266-43FF-9B1C-CBC5E37E3E6E}"/>
    <cellStyle name="Calculation 6 2" xfId="2480" xr:uid="{A3EC1643-25EC-478F-9510-663210B8D4D1}"/>
    <cellStyle name="Calculation 7" xfId="465" xr:uid="{083EBA3B-C5DE-464E-A820-DEC2E0B9B615}"/>
    <cellStyle name="Calculation 7 2" xfId="2481" xr:uid="{7F08F5B9-2F8B-4CE7-9B19-28A1F708DFAA}"/>
    <cellStyle name="Calculation 8" xfId="466" xr:uid="{B78FAE0F-4228-4CAA-8791-909755D8B289}"/>
    <cellStyle name="Calculation 8 2" xfId="2482" xr:uid="{674C3731-01AA-49BE-8FE8-B1D3E4E37351}"/>
    <cellStyle name="Calculation 9" xfId="467" xr:uid="{51BC4678-9144-4C80-A553-F021F0AAEB43}"/>
    <cellStyle name="Calculation 9 2" xfId="2483" xr:uid="{A819A44E-4919-4FA6-A0C0-F9B3AD436434}"/>
    <cellStyle name="Check Cell" xfId="1531" builtinId="23" customBuiltin="1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2 2" xfId="2486" xr:uid="{08D80102-5535-4511-8285-98EBA20BF28D}"/>
    <cellStyle name="Check Cell 2 2 3" xfId="2485" xr:uid="{A0754092-A922-420C-8E2B-281832E1B4F3}"/>
    <cellStyle name="Check Cell 2 3" xfId="474" xr:uid="{BBE0D81B-B04F-47B8-B9D9-7E418AE7ADCE}"/>
    <cellStyle name="Check Cell 2 3 2" xfId="2488" xr:uid="{8D74B6FF-3078-498D-B635-B9E03B3945AC}"/>
    <cellStyle name="Check Cell 2 3 3" xfId="2487" xr:uid="{96A58333-9F58-458E-942F-B0B0ED683441}"/>
    <cellStyle name="Check Cell 2 4" xfId="2489" xr:uid="{A5E61F93-DBA8-43B4-BB16-EDEE01B33127}"/>
    <cellStyle name="Check Cell 2 5" xfId="2490" xr:uid="{879D369B-C1C5-49E0-BD5A-D1305E29E198}"/>
    <cellStyle name="Check Cell 2 6" xfId="2491" xr:uid="{315F5B35-3779-4815-AF17-67DF0B5DA277}"/>
    <cellStyle name="Check Cell 2 7" xfId="2484" xr:uid="{AC73C384-AC04-4EAE-8533-42A5BF6C1322}"/>
    <cellStyle name="Check Cell 3" xfId="475" xr:uid="{DC684159-56B1-431F-9DF0-56BB473ACBA0}"/>
    <cellStyle name="Check Cell 3 2" xfId="2493" xr:uid="{056C184F-9FE5-4F9C-86E2-C45B5A4457EC}"/>
    <cellStyle name="Check Cell 3 2 2" xfId="4387" xr:uid="{9284CD3C-B913-46B5-A490-26C13FC7DC6B}"/>
    <cellStyle name="Check Cell 3 3" xfId="2494" xr:uid="{517DE1C2-776E-4D3A-8A67-79745BEC9F7D}"/>
    <cellStyle name="Check Cell 3 4" xfId="2492" xr:uid="{883B61EE-8F56-40FF-B4F7-A433CDD2EF4E}"/>
    <cellStyle name="Check Cell 3 5" xfId="4122" xr:uid="{2054539E-DA56-48F0-B024-9686EDFF8666}"/>
    <cellStyle name="Check Cell 4" xfId="476" xr:uid="{F67AF96B-4B3A-4B61-B6F6-814D18FE2440}"/>
    <cellStyle name="Check Cell 4 2" xfId="2496" xr:uid="{2CCC08BD-33BA-49C0-90AA-4EAD968FC619}"/>
    <cellStyle name="Check Cell 4 3" xfId="2495" xr:uid="{93116E94-88FD-4E04-9FCE-09F0EE14F585}"/>
    <cellStyle name="Check Cell 5" xfId="477" xr:uid="{CB29AD73-0E65-4DA4-A542-081E7B0B7621}"/>
    <cellStyle name="Check Cell 5 2" xfId="2497" xr:uid="{3F982BD5-8EDA-4BD1-B648-B04A6CAAA00F}"/>
    <cellStyle name="Check Cell 6" xfId="478" xr:uid="{ABEDE31E-2C1B-4954-8E7C-7236B4512FFA}"/>
    <cellStyle name="Check Cell 6 2" xfId="2498" xr:uid="{C42C72A8-3CE3-4E07-8C7F-1D42BED2548D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10 2" xfId="3828" xr:uid="{5D6915F5-92D0-493F-94FA-D01950E857CF}"/>
    <cellStyle name="Comma 10 3" xfId="2499" xr:uid="{C2012BD7-E50E-4371-9ADD-7BAE79750DDE}"/>
    <cellStyle name="Comma 10 4" xfId="4388" xr:uid="{6EEB41A3-A134-47E8-A7ED-55B8E454E267}"/>
    <cellStyle name="Comma 11" xfId="2500" xr:uid="{4E737CE8-4A94-49EC-AC10-463B92D007A8}"/>
    <cellStyle name="Comma 11 2" xfId="3829" xr:uid="{E1074B6E-568F-4024-9341-99013F485BE4}"/>
    <cellStyle name="Comma 11 3" xfId="5227" xr:uid="{9EAA31B2-0C54-4D66-8668-ABB371BD266A}"/>
    <cellStyle name="Comma 12" xfId="2501" xr:uid="{589DD366-C05F-4D42-9E93-0831B47BA15B}"/>
    <cellStyle name="Comma 12 2" xfId="5232" xr:uid="{10A4E732-5935-4E16-B182-B4503EDF7F90}"/>
    <cellStyle name="Comma 13" xfId="2502" xr:uid="{6B378A5F-E622-4CF8-B17C-9C143DC9620E}"/>
    <cellStyle name="Comma 13 2" xfId="3830" xr:uid="{A8680A50-3785-4436-BDCB-4A7338D25F19}"/>
    <cellStyle name="Comma 14" xfId="2503" xr:uid="{9CA93732-D0BB-4825-9438-A41826F71AC4}"/>
    <cellStyle name="Comma 14 2" xfId="3831" xr:uid="{D57E0BF9-36DB-476A-8F0E-74C431364F6B}"/>
    <cellStyle name="Comma 15" xfId="2504" xr:uid="{FE9868DB-1D34-4DE8-8074-03D6F425C4A7}"/>
    <cellStyle name="Comma 16" xfId="2505" xr:uid="{E7C068CE-3E0A-4671-AD64-B046F595CA4C}"/>
    <cellStyle name="Comma 17" xfId="2506" xr:uid="{CAFA1DB0-A7AE-4077-92E0-C40C10E42DDA}"/>
    <cellStyle name="Comma 18" xfId="2507" xr:uid="{56343ECC-9BB8-4D41-B10E-C2ADAC7031C9}"/>
    <cellStyle name="Comma 19" xfId="2508" xr:uid="{ECE3A37F-740C-4DFB-BA7A-B640358EB220}"/>
    <cellStyle name="Comma 2" xfId="5" xr:uid="{00000000-0005-0000-0000-000025000000}"/>
    <cellStyle name="Comma 2 10" xfId="1527" xr:uid="{0BC537A4-BE34-44C8-AA9F-9D29E2B272D0}"/>
    <cellStyle name="Comma 2 11" xfId="2509" xr:uid="{A574745C-B1E1-47A4-A24E-15B1804D1898}"/>
    <cellStyle name="Comma 2 12" xfId="4091" xr:uid="{767EB7B4-3F9C-41BA-9287-B1A69B545CF9}"/>
    <cellStyle name="Comma 2 2" xfId="696" xr:uid="{5C884EC2-A2E8-4501-80D2-1AD62416BE05}"/>
    <cellStyle name="Comma 2 2 2" xfId="695" xr:uid="{45356556-BBB8-4BAC-AD32-6D82C625287D}"/>
    <cellStyle name="Comma 2 2 2 2" xfId="2511" xr:uid="{B96DB3E4-6E56-4D71-8B66-B3F59BAD2937}"/>
    <cellStyle name="Comma 2 2 2 2 2" xfId="4283" xr:uid="{6F87E3AD-BED2-4BA3-A688-BD40224DF346}"/>
    <cellStyle name="Comma 2 2 2 3" xfId="4419" xr:uid="{811BF626-ECBC-47BE-938C-21DB9F42394A}"/>
    <cellStyle name="Comma 2 2 2 4" xfId="4157" xr:uid="{3E85EE1A-984C-4233-A7D1-451542854A1C}"/>
    <cellStyle name="Comma 2 2 3" xfId="2512" xr:uid="{1DCC9DB6-B838-4CAF-A0D3-A06412F95E1B}"/>
    <cellStyle name="Comma 2 2 3 2" xfId="4293" xr:uid="{47A72B08-EDD6-41F8-BAB8-A9B37BBCED80}"/>
    <cellStyle name="Comma 2 2 3 3" xfId="5181" xr:uid="{85229BF7-8A24-4FDE-866C-90A00B6C740C}"/>
    <cellStyle name="Comma 2 2 3 4" xfId="4162" xr:uid="{131EC8DA-B913-4087-9195-FF528456A52D}"/>
    <cellStyle name="Comma 2 2 4" xfId="2510" xr:uid="{8B6F8D0C-FA91-416F-B678-5816722DF311}"/>
    <cellStyle name="Comma 2 2 4 2" xfId="4219" xr:uid="{CE863639-C202-43E2-9A58-D12F9E41B30D}"/>
    <cellStyle name="Comma 2 2 5" xfId="4276" xr:uid="{1BC3CC79-6263-427B-A0D9-ADE1A970A449}"/>
    <cellStyle name="Comma 2 2 6" xfId="4301" xr:uid="{60F0C155-6091-4541-B00E-CBD1593BAA7A}"/>
    <cellStyle name="Comma 2 2 7" xfId="4420" xr:uid="{EA601F73-15E6-4BF5-BF22-61E3AEA5F118}"/>
    <cellStyle name="Comma 2 2 8" xfId="4151" xr:uid="{43B5D86B-BC6F-468B-A407-CBF3B51286F5}"/>
    <cellStyle name="Comma 2 2_Database" xfId="4217" xr:uid="{85B4D8E9-A092-44FD-8C32-5BB3DA200065}"/>
    <cellStyle name="Comma 2 3" xfId="734" xr:uid="{27F51AD3-0C7D-4B0F-B4B0-08BB7C60AE6D}"/>
    <cellStyle name="Comma 2 3 2" xfId="2514" xr:uid="{31E5F940-88BD-480D-AF12-3E2517C3263D}"/>
    <cellStyle name="Comma 2 3 2 2" xfId="3832" xr:uid="{D0DAD74E-F04C-4F68-BDDF-E65A6B666E8F}"/>
    <cellStyle name="Comma 2 3 2 3" xfId="5213" xr:uid="{0C56A8C2-D776-4BED-94C4-835B704C27CD}"/>
    <cellStyle name="Comma 2 3 3" xfId="2515" xr:uid="{3F6883F8-7F39-42F6-9002-29911419182D}"/>
    <cellStyle name="Comma 2 3 4" xfId="2513" xr:uid="{D998A3C5-F4D3-420B-807B-09254D0F0808}"/>
    <cellStyle name="Comma 2 3 5" xfId="4450" xr:uid="{2C5EB535-0EBC-4E11-9765-BF0414AA6E5F}"/>
    <cellStyle name="Comma 2 4" xfId="839" xr:uid="{51C41699-2F14-4740-B30A-17757AFCA611}"/>
    <cellStyle name="Comma 2 4 2" xfId="2517" xr:uid="{4117A5A3-E98D-4BA7-917D-2A0E56B6F351}"/>
    <cellStyle name="Comma 2 4 2 2" xfId="3833" xr:uid="{19595F20-6545-4BF4-857C-1A2A969F12B9}"/>
    <cellStyle name="Comma 2 4 3" xfId="2516" xr:uid="{C5DF83C4-4D1D-4DB0-BF4C-BD7E2FDD3975}"/>
    <cellStyle name="Comma 2 4 4" xfId="4497" xr:uid="{AC9D699C-EFC7-4983-9709-698A6F21C5DE}"/>
    <cellStyle name="Comma 2 5" xfId="1529" xr:uid="{D042C698-5BF5-4C4E-A832-9FA411884923}"/>
    <cellStyle name="Comma 2 5 2" xfId="2519" xr:uid="{58D0F3F4-8BEE-40D1-9BB8-E72C219A50D6}"/>
    <cellStyle name="Comma 2 5 3" xfId="2518" xr:uid="{7659F384-E05D-45CA-9BE8-F2E8D52D67B5}"/>
    <cellStyle name="Comma 2 5 4" xfId="5122" xr:uid="{CCF2255A-6E5A-4987-82A5-D49B31867DF5}"/>
    <cellStyle name="Comma 2 6" xfId="2520" xr:uid="{181A2C2E-0E4D-4526-B805-2A736C22EDF3}"/>
    <cellStyle name="Comma 2 6 2" xfId="2521" xr:uid="{AF231BC4-5798-41CF-99BE-42F560F633BE}"/>
    <cellStyle name="Comma 2 6 3" xfId="5148" xr:uid="{C1E19F19-77AD-424F-BE65-CE55DA8D7DA4}"/>
    <cellStyle name="Comma 2 7" xfId="2522" xr:uid="{B5C988B0-46AC-4C45-9CE1-430C43DD91F8}"/>
    <cellStyle name="Comma 2 7 2" xfId="3834" xr:uid="{AE1DB914-2268-4652-8A4D-B00C1D280FD7}"/>
    <cellStyle name="Comma 2 7 3" xfId="5234" xr:uid="{FD3DD64A-5411-488E-BDCC-5C1F8A1200B4}"/>
    <cellStyle name="Comma 2 8" xfId="2523" xr:uid="{F00F7832-F454-435E-A086-8E683760E4F6}"/>
    <cellStyle name="Comma 2 8 2" xfId="4310" xr:uid="{12BB1CD9-83D5-4040-8EE2-1F2B41A6431E}"/>
    <cellStyle name="Comma 2 9" xfId="2524" xr:uid="{2FDA9F15-5154-4FB6-A6B3-AA3E226E2709}"/>
    <cellStyle name="Comma 2 9 2" xfId="3835" xr:uid="{DC2766E2-1892-4D41-B715-26E2F3145623}"/>
    <cellStyle name="Comma 20" xfId="4065" xr:uid="{B3F6A1C8-0FDF-4C16-9239-8AA55EF3D059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2528" xr:uid="{90AF06EC-7E08-4E6E-A69F-5047D3A476AF}"/>
    <cellStyle name="Comma 3 2 2 2 2" xfId="3836" xr:uid="{DB3233AC-0970-422A-900C-A12D4A5C05A5}"/>
    <cellStyle name="Comma 3 2 2 2 3" xfId="5194" xr:uid="{3F65F9E8-48F6-4607-826B-8C92D82EF947}"/>
    <cellStyle name="Comma 3 2 2 3" xfId="2529" xr:uid="{D6EC4F3B-F4F7-4295-BB8C-501CADBB4923}"/>
    <cellStyle name="Comma 3 2 2 3 2" xfId="4503" xr:uid="{9868ECDC-CB65-4984-A427-3899363CE9D7}"/>
    <cellStyle name="Comma 3 2 2 4" xfId="2527" xr:uid="{FB441F04-CB8B-4346-A36D-2B2C10C5E25F}"/>
    <cellStyle name="Comma 3 2 2 5" xfId="4194" xr:uid="{3FD89E68-A46C-4D7C-BA19-769FFDBC2A41}"/>
    <cellStyle name="Comma 3 2 3" xfId="697" xr:uid="{2385347A-A18A-44FB-B93F-BA54E6114382}"/>
    <cellStyle name="Comma 3 2 3 2" xfId="2530" xr:uid="{6905B9FE-2DE2-43E6-A83D-8DEBDF9195C1}"/>
    <cellStyle name="Comma 3 2 3 2 2" xfId="5223" xr:uid="{DE445785-412E-4C21-80D9-6763C431397E}"/>
    <cellStyle name="Comma 3 2 3 3" xfId="4421" xr:uid="{751C7A1B-D0CA-4AB7-A22C-404071760214}"/>
    <cellStyle name="Comma 3 2 4" xfId="2526" xr:uid="{DBB74ECB-BDF5-4FB4-AC54-F32DF28554B4}"/>
    <cellStyle name="Comma 3 2 4 2" xfId="5159" xr:uid="{D1BB6328-7157-4ED3-8CB6-E2733EAABB9B}"/>
    <cellStyle name="Comma 3 2 5" xfId="98" xr:uid="{00000000-0005-0000-0000-000028000000}"/>
    <cellStyle name="Comma 3 2 5 2" xfId="4344" xr:uid="{BE12398E-7BCE-4D3D-844B-93F4D9415C85}"/>
    <cellStyle name="Comma 3 2 6" xfId="5248" xr:uid="{533EF2F8-38A9-40FE-B36F-8F464B64E21D}"/>
    <cellStyle name="Comma 3 2 7" xfId="4327" xr:uid="{D2B4C610-304A-425A-BA3E-6C036CA139F4}"/>
    <cellStyle name="Comma 3 2 8" xfId="4100" xr:uid="{210B7E4C-B593-4D23-B4CD-B4FAF7689EAE}"/>
    <cellStyle name="Comma 3 3" xfId="841" xr:uid="{6F3B3E26-3FC8-4A18-8614-A92B20C5AF9B}"/>
    <cellStyle name="Comma 3 3 2" xfId="2532" xr:uid="{8540211C-49DB-4479-94C6-B6D105A6C8D3}"/>
    <cellStyle name="Comma 3 3 2 2" xfId="5184" xr:uid="{0CCCB67C-74F7-4B7B-BF69-D7BF82A19484}"/>
    <cellStyle name="Comma 3 3 3" xfId="2533" xr:uid="{9AD06E1B-8EBA-4EC6-B8E5-B5D5037B2B17}"/>
    <cellStyle name="Comma 3 3 3 2" xfId="4499" xr:uid="{A794407C-CB0B-459D-A9B8-DFC4820247D3}"/>
    <cellStyle name="Comma 3 3 4" xfId="2531" xr:uid="{A02073CD-29FD-41E8-9691-7DC340342B76}"/>
    <cellStyle name="Comma 3 3 5" xfId="4187" xr:uid="{94CCE01C-F836-4699-BCD9-B94F8ED6A482}"/>
    <cellStyle name="Comma 3 4" xfId="1013" xr:uid="{93DBB256-1BC0-48FF-9C75-641FCC229582}"/>
    <cellStyle name="Comma 3 4 2" xfId="2535" xr:uid="{6B992C8F-1A56-4350-AD6E-8A888C844463}"/>
    <cellStyle name="Comma 3 4 2 2" xfId="3837" xr:uid="{99E41330-8C46-4333-9E75-B297F981A1DF}"/>
    <cellStyle name="Comma 3 4 2 3" xfId="5216" xr:uid="{618A64BD-AD7D-4093-BCEF-A41ED2CA036A}"/>
    <cellStyle name="Comma 3 4 3" xfId="2534" xr:uid="{1684D94B-342F-45C9-80EC-6C01E5AABC6A}"/>
    <cellStyle name="Comma 3 4 3 2" xfId="4641" xr:uid="{13E8ED79-99AE-4A88-8EEB-C187626E8CBB}"/>
    <cellStyle name="Comma 3 4 4" xfId="4292" xr:uid="{8193144B-77C6-457A-9372-E578CACDDB78}"/>
    <cellStyle name="Comma 3 5" xfId="483" xr:uid="{F7718869-6A96-4AF3-81D7-69A99B2C7D27}"/>
    <cellStyle name="Comma 3 5 2" xfId="2536" xr:uid="{46A26991-14E7-4F20-8831-9B6845A08FCA}"/>
    <cellStyle name="Comma 3 5 3" xfId="4389" xr:uid="{92F1DC30-6799-4A80-8F2F-324F3E16A768}"/>
    <cellStyle name="Comma 3 6" xfId="2537" xr:uid="{FADA25FB-7D37-4C14-8B13-BA96DB7FDE77}"/>
    <cellStyle name="Comma 3 6 2" xfId="3838" xr:uid="{6BFFAEC8-0BCA-4328-A5D4-F54B9F9B98BD}"/>
    <cellStyle name="Comma 3 6 3" xfId="5151" xr:uid="{F3714E07-481E-4EB3-AE3C-D7FEEE973058}"/>
    <cellStyle name="Comma 3 7" xfId="2538" xr:uid="{50D5761A-D19F-4835-B51F-EE6C7E152E5B}"/>
    <cellStyle name="Comma 3 7 2" xfId="5235" xr:uid="{0222AA0A-1317-474B-B5FB-DB77E65DE166}"/>
    <cellStyle name="Comma 3 8" xfId="2525" xr:uid="{4D001E0A-115E-4006-B110-5C7B2BD6BE29}"/>
    <cellStyle name="Comma 3 8 2" xfId="4311" xr:uid="{FC50A1F8-108E-4DC2-A9D1-4C490DB37E5F}"/>
    <cellStyle name="Comma 3 9" xfId="4092" xr:uid="{0C9747EF-2776-4173-A099-E73CFFBE993E}"/>
    <cellStyle name="Comma 36" xfId="5230" xr:uid="{E55CB30A-5B21-45DA-B27D-154935A84023}"/>
    <cellStyle name="Comma 4" xfId="13" xr:uid="{00000000-0005-0000-0000-000029000000}"/>
    <cellStyle name="Comma 4 10" xfId="2539" xr:uid="{DE433A22-AEC8-4D49-8E3C-3C1A5CFF53AB}"/>
    <cellStyle name="Comma 4 10 2" xfId="5156" xr:uid="{5B2FAC2B-DC54-4A8F-873B-8B342E731882}"/>
    <cellStyle name="Comma 4 11" xfId="5249" xr:uid="{3A99CBC6-BCA5-486C-9232-530B6FCA879E}"/>
    <cellStyle name="Comma 4 12" xfId="4314" xr:uid="{F16FEC66-3AD0-4358-8B56-275FC4BD5CBD}"/>
    <cellStyle name="Comma 4 13" xfId="4098" xr:uid="{C4FC792D-D9C9-486C-9EB5-2D299BCA9ACB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2 2 2" xfId="5097" xr:uid="{B6B3B59C-1C17-4551-8885-8083AB25F49E}"/>
    <cellStyle name="Comma 4 2 2 2 2 3" xfId="4864" xr:uid="{625ECFAB-C14C-48FE-A9C6-08259E100ECB}"/>
    <cellStyle name="Comma 4 2 2 2 3" xfId="1358" xr:uid="{BA5C24C9-1D6A-4368-8680-4AE2FCDC3F8B}"/>
    <cellStyle name="Comma 4 2 2 2 3 2" xfId="4981" xr:uid="{8FA136C9-12EE-449A-B11B-6D41253944D1}"/>
    <cellStyle name="Comma 4 2 2 2 4" xfId="1122" xr:uid="{10FB19E0-5D9C-41C7-8B76-8FD8F1367963}"/>
    <cellStyle name="Comma 4 2 2 2 4 2" xfId="4747" xr:uid="{CB5A7537-F7CE-4B9F-9E1E-6BFA6EBAA7EA}"/>
    <cellStyle name="Comma 4 2 2 2 5" xfId="4552" xr:uid="{ADB7411A-6D70-4DC0-AF26-84753077446C}"/>
    <cellStyle name="Comma 4 2 2 3" xfId="980" xr:uid="{124C35C6-121E-48BC-B4E2-4A86CAACA293}"/>
    <cellStyle name="Comma 4 2 2 3 2" xfId="1418" xr:uid="{E9D209CB-A116-47DC-82B1-A39F9EE0AFEE}"/>
    <cellStyle name="Comma 4 2 2 3 2 2" xfId="5041" xr:uid="{F109E0EF-1C43-45BA-BDF0-2A7A62E3ED6F}"/>
    <cellStyle name="Comma 4 2 2 3 3" xfId="1185" xr:uid="{0326AC30-ABE8-4986-8663-1F0E856C12E3}"/>
    <cellStyle name="Comma 4 2 2 3 3 2" xfId="4808" xr:uid="{4AF1162E-ED4E-4D4C-9100-49AB8929BE33}"/>
    <cellStyle name="Comma 4 2 2 3 4" xfId="4611" xr:uid="{6A9FAFD1-3472-4C21-8665-87B343F970BF}"/>
    <cellStyle name="Comma 4 2 2 4" xfId="1302" xr:uid="{D8140800-B9AD-48FE-A30D-80226EB45111}"/>
    <cellStyle name="Comma 4 2 2 4 2" xfId="4925" xr:uid="{5C7B994D-215C-4293-A02E-8ACABD523A43}"/>
    <cellStyle name="Comma 4 2 2 5" xfId="1065" xr:uid="{CD31EEDF-D1FF-431C-9685-02F421699DC0}"/>
    <cellStyle name="Comma 4 2 2 5 2" xfId="4691" xr:uid="{B75AE266-D7EB-4A91-85BE-264124D5D63F}"/>
    <cellStyle name="Comma 4 2 2 6" xfId="2541" xr:uid="{BB9908ED-167B-4F95-A16C-1B9E8C351CAC}"/>
    <cellStyle name="Comma 4 2 2 7" xfId="4468" xr:uid="{669249D7-93AD-4058-9795-B746B2C81878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2 2 2" xfId="5067" xr:uid="{9E2E2AC2-1236-4410-B78E-31998BEFDE81}"/>
    <cellStyle name="Comma 4 2 3 2 3" xfId="4834" xr:uid="{8F470A05-7F51-4EA2-97BA-B41EB20524C7}"/>
    <cellStyle name="Comma 4 2 3 3" xfId="1328" xr:uid="{2664CE71-23FD-4C73-97D7-14BF4346EA3D}"/>
    <cellStyle name="Comma 4 2 3 3 2" xfId="4951" xr:uid="{631FBB8A-2C21-4A3E-AADC-4D9D5195DD1C}"/>
    <cellStyle name="Comma 4 2 3 4" xfId="1092" xr:uid="{F1050FED-08FE-46E5-A0B9-3619004886D2}"/>
    <cellStyle name="Comma 4 2 3 4 2" xfId="4717" xr:uid="{6ACE957D-FB96-4DCA-B44F-189AEDDDD9E0}"/>
    <cellStyle name="Comma 4 2 3 5" xfId="4522" xr:uid="{EF00FDA6-18C7-4D26-9AA1-CE751C31F06E}"/>
    <cellStyle name="Comma 4 2 4" xfId="950" xr:uid="{537C12F2-00D3-490C-B1C6-0FF5719159D3}"/>
    <cellStyle name="Comma 4 2 4 2" xfId="1392" xr:uid="{C7AF5BEC-A755-4741-8E3C-C34268932174}"/>
    <cellStyle name="Comma 4 2 4 2 2" xfId="5015" xr:uid="{9A7C0E52-55B6-4C74-98E9-73450856C4ED}"/>
    <cellStyle name="Comma 4 2 4 3" xfId="1159" xr:uid="{212B962E-FEA4-4A3E-9652-0DDE300E3E39}"/>
    <cellStyle name="Comma 4 2 4 3 2" xfId="4782" xr:uid="{D07B7838-17CD-43D5-9708-EBA2D4507CFB}"/>
    <cellStyle name="Comma 4 2 4 4" xfId="4581" xr:uid="{9A5FD0A2-07D9-4398-A648-9481A035BC9E}"/>
    <cellStyle name="Comma 4 2 5" xfId="1276" xr:uid="{D5CAA9EF-8912-4D00-BF61-F9BC7A4772B2}"/>
    <cellStyle name="Comma 4 2 5 2" xfId="4899" xr:uid="{4C05E1FB-8644-48DC-A8BC-054E676E0AB1}"/>
    <cellStyle name="Comma 4 2 6" xfId="1039" xr:uid="{CE49E489-05BC-4A71-8EC3-FD661246633E}"/>
    <cellStyle name="Comma 4 2 6 2" xfId="4665" xr:uid="{372DE79A-83DD-49A4-83D1-C30F6CC43606}"/>
    <cellStyle name="Comma 4 2 7" xfId="2540" xr:uid="{B89DE083-4E43-4BA5-9E4D-245B5F383BAB}"/>
    <cellStyle name="Comma 4 2 7 2" xfId="5190" xr:uid="{68601D73-C5C4-43E2-B6F1-33F6E9A4B97B}"/>
    <cellStyle name="Comma 4 2 8" xfId="4434" xr:uid="{70BDEE8F-3688-45D0-87EE-E0ED36588E18}"/>
    <cellStyle name="Comma 4 2 9" xfId="4286" xr:uid="{5AB45329-498B-422E-8D04-29641ABBED56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2 2 2" xfId="5105" xr:uid="{5CB74AB5-6AE2-43BF-8E18-EFDEE54E364B}"/>
    <cellStyle name="Comma 4 3 2 2 2 3" xfId="4872" xr:uid="{E57AB9B6-5605-4BD0-A6C3-674895322F9A}"/>
    <cellStyle name="Comma 4 3 2 2 3" xfId="1366" xr:uid="{A7B0B188-956E-4DBD-99A4-E5758BECC5FE}"/>
    <cellStyle name="Comma 4 3 2 2 3 2" xfId="4989" xr:uid="{4F3A15EA-F5F5-42CC-8195-F5D86B7F5B18}"/>
    <cellStyle name="Comma 4 3 2 2 4" xfId="1130" xr:uid="{8A0EEEAE-AE6C-4963-BBA5-59EDC018D60A}"/>
    <cellStyle name="Comma 4 3 2 2 4 2" xfId="4755" xr:uid="{B7DE638A-E497-4B2F-A269-85733A9AE3DF}"/>
    <cellStyle name="Comma 4 3 2 2 5" xfId="3839" xr:uid="{9AC54595-EDC2-4C72-A334-C6A7DBF2C32D}"/>
    <cellStyle name="Comma 4 3 2 2 6" xfId="4560" xr:uid="{72B1CBED-971B-40C9-BC35-E72946F563B1}"/>
    <cellStyle name="Comma 4 3 2 3" xfId="988" xr:uid="{C03078A6-19C3-4289-81C7-E8AA019F220E}"/>
    <cellStyle name="Comma 4 3 2 3 2" xfId="1426" xr:uid="{FFEE48A5-F665-4DF0-B7B7-4E37A8A4A939}"/>
    <cellStyle name="Comma 4 3 2 3 2 2" xfId="5049" xr:uid="{D2AE0E2F-5841-4C45-919B-FF0FA9F281D1}"/>
    <cellStyle name="Comma 4 3 2 3 3" xfId="1193" xr:uid="{09AAF5DC-B974-42A4-AF2D-32BD1EC925FE}"/>
    <cellStyle name="Comma 4 3 2 3 3 2" xfId="4816" xr:uid="{256D8029-CE0C-48FB-97BE-85767FFE53AB}"/>
    <cellStyle name="Comma 4 3 2 3 4" xfId="4619" xr:uid="{6E2F843A-ACB1-490D-BCEF-162663D78300}"/>
    <cellStyle name="Comma 4 3 2 4" xfId="1310" xr:uid="{AF59D94F-F15B-48EA-B21F-AC432AC23454}"/>
    <cellStyle name="Comma 4 3 2 4 2" xfId="4933" xr:uid="{48485F87-C82F-4E5E-A417-448DAA79D5C1}"/>
    <cellStyle name="Comma 4 3 2 5" xfId="1073" xr:uid="{26067BA4-3E55-4DA0-8E34-9551523DB588}"/>
    <cellStyle name="Comma 4 3 2 5 2" xfId="4699" xr:uid="{B7CC9D79-27D3-46C2-8F2E-E7FD71EAA9B0}"/>
    <cellStyle name="Comma 4 3 2 6" xfId="2543" xr:uid="{4E4C954D-4838-43AF-B094-7827F8D261C6}"/>
    <cellStyle name="Comma 4 3 2 7" xfId="4476" xr:uid="{0AB99F23-6489-4B65-BDF4-A718909B7C79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2 2 2" xfId="5075" xr:uid="{D6280FB0-A4F4-4FA5-90E7-81ADB8CA2BBD}"/>
    <cellStyle name="Comma 4 3 3 2 3" xfId="4842" xr:uid="{3862BBE2-C4CC-4E47-A6E1-3DE7A4C3403B}"/>
    <cellStyle name="Comma 4 3 3 3" xfId="1336" xr:uid="{30E8549D-535B-4380-B876-0EE75E63C991}"/>
    <cellStyle name="Comma 4 3 3 3 2" xfId="4959" xr:uid="{BD8C9F03-5A9F-4C6C-8857-3FDC41ABA4AC}"/>
    <cellStyle name="Comma 4 3 3 4" xfId="1100" xr:uid="{047C5DE1-2659-45EB-A103-18F7B40CFCE4}"/>
    <cellStyle name="Comma 4 3 3 4 2" xfId="4725" xr:uid="{84EB6AC2-638A-43C4-8836-F8907EB76AB5}"/>
    <cellStyle name="Comma 4 3 3 5" xfId="4530" xr:uid="{5C18C96F-D45A-4CFF-9DAB-371D8E09961A}"/>
    <cellStyle name="Comma 4 3 4" xfId="958" xr:uid="{85799808-3E9F-42A6-BF19-48433923D002}"/>
    <cellStyle name="Comma 4 3 4 2" xfId="1400" xr:uid="{0550F9F1-B02D-454E-94D7-589ACB208F92}"/>
    <cellStyle name="Comma 4 3 4 2 2" xfId="5023" xr:uid="{A0099332-AA27-4C21-94CF-FEF4A7571D8D}"/>
    <cellStyle name="Comma 4 3 4 3" xfId="1167" xr:uid="{1C29E861-3E06-47A1-94E3-8AF606845AC6}"/>
    <cellStyle name="Comma 4 3 4 3 2" xfId="4790" xr:uid="{00A5C6C8-C7D2-4FC9-9731-5331289F73E8}"/>
    <cellStyle name="Comma 4 3 4 4" xfId="4589" xr:uid="{37F62F0A-D211-4B16-BF40-C7A4B4BB1037}"/>
    <cellStyle name="Comma 4 3 5" xfId="1284" xr:uid="{CF437CAC-360E-4884-AF60-368B11CB6458}"/>
    <cellStyle name="Comma 4 3 5 2" xfId="4907" xr:uid="{A66840BE-6DDF-4A8D-B846-6C032017CD84}"/>
    <cellStyle name="Comma 4 3 6" xfId="1047" xr:uid="{C0A5D906-73E8-49A9-A601-A6CE3F8B5C5D}"/>
    <cellStyle name="Comma 4 3 6 2" xfId="4673" xr:uid="{56F9E182-9F00-48BC-BED5-6D316A50EC74}"/>
    <cellStyle name="Comma 4 3 7" xfId="2542" xr:uid="{81554B2D-DDE2-49BF-8845-533D3B6FC602}"/>
    <cellStyle name="Comma 4 3 7 2" xfId="5221" xr:uid="{60E7F71B-9CF5-4A6A-84FF-D7CEBB721A44}"/>
    <cellStyle name="Comma 4 3 8" xfId="4442" xr:uid="{FBE3DBE6-5106-447A-BA03-6A8E6CC79CE7}"/>
    <cellStyle name="Comma 4 3 9" xfId="4279" xr:uid="{85066480-7C66-42D6-9873-F971AD8F5CD6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2 2 2" xfId="5089" xr:uid="{1CD96708-68B8-48D3-A40B-99C8ED49EDBF}"/>
    <cellStyle name="Comma 4 4 2 2 3" xfId="4856" xr:uid="{AD362C00-CB6F-4685-8D29-40799AFFE329}"/>
    <cellStyle name="Comma 4 4 2 3" xfId="1350" xr:uid="{19A4DDEC-1099-4BCC-BFB7-B0554E937F32}"/>
    <cellStyle name="Comma 4 4 2 3 2" xfId="4973" xr:uid="{12E7463A-7D9E-48E7-B37E-C8DB7198DA12}"/>
    <cellStyle name="Comma 4 4 2 4" xfId="1114" xr:uid="{215A50F9-63DE-436F-ABB5-D560B8641C69}"/>
    <cellStyle name="Comma 4 4 2 4 2" xfId="4739" xr:uid="{A4F099AC-7286-4FA9-BBCE-78CF64905431}"/>
    <cellStyle name="Comma 4 4 2 5" xfId="4544" xr:uid="{52707C31-7980-4CD7-851F-E65910E297ED}"/>
    <cellStyle name="Comma 4 4 3" xfId="972" xr:uid="{01CD0DAF-2A1A-45AC-A428-611E56F68FA8}"/>
    <cellStyle name="Comma 4 4 3 2" xfId="1410" xr:uid="{451E20B6-7523-4933-83F0-6F2A8A63B3C5}"/>
    <cellStyle name="Comma 4 4 3 2 2" xfId="5033" xr:uid="{4CB73033-EC60-4E01-92E4-D7E710C899D7}"/>
    <cellStyle name="Comma 4 4 3 3" xfId="1177" xr:uid="{01ED00B4-BAD8-4B65-B432-748338A35FA0}"/>
    <cellStyle name="Comma 4 4 3 3 2" xfId="4800" xr:uid="{9E8097DE-EE78-4075-89F0-2D48807CE2BA}"/>
    <cellStyle name="Comma 4 4 3 4" xfId="4603" xr:uid="{B295EB24-A893-4080-A1CE-C6AEEE296227}"/>
    <cellStyle name="Comma 4 4 4" xfId="1294" xr:uid="{D2908565-DD96-4CD4-A8F9-F79AF8BDE1F7}"/>
    <cellStyle name="Comma 4 4 4 2" xfId="4917" xr:uid="{390F8200-7FD9-40E2-BFE3-36AC00E99930}"/>
    <cellStyle name="Comma 4 4 5" xfId="1057" xr:uid="{E0EAB927-C99B-4228-BC3E-8F0B521DA070}"/>
    <cellStyle name="Comma 4 4 5 2" xfId="4683" xr:uid="{EB099FB6-4C3A-4B4D-BB91-BE63E2D6BC33}"/>
    <cellStyle name="Comma 4 4 6" xfId="2544" xr:uid="{A8E2A325-9BFB-4E5F-AA11-C3A2165928FD}"/>
    <cellStyle name="Comma 4 4 7" xfId="4460" xr:uid="{12E3144C-6B78-45E8-B172-A4FF4CD98BC3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2 2 2" xfId="5059" xr:uid="{D6AC508F-0930-4299-97E1-451D26C54F20}"/>
    <cellStyle name="Comma 4 5 2 3" xfId="3840" xr:uid="{9ED1AF23-27D8-4F28-A3AA-41AC037F0381}"/>
    <cellStyle name="Comma 4 5 2 4" xfId="4826" xr:uid="{F3628CF6-6A95-47C2-99F7-0364631F0903}"/>
    <cellStyle name="Comma 4 5 3" xfId="1320" xr:uid="{B197301A-741B-4433-973F-5E1E0E023447}"/>
    <cellStyle name="Comma 4 5 3 2" xfId="4943" xr:uid="{8421BBC3-3C8A-4108-BE21-CF2680E58FE7}"/>
    <cellStyle name="Comma 4 5 4" xfId="1084" xr:uid="{1EE9568E-58C4-415B-AF12-B388F50F8338}"/>
    <cellStyle name="Comma 4 5 4 2" xfId="4709" xr:uid="{CE0875C5-0D46-414E-BF55-DDE342FA0B48}"/>
    <cellStyle name="Comma 4 5 5" xfId="2545" xr:uid="{3B5DA396-CC69-4FC7-8200-B139BBAF122D}"/>
    <cellStyle name="Comma 4 5 6" xfId="4511" xr:uid="{A922CC2E-842B-47A0-838D-CD7E11DE8F97}"/>
    <cellStyle name="Comma 4 6" xfId="942" xr:uid="{61C3D071-B490-470C-976E-9FEA44632C71}"/>
    <cellStyle name="Comma 4 6 2" xfId="1384" xr:uid="{2AE5B1D2-6D68-4937-9D3D-0CD5365CB6DC}"/>
    <cellStyle name="Comma 4 6 2 2" xfId="5007" xr:uid="{99BFEB43-1E66-40DB-97CB-5B6FFD201FC2}"/>
    <cellStyle name="Comma 4 6 2 3" xfId="4287" xr:uid="{C3B9083D-20FA-4FC5-91C6-6281FF2C62C4}"/>
    <cellStyle name="Comma 4 6 3" xfId="1151" xr:uid="{05EEA04F-4961-47B1-9E84-9A4BFDCDDA3D}"/>
    <cellStyle name="Comma 4 6 3 2" xfId="4774" xr:uid="{22C83235-23FD-45C1-9A93-E993015937FA}"/>
    <cellStyle name="Comma 4 6 3 3" xfId="4295" xr:uid="{399F63E3-0AF9-4125-9515-BE7DC15ABCFC}"/>
    <cellStyle name="Comma 4 6 4" xfId="2546" xr:uid="{BDDB8886-1C98-495F-8FC8-6C92DF20FEC7}"/>
    <cellStyle name="Comma 4 6 4 2" xfId="4298" xr:uid="{DE75679F-35B7-4CFE-86A5-CCC248A81DA8}"/>
    <cellStyle name="Comma 4 6 5" xfId="4280" xr:uid="{F0021510-ED13-46F1-B86F-69FFABCC7AD1}"/>
    <cellStyle name="Comma 4 6 6" xfId="4303" xr:uid="{E361387E-359E-466E-8CF4-C8D26A9FF69E}"/>
    <cellStyle name="Comma 4 6 7" xfId="4573" xr:uid="{BD61E243-06C9-413F-A439-29F01CC39377}"/>
    <cellStyle name="Comma 4 6 8" xfId="4271" xr:uid="{C0727BFF-FC12-4C38-A231-04C86B5AE800}"/>
    <cellStyle name="Comma 4 7" xfId="1268" xr:uid="{7F0F30CE-4CA9-4A1E-9660-386E4D681100}"/>
    <cellStyle name="Comma 4 7 2" xfId="4891" xr:uid="{5489B073-5376-4C27-B61F-49D4CDC7BC88}"/>
    <cellStyle name="Comma 4 8" xfId="1031" xr:uid="{1C1658A9-D38B-4BE5-916F-FA668E383A19}"/>
    <cellStyle name="Comma 4 8 2" xfId="4657" xr:uid="{E0F6D3E5-6955-444C-BE44-032772C46A03}"/>
    <cellStyle name="Comma 4 9" xfId="698" xr:uid="{403C2BF1-19F8-4B11-8FB8-2357CD776909}"/>
    <cellStyle name="Comma 4 9 2" xfId="4422" xr:uid="{B6034594-ECA1-40E9-A82D-46137E68314F}"/>
    <cellStyle name="Comma 5" xfId="51" xr:uid="{00000000-0005-0000-0000-00002A000000}"/>
    <cellStyle name="Comma 5 2" xfId="741" xr:uid="{D478268A-DF0C-4B5B-BBEF-00FA1734E830}"/>
    <cellStyle name="Comma 5 2 2" xfId="2548" xr:uid="{D757D544-2F3A-4326-8E69-AC737DB534FC}"/>
    <cellStyle name="Comma 5 2 2 2" xfId="4455" xr:uid="{FDC8AAB8-3713-4596-AD16-36F037E4EC3E}"/>
    <cellStyle name="Comma 5 2 3" xfId="4297" xr:uid="{B8F50F10-F91E-4E33-8571-34C502C84E1D}"/>
    <cellStyle name="Comma 5 3" xfId="2549" xr:uid="{DA45CDF8-2CE0-48D1-82D5-08C4C345AA27}"/>
    <cellStyle name="Comma 5 3 2" xfId="3841" xr:uid="{6B3A77BC-CA4E-45F8-8AA5-AFCD85D37E45}"/>
    <cellStyle name="Comma 5 3 3" xfId="5250" xr:uid="{951658CB-377F-4317-A80E-A4556E065CCD}"/>
    <cellStyle name="Comma 5 4" xfId="2547" xr:uid="{25242DA9-C0D6-49FD-BEED-089FC06BB763}"/>
    <cellStyle name="Comma 5 4 2" xfId="4328" xr:uid="{951924FC-AEF3-4D88-82E2-3E4613FD121D}"/>
    <cellStyle name="Comma 5 5" xfId="4165" xr:uid="{F8602973-1050-459F-834B-C11A4DD60B39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2 2 2" xfId="5111" xr:uid="{2AFAA4C0-FCB8-4209-A4E6-99116AC7489C}"/>
    <cellStyle name="Comma 6 2 2 3" xfId="4878" xr:uid="{2A082EE9-01D8-48D7-AAEC-BA571E78BA39}"/>
    <cellStyle name="Comma 6 2 3" xfId="1372" xr:uid="{7E23E9E1-6CEE-4A2F-8C5E-CE28F4FE14D3}"/>
    <cellStyle name="Comma 6 2 3 2" xfId="4995" xr:uid="{BD53AE1C-9309-4F01-81C6-A0A51BF7D969}"/>
    <cellStyle name="Comma 6 2 4" xfId="1136" xr:uid="{350B5B09-4779-4312-8758-D4340CF22AA9}"/>
    <cellStyle name="Comma 6 2 4 2" xfId="4761" xr:uid="{C6127217-87A7-4C9D-89EA-53FF6A5BE167}"/>
    <cellStyle name="Comma 6 2 5" xfId="2551" xr:uid="{BFAF2F6D-C21B-4FFA-98DE-1A1B9AA4D606}"/>
    <cellStyle name="Comma 6 2 6" xfId="4538" xr:uid="{D7015AD6-1EA8-43B1-878C-2A9A0CC70596}"/>
    <cellStyle name="Comma 6 3" xfId="966" xr:uid="{6A26894F-FD4A-4F90-BFB9-AE902B473A5C}"/>
    <cellStyle name="Comma 6 3 2" xfId="1460" xr:uid="{39475F79-9885-4357-B4C1-05F47188DE1B}"/>
    <cellStyle name="Comma 6 3 2 2" xfId="5083" xr:uid="{8F16C001-589F-4325-B5C7-F1BFA6DF3C1A}"/>
    <cellStyle name="Comma 6 3 3" xfId="1227" xr:uid="{18FF843B-5F8B-4F38-B119-D2C05ADBC0D3}"/>
    <cellStyle name="Comma 6 3 3 2" xfId="4850" xr:uid="{DF74C29F-52E2-45AF-BEAC-DA8529316CDC}"/>
    <cellStyle name="Comma 6 3 4" xfId="4597" xr:uid="{D886799A-A011-43BF-9EDD-954017F62BC6}"/>
    <cellStyle name="Comma 6 4" xfId="1344" xr:uid="{DBD9FCEF-F0D2-4017-9B9B-19883A39E7D5}"/>
    <cellStyle name="Comma 6 4 2" xfId="4967" xr:uid="{D5418C25-12DE-4E57-A18C-5BC256E066C5}"/>
    <cellStyle name="Comma 6 5" xfId="1108" xr:uid="{F50B1894-6A6C-4E4A-AB3F-58439678ADF2}"/>
    <cellStyle name="Comma 6 5 2" xfId="4733" xr:uid="{AF17E5ED-EB97-4015-93B6-58FF2D6C1F82}"/>
    <cellStyle name="Comma 6 6" xfId="738" xr:uid="{A9251E0A-8C2F-49D9-A754-368AFE55B188}"/>
    <cellStyle name="Comma 6 6 2" xfId="4453" xr:uid="{E9105237-E624-449F-BCD1-70CD3080B0CF}"/>
    <cellStyle name="Comma 6 7" xfId="2550" xr:uid="{31D2D603-6CFC-4EAC-8F77-0B86C046B5E5}"/>
    <cellStyle name="Comma 6 7 2" xfId="5268" xr:uid="{3FD55004-0917-451F-9F5F-8C3491D8209A}"/>
    <cellStyle name="Comma 6 8" xfId="4329" xr:uid="{968FECC5-B6A4-4F4F-8AD5-71E56FF3375E}"/>
    <cellStyle name="Comma 6 9" xfId="4275" xr:uid="{2829D359-4C4D-4295-8572-D2DD194F74A1}"/>
    <cellStyle name="Comma 7" xfId="102" xr:uid="{D5206E47-2A95-4FF1-9589-DA112C04A81A}"/>
    <cellStyle name="Comma 7 2" xfId="1139" xr:uid="{59452356-5177-4B48-872B-45F54E602F39}"/>
    <cellStyle name="Comma 7 2 2" xfId="2554" xr:uid="{24AD771C-3B15-4E80-A28F-E49F28DAFAE1}"/>
    <cellStyle name="Comma 7 2 2 2" xfId="3842" xr:uid="{1C7342DE-5A70-4397-8DA1-717EF975720B}"/>
    <cellStyle name="Comma 7 2 3" xfId="2555" xr:uid="{6719063F-0464-4EC9-A7AE-03973673F0DD}"/>
    <cellStyle name="Comma 7 2 4" xfId="2553" xr:uid="{78AD39D2-A9E9-4C50-B1B7-2F6834340037}"/>
    <cellStyle name="Comma 7 2 5" xfId="4763" xr:uid="{66705292-047F-4A49-A4C1-C419498D96EB}"/>
    <cellStyle name="Comma 7 3" xfId="872" xr:uid="{E7864F6D-C031-4AC2-9E32-1C2D4D8E89CF}"/>
    <cellStyle name="Comma 7 3 2" xfId="2557" xr:uid="{2C911D06-FE5A-402B-8006-7A05F1CEC73A}"/>
    <cellStyle name="Comma 7 3 2 2" xfId="3843" xr:uid="{F5AC34A2-558F-4496-B416-FC245A518AA3}"/>
    <cellStyle name="Comma 7 3 3" xfId="2556" xr:uid="{0F3766A4-129D-4387-915F-26C5E8F60CDA}"/>
    <cellStyle name="Comma 7 3 4" xfId="4517" xr:uid="{1AB4B1E0-2701-4275-B1EC-6F3B6E840ABE}"/>
    <cellStyle name="Comma 7 4" xfId="1528" xr:uid="{9114E8B8-6A58-43C1-A5B1-35829673A44E}"/>
    <cellStyle name="Comma 7 4 2" xfId="2558" xr:uid="{EDDCDD36-09DF-439F-B538-95805E537FB1}"/>
    <cellStyle name="Comma 7 4 3" xfId="5121" xr:uid="{19E9AFEB-0487-47CF-8B58-4D61CBC7EAD6}"/>
    <cellStyle name="Comma 7 5" xfId="2559" xr:uid="{09583D03-78D7-4E0C-AB47-48C557AD504F}"/>
    <cellStyle name="Comma 7 5 2" xfId="3844" xr:uid="{0F9F5811-F319-45A1-9D10-6B0562B2A25E}"/>
    <cellStyle name="Comma 7 5 3" xfId="4348" xr:uid="{6C3D4B0B-BBD1-4E15-94C5-8FF7210FE3A9}"/>
    <cellStyle name="Comma 7 6" xfId="2560" xr:uid="{13DF1B95-9E80-4439-AE4A-3E160FD8151C}"/>
    <cellStyle name="Comma 7 7" xfId="2552" xr:uid="{3E9F4A30-93C3-4635-B55E-88156756B649}"/>
    <cellStyle name="Comma 7 8" xfId="4300" xr:uid="{53A6A7AC-FC46-4A48-B254-44B2E547A178}"/>
    <cellStyle name="Comma 8" xfId="1143" xr:uid="{0FD88E57-14A1-40FC-9477-C96E25492CE0}"/>
    <cellStyle name="Comma 8 2" xfId="1373" xr:uid="{0BB19685-7025-45A9-8241-45B89BCC565C}"/>
    <cellStyle name="Comma 8 2 2" xfId="2562" xr:uid="{263496E7-4EC9-40F7-8177-AAABE42F53FB}"/>
    <cellStyle name="Comma 8 2 3" xfId="4996" xr:uid="{93B393E4-7195-471E-AE74-403F7D8CF7DB}"/>
    <cellStyle name="Comma 8 3" xfId="2561" xr:uid="{F4E86C14-104B-4630-B63A-F342E6823A0B}"/>
    <cellStyle name="Comma 8 3 2" xfId="4766" xr:uid="{613D11D1-2EC7-454B-AD13-B3960A68B1C9}"/>
    <cellStyle name="Comma 8 4" xfId="4075" xr:uid="{72CCFD49-7980-4F51-84AA-F47263DCE52C}"/>
    <cellStyle name="Comma 9" xfId="1257" xr:uid="{971631FA-90B2-4CD7-93DD-3F784E81F85A}"/>
    <cellStyle name="Comma 9 2" xfId="2563" xr:uid="{2C0966A3-F444-4099-9EBD-895761AF2F3C}"/>
    <cellStyle name="Comma 9 3" xfId="4880" xr:uid="{A31D8C3B-0850-4186-A48A-DD10582379F7}"/>
    <cellStyle name="Comma0" xfId="7" xr:uid="{00000000-0005-0000-0000-00002D000000}"/>
    <cellStyle name="Comma0 2" xfId="2565" xr:uid="{F9DEDA99-872E-4A01-B70D-F1596C37FCCE}"/>
    <cellStyle name="Comma0 2 2" xfId="2566" xr:uid="{2D1BAD54-2CE1-4AFA-8EBD-7CA0898467ED}"/>
    <cellStyle name="Comma0 3" xfId="2567" xr:uid="{0A6913C4-2FB9-49F8-A202-36C06B64E310}"/>
    <cellStyle name="Comma0 3 2" xfId="2568" xr:uid="{E2559824-C1A1-45EC-9F45-83F0D34508F0}"/>
    <cellStyle name="Comma0 4" xfId="2569" xr:uid="{D30877D7-5CF3-40E7-B2F6-4038B2C25DC8}"/>
    <cellStyle name="Comma0 5" xfId="2564" xr:uid="{F5C7AC13-6C5F-4682-8B05-B84730939428}"/>
    <cellStyle name="Currency 10" xfId="2570" xr:uid="{D402AAD8-00AC-47FB-9E4F-ED25D8E6B423}"/>
    <cellStyle name="Currency 10 2" xfId="4077" xr:uid="{7D75AEE0-04D8-42B2-B7EF-04B3B54B15A3}"/>
    <cellStyle name="Currency 11" xfId="2571" xr:uid="{59D713C2-9B9E-40D3-A070-0F90FA62F41E}"/>
    <cellStyle name="Currency 11 2" xfId="4289" xr:uid="{74B881C4-6FE9-45B2-80E6-E44667235648}"/>
    <cellStyle name="Currency 12" xfId="2572" xr:uid="{E4B3A835-8530-4CDD-AB7D-CE7A927B3C1C}"/>
    <cellStyle name="Currency 13" xfId="4066" xr:uid="{044D2531-93A9-4058-B35B-89D1BE48B20E}"/>
    <cellStyle name="Currency 2" xfId="12" xr:uid="{00000000-0005-0000-0000-00002F000000}"/>
    <cellStyle name="Currency 2 10" xfId="2573" xr:uid="{B9E04FF6-E2B9-47EB-9BFF-30F3EE90D05C}"/>
    <cellStyle name="Currency 2 11" xfId="4068" xr:uid="{EB3ADBB3-A20F-4343-B775-4B6D590EA094}"/>
    <cellStyle name="Currency 2 2" xfId="699" xr:uid="{CCB3356E-8847-428F-9561-B52CF2B5D2E2}"/>
    <cellStyle name="Currency 2 2 2" xfId="2575" xr:uid="{187DE8AB-5BA3-4533-899C-D99FAA1E7881}"/>
    <cellStyle name="Currency 2 2 2 2" xfId="5189" xr:uid="{8453669E-06BC-4772-B2B5-D711B9F841FF}"/>
    <cellStyle name="Currency 2 2 3" xfId="2576" xr:uid="{28C0E349-714E-4EAC-BC6D-9B2BFC8E7DE8}"/>
    <cellStyle name="Currency 2 2 3 2" xfId="4423" xr:uid="{D7EBA1ED-F1A5-4C02-A672-16F1485E0FEF}"/>
    <cellStyle name="Currency 2 2 4" xfId="2574" xr:uid="{8C0FCC55-340C-407A-A8F8-4B4128E3B6E4}"/>
    <cellStyle name="Currency 2 2 5" xfId="4285" xr:uid="{3C460FEA-A6CE-414A-B9B4-0CCBE475FE30}"/>
    <cellStyle name="Currency 2 3" xfId="690" xr:uid="{9C4D7435-CAEA-4E1C-AF51-D7C33A5A362E}"/>
    <cellStyle name="Currency 2 3 2" xfId="2578" xr:uid="{9A5992A7-B4F9-4E4C-942D-76A309DE2226}"/>
    <cellStyle name="Currency 2 3 2 2" xfId="3845" xr:uid="{2DBEC932-88F3-40F2-97E6-33E92C0E118B}"/>
    <cellStyle name="Currency 2 3 2 3" xfId="5220" xr:uid="{EF8D06B1-0B40-4BBD-960F-C2175490382D}"/>
    <cellStyle name="Currency 2 3 3" xfId="2579" xr:uid="{5E5F865D-5F97-4BCA-BD54-D2515A15FC44}"/>
    <cellStyle name="Currency 2 3 3 2" xfId="4415" xr:uid="{5B87FA68-8CCD-4CD5-B173-C5958CA0806E}"/>
    <cellStyle name="Currency 2 3 4" xfId="2577" xr:uid="{9D8D8057-E619-4869-9CDD-9AD8B4C6F826}"/>
    <cellStyle name="Currency 2 3 5" xfId="4278" xr:uid="{510423B9-29CA-4FE0-AFA0-C939077F0484}"/>
    <cellStyle name="Currency 2 4" xfId="865" xr:uid="{8C3B8BBD-B628-4F2B-8D55-97666F333DE1}"/>
    <cellStyle name="Currency 2 4 2" xfId="2581" xr:uid="{D4B4D5BF-77FF-45B5-B3AE-E80D77BEA8FD}"/>
    <cellStyle name="Currency 2 4 2 2" xfId="3846" xr:uid="{D53666C5-EA76-4F70-A84B-91326CDEE239}"/>
    <cellStyle name="Currency 2 4 3" xfId="2580" xr:uid="{0027DD38-3231-4B05-9364-B4AF7F90FB7C}"/>
    <cellStyle name="Currency 2 4 4" xfId="4513" xr:uid="{2C042D4E-F05F-4C37-9566-97911B7C6CF7}"/>
    <cellStyle name="Currency 2 5" xfId="1012" xr:uid="{2B08C812-A7E7-4016-93C8-C0DB4CB6968D}"/>
    <cellStyle name="Currency 2 5 2" xfId="2583" xr:uid="{592B5683-56D2-4EE9-864B-BF892FD60E1E}"/>
    <cellStyle name="Currency 2 5 3" xfId="2582" xr:uid="{C8A736CD-800B-4242-8869-331D6723B404}"/>
    <cellStyle name="Currency 2 5 4" xfId="4640" xr:uid="{3EA3584A-5DA7-41BF-B75C-F0EF4908D518}"/>
    <cellStyle name="Currency 2 6" xfId="484" xr:uid="{85D9DD75-2F9D-4F20-9400-0DF1B67F12D8}"/>
    <cellStyle name="Currency 2 6 2" xfId="2585" xr:uid="{EAD50799-3B39-47F0-86D4-CBE5ED3F969C}"/>
    <cellStyle name="Currency 2 6 3" xfId="2584" xr:uid="{5141601E-E86F-4A19-BDC9-F39AEC8D713E}"/>
    <cellStyle name="Currency 2 6 4" xfId="4390" xr:uid="{39A448E6-6A6D-4FC1-A778-64EAC424FE40}"/>
    <cellStyle name="Currency 2 7" xfId="2586" xr:uid="{78828024-B967-4569-BBA7-095FA2763AE1}"/>
    <cellStyle name="Currency 2 7 2" xfId="5155" xr:uid="{8B6E9BEC-5C02-4A72-A66F-657BE5912940}"/>
    <cellStyle name="Currency 2 8" xfId="2587" xr:uid="{97755F2A-70CC-48FA-8933-8E0ED6BE6D09}"/>
    <cellStyle name="Currency 2 8 2" xfId="3847" xr:uid="{96A0071B-CB4C-4978-91B3-4CDE710D1E6E}"/>
    <cellStyle name="Currency 2 8 3" xfId="5251" xr:uid="{11872BE2-18D0-4035-88DF-A17DBBB2709C}"/>
    <cellStyle name="Currency 2 9" xfId="2588" xr:uid="{EAA2D361-4164-4943-801F-337EE902C2B0}"/>
    <cellStyle name="Currency 2 9 2" xfId="4313" xr:uid="{C284F675-1732-4315-91EC-5B0C79C6065A}"/>
    <cellStyle name="Currency 3" xfId="53" xr:uid="{00000000-0005-0000-0000-000030000000}"/>
    <cellStyle name="Currency 3 2" xfId="700" xr:uid="{F12677A6-4868-46D1-8874-DF53244EE9F2}"/>
    <cellStyle name="Currency 3 2 2" xfId="2591" xr:uid="{624B6FB6-C46F-4671-A78D-8A9EDA79C9ED}"/>
    <cellStyle name="Currency 3 2 2 2" xfId="4424" xr:uid="{1440A988-FE1C-4369-B1C5-55100FC4CD09}"/>
    <cellStyle name="Currency 3 2 3" xfId="2590" xr:uid="{EAB8B539-D7B0-4771-ACEA-30AADA1283C9}"/>
    <cellStyle name="Currency 3 2 4" xfId="4288" xr:uid="{14E6C7D1-9F8F-4CC3-B9F8-64D1A5AC6EEA}"/>
    <cellStyle name="Currency 3 3" xfId="691" xr:uid="{8C0C9F5B-7CBC-4E61-B5B1-D7F321083EB5}"/>
    <cellStyle name="Currency 3 3 2" xfId="2592" xr:uid="{570F78A0-3CF5-4811-ADB0-C61FDFE569DB}"/>
    <cellStyle name="Currency 3 3 2 2" xfId="4416" xr:uid="{A3687079-5A3D-4F4F-B809-FAB330C1AA0B}"/>
    <cellStyle name="Currency 3 3 3" xfId="4281" xr:uid="{3C431345-6B6A-408D-97D7-B2CCF89DC6E1}"/>
    <cellStyle name="Currency 3 4" xfId="847" xr:uid="{A9840730-335F-4017-8C21-E00A0D19E2FE}"/>
    <cellStyle name="Currency 3 4 2" xfId="4505" xr:uid="{143B5205-0E26-4955-B089-0E7A531DFAF5}"/>
    <cellStyle name="Currency 3 4 3" xfId="4273" xr:uid="{34CDFB9B-D45E-4D6D-98B9-00600DB8CBE8}"/>
    <cellStyle name="Currency 3 5" xfId="2589" xr:uid="{37F36DCC-5DE1-4B28-91A5-B5EBECA0E651}"/>
    <cellStyle name="Currency 3 6" xfId="4101" xr:uid="{064A9E21-1659-48D9-B7A5-157016617606}"/>
    <cellStyle name="Currency 4" xfId="54" xr:uid="{00000000-0005-0000-0000-000031000000}"/>
    <cellStyle name="Currency 4 2" xfId="1024" xr:uid="{C7D9E384-5727-432F-96D9-82CF94516DD6}"/>
    <cellStyle name="Currency 4 2 2" xfId="2594" xr:uid="{69CAB87D-99C9-4C93-8A63-554EB210F4D0}"/>
    <cellStyle name="Currency 4 2 2 2" xfId="4284" xr:uid="{0F89CD32-5BC0-46E6-9AF9-4787B54E3B78}"/>
    <cellStyle name="Currency 4 2 3" xfId="4650" xr:uid="{5EFDE0A5-7450-4A2A-AD61-56B66C881DC2}"/>
    <cellStyle name="Currency 4 2 4" xfId="4156" xr:uid="{E1A22428-F3EA-4F8A-BCFD-A12DB72F123C}"/>
    <cellStyle name="Currency 4 3" xfId="2593" xr:uid="{036E4E28-277C-4ADD-9232-02E295D9DEBA}"/>
    <cellStyle name="Currency 4 3 2" xfId="4294" xr:uid="{87F5CEF7-5A6D-41DA-ABD4-4AE6220D9BD3}"/>
    <cellStyle name="Currency 4 3 3" xfId="5252" xr:uid="{1D18C25E-5FFD-4A53-BD8F-26094F8A28E4}"/>
    <cellStyle name="Currency 4 3 4" xfId="4163" xr:uid="{4D14DD0F-3F76-4440-BA5E-E90DFED97C54}"/>
    <cellStyle name="Currency 4 4" xfId="4220" xr:uid="{EEEF062A-0A90-4513-9D09-4645E4D1D43B}"/>
    <cellStyle name="Currency 4 5" xfId="4277" xr:uid="{A5162630-AE13-4662-85B7-6A1AD5E4EF8E}"/>
    <cellStyle name="Currency 4 6" xfId="4302" xr:uid="{A1D9D94B-BC03-4532-808D-300DA75AFCA3}"/>
    <cellStyle name="Currency 4 7" xfId="4330" xr:uid="{F4990461-51F3-419F-9A48-91C356DB0128}"/>
    <cellStyle name="Currency 4 8" xfId="4152" xr:uid="{3483FF09-897E-4FCA-9CE1-74D79E4CB4EE}"/>
    <cellStyle name="Currency 5" xfId="485" xr:uid="{C7B28150-23F3-45C8-963D-555E5B2F35A2}"/>
    <cellStyle name="Currency 5 2" xfId="2596" xr:uid="{BDC3C42D-7845-48FE-B95E-53A01D087AE5}"/>
    <cellStyle name="Currency 5 2 2" xfId="2597" xr:uid="{B8CFD67E-731A-4AA8-BB9A-E72764DD9745}"/>
    <cellStyle name="Currency 5 2 2 2" xfId="3848" xr:uid="{89C5E5CC-FA6C-4D38-A6B0-DA4AD05B7224}"/>
    <cellStyle name="Currency 5 2 3" xfId="4282" xr:uid="{75E5ED6A-8316-45E7-B5CC-09C5CD8CFDE8}"/>
    <cellStyle name="Currency 5 3" xfId="2598" xr:uid="{14B0FD6D-03B1-48E4-A1D0-DF7169E40625}"/>
    <cellStyle name="Currency 5 3 2" xfId="3849" xr:uid="{E65DA82C-A937-4DB3-B3BC-9EB7FC3FB3B8}"/>
    <cellStyle name="Currency 5 3 3" xfId="4391" xr:uid="{830A81CF-D3D1-4657-BD16-2E2068A92936}"/>
    <cellStyle name="Currency 5 4" xfId="2599" xr:uid="{8969BC3B-7255-4815-8820-71F22BB4F0B1}"/>
    <cellStyle name="Currency 5 4 2" xfId="3850" xr:uid="{D95CFC89-56CD-4754-A2AA-C89B0AE3CB3B}"/>
    <cellStyle name="Currency 5 5" xfId="2600" xr:uid="{343B905B-6F39-4FF9-9A22-560E6786E026}"/>
    <cellStyle name="Currency 5 6" xfId="2601" xr:uid="{AEB3C025-7C5D-46DC-AADD-B10A2B7660B4}"/>
    <cellStyle name="Currency 5 7" xfId="2595" xr:uid="{B6BF131B-22C8-4B43-9142-705884BAE5E7}"/>
    <cellStyle name="Currency 5 8" xfId="4154" xr:uid="{B59CD7B1-D2EF-4618-9105-9DB354089FAA}"/>
    <cellStyle name="Currency 6" xfId="2602" xr:uid="{88D3D8CD-8F19-421B-9F39-54BBF082FD43}"/>
    <cellStyle name="Currency 6 2" xfId="2603" xr:uid="{12F139E0-7CCE-43D0-9DE9-1CE8D29FDD32}"/>
    <cellStyle name="Currency 6 2 2" xfId="3851" xr:uid="{5305A826-3B72-4E80-A479-05E68562F856}"/>
    <cellStyle name="Currency 6 2 3" xfId="4291" xr:uid="{579D2F05-605D-4E17-9FE6-A001E043942A}"/>
    <cellStyle name="Currency 6 3" xfId="5228" xr:uid="{76C1064D-2FA5-439D-939B-8E77491C3EF6}"/>
    <cellStyle name="Currency 6 4" xfId="4159" xr:uid="{6E701B3E-0C0C-45CD-9495-44C59EA78284}"/>
    <cellStyle name="Currency 7" xfId="2604" xr:uid="{B8217EA2-3BC0-4C2A-9E21-83C8A5B4DA80}"/>
    <cellStyle name="Currency 7 2" xfId="5266" xr:uid="{B5F43F51-FF76-4242-8F5E-FE01B4B183CF}"/>
    <cellStyle name="Currency 7 3" xfId="4296" xr:uid="{F390FD63-EC0B-43AF-9F61-E18CA9053BFF}"/>
    <cellStyle name="Currency 8" xfId="2605" xr:uid="{CB484032-F099-4E84-8204-99FB7E0B1517}"/>
    <cellStyle name="Currency 8 2" xfId="4274" xr:uid="{E4619E5F-DC10-4674-9A8B-B586709E2711}"/>
    <cellStyle name="Currency 9" xfId="2606" xr:uid="{8A21982C-376B-4FC2-9A5D-383CDEC9F1BB}"/>
    <cellStyle name="Currency 9 2" xfId="4299" xr:uid="{A7B8F125-25A7-48AA-AA2D-5C0639D6A7FB}"/>
    <cellStyle name="Currency0" xfId="8" xr:uid="{00000000-0005-0000-0000-000032000000}"/>
    <cellStyle name="Currency0 2" xfId="2608" xr:uid="{36F74FB9-90C9-48EF-AC0A-ACB306D03C67}"/>
    <cellStyle name="Currency0 2 2" xfId="2609" xr:uid="{D99CC8AD-69E7-4C84-B609-4EDD14F5A365}"/>
    <cellStyle name="Currency0 2 3" xfId="5157" xr:uid="{F99CB3C5-9AF1-4A8F-926F-8FB9908EA281}"/>
    <cellStyle name="Currency0 3" xfId="2610" xr:uid="{C214F006-8809-4935-A34C-1ED5CCBD21DC}"/>
    <cellStyle name="Currency0 3 2" xfId="2611" xr:uid="{0E34280C-4CF2-41C6-9232-C5B2D08D996A}"/>
    <cellStyle name="Currency0 4" xfId="2612" xr:uid="{CEDEA722-E562-4862-B70E-16F21FF236CC}"/>
    <cellStyle name="Currency0 5" xfId="2607" xr:uid="{F61B2D8B-C751-42B7-A31F-5FEEA535E208}"/>
    <cellStyle name="Currency0 6" xfId="4074" xr:uid="{783A6FE6-E94E-48BB-96C0-78F8AE7E7D6F}"/>
    <cellStyle name="Date" xfId="9" xr:uid="{00000000-0005-0000-0000-000033000000}"/>
    <cellStyle name="Date 2" xfId="2614" xr:uid="{39F0C9E7-9B48-4AC7-AD59-E8CAAEBC3CCD}"/>
    <cellStyle name="Date 2 2" xfId="2615" xr:uid="{12AB9DAC-34FF-4BA7-95D6-6B94770B4BC0}"/>
    <cellStyle name="Date 3" xfId="2616" xr:uid="{418314D4-992B-4CAE-A073-36722D3752F2}"/>
    <cellStyle name="Date 3 2" xfId="2617" xr:uid="{2E4BE907-B0F9-4CDC-8C5E-06F191BAC358}"/>
    <cellStyle name="Date 4" xfId="2618" xr:uid="{9A568028-701B-4166-9E8C-F0351C40D26B}"/>
    <cellStyle name="Date 5" xfId="2613" xr:uid="{395FBDAD-18A4-4A38-8F82-31E8941E1F3A}"/>
    <cellStyle name="Excel Built-in Good" xfId="2619" xr:uid="{5A29F823-4EEC-4E52-BCC2-062E8EE8E4AC}"/>
    <cellStyle name="Excel Built-in Good 2" xfId="2620" xr:uid="{283BFCEA-1600-42B8-802A-24757D3A7FC1}"/>
    <cellStyle name="Excel Built-in Normal" xfId="2621" xr:uid="{E1C7050C-09E1-4DA9-985C-9346A9B2EB78}"/>
    <cellStyle name="Explanatory Text" xfId="1533" builtinId="53" customBuiltin="1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2 2" xfId="2624" xr:uid="{3422CF7E-609C-4AB7-BE01-190AFD0A78B8}"/>
    <cellStyle name="Explanatory Text 2 2 3" xfId="2623" xr:uid="{0E0A412D-DF65-4D55-8915-604A78C85548}"/>
    <cellStyle name="Explanatory Text 2 3" xfId="492" xr:uid="{B8CAF406-178C-404F-AE8E-50A5F2C419F4}"/>
    <cellStyle name="Explanatory Text 2 3 2" xfId="2626" xr:uid="{68E5621C-320E-4F65-AB51-D9CA47FD2C5C}"/>
    <cellStyle name="Explanatory Text 2 3 3" xfId="2625" xr:uid="{CCD97F19-519A-4EE1-8E44-97141622EB04}"/>
    <cellStyle name="Explanatory Text 2 4" xfId="2627" xr:uid="{A3A7A8E2-CF40-45E6-AC03-7E8BEFF080D1}"/>
    <cellStyle name="Explanatory Text 2 5" xfId="2628" xr:uid="{FF60BAA6-9C6B-451D-8D0B-CF33C8974998}"/>
    <cellStyle name="Explanatory Text 2 6" xfId="2629" xr:uid="{88B72899-3626-44E1-81F4-B1721B48C1C8}"/>
    <cellStyle name="Explanatory Text 2 7" xfId="2622" xr:uid="{73005D12-90B4-471B-BB7A-4E48A0E8FF32}"/>
    <cellStyle name="Explanatory Text 3" xfId="493" xr:uid="{3DE7E739-A21D-4074-8DD5-9A974430DDFB}"/>
    <cellStyle name="Explanatory Text 3 2" xfId="2631" xr:uid="{8EC70FC4-0C64-4822-A9E0-804E188DE0E5}"/>
    <cellStyle name="Explanatory Text 3 2 2" xfId="4392" xr:uid="{5F6BEB5D-008C-432A-BAB0-2D1B9C8841A4}"/>
    <cellStyle name="Explanatory Text 3 3" xfId="2632" xr:uid="{99E74A34-E784-41AF-A3A2-982D6AD26E5D}"/>
    <cellStyle name="Explanatory Text 3 4" xfId="2630" xr:uid="{F50158F1-B561-465B-AA20-3DF2718FB40C}"/>
    <cellStyle name="Explanatory Text 3 5" xfId="4125" xr:uid="{2B63BD02-E348-4765-A3E7-1733F2C590FB}"/>
    <cellStyle name="Explanatory Text 4" xfId="494" xr:uid="{156BF659-3287-4DEB-BCA8-8C04E0893A73}"/>
    <cellStyle name="Explanatory Text 4 2" xfId="2634" xr:uid="{B41FB562-BA6B-4C59-AC61-3DFE0C139A04}"/>
    <cellStyle name="Explanatory Text 4 3" xfId="2633" xr:uid="{2B54B933-7E60-4832-9204-07AB6A1C8E5A}"/>
    <cellStyle name="Explanatory Text 5" xfId="495" xr:uid="{48106F97-63CD-40B9-9462-C458763860F2}"/>
    <cellStyle name="Explanatory Text 5 2" xfId="2635" xr:uid="{0DD742C7-55B3-4AD8-A16E-D085DA5D06B7}"/>
    <cellStyle name="Explanatory Text 6" xfId="496" xr:uid="{EE422B80-A024-477E-8C69-0FAAC5D0CFAC}"/>
    <cellStyle name="Explanatory Text 6 2" xfId="2636" xr:uid="{33DAABB7-B8C4-487A-BB8F-702495C86E3B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tness_general" xfId="2637" xr:uid="{5DEFE04C-04D9-4621-A10A-7F1DF908845C}"/>
    <cellStyle name="Fitness-header" xfId="2638" xr:uid="{5E7EF945-AA0F-424A-9132-51F3185CADA5}"/>
    <cellStyle name="Fixed" xfId="10" xr:uid="{00000000-0005-0000-0000-000035000000}"/>
    <cellStyle name="Fixed 2" xfId="2640" xr:uid="{33494613-D892-489C-B696-C4F42F73215F}"/>
    <cellStyle name="Fixed 2 2" xfId="2641" xr:uid="{7DE59AE8-6827-45C9-A1BC-F2AA57AE1039}"/>
    <cellStyle name="Fixed 3" xfId="2642" xr:uid="{E2B225FE-BD48-4F46-8618-D9539A408AB2}"/>
    <cellStyle name="Fixed 3 2" xfId="2643" xr:uid="{CAEB7725-6EFB-43B1-AE69-C53D4037813A}"/>
    <cellStyle name="Fixed 4" xfId="2644" xr:uid="{D4994F97-8684-4688-8AFE-A995D122D005}"/>
    <cellStyle name="Fixed 5" xfId="2639" xr:uid="{FBDEB639-8A48-41B2-A5CC-695807136910}"/>
    <cellStyle name="Followed Hyperlink 2" xfId="2645" xr:uid="{9C704571-74E7-40A0-8ECC-4569E91688F6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2 2" xfId="2648" xr:uid="{36D39A87-7F66-4623-B8C1-EFEC3324AB30}"/>
    <cellStyle name="Good 2 2 3" xfId="2647" xr:uid="{E0FB9F53-77F1-45BD-A0C4-B93F7465243E}"/>
    <cellStyle name="Good 2 3" xfId="506" xr:uid="{E6E0D2CD-8100-4FCE-A179-F74656B8C726}"/>
    <cellStyle name="Good 2 3 2" xfId="2650" xr:uid="{8744CB17-ABDF-4B08-9FCE-D38A4A2F39DD}"/>
    <cellStyle name="Good 2 3 3" xfId="2649" xr:uid="{0A47380E-A149-4785-A5DF-76FCF7F47017}"/>
    <cellStyle name="Good 2 4" xfId="2651" xr:uid="{2E44DAD0-644C-4242-B526-541BED0E5E7B}"/>
    <cellStyle name="Good 2 5" xfId="2652" xr:uid="{BD57BF77-AC9F-492D-AC1E-0CA2D7321CE9}"/>
    <cellStyle name="Good 2 6" xfId="2653" xr:uid="{ED55529B-026C-4D77-9D07-3A0AF8C3F2AE}"/>
    <cellStyle name="Good 2 7" xfId="2646" xr:uid="{F34771CD-54FF-42C5-937D-17E083DA45CE}"/>
    <cellStyle name="Good 3" xfId="507" xr:uid="{D412163F-CAF5-4F3E-B5D9-154CD32B3649}"/>
    <cellStyle name="Good 3 2" xfId="2655" xr:uid="{5F0A11AD-274D-4369-A300-7110D6CFEEE5}"/>
    <cellStyle name="Good 3 2 2" xfId="4393" xr:uid="{27D51523-6E1B-4199-9D1D-B2F4C7E120D2}"/>
    <cellStyle name="Good 3 3" xfId="2656" xr:uid="{5016D082-AC00-488D-94B1-533958EDAEF2}"/>
    <cellStyle name="Good 3 4" xfId="2654" xr:uid="{7C516BAB-6B9F-41E5-846F-0F3C94DCB530}"/>
    <cellStyle name="Good 3 5" xfId="4115" xr:uid="{0CEDCF49-85F6-44A9-8664-1B9033FD424F}"/>
    <cellStyle name="Good 4" xfId="508" xr:uid="{5163F374-85F1-45C6-A3BF-73D9F4281B84}"/>
    <cellStyle name="Good 4 2" xfId="2658" xr:uid="{25F51167-6BC3-4803-82B9-CC78C26E2E70}"/>
    <cellStyle name="Good 4 3" xfId="2657" xr:uid="{0609BEDC-D497-4984-A360-219A6B1626DA}"/>
    <cellStyle name="Good 5" xfId="509" xr:uid="{E41196D2-18A9-4FAB-A024-99F795C3A322}"/>
    <cellStyle name="Good 5 2" xfId="2659" xr:uid="{62CCDD3A-E7D1-479D-9DE6-D307B5F5A3D8}"/>
    <cellStyle name="Good 6" xfId="510" xr:uid="{686E4C23-FE4E-424C-86B5-FF2A3875654A}"/>
    <cellStyle name="Good 6 2" xfId="2660" xr:uid="{01BD5393-FE0E-4200-9DC4-EEB5BB9E6FF0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Grey 2 2" xfId="2663" xr:uid="{F78E4B06-BB53-4D3C-AF42-0B369B4801B6}"/>
    <cellStyle name="Grey 2 3" xfId="2662" xr:uid="{8584C989-BF04-4B42-A67B-4F0008A6B51C}"/>
    <cellStyle name="Grey 3" xfId="2664" xr:uid="{0F2C59ED-69B7-40E7-8077-4646EB60041D}"/>
    <cellStyle name="Grey 4" xfId="2665" xr:uid="{BA8161EE-7A5E-42FF-B2CB-4DE4518C3204}"/>
    <cellStyle name="Grey 5" xfId="2661" xr:uid="{C669A5F9-DBBF-40B8-B08C-7E61BDFEB675}"/>
    <cellStyle name="Heading 1 10" xfId="514" xr:uid="{9E624CDE-0423-440C-A4ED-02BA57126B0A}"/>
    <cellStyle name="Heading 1 10 2" xfId="2666" xr:uid="{F45F1685-EDE7-4024-9A01-F7954E1F4371}"/>
    <cellStyle name="Heading 1 11" xfId="515" xr:uid="{420CD4AA-C500-43DA-857C-C54649CDD88B}"/>
    <cellStyle name="Heading 1 11 2" xfId="2667" xr:uid="{E3F854E2-3203-440E-910A-B32A78450D03}"/>
    <cellStyle name="Heading 1 12" xfId="516" xr:uid="{ED610558-97CF-4C75-8634-AC453831E2A7}"/>
    <cellStyle name="Heading 1 12 2" xfId="2668" xr:uid="{B24A406A-1EE6-4180-8CAE-3BC8840884A1}"/>
    <cellStyle name="Heading 1 13" xfId="517" xr:uid="{DF3CBB7A-DAC3-43DE-9208-7E0509BE0979}"/>
    <cellStyle name="Heading 1 13 2" xfId="2669" xr:uid="{2A532802-6B2B-4979-A041-ADA492F9D80F}"/>
    <cellStyle name="Heading 1 14" xfId="518" xr:uid="{E35E3306-7E01-4D7E-A942-2DA12E860C2B}"/>
    <cellStyle name="Heading 1 14 2" xfId="2670" xr:uid="{76732A40-28EA-4795-B49B-DD534FBEC97A}"/>
    <cellStyle name="Heading 1 15" xfId="519" xr:uid="{8A590370-8506-4CB7-9C25-363C8FC5ADB6}"/>
    <cellStyle name="Heading 1 15 2" xfId="2671" xr:uid="{089284F6-825A-4DB7-B9DD-55681C97DEC5}"/>
    <cellStyle name="Heading 1 16" xfId="859" xr:uid="{F31F6FF6-09B3-4267-84F6-6FFB2F75E5BE}"/>
    <cellStyle name="Heading 1 16 2" xfId="2672" xr:uid="{56B4D6D7-2A95-42AE-B4EA-E3BBBE587275}"/>
    <cellStyle name="Heading 1 2" xfId="59" xr:uid="{00000000-0005-0000-0000-000039000000}"/>
    <cellStyle name="Heading 1 2 2" xfId="798" xr:uid="{42114794-85CD-4DC9-9E32-AF5DC4D513C5}"/>
    <cellStyle name="Heading 1 2 2 2" xfId="2675" xr:uid="{96370289-C69F-4D2D-8C81-BBD30C462F33}"/>
    <cellStyle name="Heading 1 2 2 3" xfId="2674" xr:uid="{FBADE68D-7473-4C59-AB58-DBA402502C3D}"/>
    <cellStyle name="Heading 1 2 3" xfId="520" xr:uid="{442B69F2-4020-4257-9FF0-33B86FEEF72F}"/>
    <cellStyle name="Heading 1 2 3 2" xfId="2677" xr:uid="{1425E19C-C59B-4522-9AF5-0BED80C21AF0}"/>
    <cellStyle name="Heading 1 2 3 3" xfId="2676" xr:uid="{58083DD2-2EE2-4EC2-AB26-5C9E9874A077}"/>
    <cellStyle name="Heading 1 2 4" xfId="2678" xr:uid="{96E75760-3704-4A84-BB93-336E7DF835FB}"/>
    <cellStyle name="Heading 1 2 5" xfId="2679" xr:uid="{084A22AB-4F98-4B8A-9F25-3F0D2F6B7E4C}"/>
    <cellStyle name="Heading 1 2 6" xfId="2673" xr:uid="{525D0397-3DD4-4126-8C3E-D2D36AE9F283}"/>
    <cellStyle name="Heading 1 3" xfId="521" xr:uid="{B734E738-71C1-413E-BBE8-89B6B36CE6B8}"/>
    <cellStyle name="Heading 1 3 2" xfId="2681" xr:uid="{69C0CA42-53CD-4B24-8C78-3DBAC1D906A6}"/>
    <cellStyle name="Heading 1 3 2 2" xfId="4394" xr:uid="{18831A47-287F-4E03-BF8A-6064F9109AA0}"/>
    <cellStyle name="Heading 1 3 3" xfId="2680" xr:uid="{1B972CC3-292A-446C-BF86-5190D46BE6FC}"/>
    <cellStyle name="Heading 1 3 4" xfId="4111" xr:uid="{DD042213-E448-4DA1-9203-2858BE219576}"/>
    <cellStyle name="Heading 1 4" xfId="522" xr:uid="{F7EF0496-19E7-4393-998C-58E5A1034A4D}"/>
    <cellStyle name="Heading 1 4 2" xfId="2683" xr:uid="{6A53C2CD-685E-4906-92C6-8E2ED760352D}"/>
    <cellStyle name="Heading 1 4 3" xfId="2684" xr:uid="{B1FFB2DF-79B9-4731-96F6-580BE510C0B7}"/>
    <cellStyle name="Heading 1 4 4" xfId="2682" xr:uid="{BEBC91E7-69F1-41B5-944F-576D9A6F0523}"/>
    <cellStyle name="Heading 1 5" xfId="523" xr:uid="{56A7BF5C-A8A0-425C-95B1-EA1F23847572}"/>
    <cellStyle name="Heading 1 5 2" xfId="2685" xr:uid="{ACF677EA-319F-42F4-AC13-3F8FDF0A1B70}"/>
    <cellStyle name="Heading 1 6" xfId="524" xr:uid="{C2B4BA43-BB9D-4D8F-B5DA-134E183331EF}"/>
    <cellStyle name="Heading 1 6 2" xfId="2686" xr:uid="{A691BE1C-2AE4-4E68-8A00-59977EF4699B}"/>
    <cellStyle name="Heading 1 7" xfId="525" xr:uid="{9F6A45B5-23B9-47B1-AEB6-7E721373A1AC}"/>
    <cellStyle name="Heading 1 7 2" xfId="2687" xr:uid="{1B32D450-D072-4E50-AB57-61A376F93626}"/>
    <cellStyle name="Heading 1 8" xfId="526" xr:uid="{798AA96D-96A8-4B59-802A-BA99B94902A4}"/>
    <cellStyle name="Heading 1 8 2" xfId="2688" xr:uid="{8AB952DE-2FD6-4A48-9E92-AD0468A25E23}"/>
    <cellStyle name="Heading 1 9" xfId="527" xr:uid="{EF77EB25-2DAB-4D59-921C-0131F9D0B75F}"/>
    <cellStyle name="Heading 1 9 2" xfId="2689" xr:uid="{E44791B0-34B9-45EF-865D-0FBE6FB90F1A}"/>
    <cellStyle name="Heading 2 10" xfId="528" xr:uid="{B5AA27F0-304F-4E99-B21C-8B8712FA4165}"/>
    <cellStyle name="Heading 2 10 2" xfId="2690" xr:uid="{C9057AD3-499A-41BF-972C-E1C599086CEB}"/>
    <cellStyle name="Heading 2 11" xfId="529" xr:uid="{A1D4FE1F-312F-43DB-8CFD-F201869E9B3C}"/>
    <cellStyle name="Heading 2 11 2" xfId="2691" xr:uid="{679443E2-4074-4328-AAAA-83481AE61037}"/>
    <cellStyle name="Heading 2 12" xfId="530" xr:uid="{4007DB4B-D3E9-426D-A7FA-ED0A696AAAF6}"/>
    <cellStyle name="Heading 2 12 2" xfId="2692" xr:uid="{536D6CE2-12E1-44A7-9932-D4E87ACBD553}"/>
    <cellStyle name="Heading 2 13" xfId="531" xr:uid="{B28FA389-45DF-4AB1-8897-277C23CC3FA7}"/>
    <cellStyle name="Heading 2 13 2" xfId="2693" xr:uid="{AD8E919F-0B3D-40A7-8E7B-8C9FFAE6A73F}"/>
    <cellStyle name="Heading 2 14" xfId="532" xr:uid="{5A8C742C-DB19-4EC4-835D-AFC511F93C94}"/>
    <cellStyle name="Heading 2 14 2" xfId="2694" xr:uid="{DA316F91-33B2-4F60-975D-CCBEB2164C6B}"/>
    <cellStyle name="Heading 2 15" xfId="533" xr:uid="{FA6DE6E7-A037-4E73-AA35-579E61882E7D}"/>
    <cellStyle name="Heading 2 15 2" xfId="2695" xr:uid="{0ABF7EE4-4DCC-4D8C-A109-A7FAD5A2C691}"/>
    <cellStyle name="Heading 2 16" xfId="857" xr:uid="{BAC56A11-6A84-4DC7-8A7C-A95273358D05}"/>
    <cellStyle name="Heading 2 16 2" xfId="2696" xr:uid="{403059D8-60E8-4FAD-AFA9-B2E6AD9EC460}"/>
    <cellStyle name="Heading 2 2" xfId="60" xr:uid="{00000000-0005-0000-0000-00003A000000}"/>
    <cellStyle name="Heading 2 2 2" xfId="797" xr:uid="{1EC90361-A88E-41E1-B673-8AE5818ECE13}"/>
    <cellStyle name="Heading 2 2 2 2" xfId="2699" xr:uid="{40C5E7BA-8A00-49AB-86E8-69FFDED5F927}"/>
    <cellStyle name="Heading 2 2 2 3" xfId="2698" xr:uid="{8E221F44-74FD-4EBA-A74E-A6FE4249EABB}"/>
    <cellStyle name="Heading 2 2 3" xfId="534" xr:uid="{7FC0C457-DBDB-41AD-BEED-45FB73286358}"/>
    <cellStyle name="Heading 2 2 3 2" xfId="2701" xr:uid="{162526C5-8602-4D54-9038-473CEEED8AA7}"/>
    <cellStyle name="Heading 2 2 3 3" xfId="2700" xr:uid="{9CFB0B3E-1C7F-4B6A-9C61-96D75219D111}"/>
    <cellStyle name="Heading 2 2 4" xfId="2702" xr:uid="{C74B5A56-7B7B-4CFC-8C3D-B42192A7C24D}"/>
    <cellStyle name="Heading 2 2 5" xfId="2703" xr:uid="{CB650B12-B945-4E29-8D31-B6E1356B56A3}"/>
    <cellStyle name="Heading 2 2 6" xfId="2697" xr:uid="{44C6B9A4-EBBD-485F-AFB5-8D56C86E1430}"/>
    <cellStyle name="Heading 2 3" xfId="535" xr:uid="{CB578845-A402-4794-8ECA-F4A5BC80A61C}"/>
    <cellStyle name="Heading 2 3 2" xfId="2705" xr:uid="{B1ACA9BF-2530-461C-B1F8-B698EC59CA14}"/>
    <cellStyle name="Heading 2 3 2 2" xfId="4395" xr:uid="{2B5AB99D-2462-4BF1-8D8E-9432F28EA9BE}"/>
    <cellStyle name="Heading 2 3 3" xfId="2704" xr:uid="{E497DEBD-8639-475E-B460-4DFB1B51C021}"/>
    <cellStyle name="Heading 2 3 4" xfId="4112" xr:uid="{78C0F4EB-E176-4EF5-813F-AAFCAAD2D6BC}"/>
    <cellStyle name="Heading 2 4" xfId="536" xr:uid="{DC34F801-A50C-4B02-8269-B1A07F547300}"/>
    <cellStyle name="Heading 2 4 2" xfId="2707" xr:uid="{C55296FD-EAA0-44C0-9005-81767E677D17}"/>
    <cellStyle name="Heading 2 4 3" xfId="2708" xr:uid="{63630D7B-8733-4F82-B67F-A57FC6251B55}"/>
    <cellStyle name="Heading 2 4 4" xfId="2706" xr:uid="{EB576337-068B-4E36-9E69-40D0B6F04A2D}"/>
    <cellStyle name="Heading 2 5" xfId="537" xr:uid="{E412664C-4AC0-4537-9FDD-E07EFCA87B1B}"/>
    <cellStyle name="Heading 2 5 2" xfId="2709" xr:uid="{A4559AC3-11B8-4B15-B821-37F9E7D74436}"/>
    <cellStyle name="Heading 2 6" xfId="538" xr:uid="{D4DB2174-C562-4ADE-9FA7-0FEE935AAAB7}"/>
    <cellStyle name="Heading 2 6 2" xfId="2710" xr:uid="{8909EE8D-7BFE-4CC2-8A1A-72E5CDFDC267}"/>
    <cellStyle name="Heading 2 7" xfId="539" xr:uid="{DEDC2B60-1B69-4826-9336-1B2BC2A3B799}"/>
    <cellStyle name="Heading 2 7 2" xfId="2711" xr:uid="{9757CDF6-12DC-4DD2-B8F4-3D6676C88B23}"/>
    <cellStyle name="Heading 2 8" xfId="540" xr:uid="{ECA80A98-A669-4991-B231-3FF18FE8AE11}"/>
    <cellStyle name="Heading 2 8 2" xfId="2712" xr:uid="{6F2B599B-B4A5-4A5B-83CE-EB4140EEC016}"/>
    <cellStyle name="Heading 2 9" xfId="541" xr:uid="{74B44C0C-BC2A-46CE-879D-E71314F03F44}"/>
    <cellStyle name="Heading 2 9 2" xfId="2713" xr:uid="{99707B3A-79DF-4FC5-9FDE-A1462D5DCE02}"/>
    <cellStyle name="Heading 3 10" xfId="542" xr:uid="{0056499D-0B1B-48E3-AFF7-E47A76DDBBFE}"/>
    <cellStyle name="Heading 3 10 2" xfId="2714" xr:uid="{00B3E3E7-175C-4B22-9950-5F50AC35F89E}"/>
    <cellStyle name="Heading 3 11" xfId="543" xr:uid="{CC48EB8F-6D56-4FAF-95CE-0BFFDB329924}"/>
    <cellStyle name="Heading 3 11 2" xfId="2715" xr:uid="{9CCD8BDD-9B95-40C7-B3FE-A0FFCDC6D190}"/>
    <cellStyle name="Heading 3 12" xfId="544" xr:uid="{ED196745-9F63-4C62-9954-D54724F889B3}"/>
    <cellStyle name="Heading 3 12 2" xfId="2716" xr:uid="{3E708529-3090-4F35-B614-7DDBD6F6AEAB}"/>
    <cellStyle name="Heading 3 13" xfId="545" xr:uid="{2ADA19A8-28E1-4633-BE46-D04DCBD133BE}"/>
    <cellStyle name="Heading 3 13 2" xfId="2717" xr:uid="{16601700-BA96-4D6B-A3BF-26A98B65E626}"/>
    <cellStyle name="Heading 3 14" xfId="546" xr:uid="{D269FC63-B8A0-4224-A885-4DFBDC82C17F}"/>
    <cellStyle name="Heading 3 14 2" xfId="2718" xr:uid="{FD88BFAC-3D9D-427C-9F8F-18E8ED5F4EB2}"/>
    <cellStyle name="Heading 3 15" xfId="547" xr:uid="{5C574794-0860-4AF0-805D-7059BDDF9022}"/>
    <cellStyle name="Heading 3 15 2" xfId="2719" xr:uid="{93EF3030-AE54-4770-A679-72BA03D6DAEE}"/>
    <cellStyle name="Heading 3 16" xfId="856" xr:uid="{F9DBED36-4DDE-44EA-B350-14A3ED9668CA}"/>
    <cellStyle name="Heading 3 16 2" xfId="2720" xr:uid="{5165434F-3DDF-4A0E-A04C-AC3CAF27647B}"/>
    <cellStyle name="Heading 3 2" xfId="61" xr:uid="{00000000-0005-0000-0000-00003B000000}"/>
    <cellStyle name="Heading 3 2 2" xfId="800" xr:uid="{E3A44095-41C1-4888-B770-A3C44C563613}"/>
    <cellStyle name="Heading 3 2 2 2" xfId="2723" xr:uid="{7A9A8EEA-8DB5-4F3B-B43D-9D476A42A3FF}"/>
    <cellStyle name="Heading 3 2 2 3" xfId="2722" xr:uid="{6D221D9D-C52F-4D83-9A87-519CBCB06B92}"/>
    <cellStyle name="Heading 3 2 3" xfId="548" xr:uid="{CD0C936A-A37F-45B3-A551-1CCD5983472B}"/>
    <cellStyle name="Heading 3 2 3 2" xfId="2725" xr:uid="{63E4D993-FFDB-4EAF-8715-519374F17B19}"/>
    <cellStyle name="Heading 3 2 3 3" xfId="2724" xr:uid="{F99281E9-A2CD-44BE-8DA3-208750EFB45F}"/>
    <cellStyle name="Heading 3 2 4" xfId="2726" xr:uid="{D1961D63-F44A-4EBB-A63B-C934F9A74461}"/>
    <cellStyle name="Heading 3 2 5" xfId="2727" xr:uid="{37903BD1-DA01-400C-BFBC-24C832972356}"/>
    <cellStyle name="Heading 3 2 6" xfId="2721" xr:uid="{57C56823-D0DA-44ED-A946-7797C9B4F502}"/>
    <cellStyle name="Heading 3 3" xfId="549" xr:uid="{4B632B50-B86A-4BD6-B70A-410C94453E8F}"/>
    <cellStyle name="Heading 3 3 2" xfId="2729" xr:uid="{4097F1B3-D1AA-484B-B416-129B42DBFEA3}"/>
    <cellStyle name="Heading 3 3 2 2" xfId="4396" xr:uid="{C087A298-F2FD-460C-85BE-B60F18C51078}"/>
    <cellStyle name="Heading 3 3 3" xfId="2730" xr:uid="{DCE72CC5-117B-4856-A1AA-2B7331B09D15}"/>
    <cellStyle name="Heading 3 3 4" xfId="2728" xr:uid="{3ECBF743-3500-4297-BF66-1118FB45F35D}"/>
    <cellStyle name="Heading 3 3 5" xfId="4113" xr:uid="{CDFA4632-AC38-4AE7-A53E-B98846650885}"/>
    <cellStyle name="Heading 3 4" xfId="550" xr:uid="{A35712B7-3017-47E0-81A2-4EB9F398CD91}"/>
    <cellStyle name="Heading 3 4 2" xfId="2732" xr:uid="{74CD3852-54A2-441D-A78D-2436EB0ED3B4}"/>
    <cellStyle name="Heading 3 4 3" xfId="2731" xr:uid="{E52EAA93-682B-4DDC-BED0-7880BD13A588}"/>
    <cellStyle name="Heading 3 5" xfId="551" xr:uid="{14F4B2F7-EA1B-4CD7-8338-A3B55E765F77}"/>
    <cellStyle name="Heading 3 5 2" xfId="2733" xr:uid="{C7DB8EAC-A911-410F-B37D-84CE681E5411}"/>
    <cellStyle name="Heading 3 6" xfId="552" xr:uid="{642493DE-887B-4A06-A06A-6297B3FF8999}"/>
    <cellStyle name="Heading 3 6 2" xfId="2734" xr:uid="{40F2EFED-7490-46EE-9D4F-5B8B96EBB744}"/>
    <cellStyle name="Heading 3 7" xfId="553" xr:uid="{6E4F8E46-5828-4BAE-A973-606B191C211D}"/>
    <cellStyle name="Heading 3 7 2" xfId="2735" xr:uid="{36A09813-2BE4-498F-B920-1288C031F96F}"/>
    <cellStyle name="Heading 3 8" xfId="554" xr:uid="{DB0E6BED-7A26-4E75-B093-BD43156578FD}"/>
    <cellStyle name="Heading 3 8 2" xfId="2736" xr:uid="{F09AC93F-D596-411A-B916-60A9A7B9C080}"/>
    <cellStyle name="Heading 3 9" xfId="555" xr:uid="{358BCA0B-38E7-4986-A011-02C672C2C349}"/>
    <cellStyle name="Heading 3 9 2" xfId="2737" xr:uid="{369109E1-846E-46C9-ADFB-FC2FA75CCB10}"/>
    <cellStyle name="Heading 4 10" xfId="556" xr:uid="{8B115146-7BB8-4B81-861F-32A38D1DBE13}"/>
    <cellStyle name="Heading 4 10 2" xfId="2738" xr:uid="{3ACD35EF-DB44-431D-AA75-52D209D63A38}"/>
    <cellStyle name="Heading 4 11" xfId="557" xr:uid="{BA5FBD86-1D09-487F-B698-4D3B26279FC9}"/>
    <cellStyle name="Heading 4 11 2" xfId="2739" xr:uid="{9A968B73-F7D2-4DD8-9869-639903032E39}"/>
    <cellStyle name="Heading 4 12" xfId="558" xr:uid="{AE6058B7-193F-4532-A06B-9F23221B3D5D}"/>
    <cellStyle name="Heading 4 12 2" xfId="2740" xr:uid="{345A16B8-30A0-4637-9E4F-C1F78BC664A2}"/>
    <cellStyle name="Heading 4 13" xfId="559" xr:uid="{7A980230-E901-4F9D-816D-5ACD164F95CD}"/>
    <cellStyle name="Heading 4 13 2" xfId="2741" xr:uid="{2E631007-C26C-4750-A4D4-B13D6774C4FD}"/>
    <cellStyle name="Heading 4 14" xfId="560" xr:uid="{F1EC93E7-7A54-45EF-B8C6-A9AACB5D888E}"/>
    <cellStyle name="Heading 4 14 2" xfId="2742" xr:uid="{E78E05D6-F0A6-4F68-A652-018C857A7CD8}"/>
    <cellStyle name="Heading 4 15" xfId="561" xr:uid="{8AAD284E-8998-43F6-A97F-9397F17CCAAE}"/>
    <cellStyle name="Heading 4 15 2" xfId="2743" xr:uid="{00A58888-4846-475C-88CD-ED99FCB78128}"/>
    <cellStyle name="Heading 4 16" xfId="899" xr:uid="{7CF9C2C5-5603-43A8-932A-DF6B5880F72B}"/>
    <cellStyle name="Heading 4 16 2" xfId="2744" xr:uid="{F6CE770D-7EAA-4943-9419-DFB9D59CFE5D}"/>
    <cellStyle name="Heading 4 2" xfId="62" xr:uid="{00000000-0005-0000-0000-00003C000000}"/>
    <cellStyle name="Heading 4 2 2" xfId="801" xr:uid="{AF5481CE-3F5B-4067-AC2F-59C876B89B71}"/>
    <cellStyle name="Heading 4 2 2 2" xfId="2747" xr:uid="{1BB14B45-B47D-4D4D-ACDE-759D9C02C79A}"/>
    <cellStyle name="Heading 4 2 2 3" xfId="2746" xr:uid="{1B1BCCA7-CB6B-42B2-8C1C-2A712B4D1ABC}"/>
    <cellStyle name="Heading 4 2 3" xfId="562" xr:uid="{4DBCF3A6-B5C3-4771-885C-DA6694A7F581}"/>
    <cellStyle name="Heading 4 2 3 2" xfId="2749" xr:uid="{E7A5EB92-723D-4379-B951-16FBAB8B93C2}"/>
    <cellStyle name="Heading 4 2 3 3" xfId="2748" xr:uid="{CB254F9E-6864-4A11-83DD-247999967D1F}"/>
    <cellStyle name="Heading 4 2 4" xfId="2750" xr:uid="{07701354-0F38-4CC2-92B1-67AAA0086667}"/>
    <cellStyle name="Heading 4 2 5" xfId="2751" xr:uid="{67ED4891-B1A6-41BF-8D46-DBB24E49D856}"/>
    <cellStyle name="Heading 4 2 6" xfId="2745" xr:uid="{F5434A72-C633-41AC-8C84-EFEECE750D22}"/>
    <cellStyle name="Heading 4 3" xfId="563" xr:uid="{53D5D40A-B907-4F0D-BBC7-B9A14AD06670}"/>
    <cellStyle name="Heading 4 3 2" xfId="2753" xr:uid="{8940B378-14EC-4CDA-B5ED-0B033E655C25}"/>
    <cellStyle name="Heading 4 3 2 2" xfId="4397" xr:uid="{431A7100-3532-4B7D-BB07-61D45D56A7DD}"/>
    <cellStyle name="Heading 4 3 3" xfId="2754" xr:uid="{96C90E6A-6D3C-4199-9942-6DB0B42EB265}"/>
    <cellStyle name="Heading 4 3 4" xfId="2752" xr:uid="{4971E34F-0F90-496B-9EC2-AC4883148726}"/>
    <cellStyle name="Heading 4 3 5" xfId="4114" xr:uid="{C12A2E09-60F2-4131-878E-AFD9C94D567E}"/>
    <cellStyle name="Heading 4 4" xfId="564" xr:uid="{F6074E72-6FB2-42ED-8CA7-1E28CCAA9BD5}"/>
    <cellStyle name="Heading 4 4 2" xfId="2756" xr:uid="{8CE6DC80-A5DA-48F4-BAE4-ADFE5CC85A4F}"/>
    <cellStyle name="Heading 4 4 3" xfId="2755" xr:uid="{26236924-3901-48A6-B811-54A9E4C6D378}"/>
    <cellStyle name="Heading 4 5" xfId="565" xr:uid="{DDA30D74-ADE2-4D38-ADB8-C2E6CF93F16A}"/>
    <cellStyle name="Heading 4 5 2" xfId="2757" xr:uid="{A682C66A-693C-47B5-A681-850AF457C42D}"/>
    <cellStyle name="Heading 4 6" xfId="566" xr:uid="{76AC7961-3DBE-4A30-871C-01E62F713E82}"/>
    <cellStyle name="Heading 4 6 2" xfId="2758" xr:uid="{4EBC38D4-89BF-48D3-8CEF-2685D04ED6AF}"/>
    <cellStyle name="Heading 4 7" xfId="567" xr:uid="{4974BFD7-F728-4875-9874-91F45EDDA4BB}"/>
    <cellStyle name="Heading 4 7 2" xfId="2759" xr:uid="{3D741899-6E19-401F-BEB2-450405ECC1FE}"/>
    <cellStyle name="Heading 4 8" xfId="568" xr:uid="{BB57A0B3-EE28-4776-BAEF-6376EF2FAFC8}"/>
    <cellStyle name="Heading 4 8 2" xfId="2760" xr:uid="{53E2C3D5-78A7-460A-AF6D-61AF98E0812E}"/>
    <cellStyle name="Heading 4 9" xfId="569" xr:uid="{BFED68BB-B5AF-46C2-8CBF-5080D92E4AFB}"/>
    <cellStyle name="Heading 4 9 2" xfId="2761" xr:uid="{9340AA6F-C2A4-4FB5-A5F5-2F2326139756}"/>
    <cellStyle name="Hyperlink 2" xfId="860" xr:uid="{19815D14-47F1-4C40-8908-1673DE960848}"/>
    <cellStyle name="Hyperlink 2 2" xfId="1079" xr:uid="{B7941911-38B4-4FE7-BACD-288A82ABB0C8}"/>
    <cellStyle name="Hyperlink 2 2 2" xfId="2763" xr:uid="{8738078E-7888-42B1-911E-0FA4417DF2ED}"/>
    <cellStyle name="Hyperlink 2 3" xfId="2764" xr:uid="{D490A212-CD86-4D96-B038-2139F45AEAAA}"/>
    <cellStyle name="Hyperlink 2 3 2" xfId="4508" xr:uid="{0B9CED6B-F5B8-4275-A777-A73F4A22BAAF}"/>
    <cellStyle name="Hyperlink 2 4" xfId="2762" xr:uid="{7F9D590B-8165-43D6-9141-D0883073F19D}"/>
    <cellStyle name="Hyperlink 3" xfId="791" xr:uid="{7A09522E-D196-42F7-B014-32412D80B9F6}"/>
    <cellStyle name="Hyperlink 3 2" xfId="2766" xr:uid="{E1D9D343-B633-44F7-A8D2-8683CFF7BCFD}"/>
    <cellStyle name="Hyperlink 3 3" xfId="2765" xr:uid="{153D336F-21D9-4B12-9302-CA854F7E3D03}"/>
    <cellStyle name="Hyperlink 4" xfId="1523" xr:uid="{235BE327-B228-457D-94C2-FC138186B686}"/>
    <cellStyle name="Hyperlink 4 2" xfId="2767" xr:uid="{7F7E44FC-F618-4E39-B50C-AA4C802E0E11}"/>
    <cellStyle name="Hyperlink 5" xfId="1530" xr:uid="{91A199C1-5D5B-498A-9C86-73CB2DB0B42E}"/>
    <cellStyle name="Hyperlink 5 2" xfId="2768" xr:uid="{48BA0470-9C8C-4F8D-B911-C84464509394}"/>
    <cellStyle name="Hyperlink 6" xfId="2769" xr:uid="{2CE82526-E4C2-461D-A137-BF3A7249DF2C}"/>
    <cellStyle name="Input [yellow]" xfId="63" xr:uid="{00000000-0005-0000-0000-00003D000000}"/>
    <cellStyle name="Input [yellow] 2" xfId="64" xr:uid="{00000000-0005-0000-0000-00003E000000}"/>
    <cellStyle name="Input [yellow] 2 2" xfId="2772" xr:uid="{182EB07C-1C54-4901-9D90-8693EADA7BF6}"/>
    <cellStyle name="Input [yellow] 2 2 2" xfId="5254" xr:uid="{622B860B-DD0E-4A05-8AF5-0F7BDEEA0B35}"/>
    <cellStyle name="Input [yellow] 2 3" xfId="2771" xr:uid="{E35C9858-771A-4826-AB9D-89CDA2F3E2AD}"/>
    <cellStyle name="Input [yellow] 3" xfId="2773" xr:uid="{036C877E-7A1D-4197-91F6-429DD275BC12}"/>
    <cellStyle name="Input [yellow] 4" xfId="2770" xr:uid="{00010011-3981-4B2C-9905-1D72D7356583}"/>
    <cellStyle name="Input [yellow] 4 2" xfId="5225" xr:uid="{3A9318CA-DB81-4301-84CF-9818EBC2CD10}"/>
    <cellStyle name="Input [yellow] 5" xfId="5253" xr:uid="{B3BCCE19-7651-48F7-81B4-D79082B88CE0}"/>
    <cellStyle name="Input 10" xfId="570" xr:uid="{069DF234-84A1-4E00-A14F-7863896AA320}"/>
    <cellStyle name="Input 10 2" xfId="2775" xr:uid="{223AA8DC-5795-40F9-8D74-9A04A19B6A9D}"/>
    <cellStyle name="Input 10 3" xfId="2774" xr:uid="{4686A24A-796B-4139-A34E-9C2C32156E98}"/>
    <cellStyle name="Input 11" xfId="571" xr:uid="{CE6A837F-79AF-4FC5-9784-7ED9953EC354}"/>
    <cellStyle name="Input 11 2" xfId="2777" xr:uid="{C6E3772F-F569-48AA-B692-829B5E8341E4}"/>
    <cellStyle name="Input 11 3" xfId="2776" xr:uid="{54763D82-0AB2-4E9E-89D8-7CBD0549EB7A}"/>
    <cellStyle name="Input 12" xfId="572" xr:uid="{18AB055D-95D5-40A6-B334-75565775AAAA}"/>
    <cellStyle name="Input 12 2" xfId="2779" xr:uid="{C7FA84DB-36F9-4C68-A1D4-6FF5768F1475}"/>
    <cellStyle name="Input 12 3" xfId="2778" xr:uid="{21CA9A33-B170-41C5-8CB2-C999753D95CF}"/>
    <cellStyle name="Input 13" xfId="573" xr:uid="{E9EDB48C-7B77-456C-8AAE-14670AEFC864}"/>
    <cellStyle name="Input 13 2" xfId="2781" xr:uid="{2D92D0FF-F161-4FB9-902E-4212E3CEC53D}"/>
    <cellStyle name="Input 13 3" xfId="2780" xr:uid="{3E03973C-AEA5-4247-BA5D-5D483652DCDA}"/>
    <cellStyle name="Input 14" xfId="574" xr:uid="{373C56A7-1B4E-4846-9B18-50CE4B182894}"/>
    <cellStyle name="Input 14 2" xfId="2783" xr:uid="{D2DE61E7-5729-4DD6-B527-9775451D5582}"/>
    <cellStyle name="Input 14 3" xfId="2782" xr:uid="{4B5B4724-36F5-481F-BAE0-75AD8A99F77F}"/>
    <cellStyle name="Input 15" xfId="575" xr:uid="{EB3C41C1-EA4C-4F90-B9E4-615EC0280012}"/>
    <cellStyle name="Input 15 2" xfId="2785" xr:uid="{06A518F7-C687-47F6-843A-5C75E11AC4AB}"/>
    <cellStyle name="Input 15 3" xfId="2784" xr:uid="{7093A578-EB6B-42EE-ABCE-5BD12E8A57A1}"/>
    <cellStyle name="Input 16" xfId="852" xr:uid="{AA092E4D-9BD3-4E34-9B51-C1A7AB92F3D9}"/>
    <cellStyle name="Input 16 2" xfId="2787" xr:uid="{D9403588-DDBB-4121-B7C4-05B33C9C2EE4}"/>
    <cellStyle name="Input 16 3" xfId="2786" xr:uid="{1D4CD832-6582-4151-8465-BE6E1CB33E83}"/>
    <cellStyle name="Input 17" xfId="928" xr:uid="{A5FC5402-8443-4CFE-B8BB-04E05BF3122A}"/>
    <cellStyle name="Input 17 2" xfId="2789" xr:uid="{9011E3F4-9C34-4256-960A-6F248E01FBE5}"/>
    <cellStyle name="Input 17 3" xfId="2788" xr:uid="{D508A1CA-E71A-40B0-8D26-7451D290A8FA}"/>
    <cellStyle name="Input 18" xfId="927" xr:uid="{5DD1FDA6-9E91-44BF-9711-D61B26D3FD88}"/>
    <cellStyle name="Input 18 2" xfId="2791" xr:uid="{F97BD079-3A8E-4904-8841-D360EFE9649E}"/>
    <cellStyle name="Input 18 3" xfId="2790" xr:uid="{F0775912-DE7C-4650-A534-C241555274AC}"/>
    <cellStyle name="Input 19" xfId="926" xr:uid="{3BB892ED-CF61-4FBA-B3DD-F8D4B74AE053}"/>
    <cellStyle name="Input 19 2" xfId="2793" xr:uid="{41014EF1-A0A3-421A-A8CC-AEA084EFABFD}"/>
    <cellStyle name="Input 19 3" xfId="2792" xr:uid="{0E2C6AB0-5D46-4D0B-A0EB-D501B171B08E}"/>
    <cellStyle name="Input 2" xfId="65" xr:uid="{00000000-0005-0000-0000-00003F000000}"/>
    <cellStyle name="Input 2 2" xfId="805" xr:uid="{E3715E8F-709E-4A08-AEF7-D54EB62A7FD8}"/>
    <cellStyle name="Input 2 2 2" xfId="2796" xr:uid="{11037B34-5E80-4A02-88AA-80B4C8EBA3FE}"/>
    <cellStyle name="Input 2 2 3" xfId="2795" xr:uid="{B8DE4220-E2AC-41CB-8161-93907703D678}"/>
    <cellStyle name="Input 2 3" xfId="576" xr:uid="{D34BDCDB-1998-43C6-BC40-5E036E8649E0}"/>
    <cellStyle name="Input 2 3 2" xfId="2798" xr:uid="{0505EEE9-4ACE-4B23-872F-98B445C2E4C9}"/>
    <cellStyle name="Input 2 3 3" xfId="2797" xr:uid="{81C7FBAC-78C3-4789-A3AB-8C1A20383E0B}"/>
    <cellStyle name="Input 2 4" xfId="2799" xr:uid="{A8008C9E-5F1F-4715-995D-72D741769BB4}"/>
    <cellStyle name="Input 2 5" xfId="2800" xr:uid="{EB5FA28A-D589-4EC2-BD4E-FCBC73BD23C4}"/>
    <cellStyle name="Input 2 6" xfId="2801" xr:uid="{EF430130-8DE0-432B-8DEC-5189AADBA334}"/>
    <cellStyle name="Input 2 7" xfId="2794" xr:uid="{B43530E0-113F-46EE-BDBA-5FEFC2FA3FF6}"/>
    <cellStyle name="Input 20" xfId="934" xr:uid="{38FAA33F-2AF3-476E-B1B1-E5248307639C}"/>
    <cellStyle name="Input 20 2" xfId="2803" xr:uid="{B3932D40-C3E2-444C-B5EB-ADFEDA40AB6C}"/>
    <cellStyle name="Input 20 3" xfId="2802" xr:uid="{56018674-9702-4F4C-B611-5E59A8F397B0}"/>
    <cellStyle name="Input 21" xfId="2804" xr:uid="{91062FC0-FEC3-45A6-9B1D-53F917455C3F}"/>
    <cellStyle name="Input 21 2" xfId="2805" xr:uid="{A1460282-7240-486D-8CD5-EA7877E54EAA}"/>
    <cellStyle name="Input 22" xfId="2806" xr:uid="{4BEC53B7-C9E7-46CD-8EA4-2276C076D383}"/>
    <cellStyle name="Input 22 2" xfId="2807" xr:uid="{DC4410AA-8E33-4950-BE17-334AF4D978AE}"/>
    <cellStyle name="Input 23" xfId="2808" xr:uid="{B45FA828-0014-4A86-8658-E84F21AE6D91}"/>
    <cellStyle name="Input 23 2" xfId="2809" xr:uid="{5270CA39-7AE1-4D34-A510-379CB9865675}"/>
    <cellStyle name="Input 24" xfId="2810" xr:uid="{FBA4901D-564D-43F8-B69F-309F3FE62A4F}"/>
    <cellStyle name="Input 24 2" xfId="2811" xr:uid="{2EE410CE-CA3C-4046-8D47-D4152B21C701}"/>
    <cellStyle name="Input 25" xfId="2812" xr:uid="{1D451ACB-15F2-48E0-94DF-028E5049FDBB}"/>
    <cellStyle name="Input 25 2" xfId="2813" xr:uid="{242F5FC8-95C9-44FC-87BA-2C439CF05B28}"/>
    <cellStyle name="Input 26" xfId="2814" xr:uid="{97EF5FF9-B34E-4124-9031-63C15ECE8909}"/>
    <cellStyle name="Input 26 2" xfId="2815" xr:uid="{DDBAF762-B544-43DC-8000-17B2666A5B6E}"/>
    <cellStyle name="Input 27" xfId="2816" xr:uid="{677CE9A4-A3F9-4083-8036-BBF915B30617}"/>
    <cellStyle name="Input 27 2" xfId="2817" xr:uid="{333FCB75-2DBC-449B-B613-61DA6C395AB0}"/>
    <cellStyle name="Input 28" xfId="2818" xr:uid="{133E0A60-2844-4A65-A25D-416025AD7C5A}"/>
    <cellStyle name="Input 28 2" xfId="2819" xr:uid="{8B077FFF-6B25-468E-9FA6-767EFCCC9F29}"/>
    <cellStyle name="Input 29" xfId="2820" xr:uid="{B5ADFE38-8119-4F6A-BE54-741A2EE848E5}"/>
    <cellStyle name="Input 29 2" xfId="2821" xr:uid="{7FAFCF92-2964-49EF-AE17-E451A89398B0}"/>
    <cellStyle name="Input 3" xfId="577" xr:uid="{F53E2F5D-33EB-4FE2-AF79-C2A1FAA86F0E}"/>
    <cellStyle name="Input 3 2" xfId="2823" xr:uid="{9E90A4DC-4FB3-4365-80E3-5C5042AB69DF}"/>
    <cellStyle name="Input 3 2 2" xfId="4398" xr:uid="{0E44B00C-0A03-432E-A299-279BD5E3AE3A}"/>
    <cellStyle name="Input 3 3" xfId="2824" xr:uid="{E9BD8086-90B3-4586-9EF8-BD5EDC73BFBB}"/>
    <cellStyle name="Input 3 4" xfId="2822" xr:uid="{C53DCF9C-3B5B-449A-AD59-129D43BF8A2D}"/>
    <cellStyle name="Input 3 5" xfId="4118" xr:uid="{572D281C-F5F1-45C8-814B-B9B1E0C1299E}"/>
    <cellStyle name="Input 30" xfId="2825" xr:uid="{A28F7B6C-A3F3-4C98-9302-AD3E50DB4AEF}"/>
    <cellStyle name="Input 31" xfId="2826" xr:uid="{E78153B2-4028-400C-B681-E69B78D08009}"/>
    <cellStyle name="Input 32" xfId="2827" xr:uid="{DE61CF50-3036-47D4-AB00-F8BA37ECB02E}"/>
    <cellStyle name="Input 33" xfId="2828" xr:uid="{8C802E49-6E32-4C95-B090-F4FBC81B4FEA}"/>
    <cellStyle name="Input 34" xfId="2829" xr:uid="{0D41D999-563E-4C18-A8A0-BF6C6F1B3558}"/>
    <cellStyle name="Input 35" xfId="2830" xr:uid="{B579739B-5CC9-4E66-9030-70DE1F32CC2F}"/>
    <cellStyle name="Input 36" xfId="2831" xr:uid="{6AEAFC7E-54E1-497E-BF60-468A7008BF68}"/>
    <cellStyle name="Input 37" xfId="2832" xr:uid="{A8B5519D-6C2B-4B54-AAEC-74F6B1B4AD15}"/>
    <cellStyle name="Input 38" xfId="2833" xr:uid="{70803B95-F6AF-41ED-885C-529FDA575C5B}"/>
    <cellStyle name="Input 39" xfId="2834" xr:uid="{B5C4657C-06B8-4C62-AE53-850BD238CCDB}"/>
    <cellStyle name="Input 4" xfId="578" xr:uid="{49058892-9165-4E66-8EEA-2AFA430B8DEC}"/>
    <cellStyle name="Input 4 2" xfId="2836" xr:uid="{E588831F-2A19-4864-BFA5-F637A1AF8F4C}"/>
    <cellStyle name="Input 4 2 2" xfId="4399" xr:uid="{1AC6280A-6428-4116-AE7F-0E026659AACA}"/>
    <cellStyle name="Input 4 3" xfId="2837" xr:uid="{9A2AF552-4884-45FA-88F4-BC764E716A16}"/>
    <cellStyle name="Input 4 4" xfId="2835" xr:uid="{129BA377-E23D-486C-934A-6F66C344EFDA}"/>
    <cellStyle name="Input 4 5" xfId="4307" xr:uid="{1D93B3E2-7826-4519-A119-2406CB5791EE}"/>
    <cellStyle name="Input 40" xfId="2838" xr:uid="{A80469C5-6D07-4953-81FD-A619F37A0BBE}"/>
    <cellStyle name="Input 41" xfId="4067" xr:uid="{A7D0E03C-7087-4F7F-B19A-41930216519A}"/>
    <cellStyle name="Input 5" xfId="579" xr:uid="{A312C826-AEF1-48B7-AA47-DF7CA0243D79}"/>
    <cellStyle name="Input 5 2" xfId="2840" xr:uid="{F0F86EFE-A98C-4229-ADDB-8A4AF84611A8}"/>
    <cellStyle name="Input 5 2 2" xfId="4400" xr:uid="{AFDCA251-A383-4742-9D12-4AAAFB50C2A6}"/>
    <cellStyle name="Input 5 3" xfId="2841" xr:uid="{E2265873-E550-4800-A9C8-9F67014A3EB6}"/>
    <cellStyle name="Input 5 4" xfId="2839" xr:uid="{CD167D1A-216B-44F7-A04C-6B104E58D163}"/>
    <cellStyle name="Input 5 5" xfId="4309" xr:uid="{FB87504B-F660-4A97-85B3-277D738504F5}"/>
    <cellStyle name="Input 6" xfId="580" xr:uid="{7D67E213-7EB0-4F3E-91C3-FA387B1DEDF1}"/>
    <cellStyle name="Input 6 2" xfId="2843" xr:uid="{2E9448B2-4485-4A0B-92CD-852D40639E6F}"/>
    <cellStyle name="Input 6 3" xfId="2842" xr:uid="{44EFBA8C-353E-42F8-9001-79751859AE61}"/>
    <cellStyle name="Input 7" xfId="581" xr:uid="{ECEB7560-00DD-4419-BBFD-1D266401279E}"/>
    <cellStyle name="Input 7 2" xfId="2845" xr:uid="{B2B6B965-CBDB-400E-980F-3049FB68E0EC}"/>
    <cellStyle name="Input 7 3" xfId="2844" xr:uid="{3F36E76F-FC90-4105-97FA-E3C68B6B60F7}"/>
    <cellStyle name="Input 8" xfId="582" xr:uid="{E9882AD8-260E-4025-B4A7-6164E193ADA4}"/>
    <cellStyle name="Input 8 2" xfId="2847" xr:uid="{12505071-079C-41DA-AB12-19BA19912D2A}"/>
    <cellStyle name="Input 8 3" xfId="2846" xr:uid="{D2ECCA8B-9406-4B0C-9B9A-1CC5E9EA74AF}"/>
    <cellStyle name="Input 9" xfId="583" xr:uid="{A42343CE-E863-4020-9ACF-21FF6F93DA8F}"/>
    <cellStyle name="Input 9 2" xfId="2849" xr:uid="{EDC37023-04CF-4758-80D2-6726BFD6B9AC}"/>
    <cellStyle name="Input 9 3" xfId="2848" xr:uid="{10E0B8D7-7845-44C5-9D9F-444C03983379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2 2" xfId="2852" xr:uid="{D24BC3D6-1025-4529-B0BE-2C876DE9C678}"/>
    <cellStyle name="Linked Cell 2 2 3" xfId="2851" xr:uid="{0D24BC1E-A080-40D8-9E71-453837A7425F}"/>
    <cellStyle name="Linked Cell 2 3" xfId="590" xr:uid="{49F0270A-FD95-4073-B548-2A0E4E22E41C}"/>
    <cellStyle name="Linked Cell 2 3 2" xfId="2854" xr:uid="{E5E001A5-82DE-47ED-AFBC-9EB6D5C437D2}"/>
    <cellStyle name="Linked Cell 2 3 3" xfId="2853" xr:uid="{7E8C1D44-6FD1-4EE6-8593-EBB22C2D1300}"/>
    <cellStyle name="Linked Cell 2 4" xfId="2855" xr:uid="{C6C51064-0277-402E-8CFD-38F6E165E09F}"/>
    <cellStyle name="Linked Cell 2 5" xfId="2856" xr:uid="{6DB297E1-F839-4E0F-A33B-A7BFBE69EC82}"/>
    <cellStyle name="Linked Cell 2 6" xfId="2857" xr:uid="{DD025D9E-E8B3-4311-B526-C330014C13A1}"/>
    <cellStyle name="Linked Cell 2 7" xfId="2850" xr:uid="{2DCFA7A4-CE84-4170-96CE-884743D81713}"/>
    <cellStyle name="Linked Cell 3" xfId="591" xr:uid="{A4ABCC8F-849D-4690-826F-522012C9B1E0}"/>
    <cellStyle name="Linked Cell 3 2" xfId="2859" xr:uid="{695E0FD3-90BC-471C-8E6A-1B850C1C7C53}"/>
    <cellStyle name="Linked Cell 3 2 2" xfId="4401" xr:uid="{D5961A77-7BE9-4C5F-9C44-11F2892565A7}"/>
    <cellStyle name="Linked Cell 3 3" xfId="2860" xr:uid="{7365C448-F951-4F5E-B1C4-7EC700ED76C4}"/>
    <cellStyle name="Linked Cell 3 4" xfId="2858" xr:uid="{FA3117C5-B0E4-4F86-9E46-3968E128DC3F}"/>
    <cellStyle name="Linked Cell 3 5" xfId="4121" xr:uid="{A09E5FA9-766D-4C47-BA5F-14AF9FD1B4D2}"/>
    <cellStyle name="Linked Cell 4" xfId="592" xr:uid="{F5055E08-3357-44CC-8CA5-30AAE9D24F9C}"/>
    <cellStyle name="Linked Cell 4 2" xfId="2862" xr:uid="{62C974F7-39A2-44F2-9965-444C7E005821}"/>
    <cellStyle name="Linked Cell 4 3" xfId="2861" xr:uid="{849460A9-B07D-4DB9-8C68-C09F2260464E}"/>
    <cellStyle name="Linked Cell 5" xfId="593" xr:uid="{D07BE249-6F9C-440A-9641-503066FDD0F7}"/>
    <cellStyle name="Linked Cell 5 2" xfId="2863" xr:uid="{DCA70025-2BF6-48FD-BBAD-6E5364269105}"/>
    <cellStyle name="Linked Cell 6" xfId="594" xr:uid="{39D6E0B0-9681-4C5A-87A3-87A5B4900297}"/>
    <cellStyle name="Linked Cell 6 2" xfId="2864" xr:uid="{529BD889-C3D5-438F-A3F8-BFDB9FB12FA5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 2" xfId="2866" xr:uid="{CECDD0E2-80B2-413C-ADB6-1BFC2D29D842}"/>
    <cellStyle name="M 2 2" xfId="2867" xr:uid="{6D16C178-7E0A-43D2-9B18-991B7982D690}"/>
    <cellStyle name="M 3" xfId="2868" xr:uid="{5E659100-A797-4E6D-9902-3CC9AF01C9D6}"/>
    <cellStyle name="M 4" xfId="2865" xr:uid="{1A9B5E9D-C597-4941-94E7-C34EAF309660}"/>
    <cellStyle name="M.00" xfId="68" xr:uid="{00000000-0005-0000-0000-000042000000}"/>
    <cellStyle name="M.00 2" xfId="2870" xr:uid="{9ECC6ADC-9C01-4E82-B0CE-CCE2AA350B01}"/>
    <cellStyle name="M.00 2 2" xfId="2871" xr:uid="{1DCE172A-4589-4399-A689-F216DA0600ED}"/>
    <cellStyle name="M.00 3" xfId="2872" xr:uid="{11898FFD-91E1-46BE-9D64-16912121B45D}"/>
    <cellStyle name="M.00 4" xfId="2869" xr:uid="{32AFA697-61B0-4F9A-B196-0000A5BEAECB}"/>
    <cellStyle name="M_9. Rev2Cost_GDPIPI" xfId="69" xr:uid="{00000000-0005-0000-0000-000043000000}"/>
    <cellStyle name="M_9. Rev2Cost_GDPIPI 2" xfId="2874" xr:uid="{A0D3BBF0-63C4-4506-ABBE-C0812024A21D}"/>
    <cellStyle name="M_9. Rev2Cost_GDPIPI 2 2" xfId="2875" xr:uid="{3D488E10-95B1-4412-8715-483D03CEE6B6}"/>
    <cellStyle name="M_9. Rev2Cost_GDPIPI 3" xfId="2876" xr:uid="{28C58282-EDD7-4837-A489-325FC83102FA}"/>
    <cellStyle name="M_9. Rev2Cost_GDPIPI 4" xfId="2873" xr:uid="{518EA112-1886-47F6-8B9A-D2320CE0F900}"/>
    <cellStyle name="M_9. Rev2Cost_GDPIPI_6.2 CBR B" xfId="4245" xr:uid="{16CA20ED-861A-4B1B-A755-331A278C8FA9}"/>
    <cellStyle name="M_9. Rev2Cost_GDPIPI_9. Shared Tax - Rate Rider" xfId="4261" xr:uid="{997B3B4D-9C5E-4603-8BC4-504BF7124E0F}"/>
    <cellStyle name="M_lists" xfId="70" xr:uid="{00000000-0005-0000-0000-000044000000}"/>
    <cellStyle name="M_lists 2" xfId="2878" xr:uid="{75DC9FC5-2679-48C5-92F4-6B8B339FB154}"/>
    <cellStyle name="M_lists 2 2" xfId="2879" xr:uid="{53DD01D5-AE96-4EB4-B4DE-68A478DDEAFF}"/>
    <cellStyle name="M_lists 3" xfId="2880" xr:uid="{C8865341-61E0-49AE-A060-5AC1AD2789E1}"/>
    <cellStyle name="M_lists 4" xfId="2877" xr:uid="{56566452-95BF-4150-A905-7D3E840BAF97}"/>
    <cellStyle name="M_lists_4. Current Monthly Fixed Charge" xfId="71" xr:uid="{00000000-0005-0000-0000-000045000000}"/>
    <cellStyle name="M_lists_4. Current Monthly Fixed Charge 2" xfId="2882" xr:uid="{731A6B24-9EF6-4946-97FE-94D18BEBB31C}"/>
    <cellStyle name="M_lists_4. Current Monthly Fixed Charge 2 2" xfId="2883" xr:uid="{6774ECB9-3E6A-455F-8ED4-161FAEE55992}"/>
    <cellStyle name="M_lists_4. Current Monthly Fixed Charge 3" xfId="2884" xr:uid="{99E784E3-0C36-443D-A984-F6D894FAA8B2}"/>
    <cellStyle name="M_lists_4. Current Monthly Fixed Charge 4" xfId="2881" xr:uid="{05FB548A-62AC-44EB-A3C3-09995321B1F8}"/>
    <cellStyle name="M_lists_6.2 CBR B" xfId="4246" xr:uid="{3E1DE32E-1D34-4DD8-A63C-01FC61ABEFA2}"/>
    <cellStyle name="M_lists_9. Shared Tax - Rate Rider" xfId="4262" xr:uid="{D0F165E6-E4B0-47D2-8BAD-092293BB856E}"/>
    <cellStyle name="M_Sheet4" xfId="72" xr:uid="{00000000-0005-0000-0000-000046000000}"/>
    <cellStyle name="M_Sheet4 2" xfId="2886" xr:uid="{8789DAA3-35BE-4CBC-867B-0F803E248923}"/>
    <cellStyle name="M_Sheet4 2 2" xfId="2887" xr:uid="{99FDB789-5A55-4FFD-B7E1-1AF0B4B39843}"/>
    <cellStyle name="M_Sheet4 3" xfId="2888" xr:uid="{C8268EF0-AAB4-4C28-AFF9-0B1BCD509FED}"/>
    <cellStyle name="M_Sheet4 4" xfId="2885" xr:uid="{D6EA793C-B5B1-49E3-A45B-D7C55DE39954}"/>
    <cellStyle name="M_Sheet4_6.2 CBR B" xfId="4247" xr:uid="{DAFB2D26-9C14-421E-86F8-C0652F62A30C}"/>
    <cellStyle name="M_Sheet4_9. Shared Tax - Rate Rider" xfId="4263" xr:uid="{38034CA8-5F1D-4D81-A108-762C472B96CB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2 2" xfId="2891" xr:uid="{62E6AE50-25E2-46A7-ADE4-22A59041C661}"/>
    <cellStyle name="Neutral 2 2 3" xfId="2890" xr:uid="{FF9EA831-BF9B-40F8-A355-3114464EADC4}"/>
    <cellStyle name="Neutral 2 3" xfId="604" xr:uid="{94DE363B-90BE-4EC8-B725-DBD4849CAC16}"/>
    <cellStyle name="Neutral 2 3 2" xfId="2893" xr:uid="{58630C55-B041-49F2-BE4F-13E8AAF8BF2C}"/>
    <cellStyle name="Neutral 2 3 3" xfId="2892" xr:uid="{4308BFCD-71EE-4F37-A5C2-CEFDB98093C1}"/>
    <cellStyle name="Neutral 2 4" xfId="2894" xr:uid="{9E47527B-90C0-4864-AB93-E30BD81D161E}"/>
    <cellStyle name="Neutral 2 5" xfId="2895" xr:uid="{4D8D3BE1-ACBE-48A5-A1D8-B76BB4743F74}"/>
    <cellStyle name="Neutral 2 6" xfId="2896" xr:uid="{FC618CAB-87C1-44C9-A082-89A41A84A137}"/>
    <cellStyle name="Neutral 2 7" xfId="2889" xr:uid="{39B226F8-A27D-4C49-9FB8-4D4E01A9FC55}"/>
    <cellStyle name="Neutral 3" xfId="605" xr:uid="{F6D2C34F-C9FB-4B15-884C-D3923FF3B004}"/>
    <cellStyle name="Neutral 3 2" xfId="2898" xr:uid="{87693DFA-6EF4-478F-B9D2-53F5BD1059C5}"/>
    <cellStyle name="Neutral 3 2 2" xfId="4402" xr:uid="{A6001A96-12BF-4F25-95C8-B2E0C515B726}"/>
    <cellStyle name="Neutral 3 3" xfId="2899" xr:uid="{1EF2E613-36FD-4668-8B29-D9F693C5617A}"/>
    <cellStyle name="Neutral 3 4" xfId="2897" xr:uid="{1ED60BAF-047A-4BD0-A5C4-ECDCE578CE55}"/>
    <cellStyle name="Neutral 3 5" xfId="4117" xr:uid="{D3711D9A-EB28-41AA-8155-DFE9D2024EEC}"/>
    <cellStyle name="Neutral 4" xfId="606" xr:uid="{FB913938-7725-4FCF-B496-056091105E82}"/>
    <cellStyle name="Neutral 4 2" xfId="2901" xr:uid="{E52EAA8A-BC12-4FF9-AB02-6AE6A3F0F270}"/>
    <cellStyle name="Neutral 4 3" xfId="2900" xr:uid="{E41CE027-5FC7-45C2-9A7A-4F2CFA584EA3}"/>
    <cellStyle name="Neutral 5" xfId="607" xr:uid="{5C7C171D-5911-4DC5-A06C-8C9929ECE242}"/>
    <cellStyle name="Neutral 5 2" xfId="2902" xr:uid="{5A11D727-2731-45EB-8A16-694D4804DBDE}"/>
    <cellStyle name="Neutral 6" xfId="608" xr:uid="{9FAE97F8-66CD-4CC8-BAD3-EC4497EF96E6}"/>
    <cellStyle name="Neutral 6 2" xfId="2903" xr:uid="{EC5D46AE-81DE-428C-84F2-3476A9866558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- Style1 2" xfId="2905" xr:uid="{81CA49DB-9216-4A3A-B1C9-49CBFD5FEEA9}"/>
    <cellStyle name="Normal - Style1 2 2" xfId="2906" xr:uid="{05A35745-B890-4136-A9D8-3C7BF8CD7C57}"/>
    <cellStyle name="Normal - Style1 3" xfId="2907" xr:uid="{49996C6C-93CA-4466-8167-EB2F5D9DC2F6}"/>
    <cellStyle name="Normal - Style1 4" xfId="2904" xr:uid="{5CE71E04-1C9B-428F-A4DB-E86F6902F021}"/>
    <cellStyle name="Normal 10" xfId="612" xr:uid="{352B99B7-E791-44FE-A409-3B6B22DBC66D}"/>
    <cellStyle name="Normal 10 12" xfId="4153" xr:uid="{B17AF7D4-4AD0-4CD2-B0D3-66395EC1813F}"/>
    <cellStyle name="Normal 10 2" xfId="2909" xr:uid="{B3133D84-702C-4AC1-9BF1-1CA22AA460B5}"/>
    <cellStyle name="Normal 10 2 2" xfId="2910" xr:uid="{5233A45E-8A5B-4871-9850-FF8C59EAB39F}"/>
    <cellStyle name="Normal 10 2 2 2" xfId="3852" xr:uid="{9D150298-D796-49A7-9558-D5F05E04E647}"/>
    <cellStyle name="Normal 10 3" xfId="2911" xr:uid="{3F3C0D16-0A29-4CF5-909D-17339251441A}"/>
    <cellStyle name="Normal 10 3 2" xfId="3853" xr:uid="{1C29E93E-D5BA-4D26-AA4A-6CBB60AA4D1A}"/>
    <cellStyle name="Normal 10 4" xfId="2908" xr:uid="{BCB73BA2-E127-4341-9856-C59529F72DFA}"/>
    <cellStyle name="Normal 11" xfId="613" xr:uid="{893E931D-4E9C-4905-A23B-BFF0440FB9E0}"/>
    <cellStyle name="Normal 11 2" xfId="2913" xr:uid="{8DC3A079-DC64-4540-B78E-9B81687DB455}"/>
    <cellStyle name="Normal 11 2 2" xfId="3854" xr:uid="{1B731CA3-0C49-4025-95B5-0971E32010E2}"/>
    <cellStyle name="Normal 11 2 3" xfId="5192" xr:uid="{B642D6EB-F2E4-4806-B82A-048B4CB5BFE2}"/>
    <cellStyle name="Normal 11 3" xfId="2914" xr:uid="{21F63B74-1A50-49C8-8E45-9CB6842910BC}"/>
    <cellStyle name="Normal 11 3 2" xfId="3855" xr:uid="{D3727A63-D0ED-4E1B-B9CF-49C1C782702E}"/>
    <cellStyle name="Normal 11 3 3" xfId="4403" xr:uid="{F8E094B0-B0DF-4102-9369-743A5F33C7C5}"/>
    <cellStyle name="Normal 11 4" xfId="2912" xr:uid="{5D370556-74E8-456F-A635-A560B1D052C2}"/>
    <cellStyle name="Normal 11 5" xfId="4264" xr:uid="{431FFCB7-7132-4969-A194-3F4CFA747C38}"/>
    <cellStyle name="Normal 12" xfId="614" xr:uid="{8AE0198E-883C-4F6F-97E3-9C75B3AE60CE}"/>
    <cellStyle name="Normal 12 2" xfId="2916" xr:uid="{A3A406ED-3DDE-483B-82C7-18AC1A07E2F0}"/>
    <cellStyle name="Normal 12 2 2" xfId="3857" xr:uid="{8697060A-AFAE-4356-BA44-1CD9FAB66CA2}"/>
    <cellStyle name="Normal 12 2 3" xfId="5196" xr:uid="{8B2870B0-2D4B-4155-99CA-B278A378D4FB}"/>
    <cellStyle name="Normal 12 3" xfId="3856" xr:uid="{EF675E2F-090D-414D-821A-B7F92EE20EF9}"/>
    <cellStyle name="Normal 12 3 2" xfId="4404" xr:uid="{4893440D-3791-456C-B485-57FFE0F5275B}"/>
    <cellStyle name="Normal 12 4" xfId="2915" xr:uid="{58AD6788-6A27-44FE-AD1E-9776487F4555}"/>
    <cellStyle name="Normal 12 5" xfId="4265" xr:uid="{EBEFE267-47C6-4CD5-940F-3388177CEA78}"/>
    <cellStyle name="Normal 13" xfId="615" xr:uid="{643DD5FB-F07D-4293-A038-42E059C88DDB}"/>
    <cellStyle name="Normal 13 2" xfId="2918" xr:uid="{65B485FF-673F-441F-AFEC-3A48397C224B}"/>
    <cellStyle name="Normal 13 2 2" xfId="3859" xr:uid="{82A2BA83-3C3A-48F7-BB76-F181E7F113B0}"/>
    <cellStyle name="Normal 13 2 3" xfId="5191" xr:uid="{88635D48-DFAE-4419-814B-2D3FAD275BA8}"/>
    <cellStyle name="Normal 13 3" xfId="2919" xr:uid="{360D62C3-7D9E-445D-9A90-B3F57C8B47B4}"/>
    <cellStyle name="Normal 13 3 2" xfId="3860" xr:uid="{8AD45F0B-AFAF-40BF-8DA3-4A86EE4EB4BE}"/>
    <cellStyle name="Normal 13 4" xfId="3858" xr:uid="{02C1B083-1B7E-4E82-9227-C79E2F3B76E6}"/>
    <cellStyle name="Normal 13 5" xfId="2917" xr:uid="{9B3EE127-A33F-42D5-9BDE-93DD045B6C28}"/>
    <cellStyle name="Normal 13 6" xfId="4269" xr:uid="{F0581F9F-8104-4DB3-AAE4-3FF3DD78F3B6}"/>
    <cellStyle name="Normal 14" xfId="616" xr:uid="{985BC5CD-E9C0-45ED-A7A9-F3178E7A8ACE}"/>
    <cellStyle name="Normal 14 2" xfId="2921" xr:uid="{DF7037CA-B3D7-46E3-9E27-DE740CC8E59F}"/>
    <cellStyle name="Normal 14 2 2" xfId="3861" xr:uid="{85F01607-4176-4D34-8D54-529E4337CD8D}"/>
    <cellStyle name="Normal 14 2 3" xfId="5162" xr:uid="{57DAFB06-FDEE-41B2-87E0-362DF0098868}"/>
    <cellStyle name="Normal 14 3" xfId="2920" xr:uid="{328BE3CC-6AE2-4CBC-BD07-E06AAF774288}"/>
    <cellStyle name="Normal 15" xfId="617" xr:uid="{746CEED5-D31C-4B5E-B01C-999F254D400E}"/>
    <cellStyle name="Normal 15 2" xfId="2923" xr:uid="{EF402414-7698-4E2B-842D-826208B11EF4}"/>
    <cellStyle name="Normal 15 2 2" xfId="3863" xr:uid="{57EE8284-3658-4312-8C68-AD7FC0E52643}"/>
    <cellStyle name="Normal 15 2 3" xfId="5161" xr:uid="{53C133BF-DFF4-482C-B213-00DFC67F7885}"/>
    <cellStyle name="Normal 15 3" xfId="3862" xr:uid="{233D11E0-0787-4E99-B3B4-99C06B202071}"/>
    <cellStyle name="Normal 15 3 2" xfId="4405" xr:uid="{6923B7B9-96AA-4538-A6D3-C314F5116DA6}"/>
    <cellStyle name="Normal 15 4" xfId="2922" xr:uid="{42E9E598-52A7-4C2D-82A7-405915E525D8}"/>
    <cellStyle name="Normal 15 5" xfId="4270" xr:uid="{F9FD99F9-38FE-463D-9FDF-4D7B71A3F672}"/>
    <cellStyle name="Normal 16" xfId="618" xr:uid="{8DB39564-67F8-484F-B1B0-00D66C338C64}"/>
    <cellStyle name="Normal 16 10" xfId="1259" xr:uid="{D11C47E5-D4E7-45C3-BB82-0A752B1F0015}"/>
    <cellStyle name="Normal 16 10 2" xfId="4882" xr:uid="{CE2FB637-BD27-44BF-A39A-477811DA4DA1}"/>
    <cellStyle name="Normal 16 11" xfId="1015" xr:uid="{57D040D4-503F-40A1-90CD-1615B5E01440}"/>
    <cellStyle name="Normal 16 11 2" xfId="4642" xr:uid="{5562DEC1-BCD7-4FA5-A4BF-BA60461F4F40}"/>
    <cellStyle name="Normal 16 12" xfId="1525" xr:uid="{A8C1394D-571A-4DF2-9A7A-F3A896CB1989}"/>
    <cellStyle name="Normal 16 12 2" xfId="5120" xr:uid="{A6553C64-6C7A-4805-BD3F-38A0E029C29C}"/>
    <cellStyle name="Normal 16 13" xfId="2924" xr:uid="{114D081D-1C79-4E85-9EF4-21EDE936AFD0}"/>
    <cellStyle name="Normal 16 13 2" xfId="5186" xr:uid="{8BA19EC5-9197-4BED-86E9-605EC4CB0549}"/>
    <cellStyle name="Normal 16 14" xfId="4406" xr:uid="{D7DCDA44-3E4D-401D-87C0-EABB0EE656B0}"/>
    <cellStyle name="Normal 16 2" xfId="702" xr:uid="{B5CB81A1-FB5B-4416-AC23-B698BDCF35B9}"/>
    <cellStyle name="Normal 16 2 10" xfId="2925" xr:uid="{A40BBB77-48AF-4DF1-B704-5535B9B2E1D5}"/>
    <cellStyle name="Normal 16 2 11" xfId="4425" xr:uid="{86926CEE-82AF-4003-9466-4996D29D45EB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2 2 2" xfId="5098" xr:uid="{3150CF45-AB77-4835-87AC-934A2DA720D2}"/>
    <cellStyle name="Normal 16 2 2 2 2 2 3" xfId="4865" xr:uid="{673C3D76-2CE9-4127-B325-1F8351E0CDEE}"/>
    <cellStyle name="Normal 16 2 2 2 2 3" xfId="1359" xr:uid="{2E131CCB-E43A-4F00-BA88-6385D22F28ED}"/>
    <cellStyle name="Normal 16 2 2 2 2 3 2" xfId="4982" xr:uid="{D86BE70D-E02F-4645-8651-3B3D844BD949}"/>
    <cellStyle name="Normal 16 2 2 2 2 4" xfId="1123" xr:uid="{37527739-35E6-4706-BBB9-48C6880812AD}"/>
    <cellStyle name="Normal 16 2 2 2 2 4 2" xfId="4748" xr:uid="{EC872518-8F7E-4C84-A21C-6714B9E4AFD7}"/>
    <cellStyle name="Normal 16 2 2 2 2 5" xfId="4553" xr:uid="{7FFDD276-C888-452F-B292-CF4B430679F7}"/>
    <cellStyle name="Normal 16 2 2 2 3" xfId="981" xr:uid="{8BCD1CF9-8159-48C3-A165-AB962B87DDD7}"/>
    <cellStyle name="Normal 16 2 2 2 3 2" xfId="1419" xr:uid="{2E9F9722-3CA5-438D-8D6D-7738B0984467}"/>
    <cellStyle name="Normal 16 2 2 2 3 2 2" xfId="5042" xr:uid="{946AD85F-9F72-4698-9A4E-EFF873684A9A}"/>
    <cellStyle name="Normal 16 2 2 2 3 3" xfId="1186" xr:uid="{0E503507-8660-44E0-94C7-F4E10870FF0B}"/>
    <cellStyle name="Normal 16 2 2 2 3 3 2" xfId="4809" xr:uid="{8E817E94-0F1B-4D27-9C7A-6F1003F97E27}"/>
    <cellStyle name="Normal 16 2 2 2 3 4" xfId="4612" xr:uid="{97E59045-665D-49FD-B571-1A1CE313C228}"/>
    <cellStyle name="Normal 16 2 2 2 4" xfId="1303" xr:uid="{979F8276-91F2-47BD-99EF-32588E3605B6}"/>
    <cellStyle name="Normal 16 2 2 2 4 2" xfId="4926" xr:uid="{3C3C38DD-A1F9-402F-9472-393E2FE084E8}"/>
    <cellStyle name="Normal 16 2 2 2 5" xfId="1066" xr:uid="{86B17F5B-CA6B-4804-949E-F7C2D7ECC56E}"/>
    <cellStyle name="Normal 16 2 2 2 5 2" xfId="4692" xr:uid="{4F34D479-E382-462A-949E-2C02B4DB4C15}"/>
    <cellStyle name="Normal 16 2 2 2 6" xfId="4469" xr:uid="{F96C7553-D98E-46EF-A229-EBBA9D9A6310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2 2 2" xfId="5068" xr:uid="{8B6861A8-EC18-46DD-9079-98759BD41721}"/>
    <cellStyle name="Normal 16 2 2 3 2 3" xfId="4835" xr:uid="{F9C76569-D009-4FAA-A8CB-2C0F8B0E7240}"/>
    <cellStyle name="Normal 16 2 2 3 3" xfId="1329" xr:uid="{026C5EC5-B00A-428E-B16E-AF795C02B991}"/>
    <cellStyle name="Normal 16 2 2 3 3 2" xfId="4952" xr:uid="{702C37EC-FB9C-40A6-95CF-246E131D3915}"/>
    <cellStyle name="Normal 16 2 2 3 4" xfId="1093" xr:uid="{4214FC4B-0897-4487-97F8-6039ABE03C3E}"/>
    <cellStyle name="Normal 16 2 2 3 4 2" xfId="4718" xr:uid="{0E525521-9B4D-4B0D-9F09-18517215E5F0}"/>
    <cellStyle name="Normal 16 2 2 3 5" xfId="4523" xr:uid="{1F7BF255-B9EE-44BB-A277-10F8185AD0DC}"/>
    <cellStyle name="Normal 16 2 2 4" xfId="951" xr:uid="{89A58685-58FB-4DDC-81B9-B8F938BFE0FA}"/>
    <cellStyle name="Normal 16 2 2 4 2" xfId="1393" xr:uid="{1005D80C-7C29-4324-AE76-4D671E24769A}"/>
    <cellStyle name="Normal 16 2 2 4 2 2" xfId="5016" xr:uid="{F8921B09-DBCB-4B36-8E04-60653224A395}"/>
    <cellStyle name="Normal 16 2 2 4 3" xfId="1160" xr:uid="{06DDA56E-8B4F-42F1-ABFE-7C780EBB1C9A}"/>
    <cellStyle name="Normal 16 2 2 4 3 2" xfId="4783" xr:uid="{066E5F73-59C9-4FD3-9629-759643FCE6BE}"/>
    <cellStyle name="Normal 16 2 2 4 4" xfId="4582" xr:uid="{6DBBBF7A-E9B6-4C56-9473-1F3E1E05DBCA}"/>
    <cellStyle name="Normal 16 2 2 5" xfId="1277" xr:uid="{EDBECFEE-4A06-4E5F-AB9B-FDDD8FB34AA6}"/>
    <cellStyle name="Normal 16 2 2 5 2" xfId="4900" xr:uid="{A83477E2-1DE7-4C34-92BD-A72AD773256A}"/>
    <cellStyle name="Normal 16 2 2 6" xfId="1040" xr:uid="{7A69416D-089B-4BE5-8DA8-8A862B132B79}"/>
    <cellStyle name="Normal 16 2 2 6 2" xfId="4666" xr:uid="{A650B084-9277-47D2-ADE9-107D79A9E156}"/>
    <cellStyle name="Normal 16 2 2 7" xfId="3865" xr:uid="{224EB9A0-B760-43C8-96FF-88E87C58EBA6}"/>
    <cellStyle name="Normal 16 2 2 8" xfId="4435" xr:uid="{50F02C45-E337-4B16-94B7-0A1C950A045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2 2 2" xfId="5106" xr:uid="{40048313-30B6-4E7C-824D-5372AB1CB8AE}"/>
    <cellStyle name="Normal 16 2 3 2 2 2 3" xfId="4873" xr:uid="{C40B9AE5-76F2-47D5-9094-A1A79B3C7D64}"/>
    <cellStyle name="Normal 16 2 3 2 2 3" xfId="1367" xr:uid="{872C178D-A946-4E4A-A209-F681FC201A68}"/>
    <cellStyle name="Normal 16 2 3 2 2 3 2" xfId="4990" xr:uid="{8468F8D5-871E-4FC7-AC80-0E8435C9FEB5}"/>
    <cellStyle name="Normal 16 2 3 2 2 4" xfId="1131" xr:uid="{4F94F7D6-5F4C-4C58-A10F-3D93FB5A55EC}"/>
    <cellStyle name="Normal 16 2 3 2 2 4 2" xfId="4756" xr:uid="{A9120091-5949-4BD7-90D5-CA0EEB3BF583}"/>
    <cellStyle name="Normal 16 2 3 2 2 5" xfId="4561" xr:uid="{14A7960C-27FA-4F3F-A277-C1460877047C}"/>
    <cellStyle name="Normal 16 2 3 2 3" xfId="989" xr:uid="{1480CC62-9DAF-46C4-AD79-E2B7813983F4}"/>
    <cellStyle name="Normal 16 2 3 2 3 2" xfId="1427" xr:uid="{EEA6FC4A-320C-474D-9ACF-041CAE492F1E}"/>
    <cellStyle name="Normal 16 2 3 2 3 2 2" xfId="5050" xr:uid="{7B49B2E4-5DE8-47E1-9292-87AB243435A7}"/>
    <cellStyle name="Normal 16 2 3 2 3 3" xfId="1194" xr:uid="{5FB7FA9C-C8C8-42E6-AE95-C79E305A6BA6}"/>
    <cellStyle name="Normal 16 2 3 2 3 3 2" xfId="4817" xr:uid="{DC3F6DC1-F617-4C1D-B30C-FF5E0E7B9EA0}"/>
    <cellStyle name="Normal 16 2 3 2 3 4" xfId="4620" xr:uid="{50A77C0C-F6F4-4D83-8780-ACA9B65758F5}"/>
    <cellStyle name="Normal 16 2 3 2 4" xfId="1311" xr:uid="{1D1584EB-8D99-4475-80BF-CA938E0FF133}"/>
    <cellStyle name="Normal 16 2 3 2 4 2" xfId="4934" xr:uid="{5284D48F-D65F-4799-A04D-8C2390BB0E4B}"/>
    <cellStyle name="Normal 16 2 3 2 5" xfId="1074" xr:uid="{8CE72E2A-58BB-4597-B672-E5D5D011747D}"/>
    <cellStyle name="Normal 16 2 3 2 5 2" xfId="4700" xr:uid="{3770B672-96E8-483F-8A9B-9723E4D7BF08}"/>
    <cellStyle name="Normal 16 2 3 2 6" xfId="4477" xr:uid="{27A32469-A57E-452B-9DF6-B8834DF91EC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2 2 2" xfId="5076" xr:uid="{3F651CA9-A2D4-4B8B-A193-B682BD7BB58A}"/>
    <cellStyle name="Normal 16 2 3 3 2 3" xfId="4843" xr:uid="{9BD919F1-7D0F-43DA-8309-0A834FC5966C}"/>
    <cellStyle name="Normal 16 2 3 3 3" xfId="1337" xr:uid="{FC98BCE8-3FCF-4A57-A930-2B978B575E32}"/>
    <cellStyle name="Normal 16 2 3 3 3 2" xfId="4960" xr:uid="{EA37CB49-4CE7-4765-AFCA-C0B6FB9C715A}"/>
    <cellStyle name="Normal 16 2 3 3 4" xfId="1101" xr:uid="{7C7F496A-2C9B-4DB1-9C43-F623F0CB6591}"/>
    <cellStyle name="Normal 16 2 3 3 4 2" xfId="4726" xr:uid="{E87FE0B5-5DDC-488C-B9E9-B407173356BC}"/>
    <cellStyle name="Normal 16 2 3 3 5" xfId="4531" xr:uid="{CC664F60-8832-47FF-BA90-9F610A532194}"/>
    <cellStyle name="Normal 16 2 3 4" xfId="959" xr:uid="{FDA52B70-09C9-4EA2-A9AE-07EF412D60B4}"/>
    <cellStyle name="Normal 16 2 3 4 2" xfId="1401" xr:uid="{B01EF6BA-5909-47FB-94D8-990C9F7ABCE2}"/>
    <cellStyle name="Normal 16 2 3 4 2 2" xfId="5024" xr:uid="{36230A38-CBF7-4499-AD06-F8B405CFCDB8}"/>
    <cellStyle name="Normal 16 2 3 4 3" xfId="1168" xr:uid="{87AAA9C8-38FB-4BA1-B6D4-52E6F91A1C4C}"/>
    <cellStyle name="Normal 16 2 3 4 3 2" xfId="4791" xr:uid="{A8599313-C176-4791-A992-55C3D12E7D7A}"/>
    <cellStyle name="Normal 16 2 3 4 4" xfId="4590" xr:uid="{E6E1EB67-8C29-41FC-8B7B-1B7ED2108CA5}"/>
    <cellStyle name="Normal 16 2 3 5" xfId="1285" xr:uid="{97EE116A-7435-49E1-9080-E3B0765CF90B}"/>
    <cellStyle name="Normal 16 2 3 5 2" xfId="4908" xr:uid="{053B6F83-A7D6-4208-A858-9247B4BAC2E5}"/>
    <cellStyle name="Normal 16 2 3 6" xfId="1048" xr:uid="{F1C4B3D3-061F-4A83-9412-5A316539AC10}"/>
    <cellStyle name="Normal 16 2 3 6 2" xfId="4674" xr:uid="{3CE07112-3695-42C9-9886-1DF2A0FA4DDF}"/>
    <cellStyle name="Normal 16 2 3 7" xfId="4443" xr:uid="{E68D1141-BF4C-4146-9E49-091E5CB0F1D3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2 2 2" xfId="5090" xr:uid="{311269C3-2CBA-44F9-BF84-F110BA66EE5B}"/>
    <cellStyle name="Normal 16 2 4 2 2 3" xfId="4857" xr:uid="{B2CFC78F-3F08-42CF-8B8B-D335C2ADF245}"/>
    <cellStyle name="Normal 16 2 4 2 3" xfId="1351" xr:uid="{4B24532C-C426-4608-99ED-8DE66DB46408}"/>
    <cellStyle name="Normal 16 2 4 2 3 2" xfId="4974" xr:uid="{EC695508-F108-4910-9C6E-0A920A9E4DE1}"/>
    <cellStyle name="Normal 16 2 4 2 4" xfId="1115" xr:uid="{F96E555E-18E3-48D0-A7CF-EDFFCF8B6C48}"/>
    <cellStyle name="Normal 16 2 4 2 4 2" xfId="4740" xr:uid="{94E796A2-19EE-4901-A502-657D9931738E}"/>
    <cellStyle name="Normal 16 2 4 2 5" xfId="4545" xr:uid="{6BC89438-60D5-4B41-B9CB-DB61B85E2E93}"/>
    <cellStyle name="Normal 16 2 4 3" xfId="973" xr:uid="{80BE72E1-5B95-4FF6-81A6-5C3E36BA1281}"/>
    <cellStyle name="Normal 16 2 4 3 2" xfId="1385" xr:uid="{E1836667-345E-4348-AB82-6807F54570EB}"/>
    <cellStyle name="Normal 16 2 4 3 2 2" xfId="5008" xr:uid="{C57156DE-E9B9-4CB2-8D1D-FB303DEA55AA}"/>
    <cellStyle name="Normal 16 2 4 3 3" xfId="1152" xr:uid="{48A3CDD0-4359-4D55-A277-EF0A326D1B73}"/>
    <cellStyle name="Normal 16 2 4 3 3 2" xfId="4775" xr:uid="{A943E484-0211-4F07-849F-F4B8EA8C1EE9}"/>
    <cellStyle name="Normal 16 2 4 3 4" xfId="4604" xr:uid="{0AFF2CF1-9232-4C85-BD3E-838F55BEC242}"/>
    <cellStyle name="Normal 16 2 4 4" xfId="1269" xr:uid="{25BE4342-2353-4828-9B45-469672BDA3F8}"/>
    <cellStyle name="Normal 16 2 4 4 2" xfId="4892" xr:uid="{5A93C8C6-7C85-4AC5-99F2-2D9E92E97E5D}"/>
    <cellStyle name="Normal 16 2 4 5" xfId="1032" xr:uid="{D8FEFC3C-03C0-436A-B6F0-54ABB8426012}"/>
    <cellStyle name="Normal 16 2 4 5 2" xfId="4658" xr:uid="{6890405F-37D4-4B79-9E05-BD3D614753D8}"/>
    <cellStyle name="Normal 16 2 4 6" xfId="4461" xr:uid="{9E54CBEE-1A58-4CA1-B802-A6B1102F85B7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2 2 2" xfId="5034" xr:uid="{0BBC5992-325F-4C56-984F-8A1938DAB8C7}"/>
    <cellStyle name="Normal 16 2 5 2 3" xfId="4801" xr:uid="{EE4C84A3-3073-4091-9BC7-AB5F02E5F1A1}"/>
    <cellStyle name="Normal 16 2 5 3" xfId="1295" xr:uid="{2EB076AC-55BB-4FAD-B567-D01CF76CD668}"/>
    <cellStyle name="Normal 16 2 5 3 2" xfId="4918" xr:uid="{7126AC85-A93C-4A1A-8E68-1DF105A62108}"/>
    <cellStyle name="Normal 16 2 5 4" xfId="1058" xr:uid="{701C20DC-C784-4E88-BCFC-3A954897E3D8}"/>
    <cellStyle name="Normal 16 2 5 4 2" xfId="4684" xr:uid="{EAE0BE62-AF1D-496C-9FAC-29762819321B}"/>
    <cellStyle name="Normal 16 2 5 5" xfId="4514" xr:uid="{D7028AF4-569C-4818-B832-4F6A1EE26CAA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2 2 2" xfId="5060" xr:uid="{10B2D9CE-92E5-4221-A510-EC4AAD2485D1}"/>
    <cellStyle name="Normal 16 2 6 2 3" xfId="4827" xr:uid="{CD78AADD-5514-4C53-B2E4-8C19BC9757A2}"/>
    <cellStyle name="Normal 16 2 6 3" xfId="1321" xr:uid="{6AB800DB-38E9-406C-A358-173ABD9F97E2}"/>
    <cellStyle name="Normal 16 2 6 3 2" xfId="4944" xr:uid="{C2E0BDA0-E30E-41C1-B9F3-2FF29269C393}"/>
    <cellStyle name="Normal 16 2 6 4" xfId="1085" xr:uid="{0800CD92-0CED-44DA-87C1-D87CB2577BE9}"/>
    <cellStyle name="Normal 16 2 6 4 2" xfId="4710" xr:uid="{127FCDE1-A755-4000-B1F1-58FB7CF97835}"/>
    <cellStyle name="Normal 16 2 6 5" xfId="4574" xr:uid="{5D7CDF2C-7747-46BC-81FA-D1A4026868AE}"/>
    <cellStyle name="Normal 16 2 7" xfId="1145" xr:uid="{5BEA8471-93C4-4F4A-B01A-D3C2D15F52F8}"/>
    <cellStyle name="Normal 16 2 7 2" xfId="1378" xr:uid="{E286ACE1-416B-4AE7-A618-A2950CA5912D}"/>
    <cellStyle name="Normal 16 2 7 2 2" xfId="5001" xr:uid="{26C8A415-3350-4321-AD40-1FC356447B40}"/>
    <cellStyle name="Normal 16 2 7 3" xfId="4768" xr:uid="{C1588C57-F095-4ED7-9AE5-9410DB8F6DA6}"/>
    <cellStyle name="Normal 16 2 8" xfId="1262" xr:uid="{9667BC3C-4D98-4C69-85D7-DF0356E78227}"/>
    <cellStyle name="Normal 16 2 8 2" xfId="4885" xr:uid="{D9F5AB1D-D73B-4E4E-9513-7AD7F1E041FE}"/>
    <cellStyle name="Normal 16 2 9" xfId="1025" xr:uid="{F6FA6B5F-B0B8-4489-A2DF-9B1AA05F7B3E}"/>
    <cellStyle name="Normal 16 2 9 2" xfId="4651" xr:uid="{750295C5-4584-49AC-9573-5A5B0A97B094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2 2 2" xfId="5087" xr:uid="{A1D82784-AC19-4EE4-AE0C-3DC30CE01B05}"/>
    <cellStyle name="Normal 16 3 2 2 2 3" xfId="4854" xr:uid="{DC237F7B-3DBD-4635-818B-AA833DEF7311}"/>
    <cellStyle name="Normal 16 3 2 2 3" xfId="1348" xr:uid="{7A3F7C50-18E7-4F81-A568-30789E504B05}"/>
    <cellStyle name="Normal 16 3 2 2 3 2" xfId="4971" xr:uid="{E8538C57-C0DA-4195-AEBB-95ABD8D68C32}"/>
    <cellStyle name="Normal 16 3 2 2 4" xfId="1112" xr:uid="{33033AB1-B54C-4D0E-A57A-B5F4EAF19085}"/>
    <cellStyle name="Normal 16 3 2 2 4 2" xfId="4737" xr:uid="{CF7823A7-A141-45CE-9B7D-4BB455FCB47D}"/>
    <cellStyle name="Normal 16 3 2 2 5" xfId="4542" xr:uid="{CE17B76C-5998-40F6-B10B-E67B0175F10E}"/>
    <cellStyle name="Normal 16 3 2 3" xfId="970" xr:uid="{592E2029-CE45-42F4-A5F0-68CB25F990C5}"/>
    <cellStyle name="Normal 16 3 2 3 2" xfId="1408" xr:uid="{D0BB00D9-8E74-4835-8172-2500BF090980}"/>
    <cellStyle name="Normal 16 3 2 3 2 2" xfId="5031" xr:uid="{F020DB4F-543E-41FC-AE78-ED17B98001C7}"/>
    <cellStyle name="Normal 16 3 2 3 3" xfId="1175" xr:uid="{555F11FC-0FFA-4D50-B298-0B2BD0EC417C}"/>
    <cellStyle name="Normal 16 3 2 3 3 2" xfId="4798" xr:uid="{9A4A8608-E82F-41A2-BE71-23328DFE69BF}"/>
    <cellStyle name="Normal 16 3 2 3 4" xfId="4601" xr:uid="{98B30107-F522-4687-A617-6F7E7A781D00}"/>
    <cellStyle name="Normal 16 3 2 4" xfId="1292" xr:uid="{9EB1F452-8282-42A8-A521-AED9E558438D}"/>
    <cellStyle name="Normal 16 3 2 4 2" xfId="4915" xr:uid="{36641EA5-476D-4F97-855C-8D9CB1DC9546}"/>
    <cellStyle name="Normal 16 3 2 5" xfId="1055" xr:uid="{1ECE2BC0-98B3-4C95-9627-9350827B8964}"/>
    <cellStyle name="Normal 16 3 2 5 2" xfId="4681" xr:uid="{EA01FC7C-665C-4545-9BB5-64CDD2DC8730}"/>
    <cellStyle name="Normal 16 3 2 6" xfId="4458" xr:uid="{B8C78214-2088-4318-8DBA-ED42754E87F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2 2 2" xfId="5057" xr:uid="{39C3FA9B-DA6E-4EB9-B588-A6F1C820376D}"/>
    <cellStyle name="Normal 16 3 3 2 3" xfId="4824" xr:uid="{AFCBD44B-4BF0-426E-BA1B-C95AD877D404}"/>
    <cellStyle name="Normal 16 3 3 3" xfId="1318" xr:uid="{40650D26-9659-4451-94DE-50DDC58FA0FC}"/>
    <cellStyle name="Normal 16 3 3 3 2" xfId="4941" xr:uid="{38F2E77A-A980-48EB-8C01-BD02669A812A}"/>
    <cellStyle name="Normal 16 3 3 4" xfId="1082" xr:uid="{112FBEDC-618C-4338-9BE5-A0890D22D505}"/>
    <cellStyle name="Normal 16 3 3 4 2" xfId="4707" xr:uid="{F7AE5C64-CABD-45FA-A143-2E28ACF423ED}"/>
    <cellStyle name="Normal 16 3 3 5" xfId="4509" xr:uid="{CE0CE218-F799-4F6C-A670-AF6728192879}"/>
    <cellStyle name="Normal 16 3 4" xfId="940" xr:uid="{DF1E51C7-A3C3-441D-8D06-72D100FFB01E}"/>
    <cellStyle name="Normal 16 3 4 2" xfId="1382" xr:uid="{E5702181-C0C8-4BA9-A193-592F6C671E0E}"/>
    <cellStyle name="Normal 16 3 4 2 2" xfId="5005" xr:uid="{87777B8A-0D3D-4CF3-BEB5-4714C8CE0266}"/>
    <cellStyle name="Normal 16 3 4 3" xfId="1149" xr:uid="{2596E483-19F4-47AA-BA41-34E801339111}"/>
    <cellStyle name="Normal 16 3 4 3 2" xfId="4772" xr:uid="{D1AD8967-0BCC-46CC-A950-6470A6930593}"/>
    <cellStyle name="Normal 16 3 4 4" xfId="4571" xr:uid="{3E644D79-FCCE-4BD9-BE3A-933E13B43E49}"/>
    <cellStyle name="Normal 16 3 5" xfId="1266" xr:uid="{D9CE3EBE-49F0-4D58-ABE3-0F7215A9BC85}"/>
    <cellStyle name="Normal 16 3 5 2" xfId="4889" xr:uid="{F57B7BB0-69FB-4FC6-9D31-581491E951FA}"/>
    <cellStyle name="Normal 16 3 6" xfId="1029" xr:uid="{EE401F4A-9970-4582-83DC-88A28DD98B3C}"/>
    <cellStyle name="Normal 16 3 6 2" xfId="4655" xr:uid="{84E8F4DC-5C56-4188-BA50-37719552A9C9}"/>
    <cellStyle name="Normal 16 3 7" xfId="3864" xr:uid="{4903CE10-FF6D-4486-8CFE-562F2B84ABEB}"/>
    <cellStyle name="Normal 16 3 8" xfId="4417" xr:uid="{9878374A-79F0-45EF-A9B2-9AA7523B857A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2 2 2" xfId="5095" xr:uid="{F0672895-923F-40ED-BA4C-95E3A68C43EB}"/>
    <cellStyle name="Normal 16 4 2 2 2 3" xfId="4862" xr:uid="{F7BC59AA-7F5D-4289-994F-F2CBF7B3E3AB}"/>
    <cellStyle name="Normal 16 4 2 2 3" xfId="1356" xr:uid="{22F798B6-306F-4DF2-9EDF-C39A69EF75F7}"/>
    <cellStyle name="Normal 16 4 2 2 3 2" xfId="4979" xr:uid="{19291CCF-D21C-4FE1-ADF5-7D6CF4572A80}"/>
    <cellStyle name="Normal 16 4 2 2 4" xfId="1120" xr:uid="{918BAB90-6D29-492C-8E36-770CE13C6185}"/>
    <cellStyle name="Normal 16 4 2 2 4 2" xfId="4745" xr:uid="{5DB9C1DA-1425-44B3-9DA7-0DDD6029EF8C}"/>
    <cellStyle name="Normal 16 4 2 2 5" xfId="4550" xr:uid="{054A4819-B0F4-4EB0-B1A6-93324994B21B}"/>
    <cellStyle name="Normal 16 4 2 3" xfId="978" xr:uid="{C743BE88-30B7-4A77-BFDE-0D65DA21EDF9}"/>
    <cellStyle name="Normal 16 4 2 3 2" xfId="1416" xr:uid="{07469379-CAD4-46AD-913C-9C8844F80971}"/>
    <cellStyle name="Normal 16 4 2 3 2 2" xfId="5039" xr:uid="{2AB44EAD-66E1-4192-9690-333F85259BA5}"/>
    <cellStyle name="Normal 16 4 2 3 3" xfId="1183" xr:uid="{CE51430F-DE24-4741-BF15-4356FEC478DC}"/>
    <cellStyle name="Normal 16 4 2 3 3 2" xfId="4806" xr:uid="{7D75A55F-E077-4432-A603-02C481C77AA5}"/>
    <cellStyle name="Normal 16 4 2 3 4" xfId="4609" xr:uid="{B5B05102-2192-4400-B851-D45C9507D185}"/>
    <cellStyle name="Normal 16 4 2 4" xfId="1300" xr:uid="{13188033-950F-4035-9540-8F761AB2F1BB}"/>
    <cellStyle name="Normal 16 4 2 4 2" xfId="4923" xr:uid="{D7AE7702-E646-4AE4-B2AE-3A3D56E06AD6}"/>
    <cellStyle name="Normal 16 4 2 5" xfId="1063" xr:uid="{E71989F3-B066-4A3D-9A41-D6457AA038F5}"/>
    <cellStyle name="Normal 16 4 2 5 2" xfId="4689" xr:uid="{5152F32F-C0E9-4700-A024-E1BEC6703E25}"/>
    <cellStyle name="Normal 16 4 2 6" xfId="4466" xr:uid="{9B241386-EEFB-444E-9C3D-6E4261A883C6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2 2 2" xfId="5065" xr:uid="{D9E74ACB-88E1-4C28-98B5-F4BACEE53F01}"/>
    <cellStyle name="Normal 16 4 3 2 3" xfId="4832" xr:uid="{7D0D6CD6-6837-46FA-BFDD-56B3BE07659B}"/>
    <cellStyle name="Normal 16 4 3 3" xfId="1326" xr:uid="{BE5C968D-05EC-447B-B945-E2F3CC2206BC}"/>
    <cellStyle name="Normal 16 4 3 3 2" xfId="4949" xr:uid="{4D97CE46-633C-428C-A20D-2398D5F68354}"/>
    <cellStyle name="Normal 16 4 3 4" xfId="1090" xr:uid="{11A2E6CB-F2E4-4E5B-928C-62F98322B322}"/>
    <cellStyle name="Normal 16 4 3 4 2" xfId="4715" xr:uid="{73AD72E9-16BF-49AC-A3A1-91ADF359D6AC}"/>
    <cellStyle name="Normal 16 4 3 5" xfId="4520" xr:uid="{9877EB3F-0137-4243-828A-7577C6C667CA}"/>
    <cellStyle name="Normal 16 4 4" xfId="948" xr:uid="{9B328873-1806-4082-B064-C7A23B75314F}"/>
    <cellStyle name="Normal 16 4 4 2" xfId="1390" xr:uid="{7AEB1605-5FD2-4024-91D9-891CD1546843}"/>
    <cellStyle name="Normal 16 4 4 2 2" xfId="5013" xr:uid="{F6BD369D-2F2B-4D2F-B708-C940D2D460B8}"/>
    <cellStyle name="Normal 16 4 4 3" xfId="1157" xr:uid="{0D92C57B-0246-46A8-A079-53C6CB3C8803}"/>
    <cellStyle name="Normal 16 4 4 3 2" xfId="4780" xr:uid="{648CD155-E3F7-431D-B29D-19ECF79D7F5C}"/>
    <cellStyle name="Normal 16 4 4 4" xfId="4579" xr:uid="{366F8AFC-476A-4970-BC5C-6287BD5177B0}"/>
    <cellStyle name="Normal 16 4 5" xfId="1274" xr:uid="{BB64F024-BAC7-44C7-B8F7-13A1FAEC51DD}"/>
    <cellStyle name="Normal 16 4 5 2" xfId="4897" xr:uid="{CC773863-E5D0-46CA-ABD1-073CDE866024}"/>
    <cellStyle name="Normal 16 4 6" xfId="1037" xr:uid="{A4933E40-6FC5-405E-A940-AA6D0C52D173}"/>
    <cellStyle name="Normal 16 4 6 2" xfId="4663" xr:uid="{A590BCF1-1A4D-4B74-BE48-C575AA696B14}"/>
    <cellStyle name="Normal 16 4 7" xfId="4432" xr:uid="{58A31DB7-FB29-4AD0-AC1D-79B8364534DD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2 2 2" xfId="5103" xr:uid="{A1683238-3ED6-4FCB-AE38-8B949E9AA591}"/>
    <cellStyle name="Normal 16 5 2 2 2 3" xfId="4870" xr:uid="{594330E2-8BBD-4039-8720-40FE54FC8FC0}"/>
    <cellStyle name="Normal 16 5 2 2 3" xfId="1364" xr:uid="{ECBD7176-25D0-4351-82B7-A206A0C35428}"/>
    <cellStyle name="Normal 16 5 2 2 3 2" xfId="4987" xr:uid="{B775EC2D-B9C6-49F1-B564-CDA79313A695}"/>
    <cellStyle name="Normal 16 5 2 2 4" xfId="1128" xr:uid="{B0005392-6A58-4646-9B1C-DB806894FBC0}"/>
    <cellStyle name="Normal 16 5 2 2 4 2" xfId="4753" xr:uid="{3EE6F65C-68B1-45F7-B125-978200271177}"/>
    <cellStyle name="Normal 16 5 2 2 5" xfId="4558" xr:uid="{6C716CC6-C2EC-4568-9598-4FE669D292AB}"/>
    <cellStyle name="Normal 16 5 2 3" xfId="986" xr:uid="{2E26093C-AB4E-4760-B265-60BE2F318FB5}"/>
    <cellStyle name="Normal 16 5 2 3 2" xfId="1424" xr:uid="{1C563250-2DE2-49D5-A64A-CDC7D41AE731}"/>
    <cellStyle name="Normal 16 5 2 3 2 2" xfId="5047" xr:uid="{1EBFFDA9-E99C-4974-8667-04D24882C842}"/>
    <cellStyle name="Normal 16 5 2 3 3" xfId="1191" xr:uid="{81C1BDF8-F98F-4459-AC5A-02C501FB301C}"/>
    <cellStyle name="Normal 16 5 2 3 3 2" xfId="4814" xr:uid="{760392D7-D32A-4ED7-B8D6-FA50C5FE5110}"/>
    <cellStyle name="Normal 16 5 2 3 4" xfId="4617" xr:uid="{1AE22555-31C6-4935-ACC9-A5EFF9761B02}"/>
    <cellStyle name="Normal 16 5 2 4" xfId="1308" xr:uid="{34855590-3299-46E8-8AEF-DB5FAFD98962}"/>
    <cellStyle name="Normal 16 5 2 4 2" xfId="4931" xr:uid="{3AF5138B-590B-4DB3-8B3C-18A8BC93FC1A}"/>
    <cellStyle name="Normal 16 5 2 5" xfId="1071" xr:uid="{9B94545B-F5F1-4BA5-87C1-5BD7763A2A19}"/>
    <cellStyle name="Normal 16 5 2 5 2" xfId="4697" xr:uid="{DA667724-15CF-482D-AF85-456B1586FF88}"/>
    <cellStyle name="Normal 16 5 2 6" xfId="4474" xr:uid="{4A2FC696-6DA3-4A27-9CF7-AF22BB3AC51E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2 2 2" xfId="5073" xr:uid="{860CD7CD-E294-47B3-BAAE-CD1E89D4286F}"/>
    <cellStyle name="Normal 16 5 3 2 3" xfId="4840" xr:uid="{651589CB-EC85-4A5D-8220-849118E14B7E}"/>
    <cellStyle name="Normal 16 5 3 3" xfId="1334" xr:uid="{1C2E214E-6433-4C88-B51A-FCCF7270D323}"/>
    <cellStyle name="Normal 16 5 3 3 2" xfId="4957" xr:uid="{82428759-6ACC-418C-963F-E11ED2C42FB4}"/>
    <cellStyle name="Normal 16 5 3 4" xfId="1098" xr:uid="{944A7916-B300-4BE8-92A0-56F7A459E40A}"/>
    <cellStyle name="Normal 16 5 3 4 2" xfId="4723" xr:uid="{ADA525A0-A8E2-4F48-ACD0-570EC8E4C0E8}"/>
    <cellStyle name="Normal 16 5 3 5" xfId="4528" xr:uid="{33F4562A-5799-4D6A-9018-3415D2239D2C}"/>
    <cellStyle name="Normal 16 5 4" xfId="956" xr:uid="{0BF55E71-56B9-4AED-B999-3F4BAD64225C}"/>
    <cellStyle name="Normal 16 5 4 2" xfId="1398" xr:uid="{9372F4C0-4C76-48A7-82FA-4E4DC2B6579C}"/>
    <cellStyle name="Normal 16 5 4 2 2" xfId="5021" xr:uid="{4592DEE6-0F7A-4844-9DF6-C2810EEAF9EB}"/>
    <cellStyle name="Normal 16 5 4 3" xfId="1165" xr:uid="{B6D83829-DBBE-44A9-A070-F40F3B710B59}"/>
    <cellStyle name="Normal 16 5 4 3 2" xfId="4788" xr:uid="{2D16F4B0-AC2A-49DB-97BD-22F8DC9715C4}"/>
    <cellStyle name="Normal 16 5 4 4" xfId="4587" xr:uid="{F78F9E0B-CDD5-458E-92A2-BCBE9108D674}"/>
    <cellStyle name="Normal 16 5 5" xfId="1282" xr:uid="{C2A1EC7C-8B6D-4FB3-8405-87E4108A8508}"/>
    <cellStyle name="Normal 16 5 5 2" xfId="4905" xr:uid="{3461DEB8-2EE7-40A4-8A36-7D02950027C4}"/>
    <cellStyle name="Normal 16 5 6" xfId="1045" xr:uid="{7F9190FF-B1C3-4A13-AC17-4E3DCC037934}"/>
    <cellStyle name="Normal 16 5 6 2" xfId="4671" xr:uid="{CD7D8F2E-8EF2-4251-BD3D-D8BB0BFB1CA2}"/>
    <cellStyle name="Normal 16 5 7" xfId="4440" xr:uid="{9280D9C8-1552-4349-A9EA-7D8DF3907ADA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2 2 2" xfId="5085" xr:uid="{B48A41FC-EFEA-4226-90C4-8939211C9C18}"/>
    <cellStyle name="Normal 16 6 2 2 3" xfId="4852" xr:uid="{9AF2D6D4-7454-4227-AC17-9E9BC3D48C68}"/>
    <cellStyle name="Normal 16 6 2 3" xfId="1346" xr:uid="{5E032A8D-DFE9-4B53-81BB-D6592597D222}"/>
    <cellStyle name="Normal 16 6 2 3 2" xfId="4969" xr:uid="{C9FFBBCB-2CCE-48E8-BB68-FC930AAFD387}"/>
    <cellStyle name="Normal 16 6 2 4" xfId="1110" xr:uid="{ED2CFEC9-EF56-4378-9B0A-9239B876CA55}"/>
    <cellStyle name="Normal 16 6 2 4 2" xfId="4735" xr:uid="{2C23F87D-2483-45A6-AA21-938F7A7969A1}"/>
    <cellStyle name="Normal 16 6 2 5" xfId="4540" xr:uid="{43655F6B-7C14-433F-B987-F291BC09D4D5}"/>
    <cellStyle name="Normal 16 6 3" xfId="968" xr:uid="{E638FDF6-C53D-4113-883F-5F6B8E25A712}"/>
    <cellStyle name="Normal 16 6 3 2" xfId="1380" xr:uid="{5B87E875-39C3-4476-BC67-131E3C1BCF5D}"/>
    <cellStyle name="Normal 16 6 3 2 2" xfId="5003" xr:uid="{E2043D71-9A97-48FA-8200-BFD04C679641}"/>
    <cellStyle name="Normal 16 6 3 3" xfId="1147" xr:uid="{31A7468B-9D98-4F5A-9CFD-7A85237A6C52}"/>
    <cellStyle name="Normal 16 6 3 3 2" xfId="4770" xr:uid="{43CC65C8-1F3D-42EA-B166-A2D38A18ECDD}"/>
    <cellStyle name="Normal 16 6 3 4" xfId="4599" xr:uid="{9D5DD9C0-DB3E-4695-B66A-EDE8DBF37882}"/>
    <cellStyle name="Normal 16 6 4" xfId="1264" xr:uid="{9031939C-395B-46CA-AC12-69BC813952AD}"/>
    <cellStyle name="Normal 16 6 4 2" xfId="4887" xr:uid="{5C76C286-0657-481E-B88A-3B857030A717}"/>
    <cellStyle name="Normal 16 6 5" xfId="1027" xr:uid="{E279AB78-14E9-4C44-882F-410D7439A979}"/>
    <cellStyle name="Normal 16 6 5 2" xfId="4653" xr:uid="{B9603857-1532-4D60-AAD6-33DCC4A2F22B}"/>
    <cellStyle name="Normal 16 6 6" xfId="4456" xr:uid="{37024B39-3BA7-4556-BC4B-598D0A15B72B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2 2 2" xfId="5029" xr:uid="{D181753D-100F-4E5F-B4E4-6B146546760A}"/>
    <cellStyle name="Normal 16 7 2 3" xfId="4796" xr:uid="{5A1FCBC2-2A6A-4D6C-97E7-7E8777DBF8F9}"/>
    <cellStyle name="Normal 16 7 3" xfId="1290" xr:uid="{1BB29B83-1557-44DD-829F-12EC44F3FB73}"/>
    <cellStyle name="Normal 16 7 3 2" xfId="4913" xr:uid="{BBCDFD82-B1FE-45ED-B2A5-424A557F8963}"/>
    <cellStyle name="Normal 16 7 4" xfId="1053" xr:uid="{1FD5B3C2-B6E5-42B2-B381-84051E674AED}"/>
    <cellStyle name="Normal 16 7 4 2" xfId="4679" xr:uid="{174738E5-7BD7-41FD-847F-2CDF869AB1C6}"/>
    <cellStyle name="Normal 16 7 5" xfId="4506" xr:uid="{81EE33F7-76F0-4AD2-AEAA-35CA8D4BBFF4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2 2 2" xfId="5055" xr:uid="{44EF3161-CC2C-41C6-9D39-D6053B33957E}"/>
    <cellStyle name="Normal 16 8 2 3" xfId="4822" xr:uid="{59D7F415-4746-452C-B545-BEBED0598C29}"/>
    <cellStyle name="Normal 16 8 3" xfId="1316" xr:uid="{88801C65-8F38-43C1-AA37-1BE4356B18A7}"/>
    <cellStyle name="Normal 16 8 3 2" xfId="4939" xr:uid="{6F131C57-A853-4169-A8D8-7F066FA1F845}"/>
    <cellStyle name="Normal 16 8 4" xfId="1080" xr:uid="{3D817D99-C614-4377-AB8D-D9735607212A}"/>
    <cellStyle name="Normal 16 8 4 2" xfId="4705" xr:uid="{B49B9353-A1E0-42F3-B821-9DCE7F2FC731}"/>
    <cellStyle name="Normal 16 8 5" xfId="4568" xr:uid="{154DCE9B-FAD7-4284-A88E-793D61AADA7F}"/>
    <cellStyle name="Normal 16 9" xfId="1140" xr:uid="{8534E94A-8D28-48DF-973A-AC8924C02445}"/>
    <cellStyle name="Normal 16 9 2" xfId="1375" xr:uid="{7EAD7DFC-98F1-4BD8-8F03-C79EDBB3DB4C}"/>
    <cellStyle name="Normal 16 9 2 2" xfId="4998" xr:uid="{0204296F-3421-44DD-9715-F60637763673}"/>
    <cellStyle name="Normal 16 9 3" xfId="4764" xr:uid="{E4A71836-ACA3-4245-9801-2EB34D8F513E}"/>
    <cellStyle name="Normal 167" xfId="4105" xr:uid="{13F1C562-C6DA-45E9-B1FB-7D9E3F0DCC98}"/>
    <cellStyle name="Normal 167 2" xfId="4198" xr:uid="{216DBC7B-20EE-4CB3-BB64-6BACD888C619}"/>
    <cellStyle name="Normal 167_6.2 CBR B" xfId="4248" xr:uid="{654AA074-1618-43D3-B2B3-DF16FEF89236}"/>
    <cellStyle name="Normal 168" xfId="4106" xr:uid="{80B1A46B-FC2B-42AA-8E75-F30951B48CCA}"/>
    <cellStyle name="Normal 168 2" xfId="4199" xr:uid="{E6D3472B-EC3D-40E9-ADB4-E062455C91AA}"/>
    <cellStyle name="Normal 168_6.2 CBR B" xfId="4249" xr:uid="{41D2001D-1306-4405-B258-6D78BC1A0D79}"/>
    <cellStyle name="Normal 169" xfId="4107" xr:uid="{DD0F6953-0012-4FE5-A9D1-B2D1050F629A}"/>
    <cellStyle name="Normal 169 2" xfId="4200" xr:uid="{05134608-D8CD-48D2-9493-8F9E59BF4D47}"/>
    <cellStyle name="Normal 169_6.2 CBR B" xfId="4250" xr:uid="{A2BD6A6F-E604-402C-B570-D1659F064FC4}"/>
    <cellStyle name="Normal 17" xfId="619" xr:uid="{0C8ADA19-BD56-4582-8D5B-93133CD00AB2}"/>
    <cellStyle name="Normal 17 10" xfId="1260" xr:uid="{9D0FD28E-A9D9-4E0F-9A5D-B2697CB29779}"/>
    <cellStyle name="Normal 17 10 2" xfId="4883" xr:uid="{1A25BEC4-2979-4B67-A662-25040545A3C3}"/>
    <cellStyle name="Normal 17 11" xfId="1016" xr:uid="{0E12EE3F-6CC6-4ABA-9011-C6505CBD1CB3}"/>
    <cellStyle name="Normal 17 11 2" xfId="4643" xr:uid="{E949186B-3611-4302-A20D-641366E2125E}"/>
    <cellStyle name="Normal 17 12" xfId="2926" xr:uid="{46EDE8F6-7D6F-4A50-B42D-9503BF55F8DC}"/>
    <cellStyle name="Normal 17 12 2" xfId="5197" xr:uid="{8CA0E377-54A2-4BC5-9BA9-CBC5CE3D53C2}"/>
    <cellStyle name="Normal 17 13" xfId="4407" xr:uid="{B39B20CC-A69B-496F-9D11-01B9977DFB30}"/>
    <cellStyle name="Normal 17 2" xfId="703" xr:uid="{CFA2D5BB-9ED6-4529-AC96-8FE18C873E09}"/>
    <cellStyle name="Normal 17 2 10" xfId="2927" xr:uid="{204E49E2-7EDB-49EF-BFFF-A9ADBECF4725}"/>
    <cellStyle name="Normal 17 2 11" xfId="4426" xr:uid="{9F01B615-8CD0-42CD-910C-3F8F161FAB24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2 2 2" xfId="5099" xr:uid="{A0BBFEFB-9F53-4916-80F7-C23C58CBAF84}"/>
    <cellStyle name="Normal 17 2 2 2 2 2 3" xfId="4866" xr:uid="{51BC0B0C-1CB8-450E-A45E-8122C1F8F6F1}"/>
    <cellStyle name="Normal 17 2 2 2 2 3" xfId="1360" xr:uid="{BE93CB78-B43F-4E69-9AB5-8A9DFD95F185}"/>
    <cellStyle name="Normal 17 2 2 2 2 3 2" xfId="4983" xr:uid="{0DD40CD2-EBB1-41DD-81AD-0A0BB0130252}"/>
    <cellStyle name="Normal 17 2 2 2 2 4" xfId="1124" xr:uid="{2DB3CD64-076E-4A80-82B3-EF8884AFB89D}"/>
    <cellStyle name="Normal 17 2 2 2 2 4 2" xfId="4749" xr:uid="{E47FAFF4-F1B2-4834-AB85-D2D82F27A94F}"/>
    <cellStyle name="Normal 17 2 2 2 2 5" xfId="4554" xr:uid="{42EBE053-BDF0-4FE8-92C0-1590BC6289FB}"/>
    <cellStyle name="Normal 17 2 2 2 3" xfId="982" xr:uid="{B6605F7C-8B2F-4700-BB67-4306C9A47B08}"/>
    <cellStyle name="Normal 17 2 2 2 3 2" xfId="1420" xr:uid="{B79E8AF8-9E4C-4800-B097-E2D7638853F3}"/>
    <cellStyle name="Normal 17 2 2 2 3 2 2" xfId="5043" xr:uid="{2B803FA4-26D9-4899-A1EE-05E1D8970D28}"/>
    <cellStyle name="Normal 17 2 2 2 3 3" xfId="1187" xr:uid="{FD380C7F-5973-4C40-8322-842654ED9E0B}"/>
    <cellStyle name="Normal 17 2 2 2 3 3 2" xfId="4810" xr:uid="{0F7187CA-C756-44CA-8D7B-39773AC984E6}"/>
    <cellStyle name="Normal 17 2 2 2 3 4" xfId="4613" xr:uid="{C60E46E4-101E-40CD-B73B-E05664761394}"/>
    <cellStyle name="Normal 17 2 2 2 4" xfId="1304" xr:uid="{1E2B48F7-05F7-429B-9AE4-A67EB43A46A8}"/>
    <cellStyle name="Normal 17 2 2 2 4 2" xfId="4927" xr:uid="{84C1664A-8210-4DC2-A03C-F72F2025C172}"/>
    <cellStyle name="Normal 17 2 2 2 5" xfId="1067" xr:uid="{402E278B-6047-48DA-A4F6-EE347BD0179D}"/>
    <cellStyle name="Normal 17 2 2 2 5 2" xfId="4693" xr:uid="{E92109D4-7749-410F-86ED-12EF35FCC73C}"/>
    <cellStyle name="Normal 17 2 2 2 6" xfId="4470" xr:uid="{A05EDA00-BAF6-4A90-904F-95FDF3D9FD00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2 2 2" xfId="5069" xr:uid="{56CA2080-A492-4A99-992E-C7104C8E6542}"/>
    <cellStyle name="Normal 17 2 2 3 2 3" xfId="4836" xr:uid="{24967C90-189B-489D-95C2-1C456CDB64C5}"/>
    <cellStyle name="Normal 17 2 2 3 3" xfId="1330" xr:uid="{EFB53BCB-A63D-4239-9B75-96911782A9D1}"/>
    <cellStyle name="Normal 17 2 2 3 3 2" xfId="4953" xr:uid="{E6C40172-8A82-4DA7-BA12-CBA30BC5C7B9}"/>
    <cellStyle name="Normal 17 2 2 3 4" xfId="1094" xr:uid="{09291D5B-5481-449F-8581-C71B007BA015}"/>
    <cellStyle name="Normal 17 2 2 3 4 2" xfId="4719" xr:uid="{D8665EB8-8921-4F05-B47D-60A4F1E11845}"/>
    <cellStyle name="Normal 17 2 2 3 5" xfId="4524" xr:uid="{CBBCD3CD-7909-4E10-A7E2-BAC6583FA479}"/>
    <cellStyle name="Normal 17 2 2 4" xfId="952" xr:uid="{8F89E512-C697-4EB4-87D5-E20F9B8BE6C5}"/>
    <cellStyle name="Normal 17 2 2 4 2" xfId="1394" xr:uid="{62905811-7623-43EC-AF28-3997FF25E1B7}"/>
    <cellStyle name="Normal 17 2 2 4 2 2" xfId="5017" xr:uid="{799E56C8-4845-4706-B8A8-8BAF87FED9EE}"/>
    <cellStyle name="Normal 17 2 2 4 3" xfId="1161" xr:uid="{3AE1D3FA-E391-429C-90E3-243DA4DA4CD5}"/>
    <cellStyle name="Normal 17 2 2 4 3 2" xfId="4784" xr:uid="{1FD5D54F-7F51-46F0-BC0E-01D76BC99064}"/>
    <cellStyle name="Normal 17 2 2 4 4" xfId="4583" xr:uid="{15E8D2D2-47AE-453C-9731-56CF99BB712A}"/>
    <cellStyle name="Normal 17 2 2 5" xfId="1278" xr:uid="{A06D7E4B-18CC-401C-AEF8-F55BE35F20AC}"/>
    <cellStyle name="Normal 17 2 2 5 2" xfId="4901" xr:uid="{05F5F4EA-8EE0-4E33-8759-C207C83462CB}"/>
    <cellStyle name="Normal 17 2 2 6" xfId="1041" xr:uid="{B0335D1D-3383-4AB6-96D4-2C6755759FB6}"/>
    <cellStyle name="Normal 17 2 2 6 2" xfId="4667" xr:uid="{57B1E6C6-FAEA-4890-BC5B-E156B14D3897}"/>
    <cellStyle name="Normal 17 2 2 7" xfId="3867" xr:uid="{DA2B76AA-8D86-43B0-8739-4C5C524152DC}"/>
    <cellStyle name="Normal 17 2 2 8" xfId="4436" xr:uid="{89F88441-C770-4214-A8BE-8AA56D6ADD3E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2 2 2" xfId="5107" xr:uid="{8201D497-4763-4B7A-A86A-B088EAE64F98}"/>
    <cellStyle name="Normal 17 2 3 2 2 2 3" xfId="4874" xr:uid="{1F3B84CD-21B6-47D2-9A1E-E7F8CEBF2478}"/>
    <cellStyle name="Normal 17 2 3 2 2 3" xfId="1368" xr:uid="{6756039F-96D3-4FF1-9D9A-6916EF4C2BC6}"/>
    <cellStyle name="Normal 17 2 3 2 2 3 2" xfId="4991" xr:uid="{300B1776-3F11-4EFA-87C3-940794CE7FDB}"/>
    <cellStyle name="Normal 17 2 3 2 2 4" xfId="1132" xr:uid="{4456BF40-DE8B-4B1C-8F07-6B5E8CFBFEF9}"/>
    <cellStyle name="Normal 17 2 3 2 2 4 2" xfId="4757" xr:uid="{87025082-C3B9-4B87-8CF2-7FE0A9C1EF8A}"/>
    <cellStyle name="Normal 17 2 3 2 2 5" xfId="4562" xr:uid="{09B07177-2B99-49D5-99EC-6C2ED5E2934C}"/>
    <cellStyle name="Normal 17 2 3 2 3" xfId="990" xr:uid="{4B4725F8-97A7-4550-A7FD-7674EE55DECC}"/>
    <cellStyle name="Normal 17 2 3 2 3 2" xfId="1428" xr:uid="{2FBD4D6E-89E2-432B-AA58-37C443125F2A}"/>
    <cellStyle name="Normal 17 2 3 2 3 2 2" xfId="5051" xr:uid="{49E6185F-8329-4B19-A37F-13D00B938F96}"/>
    <cellStyle name="Normal 17 2 3 2 3 3" xfId="1195" xr:uid="{F2302B83-FA35-49F4-B655-6E419E2C146C}"/>
    <cellStyle name="Normal 17 2 3 2 3 3 2" xfId="4818" xr:uid="{0076DC12-7EC5-4BE5-B5DD-084FB517024A}"/>
    <cellStyle name="Normal 17 2 3 2 3 4" xfId="4621" xr:uid="{FE49B637-3BC0-4F95-A9CE-8B0D8FA80B73}"/>
    <cellStyle name="Normal 17 2 3 2 4" xfId="1312" xr:uid="{03BBE647-9889-45E6-8EDE-22D34B532DF4}"/>
    <cellStyle name="Normal 17 2 3 2 4 2" xfId="4935" xr:uid="{2D6F1FC5-6164-4926-A9EA-CF83F1505638}"/>
    <cellStyle name="Normal 17 2 3 2 5" xfId="1075" xr:uid="{37D26FD2-B030-409E-BC75-B9C9BE9031CB}"/>
    <cellStyle name="Normal 17 2 3 2 5 2" xfId="4701" xr:uid="{285E1B7C-12A3-4FB3-9387-B5C9E08484A0}"/>
    <cellStyle name="Normal 17 2 3 2 6" xfId="4478" xr:uid="{B87C22AC-C533-4025-9B16-41265E6F90E9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2 2 2" xfId="5077" xr:uid="{009A9060-0B64-47A4-A8D4-AADDB4F3E4D8}"/>
    <cellStyle name="Normal 17 2 3 3 2 3" xfId="4844" xr:uid="{47D5BBB8-D1D8-4613-AB6F-EE54E2BE7F97}"/>
    <cellStyle name="Normal 17 2 3 3 3" xfId="1338" xr:uid="{24C071E4-3A93-46B3-94AF-F09564D638C2}"/>
    <cellStyle name="Normal 17 2 3 3 3 2" xfId="4961" xr:uid="{173405EB-6F73-458D-9CF3-D021C0D42B73}"/>
    <cellStyle name="Normal 17 2 3 3 4" xfId="1102" xr:uid="{6BCB2BAD-477D-4DBB-9EE6-BE5C5ED5802B}"/>
    <cellStyle name="Normal 17 2 3 3 4 2" xfId="4727" xr:uid="{0001CE8A-DA74-45C4-B6DE-B3196CF20463}"/>
    <cellStyle name="Normal 17 2 3 3 5" xfId="4532" xr:uid="{254AD559-A211-489C-9678-A28584C3C631}"/>
    <cellStyle name="Normal 17 2 3 4" xfId="960" xr:uid="{FB8C2E85-0E24-45B3-B267-1EEC5CA239CF}"/>
    <cellStyle name="Normal 17 2 3 4 2" xfId="1402" xr:uid="{BD38EF6A-752D-400D-BC68-CCF1F161F409}"/>
    <cellStyle name="Normal 17 2 3 4 2 2" xfId="5025" xr:uid="{5625328E-6150-4C87-BE1D-FD86C82411ED}"/>
    <cellStyle name="Normal 17 2 3 4 3" xfId="1169" xr:uid="{5893B61A-AAF4-43D7-817D-BAAFB720A6EC}"/>
    <cellStyle name="Normal 17 2 3 4 3 2" xfId="4792" xr:uid="{E2866332-F6F0-494E-927F-E4054E4176D5}"/>
    <cellStyle name="Normal 17 2 3 4 4" xfId="4591" xr:uid="{D88BE6C6-E02F-410A-8BAC-0A6E08A1B8BA}"/>
    <cellStyle name="Normal 17 2 3 5" xfId="1286" xr:uid="{014A2F42-A31D-488D-BC4B-F5406149A7EA}"/>
    <cellStyle name="Normal 17 2 3 5 2" xfId="4909" xr:uid="{35D89EF3-0D33-4875-9B91-FB757D204AF1}"/>
    <cellStyle name="Normal 17 2 3 6" xfId="1049" xr:uid="{88F855C4-35BA-403E-B11A-3CE533AF9D05}"/>
    <cellStyle name="Normal 17 2 3 6 2" xfId="4675" xr:uid="{D3BAFECB-0188-4653-A0C6-C540D3257794}"/>
    <cellStyle name="Normal 17 2 3 7" xfId="4444" xr:uid="{7329D6AF-0A13-4D85-BD00-B5C19A2FBF2B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2 2 2" xfId="5091" xr:uid="{A517EB48-7DBF-4047-8924-DAA319DE7E74}"/>
    <cellStyle name="Normal 17 2 4 2 2 3" xfId="4858" xr:uid="{5BC8BF0E-BCBB-49A6-A1C9-9CA74BFC28C3}"/>
    <cellStyle name="Normal 17 2 4 2 3" xfId="1352" xr:uid="{6F86C44D-248C-47A5-BF71-384E7AB9F270}"/>
    <cellStyle name="Normal 17 2 4 2 3 2" xfId="4975" xr:uid="{2834CFF2-3109-4957-8FAA-54576D44C130}"/>
    <cellStyle name="Normal 17 2 4 2 4" xfId="1116" xr:uid="{C0A56955-4A7A-43FE-A985-1A486B07AA09}"/>
    <cellStyle name="Normal 17 2 4 2 4 2" xfId="4741" xr:uid="{B246E996-C0B8-4DD5-8F10-65B7A65A68D3}"/>
    <cellStyle name="Normal 17 2 4 2 5" xfId="4546" xr:uid="{C474D0CA-64C8-47A0-A756-AC58A2D25AA7}"/>
    <cellStyle name="Normal 17 2 4 3" xfId="974" xr:uid="{E07C0DBA-0A41-4290-8C7D-0005CEEF785B}"/>
    <cellStyle name="Normal 17 2 4 3 2" xfId="1386" xr:uid="{BCC36A8E-574A-469C-801E-52339ADF5917}"/>
    <cellStyle name="Normal 17 2 4 3 2 2" xfId="5009" xr:uid="{9341851F-227F-4F11-9FC6-C1B3AC7C59C6}"/>
    <cellStyle name="Normal 17 2 4 3 3" xfId="1153" xr:uid="{F0987453-FE76-41F8-B449-6AAD9F2CD659}"/>
    <cellStyle name="Normal 17 2 4 3 3 2" xfId="4776" xr:uid="{81563DAE-DA52-4EEB-AA5F-18CB4F8DF63A}"/>
    <cellStyle name="Normal 17 2 4 3 4" xfId="4605" xr:uid="{D377C050-E877-4B90-9C17-FBD429E166DD}"/>
    <cellStyle name="Normal 17 2 4 4" xfId="1270" xr:uid="{9FEBB37E-357F-455A-BEF0-719929976BF5}"/>
    <cellStyle name="Normal 17 2 4 4 2" xfId="4893" xr:uid="{4009BD16-D02D-4083-8D87-974CC25105D2}"/>
    <cellStyle name="Normal 17 2 4 5" xfId="1033" xr:uid="{4615AA88-DC6E-4468-A058-078599A32863}"/>
    <cellStyle name="Normal 17 2 4 5 2" xfId="4659" xr:uid="{4DDAB98D-DAE4-4B69-BC13-5FC8FBE825C1}"/>
    <cellStyle name="Normal 17 2 4 6" xfId="4462" xr:uid="{F7C4F018-3B42-4E50-8DB2-E1BED0FA4576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2 2 2" xfId="5035" xr:uid="{7FCE30FA-4CC0-4E64-8DC5-F084077B67FD}"/>
    <cellStyle name="Normal 17 2 5 2 3" xfId="4802" xr:uid="{444ABCDE-3158-45CF-8335-AA60AE322C1F}"/>
    <cellStyle name="Normal 17 2 5 3" xfId="1296" xr:uid="{157B2810-8A51-4642-8977-37F15DA19DEF}"/>
    <cellStyle name="Normal 17 2 5 3 2" xfId="4919" xr:uid="{AB58A78D-931B-423A-BEF6-A7EF43DBD157}"/>
    <cellStyle name="Normal 17 2 5 4" xfId="1059" xr:uid="{20F594DB-88CD-46CD-BEA6-662207481C20}"/>
    <cellStyle name="Normal 17 2 5 4 2" xfId="4685" xr:uid="{73344D5B-899F-4C7F-B7C2-6616CCD7FAC4}"/>
    <cellStyle name="Normal 17 2 5 5" xfId="4515" xr:uid="{BDEC0A28-A0C1-4183-A3A8-1AFBF9A8F8D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2 2 2" xfId="5061" xr:uid="{B8931F35-4140-49C4-83DB-143AD28C4DD8}"/>
    <cellStyle name="Normal 17 2 6 2 3" xfId="4828" xr:uid="{23A30352-C8DD-466E-A996-0B482E133835}"/>
    <cellStyle name="Normal 17 2 6 3" xfId="1322" xr:uid="{CE4E576F-6AC8-406F-AD31-EBBC5BDF9071}"/>
    <cellStyle name="Normal 17 2 6 3 2" xfId="4945" xr:uid="{715889C6-8ACE-4126-B44B-EB399B0D9F5E}"/>
    <cellStyle name="Normal 17 2 6 4" xfId="1086" xr:uid="{9D5AA504-4ECE-4186-B183-083996743460}"/>
    <cellStyle name="Normal 17 2 6 4 2" xfId="4711" xr:uid="{CC5BB9F9-A5B2-4F49-8FE8-4FD463CE228B}"/>
    <cellStyle name="Normal 17 2 6 5" xfId="4575" xr:uid="{219B7D09-970E-461B-B6D0-AA2B72776E93}"/>
    <cellStyle name="Normal 17 2 7" xfId="1146" xr:uid="{D3EBE66E-40A4-4180-8BA8-68688CEA24BE}"/>
    <cellStyle name="Normal 17 2 7 2" xfId="1379" xr:uid="{7256A73C-A3E1-4713-8FAF-A9C3A42D5B6D}"/>
    <cellStyle name="Normal 17 2 7 2 2" xfId="5002" xr:uid="{79D540EA-FA8F-4EE2-B8B5-1C6187ECC15D}"/>
    <cellStyle name="Normal 17 2 7 3" xfId="4769" xr:uid="{D449D99C-EFC3-45B7-B686-6C9EA13940D9}"/>
    <cellStyle name="Normal 17 2 8" xfId="1263" xr:uid="{1F819A75-CA1B-48DC-8079-05677AE1A6E4}"/>
    <cellStyle name="Normal 17 2 8 2" xfId="4886" xr:uid="{5CF90172-9504-4A1A-8C6F-0F0355B51917}"/>
    <cellStyle name="Normal 17 2 9" xfId="1026" xr:uid="{8F222D93-5250-4C15-A997-2EF0D52B852C}"/>
    <cellStyle name="Normal 17 2 9 2" xfId="4652" xr:uid="{2F01209F-337F-4D0B-A73B-7031DBACA509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2 2 2" xfId="5088" xr:uid="{89F1CABE-D450-42D4-9B87-3FAE53171C9B}"/>
    <cellStyle name="Normal 17 3 2 2 2 3" xfId="4855" xr:uid="{2B8604C9-7F9E-4618-AC8A-B59C644881F4}"/>
    <cellStyle name="Normal 17 3 2 2 3" xfId="1349" xr:uid="{08C15CB4-F96C-44B2-BA2F-F254F0255E97}"/>
    <cellStyle name="Normal 17 3 2 2 3 2" xfId="4972" xr:uid="{88AC6204-A617-4907-BDF6-CAE8CBD37343}"/>
    <cellStyle name="Normal 17 3 2 2 4" xfId="1113" xr:uid="{698B24CD-66FD-4E57-A84E-E77E663D8542}"/>
    <cellStyle name="Normal 17 3 2 2 4 2" xfId="4738" xr:uid="{579C80DB-CB20-4DF1-B59F-EB3C75BADE10}"/>
    <cellStyle name="Normal 17 3 2 2 5" xfId="4543" xr:uid="{CD34212F-6372-440E-BD0A-5114652BFEB0}"/>
    <cellStyle name="Normal 17 3 2 3" xfId="971" xr:uid="{16E6F15B-4210-41DB-B163-B7A34BD63DEB}"/>
    <cellStyle name="Normal 17 3 2 3 2" xfId="1409" xr:uid="{B452BCB9-47C5-459F-A327-3EA043FEA36B}"/>
    <cellStyle name="Normal 17 3 2 3 2 2" xfId="5032" xr:uid="{1888F59C-A7CB-4914-B770-B4DD3825C412}"/>
    <cellStyle name="Normal 17 3 2 3 3" xfId="1176" xr:uid="{ADC19205-746F-4D16-90D9-8DCF15CFD2D9}"/>
    <cellStyle name="Normal 17 3 2 3 3 2" xfId="4799" xr:uid="{A17284B9-19E0-4BB5-ACA7-6B0040555424}"/>
    <cellStyle name="Normal 17 3 2 3 4" xfId="4602" xr:uid="{76342B6F-587E-44B9-B6C5-83A976852C7B}"/>
    <cellStyle name="Normal 17 3 2 4" xfId="1293" xr:uid="{847C85AA-4340-4C83-B5FC-2DC2B5EF0FBA}"/>
    <cellStyle name="Normal 17 3 2 4 2" xfId="4916" xr:uid="{CCD7B1E0-9854-4F10-8513-4120C7B6503A}"/>
    <cellStyle name="Normal 17 3 2 5" xfId="1056" xr:uid="{59588DBB-D53C-422A-86E6-D973A2EFC67D}"/>
    <cellStyle name="Normal 17 3 2 5 2" xfId="4682" xr:uid="{F6702022-D63F-4ABF-A355-5711B3E24EF6}"/>
    <cellStyle name="Normal 17 3 2 6" xfId="4459" xr:uid="{427BC65C-7E40-4802-BA56-2A39909CFA8B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2 2 2" xfId="5058" xr:uid="{536EE400-691E-4AF7-9434-81204F4CA22D}"/>
    <cellStyle name="Normal 17 3 3 2 3" xfId="4825" xr:uid="{F463618C-96AD-4595-B6A8-069ADA359B06}"/>
    <cellStyle name="Normal 17 3 3 3" xfId="1319" xr:uid="{9C8A78C1-845A-4F29-AF1D-56911F602A99}"/>
    <cellStyle name="Normal 17 3 3 3 2" xfId="4942" xr:uid="{90863E24-890B-4BF2-AB43-490DB126252B}"/>
    <cellStyle name="Normal 17 3 3 4" xfId="1083" xr:uid="{FB019EEA-7D0A-469F-BC6A-1285D612795D}"/>
    <cellStyle name="Normal 17 3 3 4 2" xfId="4708" xr:uid="{9C62C667-CE5D-4FCA-AEA3-E495CCF5A227}"/>
    <cellStyle name="Normal 17 3 3 5" xfId="4510" xr:uid="{EF9816A0-AA85-42FE-AAE8-2CC9B43513EF}"/>
    <cellStyle name="Normal 17 3 4" xfId="941" xr:uid="{52867957-FFF7-48B6-9B17-A989E6C8A0B2}"/>
    <cellStyle name="Normal 17 3 4 2" xfId="1383" xr:uid="{C48C4861-227D-4B95-85DE-E4C0370B926D}"/>
    <cellStyle name="Normal 17 3 4 2 2" xfId="5006" xr:uid="{20339DBE-1EFD-4D1F-AE75-671A14D1D099}"/>
    <cellStyle name="Normal 17 3 4 3" xfId="1150" xr:uid="{5EFD09B4-E4D0-46F5-90C6-E375600417DC}"/>
    <cellStyle name="Normal 17 3 4 3 2" xfId="4773" xr:uid="{57BC7C47-C94B-4C72-8243-31AE6925D1F8}"/>
    <cellStyle name="Normal 17 3 4 4" xfId="4572" xr:uid="{6F96C767-C4BF-47F0-978F-1401CD151FE3}"/>
    <cellStyle name="Normal 17 3 5" xfId="1267" xr:uid="{62979EED-BD06-46FB-9101-F36E293C0670}"/>
    <cellStyle name="Normal 17 3 5 2" xfId="4890" xr:uid="{F96E379C-EC6F-47F7-9D93-61C700581FED}"/>
    <cellStyle name="Normal 17 3 6" xfId="1030" xr:uid="{6F40A419-61CA-4C7F-95CA-044B2716B425}"/>
    <cellStyle name="Normal 17 3 6 2" xfId="4656" xr:uid="{92A42EC7-459A-4F22-BADE-5E8DC32B3611}"/>
    <cellStyle name="Normal 17 3 7" xfId="3866" xr:uid="{62269035-3BFF-40DD-8C83-F1FB2E89F4E0}"/>
    <cellStyle name="Normal 17 3 8" xfId="4418" xr:uid="{CAC3DBA5-8263-4C20-A0D2-39258FB2D23C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2 2 2" xfId="5096" xr:uid="{14292C4E-FF3B-4DAC-B42A-7ED928F26947}"/>
    <cellStyle name="Normal 17 4 2 2 2 3" xfId="4863" xr:uid="{526D8B10-2EC1-4045-8731-ED3D50450BD1}"/>
    <cellStyle name="Normal 17 4 2 2 3" xfId="1357" xr:uid="{220BA773-23DF-433E-922E-C9B85B8C8E05}"/>
    <cellStyle name="Normal 17 4 2 2 3 2" xfId="4980" xr:uid="{621F8D55-2794-49C1-B295-782DCE32DCB3}"/>
    <cellStyle name="Normal 17 4 2 2 4" xfId="1121" xr:uid="{865E67F9-CBCC-42D3-9CAF-E63504F7A099}"/>
    <cellStyle name="Normal 17 4 2 2 4 2" xfId="4746" xr:uid="{731C5B52-1706-49C5-8BB1-5718282C2B4C}"/>
    <cellStyle name="Normal 17 4 2 2 5" xfId="4551" xr:uid="{9813102B-AB66-41C0-B3DB-41C647260136}"/>
    <cellStyle name="Normal 17 4 2 3" xfId="979" xr:uid="{8E203D50-73A4-4CF3-8509-EADCB9D4FC31}"/>
    <cellStyle name="Normal 17 4 2 3 2" xfId="1417" xr:uid="{86509580-1F4F-4EAE-9176-4D556341A209}"/>
    <cellStyle name="Normal 17 4 2 3 2 2" xfId="5040" xr:uid="{B43E021E-5ADE-4B66-95E0-BC4F85EE98F8}"/>
    <cellStyle name="Normal 17 4 2 3 3" xfId="1184" xr:uid="{E0474D88-2F72-4786-A49E-55F57A32B388}"/>
    <cellStyle name="Normal 17 4 2 3 3 2" xfId="4807" xr:uid="{93CCD179-6FE2-4557-AA7A-6C5A81F1B210}"/>
    <cellStyle name="Normal 17 4 2 3 4" xfId="4610" xr:uid="{B186E80B-0605-4459-AAA6-1A0FB54A1A68}"/>
    <cellStyle name="Normal 17 4 2 4" xfId="1301" xr:uid="{5324FA6F-2DB8-4E3B-BC31-CEEF42E0E3CB}"/>
    <cellStyle name="Normal 17 4 2 4 2" xfId="4924" xr:uid="{AAD44C95-7B2F-4BD0-B24B-88ECC8054DE0}"/>
    <cellStyle name="Normal 17 4 2 5" xfId="1064" xr:uid="{6C4E3330-023B-4453-91BA-B4B6E22DC740}"/>
    <cellStyle name="Normal 17 4 2 5 2" xfId="4690" xr:uid="{311173BF-E9C8-446E-869E-9147CC424C5E}"/>
    <cellStyle name="Normal 17 4 2 6" xfId="4467" xr:uid="{0A19B77C-6ABD-488B-9BFF-9A2F4A5BB784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2 2 2" xfId="5066" xr:uid="{87A43134-C600-4B82-BCCC-F9600E004F59}"/>
    <cellStyle name="Normal 17 4 3 2 3" xfId="4833" xr:uid="{993B58CC-C7B2-475B-82E6-6A69A48EEBD8}"/>
    <cellStyle name="Normal 17 4 3 3" xfId="1327" xr:uid="{42995D10-73E0-49A5-9C20-F37A7928C69F}"/>
    <cellStyle name="Normal 17 4 3 3 2" xfId="4950" xr:uid="{EAC273FD-8DE1-4F26-9963-5A7856713DA4}"/>
    <cellStyle name="Normal 17 4 3 4" xfId="1091" xr:uid="{177943BF-07D7-4559-97FC-3BA18A03138C}"/>
    <cellStyle name="Normal 17 4 3 4 2" xfId="4716" xr:uid="{2EB28F8E-1CDB-4084-BF28-67AB95A81CFA}"/>
    <cellStyle name="Normal 17 4 3 5" xfId="4521" xr:uid="{0D853E04-97F2-48F8-8110-62547F535C3D}"/>
    <cellStyle name="Normal 17 4 4" xfId="949" xr:uid="{DFC7FAE4-3643-41C2-94B8-F090B0519A05}"/>
    <cellStyle name="Normal 17 4 4 2" xfId="1391" xr:uid="{CC7678E2-BDF9-468F-BB28-05D2134E690B}"/>
    <cellStyle name="Normal 17 4 4 2 2" xfId="5014" xr:uid="{27F78303-6B8D-4AE6-862F-690C59B9E3A3}"/>
    <cellStyle name="Normal 17 4 4 3" xfId="1158" xr:uid="{4F1766F4-C329-4FBB-A0C1-7155F5D19FE0}"/>
    <cellStyle name="Normal 17 4 4 3 2" xfId="4781" xr:uid="{ABCD1C7D-ABCE-4286-99B6-43727C964DBE}"/>
    <cellStyle name="Normal 17 4 4 4" xfId="4580" xr:uid="{44891E3A-007F-47DC-BD1F-F9B30AF6A953}"/>
    <cellStyle name="Normal 17 4 5" xfId="1275" xr:uid="{C8534591-2672-4F75-B65B-7DD9E55B5E39}"/>
    <cellStyle name="Normal 17 4 5 2" xfId="4898" xr:uid="{70CD16F9-2213-4322-B68A-2A79FECC0260}"/>
    <cellStyle name="Normal 17 4 6" xfId="1038" xr:uid="{77F65398-7BD2-4D4F-BF5A-58102FBB3652}"/>
    <cellStyle name="Normal 17 4 6 2" xfId="4664" xr:uid="{72AC62E5-7D73-45FA-90C0-4E6720D03667}"/>
    <cellStyle name="Normal 17 4 7" xfId="4433" xr:uid="{AABCD430-DC3A-44A5-9503-492AC95F58B7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2 2 2" xfId="5104" xr:uid="{DF97EBBE-CEC5-438A-8244-E23B86E64E4F}"/>
    <cellStyle name="Normal 17 5 2 2 2 3" xfId="4871" xr:uid="{50DFB865-07C7-40C4-8EDC-7D0E8AB5A4BB}"/>
    <cellStyle name="Normal 17 5 2 2 3" xfId="1365" xr:uid="{8B81E238-58EE-45FC-87B8-4D04211DF775}"/>
    <cellStyle name="Normal 17 5 2 2 3 2" xfId="4988" xr:uid="{7AD5DBA8-C2FA-4314-8EB8-2FD3B9FC4BE4}"/>
    <cellStyle name="Normal 17 5 2 2 4" xfId="1129" xr:uid="{97879DD8-2561-4A7A-B6EB-E2414F87926A}"/>
    <cellStyle name="Normal 17 5 2 2 4 2" xfId="4754" xr:uid="{4E7E8CFB-820D-4F3A-BB2C-57FEB1B97E08}"/>
    <cellStyle name="Normal 17 5 2 2 5" xfId="4559" xr:uid="{59D02C49-009E-400F-AFEF-1FE9EAEF44AF}"/>
    <cellStyle name="Normal 17 5 2 3" xfId="987" xr:uid="{11F9E366-F13C-4D97-AB0F-D9FB3F32ABC9}"/>
    <cellStyle name="Normal 17 5 2 3 2" xfId="1425" xr:uid="{3E928DE1-B53B-48EF-BA4E-E7A6DD4D737F}"/>
    <cellStyle name="Normal 17 5 2 3 2 2" xfId="5048" xr:uid="{44A1A364-9324-418F-8DB1-6D64D036A13A}"/>
    <cellStyle name="Normal 17 5 2 3 3" xfId="1192" xr:uid="{9FEA8468-90DD-4247-89AA-16FEA54D859D}"/>
    <cellStyle name="Normal 17 5 2 3 3 2" xfId="4815" xr:uid="{28C857C7-7CAA-4675-9771-74DE9299F9ED}"/>
    <cellStyle name="Normal 17 5 2 3 4" xfId="4618" xr:uid="{980A2534-74B6-4956-8ECE-11976537794F}"/>
    <cellStyle name="Normal 17 5 2 4" xfId="1309" xr:uid="{B43775D6-0ED0-41A4-99D6-150F2F2CC7CB}"/>
    <cellStyle name="Normal 17 5 2 4 2" xfId="4932" xr:uid="{C1102F74-B3F9-4AD5-B26D-24C4EF06A0F4}"/>
    <cellStyle name="Normal 17 5 2 5" xfId="1072" xr:uid="{3F5DC931-95AF-40DD-91E6-BA2EDC3555A9}"/>
    <cellStyle name="Normal 17 5 2 5 2" xfId="4698" xr:uid="{53520A97-DB40-4CDD-A9C2-6FCFC85F73E5}"/>
    <cellStyle name="Normal 17 5 2 6" xfId="4475" xr:uid="{1F9C733A-195A-464E-951B-1AEDED88D847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2 2 2" xfId="5074" xr:uid="{2EA5B4B5-E534-4758-99E9-87A36103AB19}"/>
    <cellStyle name="Normal 17 5 3 2 3" xfId="4841" xr:uid="{3823575C-8F41-4C04-8AFD-6553B21E4E9F}"/>
    <cellStyle name="Normal 17 5 3 3" xfId="1335" xr:uid="{5782A3BC-0B11-47DB-A211-BA8AD8F7FA2C}"/>
    <cellStyle name="Normal 17 5 3 3 2" xfId="4958" xr:uid="{81059A13-F7D8-4032-9D5F-EC494E8CE0B3}"/>
    <cellStyle name="Normal 17 5 3 4" xfId="1099" xr:uid="{B7E96E4C-FB8D-4B95-A3B1-62B343EDACF1}"/>
    <cellStyle name="Normal 17 5 3 4 2" xfId="4724" xr:uid="{C6DF2676-6015-4B03-AFFC-682A61F34AF1}"/>
    <cellStyle name="Normal 17 5 3 5" xfId="4529" xr:uid="{CFF1E561-2E99-4DE5-8DC4-6BD40219869F}"/>
    <cellStyle name="Normal 17 5 4" xfId="957" xr:uid="{EC4AF60B-D2FC-4643-95C3-FEDD34ED0D2F}"/>
    <cellStyle name="Normal 17 5 4 2" xfId="1399" xr:uid="{92A4151B-4D7B-4769-8D96-4EB63D0EA207}"/>
    <cellStyle name="Normal 17 5 4 2 2" xfId="5022" xr:uid="{008AC3FA-24EB-49B9-B56A-91C82038F66C}"/>
    <cellStyle name="Normal 17 5 4 3" xfId="1166" xr:uid="{067C92E1-A9CF-43C1-BD13-690C7944B320}"/>
    <cellStyle name="Normal 17 5 4 3 2" xfId="4789" xr:uid="{EF2AAD64-CBC3-49C8-89D5-79C07A652A5B}"/>
    <cellStyle name="Normal 17 5 4 4" xfId="4588" xr:uid="{57A357EA-026A-4B6C-8E69-E70B8AA686C6}"/>
    <cellStyle name="Normal 17 5 5" xfId="1283" xr:uid="{065AFA6A-A4F8-464A-9C88-74A22307F767}"/>
    <cellStyle name="Normal 17 5 5 2" xfId="4906" xr:uid="{7AB50DD6-F5D3-4F3D-8C42-037966353544}"/>
    <cellStyle name="Normal 17 5 6" xfId="1046" xr:uid="{4700386D-A247-4FD2-B19D-0B1EA4B0E255}"/>
    <cellStyle name="Normal 17 5 6 2" xfId="4672" xr:uid="{7A439E5A-78BD-49D2-883D-2D69EC647AE0}"/>
    <cellStyle name="Normal 17 5 7" xfId="4441" xr:uid="{790FF5B5-7244-4C4F-93CA-8B93B253EF89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2 2 2" xfId="5086" xr:uid="{FC1B657A-F930-4D36-B27A-06D03AFC99BC}"/>
    <cellStyle name="Normal 17 6 2 2 3" xfId="4853" xr:uid="{4930D9A0-D50A-4A6C-B872-CD74F63AD51C}"/>
    <cellStyle name="Normal 17 6 2 3" xfId="1347" xr:uid="{1E92CFAF-5D1E-43E9-9250-8BA75DEB512A}"/>
    <cellStyle name="Normal 17 6 2 3 2" xfId="4970" xr:uid="{AF4D31CF-A1B7-4722-90AA-F5224AB47638}"/>
    <cellStyle name="Normal 17 6 2 4" xfId="1111" xr:uid="{4D229EF9-1901-4FC3-865F-ABAFD90C1AA5}"/>
    <cellStyle name="Normal 17 6 2 4 2" xfId="4736" xr:uid="{94FEE68D-1913-4FA4-AC4D-3E37BD5E7825}"/>
    <cellStyle name="Normal 17 6 2 5" xfId="4541" xr:uid="{97A94244-AB38-4589-AE95-C36B0535E708}"/>
    <cellStyle name="Normal 17 6 3" xfId="969" xr:uid="{EE84494F-BDA9-4741-98DD-9C7ED8C29EF0}"/>
    <cellStyle name="Normal 17 6 3 2" xfId="1381" xr:uid="{5D7C942F-AA4C-4336-B1FD-810FF7D084B2}"/>
    <cellStyle name="Normal 17 6 3 2 2" xfId="5004" xr:uid="{BC4DB4A7-D511-4685-BF5C-B3C3A6C6EF78}"/>
    <cellStyle name="Normal 17 6 3 3" xfId="1148" xr:uid="{42620923-1847-4C00-9464-5952F4800321}"/>
    <cellStyle name="Normal 17 6 3 3 2" xfId="4771" xr:uid="{9536A644-159B-49C7-ADB6-FE86077EC2CC}"/>
    <cellStyle name="Normal 17 6 3 4" xfId="4600" xr:uid="{895F0B38-F333-4C94-BB68-EC42791A4168}"/>
    <cellStyle name="Normal 17 6 4" xfId="1265" xr:uid="{B873A1EC-0097-40D5-83B2-AF5FC909A94A}"/>
    <cellStyle name="Normal 17 6 4 2" xfId="4888" xr:uid="{8DEA739B-9477-4F9C-8E61-7905FE4C8B16}"/>
    <cellStyle name="Normal 17 6 5" xfId="1028" xr:uid="{AC834ABA-6672-425E-9FA4-10EBC7E2196A}"/>
    <cellStyle name="Normal 17 6 5 2" xfId="4654" xr:uid="{13CACE6B-9941-42A0-9F01-9C2D0E189C31}"/>
    <cellStyle name="Normal 17 6 6" xfId="4457" xr:uid="{6DBDEDEE-1982-43A7-A15E-898A748F3DE6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2 2 2" xfId="5030" xr:uid="{001947A6-57E2-4407-B9F2-89985782D3DE}"/>
    <cellStyle name="Normal 17 7 2 3" xfId="4797" xr:uid="{B21E9474-FADD-481C-9F15-7F182C1C8CE1}"/>
    <cellStyle name="Normal 17 7 3" xfId="1291" xr:uid="{B5DCE034-9942-40F8-98A6-73AEE4016414}"/>
    <cellStyle name="Normal 17 7 3 2" xfId="4914" xr:uid="{3E872161-F19B-43EF-91B8-61F4CECF8D76}"/>
    <cellStyle name="Normal 17 7 4" xfId="1054" xr:uid="{26FCC237-0C2F-4CB3-891B-D0324D0D6621}"/>
    <cellStyle name="Normal 17 7 4 2" xfId="4680" xr:uid="{B3085817-D0C9-4475-93BC-B08C07508579}"/>
    <cellStyle name="Normal 17 7 5" xfId="4507" xr:uid="{73AD8464-50A9-4ED9-9496-953DFBD0A004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2 2 2" xfId="5056" xr:uid="{B7AFA986-C290-45DD-82F8-5B93F456E57B}"/>
    <cellStyle name="Normal 17 8 2 3" xfId="4823" xr:uid="{78BC1D90-0745-489C-A5C8-10D6A17F1759}"/>
    <cellStyle name="Normal 17 8 3" xfId="1317" xr:uid="{C5BD4232-BB8B-4895-BB9E-4F56BDC4CF17}"/>
    <cellStyle name="Normal 17 8 3 2" xfId="4940" xr:uid="{B95EE598-B7CB-44D7-9719-7449510D9262}"/>
    <cellStyle name="Normal 17 8 4" xfId="1081" xr:uid="{3D464836-DDE2-40A4-9965-B5AB95DD4544}"/>
    <cellStyle name="Normal 17 8 4 2" xfId="4706" xr:uid="{D6F69F57-9769-4A2D-AE27-B853523E474D}"/>
    <cellStyle name="Normal 17 8 5" xfId="4569" xr:uid="{0481766F-6272-4C30-8898-926CBF5BD2F4}"/>
    <cellStyle name="Normal 17 9" xfId="1141" xr:uid="{27FF594B-3426-4334-AC30-72A95E6ED509}"/>
    <cellStyle name="Normal 17 9 2" xfId="1376" xr:uid="{B677D755-B870-4A19-9DF0-7951320D29DD}"/>
    <cellStyle name="Normal 17 9 2 2" xfId="4999" xr:uid="{EC3D970E-195B-47A1-9ADB-966DCB896B87}"/>
    <cellStyle name="Normal 17 9 3" xfId="4765" xr:uid="{807C1082-3D50-46FC-BC2F-730D61AD8560}"/>
    <cellStyle name="Normal 170" xfId="4108" xr:uid="{F4D59CF2-9593-4579-8C62-243304C26D60}"/>
    <cellStyle name="Normal 170 2" xfId="4201" xr:uid="{95246B0A-FA08-4D8B-8740-565D86F5B005}"/>
    <cellStyle name="Normal 170_6.2 CBR B" xfId="4251" xr:uid="{1876F20E-B4F8-4699-9F68-DC8B44CCEBC2}"/>
    <cellStyle name="Normal 171" xfId="4109" xr:uid="{DB2A5191-404F-4790-B37A-0B64811B3F4C}"/>
    <cellStyle name="Normal 171 2" xfId="4202" xr:uid="{8CAD2B12-E378-4D11-8752-4D1C2CE286C0}"/>
    <cellStyle name="Normal 171_6.2 CBR B" xfId="4252" xr:uid="{365B517B-6A46-4E15-908E-B1421A1869B4}"/>
    <cellStyle name="Normal 18" xfId="620" xr:uid="{09A9475D-00B9-41C7-B868-A5CF0338B76F}"/>
    <cellStyle name="Normal 18 2" xfId="2928" xr:uid="{3AFF2F77-DB2D-4829-A701-9CF2A6D7883B}"/>
    <cellStyle name="Normal 18 2 2" xfId="3868" xr:uid="{CE9E31E4-F1DD-49D9-A03D-F2962A9A96F1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19 4" xfId="2929" xr:uid="{8AC139F8-3B0D-4D79-9834-C2084B5024DF}"/>
    <cellStyle name="Normal 19 4 2" xfId="3869" xr:uid="{6FA7168F-93BF-462B-B198-B3CBAFFCD096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0 2" xfId="4427" xr:uid="{677C35B2-9122-4B26-B072-CA3C4437FFEA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2 2 2" xfId="5100" xr:uid="{0C65C619-D68F-4771-9502-D08DAE1D703A}"/>
    <cellStyle name="Normal 2 2 2 2 2 2 3" xfId="4867" xr:uid="{0506E12F-09FC-4B8E-BF36-CBD2C4A38D10}"/>
    <cellStyle name="Normal 2 2 2 2 2 3" xfId="1361" xr:uid="{4BBE02DC-4C8E-41F1-9740-627396D6E249}"/>
    <cellStyle name="Normal 2 2 2 2 2 3 2" xfId="4984" xr:uid="{F600A746-0F2F-416F-B679-7E66AA788985}"/>
    <cellStyle name="Normal 2 2 2 2 2 4" xfId="1125" xr:uid="{022ABC52-05D5-4556-9219-79815A02FCBB}"/>
    <cellStyle name="Normal 2 2 2 2 2 4 2" xfId="4750" xr:uid="{5B7E0025-0800-4E4D-8825-1E71E4CCDA74}"/>
    <cellStyle name="Normal 2 2 2 2 2 5" xfId="3870" xr:uid="{FE447DD1-C5FF-4ABF-8B5F-566466584F0B}"/>
    <cellStyle name="Normal 2 2 2 2 2 6" xfId="4555" xr:uid="{CF1C3CF2-C03E-4752-8037-968C2F9ADD64}"/>
    <cellStyle name="Normal 2 2 2 2 3" xfId="983" xr:uid="{8BE6A34C-EAF3-4C95-A4BD-FE3EF66F6588}"/>
    <cellStyle name="Normal 2 2 2 2 3 2" xfId="1421" xr:uid="{1C613E25-3945-4ED8-AF2F-7A5E9BEF855D}"/>
    <cellStyle name="Normal 2 2 2 2 3 2 2" xfId="5044" xr:uid="{EC487B3E-B34A-4340-B7E0-F62FAE35BB80}"/>
    <cellStyle name="Normal 2 2 2 2 3 3" xfId="1188" xr:uid="{5EABED71-0C03-45DF-9FAE-79C064ED7440}"/>
    <cellStyle name="Normal 2 2 2 2 3 3 2" xfId="4811" xr:uid="{B70F5E89-00C9-4856-BFAE-F966B26A02D6}"/>
    <cellStyle name="Normal 2 2 2 2 3 4" xfId="4614" xr:uid="{E70E54F0-3DC2-4261-83F2-A095F987DD11}"/>
    <cellStyle name="Normal 2 2 2 2 4" xfId="1305" xr:uid="{6EE571EA-39CF-4979-8AF0-2B337C76DAFD}"/>
    <cellStyle name="Normal 2 2 2 2 4 2" xfId="4928" xr:uid="{8E54807C-D65A-4DC1-B8CB-F6D2F6833DC9}"/>
    <cellStyle name="Normal 2 2 2 2 5" xfId="1068" xr:uid="{A2199429-685F-4F4C-AA7D-FC1057DD5885}"/>
    <cellStyle name="Normal 2 2 2 2 5 2" xfId="4694" xr:uid="{409E18BE-06F7-440F-BF93-6D81A0DB9286}"/>
    <cellStyle name="Normal 2 2 2 2 6" xfId="2931" xr:uid="{1780D12A-EB83-4904-9693-43555050FF76}"/>
    <cellStyle name="Normal 2 2 2 2 7" xfId="4471" xr:uid="{21D6A12F-FC0A-4F5E-BB14-ED68FFF4224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2 2 2" xfId="5070" xr:uid="{60D0C731-981F-4217-9666-78DC0D445815}"/>
    <cellStyle name="Normal 2 2 2 3 2 3" xfId="4837" xr:uid="{0E65D77E-5A0B-4ED2-8EF3-1AA127AC2025}"/>
    <cellStyle name="Normal 2 2 2 3 3" xfId="1331" xr:uid="{4674F0CB-21D6-41E7-8B82-7F0E14278A38}"/>
    <cellStyle name="Normal 2 2 2 3 3 2" xfId="4954" xr:uid="{5401B2FC-699E-45B1-AE73-37370AB44AB3}"/>
    <cellStyle name="Normal 2 2 2 3 4" xfId="1095" xr:uid="{DD327DFF-F19A-4E2E-BE46-8FAC7FE49EC6}"/>
    <cellStyle name="Normal 2 2 2 3 4 2" xfId="4720" xr:uid="{FC50BFAD-233F-45A3-AEA2-50587CD75DA8}"/>
    <cellStyle name="Normal 2 2 2 3 5" xfId="4525" xr:uid="{3F084C7A-1748-4A22-B0D1-6E04EE4221B8}"/>
    <cellStyle name="Normal 2 2 2 4" xfId="953" xr:uid="{9DBE9E37-E803-4CBA-8F1B-10E7C19DBADD}"/>
    <cellStyle name="Normal 2 2 2 4 2" xfId="1395" xr:uid="{E70F19D2-AB14-451B-B5CD-82C50138C78F}"/>
    <cellStyle name="Normal 2 2 2 4 2 2" xfId="5018" xr:uid="{BCFF57F7-4B11-4C68-84C1-D4771A2639BF}"/>
    <cellStyle name="Normal 2 2 2 4 3" xfId="1162" xr:uid="{75E2EDE9-F4BD-4E39-AD96-7762D6DB71DB}"/>
    <cellStyle name="Normal 2 2 2 4 3 2" xfId="4785" xr:uid="{7D1B9905-4718-4874-89E0-0CF097701AC3}"/>
    <cellStyle name="Normal 2 2 2 4 4" xfId="4584" xr:uid="{D1F1EFB1-4F3F-4B3C-BEDD-DEFAD9585059}"/>
    <cellStyle name="Normal 2 2 2 5" xfId="1279" xr:uid="{3E25AA25-8913-46C9-B689-C4FA6F331DFA}"/>
    <cellStyle name="Normal 2 2 2 5 2" xfId="4902" xr:uid="{F174ABBD-1563-4175-B6FA-A77CABF56899}"/>
    <cellStyle name="Normal 2 2 2 6" xfId="1042" xr:uid="{5916A03E-A346-4288-B952-171E8A3E873C}"/>
    <cellStyle name="Normal 2 2 2 6 2" xfId="4668" xr:uid="{687725C1-3F64-4F4A-BCD5-DFC83E8CF4C3}"/>
    <cellStyle name="Normal 2 2 2 7" xfId="2930" xr:uid="{AAE6A956-1C37-4D6C-BD0F-BC99D4E6B0F1}"/>
    <cellStyle name="Normal 2 2 2 8" xfId="4437" xr:uid="{0476949A-341F-4470-A97C-6355FBD43442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2 2 2" xfId="5108" xr:uid="{3B8912FD-AA98-4E59-884A-2F49AB47360E}"/>
    <cellStyle name="Normal 2 2 3 2 2 2 3" xfId="4875" xr:uid="{BC6C221D-712C-4A27-AB7F-81078E34C536}"/>
    <cellStyle name="Normal 2 2 3 2 2 3" xfId="1369" xr:uid="{5A436301-99CA-4528-962C-32004EB383A5}"/>
    <cellStyle name="Normal 2 2 3 2 2 3 2" xfId="4992" xr:uid="{DE31AC40-5CEA-4B46-82A5-6E5D703CEAAF}"/>
    <cellStyle name="Normal 2 2 3 2 2 4" xfId="1133" xr:uid="{CC378B41-ECE0-4D32-A8FF-732A3010345A}"/>
    <cellStyle name="Normal 2 2 3 2 2 4 2" xfId="4758" xr:uid="{9763E515-D99F-43CE-8B72-29313CBE44FB}"/>
    <cellStyle name="Normal 2 2 3 2 2 5" xfId="4563" xr:uid="{7D079F19-7EC2-4FA2-ABFE-8BB1E2E57B06}"/>
    <cellStyle name="Normal 2 2 3 2 3" xfId="991" xr:uid="{3300C1A9-2DD4-45B9-933F-C71F262FEE86}"/>
    <cellStyle name="Normal 2 2 3 2 3 2" xfId="1429" xr:uid="{EFBCE65B-5044-4357-A2EE-474FF6DD7698}"/>
    <cellStyle name="Normal 2 2 3 2 3 2 2" xfId="5052" xr:uid="{AB7FCDBD-F65B-45D8-979E-CE0C5CF9D18B}"/>
    <cellStyle name="Normal 2 2 3 2 3 3" xfId="1196" xr:uid="{C9E52917-7157-4F83-AC0F-2D69E873B98D}"/>
    <cellStyle name="Normal 2 2 3 2 3 3 2" xfId="4819" xr:uid="{F38F3E43-E85C-4BA4-8893-03BDC6668FEB}"/>
    <cellStyle name="Normal 2 2 3 2 3 4" xfId="4622" xr:uid="{686B069B-C97E-4FD7-9439-0A130A4CB9E7}"/>
    <cellStyle name="Normal 2 2 3 2 4" xfId="1313" xr:uid="{F83E3E6B-7162-427D-A2AF-256B98FFFFD0}"/>
    <cellStyle name="Normal 2 2 3 2 4 2" xfId="4936" xr:uid="{AA243816-5077-4F90-8EAB-5EA6EE12E2F2}"/>
    <cellStyle name="Normal 2 2 3 2 5" xfId="1076" xr:uid="{89D981D5-1E03-4E3B-B829-5FD43A7CE54D}"/>
    <cellStyle name="Normal 2 2 3 2 5 2" xfId="4702" xr:uid="{11F4CD07-B432-41C2-BFE9-731FACEC1EFB}"/>
    <cellStyle name="Normal 2 2 3 2 6" xfId="4479" xr:uid="{3CA5261D-1ACA-4A59-BAA1-57EB7A51D12A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2 2 2" xfId="5078" xr:uid="{7D332187-9962-4D07-9E4A-094D2EEC0A27}"/>
    <cellStyle name="Normal 2 2 3 3 2 3" xfId="4845" xr:uid="{926D1E50-95FE-4D7B-B57A-0CAAEF953A6F}"/>
    <cellStyle name="Normal 2 2 3 3 3" xfId="1339" xr:uid="{98994242-29FA-4237-9FD3-6393E280C930}"/>
    <cellStyle name="Normal 2 2 3 3 3 2" xfId="4962" xr:uid="{8615B234-7D43-446B-9E81-352B23DC6077}"/>
    <cellStyle name="Normal 2 2 3 3 4" xfId="1103" xr:uid="{D2BEC730-BEAA-4F5F-B460-7B29AB48361E}"/>
    <cellStyle name="Normal 2 2 3 3 4 2" xfId="4728" xr:uid="{346085E8-6AAC-4E11-8B23-356C2C20CF07}"/>
    <cellStyle name="Normal 2 2 3 3 5" xfId="4533" xr:uid="{05BE3FEB-3A1C-4E82-BAA8-3FBA42083233}"/>
    <cellStyle name="Normal 2 2 3 4" xfId="961" xr:uid="{491A03AB-82B4-422B-88B9-9A915CD6F0FF}"/>
    <cellStyle name="Normal 2 2 3 4 2" xfId="1403" xr:uid="{852C08CE-94B0-4E50-A4F5-0ACBDFEF0CFD}"/>
    <cellStyle name="Normal 2 2 3 4 2 2" xfId="5026" xr:uid="{DA146954-EA4E-4279-B0F1-74E09F7585D4}"/>
    <cellStyle name="Normal 2 2 3 4 3" xfId="1170" xr:uid="{9C3885E1-066A-4562-845E-5718110E0644}"/>
    <cellStyle name="Normal 2 2 3 4 3 2" xfId="4793" xr:uid="{9DFFF357-AD2B-4BFF-A8A9-BC4D726C1610}"/>
    <cellStyle name="Normal 2 2 3 4 4" xfId="4592" xr:uid="{0418E02D-705A-4F19-9AA0-9C3F068577CE}"/>
    <cellStyle name="Normal 2 2 3 5" xfId="1287" xr:uid="{76B3816F-B917-4295-8E8B-EBBEDBDFF6A2}"/>
    <cellStyle name="Normal 2 2 3 5 2" xfId="4910" xr:uid="{ADDA6769-9092-4339-8588-AA9F660E05F7}"/>
    <cellStyle name="Normal 2 2 3 6" xfId="1050" xr:uid="{8DC77C8C-D4A5-48D2-8A41-7AB28EE08B4A}"/>
    <cellStyle name="Normal 2 2 3 6 2" xfId="4676" xr:uid="{7E307F69-CFFD-47EB-81C9-C2C5CFD83076}"/>
    <cellStyle name="Normal 2 2 3 7" xfId="2932" xr:uid="{FC8540CC-DEE0-4772-9465-17EE1D3A6250}"/>
    <cellStyle name="Normal 2 2 3 8" xfId="4445" xr:uid="{C95D36B0-B69C-4719-866D-3851FC44FDF9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2 2 2" xfId="5092" xr:uid="{EFD1420F-5666-421B-A3D3-15E7ACEB16BD}"/>
    <cellStyle name="Normal 2 2 4 2 2 3" xfId="4859" xr:uid="{EB0FD538-5E6B-4A03-BA66-083EC2C0EDD6}"/>
    <cellStyle name="Normal 2 2 4 2 3" xfId="1353" xr:uid="{F68652A5-901F-4AAF-B36B-2B435ABC6F44}"/>
    <cellStyle name="Normal 2 2 4 2 3 2" xfId="4976" xr:uid="{B0AD2719-4336-4DC2-BCCF-F38F945221D7}"/>
    <cellStyle name="Normal 2 2 4 2 4" xfId="1117" xr:uid="{763C6FE0-4B52-4C7A-A409-5FC2C65A5ED3}"/>
    <cellStyle name="Normal 2 2 4 2 4 2" xfId="4742" xr:uid="{D125D651-1BD2-4484-8303-6140C7B6FA55}"/>
    <cellStyle name="Normal 2 2 4 2 5" xfId="4547" xr:uid="{B49549B8-C3AF-4F04-8313-EC3711AED364}"/>
    <cellStyle name="Normal 2 2 4 3" xfId="975" xr:uid="{4EFB6F37-6FD4-4E78-AF45-8E51BA63D988}"/>
    <cellStyle name="Normal 2 2 4 3 2" xfId="1387" xr:uid="{3E3AB025-2811-4579-A30B-19E844F49AC5}"/>
    <cellStyle name="Normal 2 2 4 3 2 2" xfId="5010" xr:uid="{38A76358-FACB-4F5E-8EA2-7F3D0EAA164F}"/>
    <cellStyle name="Normal 2 2 4 3 3" xfId="1154" xr:uid="{049912C6-3E80-4E6B-A150-8056E204EEFB}"/>
    <cellStyle name="Normal 2 2 4 3 3 2" xfId="4777" xr:uid="{9AE6ED99-0F61-47CF-8C97-36ED64D6E371}"/>
    <cellStyle name="Normal 2 2 4 3 4" xfId="4606" xr:uid="{EE558095-76D7-42C6-89C6-10DE0167F843}"/>
    <cellStyle name="Normal 2 2 4 4" xfId="1271" xr:uid="{3D78D77E-9A2F-4340-999B-9F401326FC1E}"/>
    <cellStyle name="Normal 2 2 4 4 2" xfId="4894" xr:uid="{E2865780-557E-43DB-A75B-286A2E1344A8}"/>
    <cellStyle name="Normal 2 2 4 5" xfId="1034" xr:uid="{648A0206-8C15-4EFC-A860-CFF636B8FC17}"/>
    <cellStyle name="Normal 2 2 4 5 2" xfId="4660" xr:uid="{3AEDBB23-42B0-4F9D-BC9C-1A0B4483E352}"/>
    <cellStyle name="Normal 2 2 4 6" xfId="4463" xr:uid="{7C173586-615E-4BCC-935D-50FF0133C43E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2 2 2" xfId="5036" xr:uid="{6E6EFF89-F6CA-45E1-A43C-704F9E6FD898}"/>
    <cellStyle name="Normal 2 2 5 2 3" xfId="4803" xr:uid="{C0569797-4CCF-4401-9008-414ABD0ACB61}"/>
    <cellStyle name="Normal 2 2 5 3" xfId="1297" xr:uid="{5A0D06E8-8ACC-4875-9CE9-F2268D6C6651}"/>
    <cellStyle name="Normal 2 2 5 3 2" xfId="4920" xr:uid="{454CBAB1-FF9B-4F8B-8D4D-17F2AD7A4881}"/>
    <cellStyle name="Normal 2 2 5 4" xfId="1060" xr:uid="{78493F0E-4902-4231-BB33-339A7026B37C}"/>
    <cellStyle name="Normal 2 2 5 4 2" xfId="4686" xr:uid="{DAF9FDE0-84CF-4898-934A-CEDD7C7E045B}"/>
    <cellStyle name="Normal 2 2 5 5" xfId="4516" xr:uid="{22DC75F9-EF26-4195-B3BE-AE3A32559819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2 2 2" xfId="5062" xr:uid="{6284CC54-A15E-4DC6-BD4B-553E09A96FBE}"/>
    <cellStyle name="Normal 2 2 6 2 3" xfId="4829" xr:uid="{C7603F8A-343D-4C9D-8682-76D5B3A24D48}"/>
    <cellStyle name="Normal 2 2 6 3" xfId="1323" xr:uid="{3DA4F678-1861-4B1A-A97F-1A38C0D4D346}"/>
    <cellStyle name="Normal 2 2 6 3 2" xfId="4946" xr:uid="{8691B055-8C1F-43F1-87FE-CFA2C6EEA5E4}"/>
    <cellStyle name="Normal 2 2 6 4" xfId="1087" xr:uid="{0FD44BDA-0617-474B-980A-FC4115BFCA1F}"/>
    <cellStyle name="Normal 2 2 6 4 2" xfId="4712" xr:uid="{35896C7F-2E55-45E9-810A-4686082552C4}"/>
    <cellStyle name="Normal 2 2 6 5" xfId="4576" xr:uid="{EC7354B0-4D2F-4F79-A25A-A58051913F76}"/>
    <cellStyle name="Normal 2 2 7" xfId="1144" xr:uid="{732CB926-CA48-43D8-8ED5-1EAEEFE07A55}"/>
    <cellStyle name="Normal 2 2 7 2" xfId="1377" xr:uid="{B4B0F0D8-9DD0-4FE8-B284-B03C330BE379}"/>
    <cellStyle name="Normal 2 2 7 2 2" xfId="5000" xr:uid="{99106D8E-7596-40AA-AF90-94560B5AAE2A}"/>
    <cellStyle name="Normal 2 2 7 3" xfId="4767" xr:uid="{1D1FEC53-2948-4A5F-B2F6-ADD2ABE9A860}"/>
    <cellStyle name="Normal 2 2 8" xfId="1261" xr:uid="{C4A2DAD3-271A-4F32-8D36-F70E6A130CDD}"/>
    <cellStyle name="Normal 2 2 8 2" xfId="4884" xr:uid="{CAE47E8A-6C2B-4556-B4E3-37908E329ACE}"/>
    <cellStyle name="Normal 2 2 9" xfId="1023" xr:uid="{5C46BC3A-8350-4893-8274-380D32A67AD3}"/>
    <cellStyle name="Normal 2 2 9 2" xfId="4649" xr:uid="{688E3B3E-3098-42CA-9C9F-F2FFFE9AA15B}"/>
    <cellStyle name="Normal 2 3" xfId="736" xr:uid="{5D999D92-2638-4729-98F0-A4C5158AB11A}"/>
    <cellStyle name="Normal 2 3 2" xfId="2934" xr:uid="{1A7D75E1-291F-4CDE-8EE1-651F7B003E2F}"/>
    <cellStyle name="Normal 2 3 2 2" xfId="3871" xr:uid="{F104D702-0015-454B-AB4D-2561947893F7}"/>
    <cellStyle name="Normal 2 3 3" xfId="2935" xr:uid="{B06A78EB-E210-49FE-A861-17BF58F443C5}"/>
    <cellStyle name="Normal 2 3 4" xfId="2933" xr:uid="{617EE965-CEDE-4A37-B130-C16A3786E799}"/>
    <cellStyle name="Normal 2 4" xfId="796" xr:uid="{2F3DBAA9-94D0-4A22-BC64-D62E21FD8832}"/>
    <cellStyle name="Normal 2 4 2" xfId="2936" xr:uid="{85A3D7BA-AB59-4305-BA06-2C04AB5A1B9F}"/>
    <cellStyle name="Normal 2 4 2 2" xfId="3872" xr:uid="{A1BAF81A-DBA8-4E49-A316-19B3A27D877B}"/>
    <cellStyle name="Normal 2 4 3" xfId="2937" xr:uid="{1B553412-FE2F-4A8E-9B0F-58DFF4AF380E}"/>
    <cellStyle name="Normal 2 5" xfId="622" xr:uid="{52236977-69EE-43CE-978C-781C2B31DF6B}"/>
    <cellStyle name="Normal 2 5 2" xfId="2938" xr:uid="{59E1799A-03E4-43FE-8A00-14A1C2E41008}"/>
    <cellStyle name="Normal 2 6" xfId="2939" xr:uid="{D8A20C5C-065F-45F3-A43E-68F78295B965}"/>
    <cellStyle name="Normal 2 7" xfId="2940" xr:uid="{3DF0D829-A550-4665-9E52-E50A41E01BDC}"/>
    <cellStyle name="Normal 20" xfId="623" xr:uid="{8B19251C-5490-410D-B5FC-05DDFDB381FB}"/>
    <cellStyle name="Normal 20 2" xfId="2941" xr:uid="{F623C9A5-E0DB-437F-8A9A-74053ED130C1}"/>
    <cellStyle name="Normal 20 2 2" xfId="3873" xr:uid="{F4C6D375-F160-4DF1-9E9E-75354561F516}"/>
    <cellStyle name="Normal 20 3" xfId="2942" xr:uid="{C4F9E6AD-177E-45C1-B2FC-9A8A14A9C1D0}"/>
    <cellStyle name="Normal 20 3 2" xfId="3874" xr:uid="{8F54C032-C9C0-4AA9-B70C-8BCD12179A70}"/>
    <cellStyle name="Normal 21" xfId="706" xr:uid="{73936943-F6B4-4180-94F4-96D1E1525801}"/>
    <cellStyle name="Normal 21 2" xfId="2944" xr:uid="{9A3A5ED7-642A-4520-A8E7-5670887C2AEA}"/>
    <cellStyle name="Normal 21 3" xfId="2945" xr:uid="{182685F4-349F-476B-90D6-433951DCEB01}"/>
    <cellStyle name="Normal 21 3 2" xfId="3875" xr:uid="{7C9C0916-C569-4B35-98C3-68B76E96EC55}"/>
    <cellStyle name="Normal 21 4" xfId="2943" xr:uid="{D3BA766E-4167-4EAD-AF3E-E2B30D1E4801}"/>
    <cellStyle name="Normal 22" xfId="732" xr:uid="{ECE93BD4-AAB9-4E01-9BC8-E553EAD11CA6}"/>
    <cellStyle name="Normal 22 2" xfId="740" xr:uid="{2C19312B-F0BD-48A8-AD4A-DCE66515DB63}"/>
    <cellStyle name="Normal 22 2 2" xfId="2947" xr:uid="{182E911F-68EB-486B-AA18-43BCC4F31222}"/>
    <cellStyle name="Normal 22 3" xfId="891" xr:uid="{848E9D7F-F877-40AE-A485-C2398A2606A8}"/>
    <cellStyle name="Normal 22 3 2" xfId="1458" xr:uid="{C37F1FC4-C87A-445C-AFAF-EEEC874C963F}"/>
    <cellStyle name="Normal 22 3 2 2" xfId="5081" xr:uid="{1BF98F6D-DBD2-492D-A0DD-0E527C330BB5}"/>
    <cellStyle name="Normal 22 3 3" xfId="1225" xr:uid="{BBAB6D9F-8302-4C91-B202-8DB48F373F08}"/>
    <cellStyle name="Normal 22 3 3 2" xfId="4848" xr:uid="{A74C590A-873C-4A75-A66C-A5AA7B92AED0}"/>
    <cellStyle name="Normal 22 3 4" xfId="3876" xr:uid="{220B0F6E-9B4A-471B-9DFC-E54F36AD89E4}"/>
    <cellStyle name="Normal 22 3 5" xfId="4536" xr:uid="{D6EAC2DC-A387-4D8A-827B-D25D930C7723}"/>
    <cellStyle name="Normal 22 4" xfId="964" xr:uid="{E8690419-9D5D-45F4-AA2F-45398A042D5B}"/>
    <cellStyle name="Normal 22 4 2" xfId="1342" xr:uid="{557109F6-5A9B-47CC-AC61-D1B850FF4E70}"/>
    <cellStyle name="Normal 22 4 2 2" xfId="4965" xr:uid="{8220020F-7C7B-4A07-AEE2-090580EC8B0F}"/>
    <cellStyle name="Normal 22 4 3" xfId="4595" xr:uid="{DCF9D7A2-CF27-444D-80DB-E3F607DA98FD}"/>
    <cellStyle name="Normal 22 5" xfId="1106" xr:uid="{8760330B-4CB1-4B35-A979-FFC0CB19D8CB}"/>
    <cellStyle name="Normal 22 5 2" xfId="4731" xr:uid="{D46F025E-5533-4C15-A7D2-86C27CC9E92B}"/>
    <cellStyle name="Normal 22 6" xfId="2946" xr:uid="{8DA13F99-3533-4800-8076-CFD7FD7F89BF}"/>
    <cellStyle name="Normal 22 7" xfId="4448" xr:uid="{00F174FC-25A8-4708-B988-492F4595FBD0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2 2" xfId="5082" xr:uid="{857ABC21-9356-4769-A858-FFE4AB36DF51}"/>
    <cellStyle name="Normal 23 2 3" xfId="1226" xr:uid="{065EE220-D577-49E6-BE90-5A71E2BF8A48}"/>
    <cellStyle name="Normal 23 2 3 2" xfId="4849" xr:uid="{8A47A44C-3E41-4D98-AD62-C3C7309F30E1}"/>
    <cellStyle name="Normal 23 2 4" xfId="2949" xr:uid="{A720B97E-4577-4A89-A042-141D7C209AFF}"/>
    <cellStyle name="Normal 23 2 5" xfId="4537" xr:uid="{D274FDF1-7CB3-4FD9-AD72-5B6455068623}"/>
    <cellStyle name="Normal 23 3" xfId="965" xr:uid="{B39082DB-010D-4A23-8DE1-FBA352901F86}"/>
    <cellStyle name="Normal 23 3 2" xfId="1343" xr:uid="{B0E63C77-E165-4CE6-876C-E9C1E79155CD}"/>
    <cellStyle name="Normal 23 3 2 2" xfId="4966" xr:uid="{F587062F-8A1E-4163-A4C6-F77DE924FC28}"/>
    <cellStyle name="Normal 23 3 3" xfId="4596" xr:uid="{D86CFA3B-7B16-4927-A5EF-7F9415D10688}"/>
    <cellStyle name="Normal 23 4" xfId="1107" xr:uid="{ACA2EA91-9CEE-4C60-A69A-050B08813299}"/>
    <cellStyle name="Normal 23 4 2" xfId="4732" xr:uid="{44D30780-3AD8-4B00-9368-5C5A75329DF5}"/>
    <cellStyle name="Normal 23 5" xfId="2948" xr:uid="{C13568F5-39CF-49AC-8B09-DB1AE2F4E71D}"/>
    <cellStyle name="Normal 23 6" xfId="4452" xr:uid="{9662E282-C6F1-41F9-87D4-569C81F06A53}"/>
    <cellStyle name="Normal 24" xfId="924" xr:uid="{31235064-FEE9-42F1-A8CD-4379E59DAE0B}"/>
    <cellStyle name="Normal 24 2" xfId="1138" xr:uid="{D501E2FD-CD72-4412-88EE-8F087D437134}"/>
    <cellStyle name="Normal 24 2 2" xfId="2950" xr:uid="{99B67581-76AF-4312-AE57-5A4DD0E75FB6}"/>
    <cellStyle name="Normal 25" xfId="935" xr:uid="{139ABBEC-6429-4E74-9965-C58CC1601E8E}"/>
    <cellStyle name="Normal 25 2" xfId="1374" xr:uid="{A53E9708-A192-44B2-8E94-ABB8A267ED5C}"/>
    <cellStyle name="Normal 25 2 2" xfId="2952" xr:uid="{227BDFBA-84AF-40A2-8D92-C2719D11239B}"/>
    <cellStyle name="Normal 25 2 3" xfId="4997" xr:uid="{60180B59-C457-42E9-AAAD-1657D97A2AD1}"/>
    <cellStyle name="Normal 25 3" xfId="1137" xr:uid="{15A61BF5-5478-48F7-B307-4B6226F7FDED}"/>
    <cellStyle name="Normal 25 3 2" xfId="4762" xr:uid="{6D595086-3B5D-4B09-9533-9E0E48394310}"/>
    <cellStyle name="Normal 25 4" xfId="2951" xr:uid="{6A15EFF5-527A-4027-957C-E722EF84E376}"/>
    <cellStyle name="Normal 26" xfId="925" xr:uid="{8F86AA81-1B5B-4B8B-B2BD-5B9D903B78F6}"/>
    <cellStyle name="Normal 26 2" xfId="1256" xr:uid="{4B7D146E-FD15-47E7-BE08-3499F7960DD7}"/>
    <cellStyle name="Normal 26 2 2" xfId="2954" xr:uid="{3157480E-D3E8-42AC-BBFF-793135DE6141}"/>
    <cellStyle name="Normal 26 2 3" xfId="4879" xr:uid="{68E8474A-CC15-4DF5-9879-93FF5FEC9F2E}"/>
    <cellStyle name="Normal 26 3" xfId="2953" xr:uid="{DCD5A23A-04FD-4B26-80F1-5615DAA0D5B3}"/>
    <cellStyle name="Normal 27" xfId="931" xr:uid="{84BFC054-4661-4393-B984-77DB8F0E82AF}"/>
    <cellStyle name="Normal 28" xfId="936" xr:uid="{C800E3AB-A60F-47CA-9833-7A49F9B65DCA}"/>
    <cellStyle name="Normal 28 2" xfId="2955" xr:uid="{0438EF6B-6C6D-4EE8-8CFC-AF3887E96C2A}"/>
    <cellStyle name="Normal 29" xfId="1006" xr:uid="{44E895C8-637A-4FCB-BE03-C15F1784E928}"/>
    <cellStyle name="Normal 29 2" xfId="2956" xr:uid="{A8A289E2-9A4E-4B18-890C-2F2ED0A2F129}"/>
    <cellStyle name="Normal 3" xfId="11" xr:uid="{00000000-0005-0000-0000-00004C000000}"/>
    <cellStyle name="Normal 3 10" xfId="2957" xr:uid="{B9F9DDD3-2876-4E08-B180-61C3D334A73B}"/>
    <cellStyle name="Normal 3 10 2" xfId="4312" xr:uid="{D75DACA1-CA56-4837-BA78-255CECD2180B}"/>
    <cellStyle name="Normal 3 11" xfId="2958" xr:uid="{EA06A489-8BFE-4EF0-88EC-ADE1E3264FCC}"/>
    <cellStyle name="Normal 3 11 2" xfId="3877" xr:uid="{46AC63E2-8669-468B-AFF9-E2506138408E}"/>
    <cellStyle name="Normal 3 12" xfId="2959" xr:uid="{7BEA0764-42BA-46BA-853F-2BC7D9743081}"/>
    <cellStyle name="Normal 3 13" xfId="4069" xr:uid="{07B457C9-F62C-43A3-B139-D9ECA0BF7B9B}"/>
    <cellStyle name="Normal 3 2" xfId="707" xr:uid="{D65206B1-1563-4F4F-BEFA-71E190E67CD7}"/>
    <cellStyle name="Normal 3 2 2" xfId="2961" xr:uid="{FF312561-E36A-4F8D-A2CB-1442A1A0A396}"/>
    <cellStyle name="Normal 3 2 2 2" xfId="5166" xr:uid="{5D01BD96-76F1-4D58-A98C-6ED37790AF8B}"/>
    <cellStyle name="Normal 3 2 2 3" xfId="4072" xr:uid="{71178FFE-13ED-4830-A164-6F431936D719}"/>
    <cellStyle name="Normal 3 2 3" xfId="2960" xr:uid="{97435F47-4CC4-4D6E-A966-AF36AF91246D}"/>
    <cellStyle name="Normal 3 2 3 2" xfId="4188" xr:uid="{0A8E0A39-0CC9-4870-92BB-DAE38CDC8B7C}"/>
    <cellStyle name="Normal 3 2 4" xfId="4428" xr:uid="{0822AA42-16C1-45C5-A374-506BAF0ABE35}"/>
    <cellStyle name="Normal 3 2 5" xfId="4070" xr:uid="{F87DE9E7-9CA0-4377-844F-EF6EDB0195A3}"/>
    <cellStyle name="Normal 3 3" xfId="708" xr:uid="{9864E9AE-E37B-4FF2-A146-6D85B6CDD8FE}"/>
    <cellStyle name="Normal 3 3 2" xfId="701" xr:uid="{1D66177E-6151-41F7-B2EE-7C5EDFE1CB71}"/>
    <cellStyle name="Normal 3 3 3" xfId="2962" xr:uid="{F900492C-06AA-4515-B20A-3E5764F0F7F0}"/>
    <cellStyle name="Normal 3 3 3 2" xfId="5198" xr:uid="{5C132630-DA16-4542-BCBA-7A31CCC3BCF9}"/>
    <cellStyle name="Normal 3 3 4" xfId="4071" xr:uid="{0A207F79-FD55-4813-A2D1-28B49DD44C63}"/>
    <cellStyle name="Normal 3 4" xfId="733" xr:uid="{A7A7F0F3-8B89-4D5B-99DB-883CFA1B0AB8}"/>
    <cellStyle name="Normal 3 4 2" xfId="892" xr:uid="{DE4A5A07-29E1-4A94-BFB4-D1D13D27A01E}"/>
    <cellStyle name="Normal 3 4 2 2" xfId="2965" xr:uid="{2382F087-855C-4EFA-8B9F-091F21FEA8EB}"/>
    <cellStyle name="Normal 3 4 2 2 2" xfId="2966" xr:uid="{FC519EB8-C49F-44C3-99D4-767AEBDD68DA}"/>
    <cellStyle name="Normal 3 4 2 2 2 2" xfId="3880" xr:uid="{1427DC1E-F65F-4443-B193-31B5EBDB78F2}"/>
    <cellStyle name="Normal 3 4 2 2 3" xfId="2967" xr:uid="{544545A1-3F7D-4610-AB64-7FA1AF8BA21C}"/>
    <cellStyle name="Normal 3 4 2 2 3 2" xfId="3881" xr:uid="{2A5EE557-DED0-4570-B421-99FA40D04E97}"/>
    <cellStyle name="Normal 3 4 2 2 4" xfId="3879" xr:uid="{9C837204-5DB3-459A-A9B0-DE22D6AA78AF}"/>
    <cellStyle name="Normal 3 4 2 3" xfId="2968" xr:uid="{BB8AD0F2-0412-4338-92F2-94D309B5B866}"/>
    <cellStyle name="Normal 3 4 2 3 2" xfId="3882" xr:uid="{8DE02D08-7F13-44FC-91E1-641E2F38FFA7}"/>
    <cellStyle name="Normal 3 4 2 4" xfId="2969" xr:uid="{34397C1D-8D6B-4B69-A210-E95C20B18C43}"/>
    <cellStyle name="Normal 3 4 2 4 2" xfId="3883" xr:uid="{3A4268FC-7943-415D-8F24-7C276F15CEA9}"/>
    <cellStyle name="Normal 3 4 2 5" xfId="3878" xr:uid="{A46539F7-06F4-4E36-BC49-C320D411C8FC}"/>
    <cellStyle name="Normal 3 4 2 6" xfId="2964" xr:uid="{77113213-A7A6-4B9F-A9CC-CCF3524BC48E}"/>
    <cellStyle name="Normal 3 4 3" xfId="2970" xr:uid="{A1364ED9-072E-449A-8AFB-961AE6F84608}"/>
    <cellStyle name="Normal 3 4 3 2" xfId="2971" xr:uid="{9D7FB648-184D-4564-BF3E-0AB0D751334A}"/>
    <cellStyle name="Normal 3 4 3 2 2" xfId="3885" xr:uid="{60BDD1CC-7B8B-43BD-A9C0-9D31FDBB1418}"/>
    <cellStyle name="Normal 3 4 3 3" xfId="2972" xr:uid="{E050D066-D420-4114-B1A1-52E8F2D064C1}"/>
    <cellStyle name="Normal 3 4 3 3 2" xfId="3886" xr:uid="{F6A1E6FD-3D1F-4613-80BA-37B3CD124139}"/>
    <cellStyle name="Normal 3 4 3 4" xfId="3884" xr:uid="{B0AA1D6F-F458-43B5-B4AC-26FD41C444AA}"/>
    <cellStyle name="Normal 3 4 3 5" xfId="4449" xr:uid="{1FA0212F-9CD3-48BE-8D32-B21CE2D4DBF3}"/>
    <cellStyle name="Normal 3 4 4" xfId="2973" xr:uid="{CC5763E8-E367-47BC-89C5-CF88B0F95FF5}"/>
    <cellStyle name="Normal 3 4 4 2" xfId="3887" xr:uid="{93C456B3-EAC0-463F-9CCB-2F1CFD811D0E}"/>
    <cellStyle name="Normal 3 4 5" xfId="2974" xr:uid="{DB108397-CDB5-47AD-B20D-729A13687015}"/>
    <cellStyle name="Normal 3 4 5 2" xfId="3888" xr:uid="{4DBBB63B-1E33-454D-BFFC-6802DA8E6DFD}"/>
    <cellStyle name="Normal 3 4 6" xfId="2963" xr:uid="{60CBC12A-BFE5-4AFF-8826-50A0AEA2A267}"/>
    <cellStyle name="Normal 3 4 7" xfId="4093" xr:uid="{D8D7FF6D-F774-4A7B-B777-4483E8661720}"/>
    <cellStyle name="Normal 3 5" xfId="799" xr:uid="{D84FD27D-4F8D-4E1F-872A-4A3BD1D16E5B}"/>
    <cellStyle name="Normal 3 5 2" xfId="2976" xr:uid="{F0274BBF-4477-4F46-8ACD-6AFE43473E77}"/>
    <cellStyle name="Normal 3 5 2 2" xfId="2977" xr:uid="{E2E9ED1C-5218-40FC-96B3-E98106E84019}"/>
    <cellStyle name="Normal 3 5 2 2 2" xfId="3890" xr:uid="{B16B95FE-241F-4155-BDF0-AA54E15B0D36}"/>
    <cellStyle name="Normal 3 5 2 3" xfId="2978" xr:uid="{6C5D23D2-665A-4512-A36C-5B82855E8478}"/>
    <cellStyle name="Normal 3 5 2 3 2" xfId="3891" xr:uid="{65D4074D-D67F-464E-AB9A-84A726573C69}"/>
    <cellStyle name="Normal 3 5 2 4" xfId="3889" xr:uid="{E8945A01-CF88-4113-AE9C-8451B6BDA2B3}"/>
    <cellStyle name="Normal 3 5 3" xfId="2979" xr:uid="{D29D03E6-9674-4D19-963D-4989A2018E09}"/>
    <cellStyle name="Normal 3 5 3 2" xfId="2980" xr:uid="{804FABDC-E229-406F-8649-E0BA5E007058}"/>
    <cellStyle name="Normal 3 5 3 2 2" xfId="3893" xr:uid="{F7D5A299-36CC-48E4-B03A-35431451F8BF}"/>
    <cellStyle name="Normal 3 5 3 3" xfId="2981" xr:uid="{86A8AF54-11CF-4799-81C6-BBEDE215CC84}"/>
    <cellStyle name="Normal 3 5 3 3 2" xfId="3894" xr:uid="{13C395F5-5741-46DB-A769-39FD3BE78F31}"/>
    <cellStyle name="Normal 3 5 3 4" xfId="3892" xr:uid="{6ED6621A-90E9-4AE1-BCA8-7F78A5728859}"/>
    <cellStyle name="Normal 3 5 4" xfId="2982" xr:uid="{16752027-25B0-4260-9B7C-0CFCA8ACD898}"/>
    <cellStyle name="Normal 3 5 4 2" xfId="3895" xr:uid="{E3FFFC6C-7C65-4793-9C7D-54BBBD4A775C}"/>
    <cellStyle name="Normal 3 5 5" xfId="2983" xr:uid="{5D218352-99C4-4BB1-9E0B-EC9B46BDDB5E}"/>
    <cellStyle name="Normal 3 5 5 2" xfId="3896" xr:uid="{3D46CB53-A93D-4AA9-B915-FAE3C84B739D}"/>
    <cellStyle name="Normal 3 5 6" xfId="2975" xr:uid="{0156248E-67F5-4F2D-A4AB-C0ECC740BAE4}"/>
    <cellStyle name="Normal 3 5 7" xfId="4482" xr:uid="{9037719F-3C69-45AF-B84C-ED5FD4875E43}"/>
    <cellStyle name="Normal 3 6" xfId="999" xr:uid="{8202992F-BAF8-44F3-8D2C-7901D2C69288}"/>
    <cellStyle name="Normal 3 6 2" xfId="2985" xr:uid="{2EE9523D-7CF4-4AF6-9EDD-A880B3546D8B}"/>
    <cellStyle name="Normal 3 6 2 2" xfId="2986" xr:uid="{678382AE-45D5-4D72-9458-4ECC03C70DEA}"/>
    <cellStyle name="Normal 3 6 2 2 2" xfId="3898" xr:uid="{5A791AE1-1B76-4033-9517-BC8F8AB0C741}"/>
    <cellStyle name="Normal 3 6 2 3" xfId="2987" xr:uid="{6733B857-8C11-4E5E-979A-9FB2CEEBF15A}"/>
    <cellStyle name="Normal 3 6 2 3 2" xfId="3899" xr:uid="{3A2E6483-2464-494C-8FED-8877B40137E0}"/>
    <cellStyle name="Normal 3 6 2 4" xfId="3897" xr:uid="{FE46ED41-D27B-4325-B612-6F8BC7CCF81D}"/>
    <cellStyle name="Normal 3 6 3" xfId="2988" xr:uid="{EC26B933-21ED-4E65-9F92-A285BB4EA648}"/>
    <cellStyle name="Normal 3 6 3 2" xfId="3900" xr:uid="{61743521-DA79-4FC9-B292-61B658D437CF}"/>
    <cellStyle name="Normal 3 6 4" xfId="2989" xr:uid="{A6DCCA21-763E-4B50-8E7E-AE928647672D}"/>
    <cellStyle name="Normal 3 6 4 2" xfId="3901" xr:uid="{61E81F77-657E-4B05-9AE9-BA2629D1CC2B}"/>
    <cellStyle name="Normal 3 6 5" xfId="2984" xr:uid="{ED5D072A-93AE-4E23-BB2F-52AE9A1236A9}"/>
    <cellStyle name="Normal 3 6 6" xfId="4630" xr:uid="{BE6ABE5E-DDB4-4458-8A7F-C7E574774854}"/>
    <cellStyle name="Normal 3 7" xfId="624" xr:uid="{CCA486E0-110F-48D0-96E3-E1B5723E5A1E}"/>
    <cellStyle name="Normal 3 7 2" xfId="2991" xr:uid="{1744F8BB-F7F2-4FE6-AF21-938FF516451B}"/>
    <cellStyle name="Normal 3 7 2 2" xfId="3902" xr:uid="{77DC385B-0C86-4D38-8AE5-1C600C3035CE}"/>
    <cellStyle name="Normal 3 7 3" xfId="2992" xr:uid="{4E974199-D349-4DE7-A83B-2C12FFE3084A}"/>
    <cellStyle name="Normal 3 7 3 2" xfId="3903" xr:uid="{526A0C91-F6B1-4E6C-9DEA-0C2AAF8284B0}"/>
    <cellStyle name="Normal 3 7 4" xfId="2990" xr:uid="{AA4DBAD4-27FE-4754-BF05-320AFA55F670}"/>
    <cellStyle name="Normal 3 8" xfId="2993" xr:uid="{AA5DCCC9-248D-4C8A-A0F9-0A03F4254533}"/>
    <cellStyle name="Normal 3 8 2" xfId="3904" xr:uid="{B1BC761A-274C-4D5B-95D1-18FF097F98E4}"/>
    <cellStyle name="Normal 3 8 3" xfId="5132" xr:uid="{A8E3C022-33AD-4DA6-9665-0DE40C0A18A0}"/>
    <cellStyle name="Normal 3 9" xfId="2994" xr:uid="{58C7B109-CEEF-4F52-A463-7807B2183C6F}"/>
    <cellStyle name="Normal 3 9 2" xfId="3905" xr:uid="{0BF8D0C7-745A-460A-A2FB-39E6AFBB70FD}"/>
    <cellStyle name="Normal 3 9 3" xfId="5255" xr:uid="{90E63A13-DD95-471D-8D93-31D497AE116A}"/>
    <cellStyle name="Normal 3_6.2 CBR B" xfId="4253" xr:uid="{1CBA450F-9489-4AEC-A86A-D01AB914C0B4}"/>
    <cellStyle name="Normal 30" xfId="1002" xr:uid="{D71AAE61-B41E-4E2E-8C79-22AC7024A045}"/>
    <cellStyle name="Normal 30 2" xfId="2996" xr:uid="{9E5C9B54-804F-4698-8D97-F1FF94316F05}"/>
    <cellStyle name="Normal 30 2 2" xfId="3906" xr:uid="{4F1A028E-FC2F-4402-B99C-676FC0F74CAC}"/>
    <cellStyle name="Normal 30 2 3" xfId="4632" xr:uid="{387E8B95-DA78-4E91-8691-56352DB2EE08}"/>
    <cellStyle name="Normal 30 3" xfId="2995" xr:uid="{ABBF626B-AEAA-40CC-97DF-7614E5682B43}"/>
    <cellStyle name="Normal 31" xfId="1489" xr:uid="{DDBCD9E8-0303-4EEC-9B9E-5EFF33963772}"/>
    <cellStyle name="Normal 31 2" xfId="2997" xr:uid="{919FA7A3-42FB-49B1-8233-FD6EE6E22CC3}"/>
    <cellStyle name="Normal 31 2 2" xfId="5112" xr:uid="{BD163253-7B36-4901-96DC-9B46F47D8316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10" xfId="2998" xr:uid="{D0F55B1A-5315-4B42-97EB-D739805BE25C}"/>
    <cellStyle name="Normal 4 11" xfId="2999" xr:uid="{8B4F6A75-C62A-4845-9D7E-57035D12D16D}"/>
    <cellStyle name="Normal 4 11 2" xfId="3907" xr:uid="{60D502F9-4D17-4553-80EB-AA42A01C3099}"/>
    <cellStyle name="Normal 4 12" xfId="3000" xr:uid="{DEB11B25-EF68-4D21-ACB0-1A7A9D87FEFA}"/>
    <cellStyle name="Normal 4 13" xfId="4094" xr:uid="{05139226-5E69-42DC-8136-3FFEFB3E6861}"/>
    <cellStyle name="Normal 4 2" xfId="709" xr:uid="{81E4A1C3-85D5-4122-8A76-9BB54D819642}"/>
    <cellStyle name="Normal 4 2 2" xfId="3002" xr:uid="{D1B6E5DE-91C2-4DEA-8557-8C251970EB5B}"/>
    <cellStyle name="Normal 4 2 2 2" xfId="5180" xr:uid="{6959FA59-E677-44C8-819D-63786A373999}"/>
    <cellStyle name="Normal 4 2 3" xfId="3001" xr:uid="{F0E5BE94-A258-4076-923F-E94E4F418FD5}"/>
    <cellStyle name="Normal 4 2 3 2" xfId="4429" xr:uid="{3B0A1073-018F-4612-ADE1-1856E0C73E5C}"/>
    <cellStyle name="Normal 4 2 4" xfId="4189" xr:uid="{CD52CBAB-A5F3-4027-9BB2-EC6677B27E5C}"/>
    <cellStyle name="Normal 4 3" xfId="838" xr:uid="{F8577DCA-F3CC-455B-9CE2-FD746A551677}"/>
    <cellStyle name="Normal 4 3 10" xfId="4496" xr:uid="{4C6E8D57-7217-4DF2-9B4B-FDE718E5C745}"/>
    <cellStyle name="Normal 4 3 2" xfId="3004" xr:uid="{39DF79C7-C763-4688-802C-3FFE692123B1}"/>
    <cellStyle name="Normal 4 3 2 2" xfId="3005" xr:uid="{05AA6C0C-1809-4FED-8517-49B30AB70965}"/>
    <cellStyle name="Normal 4 3 2 2 2" xfId="3006" xr:uid="{44B700BB-F3E5-4C4E-8E14-FD573C5E8AB4}"/>
    <cellStyle name="Normal 4 3 2 2 2 2" xfId="3007" xr:uid="{B3B534B1-E91F-47C6-81DA-10D8B53C232C}"/>
    <cellStyle name="Normal 4 3 2 2 2 2 2" xfId="3910" xr:uid="{6AE28596-E628-42A4-9502-31547039FAE3}"/>
    <cellStyle name="Normal 4 3 2 2 2 3" xfId="3008" xr:uid="{5A0B35FE-8908-4BE8-9963-387ECA952005}"/>
    <cellStyle name="Normal 4 3 2 2 2 3 2" xfId="3911" xr:uid="{771C98B8-01AE-4FAA-81E4-C696928C3AD4}"/>
    <cellStyle name="Normal 4 3 2 2 2 4" xfId="3909" xr:uid="{A3E8886A-C907-4F90-929C-1A42CFDCF0B5}"/>
    <cellStyle name="Normal 4 3 2 2 3" xfId="3009" xr:uid="{A307DA9D-7A50-471C-B472-9D2F023C0F47}"/>
    <cellStyle name="Normal 4 3 2 2 3 2" xfId="3912" xr:uid="{9CF3CCC1-E741-4818-A2D8-2CF26FDD3970}"/>
    <cellStyle name="Normal 4 3 2 2 4" xfId="3010" xr:uid="{FA5A7E5C-7542-421F-9388-20A6751486F6}"/>
    <cellStyle name="Normal 4 3 2 2 4 2" xfId="3913" xr:uid="{81AFB29B-44F3-47F5-AACC-A19A36A3FA4C}"/>
    <cellStyle name="Normal 4 3 2 2 5" xfId="3908" xr:uid="{CF5A297D-3724-421C-8DE1-E4B654ADC832}"/>
    <cellStyle name="Normal 4 3 2 3" xfId="3011" xr:uid="{B7A4760B-5D7B-4AE3-9F00-7801B425587C}"/>
    <cellStyle name="Normal 4 3 2 3 2" xfId="3012" xr:uid="{BDF739CF-D91C-4222-BFA8-2D2FCD36AA65}"/>
    <cellStyle name="Normal 4 3 2 3 2 2" xfId="3915" xr:uid="{4B812679-F700-4F4D-BA6D-01B8B82E4C6A}"/>
    <cellStyle name="Normal 4 3 2 3 3" xfId="3013" xr:uid="{7BBA6ED7-B9DC-446B-BAF9-EF0C9B66C095}"/>
    <cellStyle name="Normal 4 3 2 3 3 2" xfId="3916" xr:uid="{12B9440A-060D-4FCB-8783-5BBBE48022C5}"/>
    <cellStyle name="Normal 4 3 2 3 4" xfId="3914" xr:uid="{6605593B-9587-4205-91A3-066526CF9A17}"/>
    <cellStyle name="Normal 4 3 2 4" xfId="3014" xr:uid="{8CB346E3-70A4-4DBC-9711-A1D32731DF9C}"/>
    <cellStyle name="Normal 4 3 2 4 2" xfId="3917" xr:uid="{BFD476CA-E8C3-4E40-A646-694CB9B85874}"/>
    <cellStyle name="Normal 4 3 2 5" xfId="3015" xr:uid="{79FF85A4-1CDD-4623-883E-BDA8E70DF8B8}"/>
    <cellStyle name="Normal 4 3 2 5 2" xfId="3918" xr:uid="{6EAD9839-A54B-4DAE-9D4B-242D7894F846}"/>
    <cellStyle name="Normal 4 3 2 6" xfId="5212" xr:uid="{0B4D84C0-B5BA-46A1-8A18-2AE1B19B6697}"/>
    <cellStyle name="Normal 4 3 3" xfId="3016" xr:uid="{BFD74F4C-295D-4F37-8AAF-47C7092C8AA8}"/>
    <cellStyle name="Normal 4 3 3 2" xfId="3017" xr:uid="{7662BDE3-6BC2-4A44-9679-A6C2104DAC3E}"/>
    <cellStyle name="Normal 4 3 3 2 2" xfId="3018" xr:uid="{DBF8113F-26ED-45FF-A738-A65D40BDCC67}"/>
    <cellStyle name="Normal 4 3 3 2 2 2" xfId="3920" xr:uid="{A6F02A9D-950D-4CC9-AE13-4F702CCFA355}"/>
    <cellStyle name="Normal 4 3 3 2 3" xfId="3019" xr:uid="{3D6CF905-7F4D-4B19-BCAB-3617ED357CB8}"/>
    <cellStyle name="Normal 4 3 3 2 3 2" xfId="3921" xr:uid="{C176375A-5649-4B0A-BFC1-55D83ADA4791}"/>
    <cellStyle name="Normal 4 3 3 2 4" xfId="3919" xr:uid="{C3E9E9D6-8CA8-4B62-A5DA-39EEC844B49B}"/>
    <cellStyle name="Normal 4 3 3 3" xfId="3020" xr:uid="{517CB6C5-B9A2-4EBD-B9F2-2032171B6761}"/>
    <cellStyle name="Normal 4 3 3 3 2" xfId="3021" xr:uid="{218642C4-05BB-4001-A018-64599AF9F918}"/>
    <cellStyle name="Normal 4 3 3 3 2 2" xfId="3923" xr:uid="{A0E3C7B9-7621-476D-BA58-551CF493A5FE}"/>
    <cellStyle name="Normal 4 3 3 3 3" xfId="3022" xr:uid="{0C12ED22-1A3F-4715-B767-41C1AA121084}"/>
    <cellStyle name="Normal 4 3 3 3 3 2" xfId="3924" xr:uid="{D67300CE-9825-4F8C-9384-B3A18E76BC76}"/>
    <cellStyle name="Normal 4 3 3 3 4" xfId="3922" xr:uid="{BE49A2A5-1C7A-48DC-B0E7-FFB05BCCAC9F}"/>
    <cellStyle name="Normal 4 3 3 4" xfId="3023" xr:uid="{57D7F348-7386-458C-A193-27EFA1C67BD8}"/>
    <cellStyle name="Normal 4 3 3 4 2" xfId="3925" xr:uid="{4B97007C-6740-4BD3-B452-420C43F5FD7D}"/>
    <cellStyle name="Normal 4 3 3 5" xfId="3024" xr:uid="{4926D21E-BBD6-4459-97C2-F4F73B6A1080}"/>
    <cellStyle name="Normal 4 3 3 5 2" xfId="3926" xr:uid="{2F7C07CA-A350-43E0-B3B0-B8A0F84D50FB}"/>
    <cellStyle name="Normal 4 3 4" xfId="3025" xr:uid="{A3C78867-8FAD-4511-8895-8FCA41E83CC9}"/>
    <cellStyle name="Normal 4 3 4 2" xfId="3026" xr:uid="{80A1FF8A-72A1-43BC-BEF3-4EC98EF9C34A}"/>
    <cellStyle name="Normal 4 3 4 2 2" xfId="3027" xr:uid="{AFF5C67F-5B7F-4C65-A84C-E0B62397335F}"/>
    <cellStyle name="Normal 4 3 4 2 2 2" xfId="3929" xr:uid="{428955D8-A53C-41BE-82B0-A0A05D9CB238}"/>
    <cellStyle name="Normal 4 3 4 2 3" xfId="3028" xr:uid="{02DBB9FF-39AB-42A7-AA2C-7CC3A2673DB8}"/>
    <cellStyle name="Normal 4 3 4 2 3 2" xfId="3930" xr:uid="{8DCC1C71-1586-49D0-AC9D-4EDAEFF2D9B6}"/>
    <cellStyle name="Normal 4 3 4 2 4" xfId="3928" xr:uid="{9A6B39A8-5891-4D2F-BB8D-54CC7BE46090}"/>
    <cellStyle name="Normal 4 3 4 3" xfId="3029" xr:uid="{97B23EBD-370C-4E3C-BA0B-51A854DA38ED}"/>
    <cellStyle name="Normal 4 3 4 3 2" xfId="3931" xr:uid="{554707FF-84D6-4C2E-988F-B27CB3BC0D58}"/>
    <cellStyle name="Normal 4 3 4 4" xfId="3030" xr:uid="{DF072D55-88B6-4F09-BA76-E06E72154F26}"/>
    <cellStyle name="Normal 4 3 4 4 2" xfId="3932" xr:uid="{70DBB842-4F76-4709-A584-E6139095A4D2}"/>
    <cellStyle name="Normal 4 3 4 5" xfId="3927" xr:uid="{BADF0900-6074-4F99-9341-3DC923D26DDB}"/>
    <cellStyle name="Normal 4 3 5" xfId="3031" xr:uid="{07E7B813-3207-48DE-B216-9751E61D5D9C}"/>
    <cellStyle name="Normal 4 3 5 2" xfId="3032" xr:uid="{3655A706-99CF-4276-893E-B38F0D396BEF}"/>
    <cellStyle name="Normal 4 3 5 2 2" xfId="3934" xr:uid="{E9FCBB3E-A2CF-4233-99F8-61484B53DDF0}"/>
    <cellStyle name="Normal 4 3 5 3" xfId="3033" xr:uid="{BDC3CA99-A0F4-4C2B-8122-7BF5FA4E5088}"/>
    <cellStyle name="Normal 4 3 5 3 2" xfId="3935" xr:uid="{6E249537-F705-4C2E-B521-6884F52E9531}"/>
    <cellStyle name="Normal 4 3 5 4" xfId="3933" xr:uid="{D1D0ED8E-DDBC-4320-B63D-DC9BFD817D46}"/>
    <cellStyle name="Normal 4 3 6" xfId="3034" xr:uid="{EFE448CA-27AF-43CF-A059-476CE5851CC5}"/>
    <cellStyle name="Normal 4 3 6 2" xfId="3936" xr:uid="{AB81152D-C215-4EA8-A1D8-F02988EA121F}"/>
    <cellStyle name="Normal 4 3 7" xfId="3035" xr:uid="{08C972B5-BA6B-48A6-B990-1C205013983C}"/>
    <cellStyle name="Normal 4 3 7 2" xfId="3937" xr:uid="{2282B0A3-1601-46C2-AC45-D7C9BA0F1E89}"/>
    <cellStyle name="Normal 4 3 8" xfId="3036" xr:uid="{01F46AB8-5D73-44B7-9819-F7D3806DF01F}"/>
    <cellStyle name="Normal 4 3 8 2" xfId="3938" xr:uid="{33343680-66E0-46BA-AD44-0AC805E30F2A}"/>
    <cellStyle name="Normal 4 3 9" xfId="3003" xr:uid="{17BBF65E-3104-4D91-BE38-56F298805A3B}"/>
    <cellStyle name="Normal 4 4" xfId="625" xr:uid="{8D21A86B-11FF-4EC6-BA39-8F59D63C9E59}"/>
    <cellStyle name="Normal 4 4 2" xfId="3038" xr:uid="{707A1B85-3EF2-4974-8D09-47AFF4E5DF12}"/>
    <cellStyle name="Normal 4 4 2 2" xfId="3039" xr:uid="{F6E95992-440D-4C8E-B069-E99661F076F0}"/>
    <cellStyle name="Normal 4 4 2 2 2" xfId="3040" xr:uid="{3111F41B-67BB-4E95-B7C4-5EC5ED973E6E}"/>
    <cellStyle name="Normal 4 4 2 2 2 2" xfId="3941" xr:uid="{E53382F2-0F86-469E-937C-ACE91FE3117E}"/>
    <cellStyle name="Normal 4 4 2 2 3" xfId="3041" xr:uid="{9ABAC317-5703-4778-9106-79894B0B8F23}"/>
    <cellStyle name="Normal 4 4 2 2 3 2" xfId="3942" xr:uid="{341C2BCF-0CB9-477C-8D69-648F46A33AB1}"/>
    <cellStyle name="Normal 4 4 2 2 4" xfId="3940" xr:uid="{ED28EC8B-B8BF-4D19-B928-A87433E07112}"/>
    <cellStyle name="Normal 4 4 2 3" xfId="3042" xr:uid="{EF31907C-5293-47C0-B64A-8D0923E6254C}"/>
    <cellStyle name="Normal 4 4 2 3 2" xfId="3943" xr:uid="{59DFBDEE-7486-4225-933B-C61CC5D7A126}"/>
    <cellStyle name="Normal 4 4 2 4" xfId="3043" xr:uid="{67CBDF9F-DD72-4E82-AC54-26C1FF77EEF1}"/>
    <cellStyle name="Normal 4 4 2 4 2" xfId="3944" xr:uid="{99B68FE6-6855-4E68-9B41-ED1E7201A556}"/>
    <cellStyle name="Normal 4 4 2 5" xfId="3939" xr:uid="{129A819C-B61D-4B7A-8AAB-EB13C3319807}"/>
    <cellStyle name="Normal 4 4 3" xfId="3044" xr:uid="{0E3C6D3F-3C32-4C77-AEF7-AD60AC38A10C}"/>
    <cellStyle name="Normal 4 4 3 2" xfId="3045" xr:uid="{7E874FF8-627C-4955-815B-EAE3D6508A25}"/>
    <cellStyle name="Normal 4 4 3 2 2" xfId="3946" xr:uid="{6EE09E64-6C85-40C3-B242-1C212D6DAD78}"/>
    <cellStyle name="Normal 4 4 3 3" xfId="3046" xr:uid="{C1077F86-4AC7-4123-B1C6-FE42D6D447BA}"/>
    <cellStyle name="Normal 4 4 3 3 2" xfId="3947" xr:uid="{A4BA03C4-03B5-4CE1-A9C2-6F3D1D55D3FF}"/>
    <cellStyle name="Normal 4 4 3 4" xfId="3945" xr:uid="{3E848D20-F3DB-4117-B10F-093EC166D953}"/>
    <cellStyle name="Normal 4 4 4" xfId="3047" xr:uid="{50B779E7-F7E6-40DB-AED1-EECDC92385F8}"/>
    <cellStyle name="Normal 4 4 4 2" xfId="3948" xr:uid="{89A0D1E1-FEF2-41E5-88DA-4ABC3A4FAE1D}"/>
    <cellStyle name="Normal 4 4 5" xfId="3048" xr:uid="{149E7E6E-54D3-47C9-BFCE-11CA49C12390}"/>
    <cellStyle name="Normal 4 4 5 2" xfId="3949" xr:uid="{78CEF0A5-860B-4636-9F7E-C9CEB860C1F2}"/>
    <cellStyle name="Normal 4 4 6" xfId="3037" xr:uid="{FBFCA9F4-D7C5-473B-A175-09A420A83719}"/>
    <cellStyle name="Normal 4 5" xfId="3049" xr:uid="{1C619EC8-7DD6-4397-B961-242F9F8C0EB5}"/>
    <cellStyle name="Normal 4 5 2" xfId="3050" xr:uid="{93BCF1F3-C555-4A07-A2BC-8A65BAB46B27}"/>
    <cellStyle name="Normal 4 5 2 2" xfId="3051" xr:uid="{376DF5AF-C135-45E6-B907-58C1F0CAE261}"/>
    <cellStyle name="Normal 4 5 2 2 2" xfId="3951" xr:uid="{DB3BFB1D-7EAA-4F8A-AE07-9EA3E3352819}"/>
    <cellStyle name="Normal 4 5 2 3" xfId="3052" xr:uid="{9435A6B3-E9F5-47EC-8C53-2ADE6B82AADF}"/>
    <cellStyle name="Normal 4 5 2 3 2" xfId="3952" xr:uid="{DD09B0DB-69E2-444D-865B-6771E5654289}"/>
    <cellStyle name="Normal 4 5 2 4" xfId="3950" xr:uid="{5D86C86C-6EA1-4568-AC0D-F5CA5BF6454E}"/>
    <cellStyle name="Normal 4 5 2 5" xfId="5229" xr:uid="{96640E07-4678-42F0-B79D-756019C118B7}"/>
    <cellStyle name="Normal 4 5 3" xfId="3053" xr:uid="{95D86151-7205-474C-9BA9-5E1C135A121F}"/>
    <cellStyle name="Normal 4 5 3 2" xfId="3054" xr:uid="{14321E35-588A-4129-A93B-EA7CCF588942}"/>
    <cellStyle name="Normal 4 5 3 2 2" xfId="3954" xr:uid="{D97D85D1-ECB6-464B-81E1-415DF458685B}"/>
    <cellStyle name="Normal 4 5 3 3" xfId="3055" xr:uid="{0A38BDE4-623D-436D-9A6F-59B2295DDA04}"/>
    <cellStyle name="Normal 4 5 3 3 2" xfId="3955" xr:uid="{2A14E90D-5EAD-423E-8A6F-71DBE99193EA}"/>
    <cellStyle name="Normal 4 5 3 4" xfId="3953" xr:uid="{DCB52F2F-F1D3-4F3C-A93B-007005FFE9D3}"/>
    <cellStyle name="Normal 4 5 4" xfId="3056" xr:uid="{F6568B26-DCB0-4E6A-BE0B-20A4E4219BE3}"/>
    <cellStyle name="Normal 4 5 4 2" xfId="3956" xr:uid="{E8B16453-12A5-4173-8A8A-016D4750934E}"/>
    <cellStyle name="Normal 4 5 5" xfId="3057" xr:uid="{0D8DEE3B-BBD4-43B1-B960-54A89CBC4AF3}"/>
    <cellStyle name="Normal 4 5 5 2" xfId="3957" xr:uid="{351A6F8D-06D1-4F94-AD75-E527F084A362}"/>
    <cellStyle name="Normal 4 5 6" xfId="5123" xr:uid="{AFB2274F-8FD9-4D25-8187-E82B7147B832}"/>
    <cellStyle name="Normal 4 6" xfId="3058" xr:uid="{3A4D8A1E-AFA9-4BAB-8D4B-A7ACBE8C3A14}"/>
    <cellStyle name="Normal 4 6 2" xfId="3059" xr:uid="{36CD4EEA-484D-4B87-A4F7-EB6D4811945F}"/>
    <cellStyle name="Normal 4 6 2 2" xfId="3060" xr:uid="{5C00CB1E-7F71-4C4B-8026-DDCA1449949B}"/>
    <cellStyle name="Normal 4 6 2 2 2" xfId="3959" xr:uid="{A582563C-2C49-44E9-8CA2-70C65FECBE32}"/>
    <cellStyle name="Normal 4 6 2 3" xfId="3061" xr:uid="{5C113757-8600-48BF-8871-B2F845F17BF0}"/>
    <cellStyle name="Normal 4 6 2 3 2" xfId="3960" xr:uid="{A6E0666F-2FC2-4EEB-84FA-0F9A6E53FE5B}"/>
    <cellStyle name="Normal 4 6 2 4" xfId="3958" xr:uid="{F70FBBC0-7268-4A1A-942C-F48EF09AEDA5}"/>
    <cellStyle name="Normal 4 6 3" xfId="3062" xr:uid="{DC90DF38-BD0C-47CD-8570-7893E2C464F1}"/>
    <cellStyle name="Normal 4 6 3 2" xfId="3961" xr:uid="{FBDE4B51-FA60-4F09-BE84-9F0B98DF600C}"/>
    <cellStyle name="Normal 4 6 4" xfId="3063" xr:uid="{F679A360-EBAB-4934-BB3D-F9DE384372B4}"/>
    <cellStyle name="Normal 4 6 4 2" xfId="3962" xr:uid="{92CA9B94-1966-42FA-A899-1C2E6B6BDEE0}"/>
    <cellStyle name="Normal 4 6 5" xfId="5147" xr:uid="{F984ABA0-4B2E-4913-BA7F-11CF5CFA01A6}"/>
    <cellStyle name="Normal 4 7" xfId="3064" xr:uid="{1F93252D-D5BF-4505-BFB1-F2710C1F1C6B}"/>
    <cellStyle name="Normal 4 7 2" xfId="3065" xr:uid="{8098ABFF-FC0E-4D9C-8FBA-B6DE91DF85E1}"/>
    <cellStyle name="Normal 4 7 2 2" xfId="3963" xr:uid="{2D868201-F771-403A-ADC8-7732D9D1C24A}"/>
    <cellStyle name="Normal 4 7 3" xfId="3066" xr:uid="{752EC64E-AA99-45A7-9A3A-AC8D7A087C61}"/>
    <cellStyle name="Normal 4 7 3 2" xfId="3964" xr:uid="{FC64A905-705F-4835-9924-2E10B689198A}"/>
    <cellStyle name="Normal 4 7 4" xfId="5256" xr:uid="{37C2F102-E324-4701-B2B7-FD2F4F4AF276}"/>
    <cellStyle name="Normal 4 8" xfId="3067" xr:uid="{61FE85B0-7C97-4F0A-A8D2-2B9AF3429CA0}"/>
    <cellStyle name="Normal 4 8 2" xfId="3965" xr:uid="{B38A6753-0F1F-4026-8C23-081BB54F6E32}"/>
    <cellStyle name="Normal 4 8 3" xfId="4331" xr:uid="{1935B368-FBEE-462B-AAE8-7A1DC580B974}"/>
    <cellStyle name="Normal 4 9" xfId="3068" xr:uid="{7E634E3A-F8F6-409D-AE21-AE87ACE05BFD}"/>
    <cellStyle name="Normal 4 9 2" xfId="3966" xr:uid="{3A933C7E-A454-4995-8DCF-F2496A0CB668}"/>
    <cellStyle name="Normal 4_6.2 CBR B" xfId="4254" xr:uid="{240D65AE-E9F7-43E5-9267-3EA494727E4A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7 2" xfId="3069" xr:uid="{FA144D02-3A1D-4BE8-B5F8-EEBCE02A40D8}"/>
    <cellStyle name="Normal 48" xfId="1524" xr:uid="{0CF4069A-DC85-425D-9C92-AEC24AB13F57}"/>
    <cellStyle name="Normal 48 2" xfId="3070" xr:uid="{65A5F9CD-0E9F-4831-985D-C6A1FA108BEE}"/>
    <cellStyle name="Normal 48 3" xfId="5119" xr:uid="{7272A17A-C306-4496-A6C5-8870C2DEC948}"/>
    <cellStyle name="Normal 49" xfId="3071" xr:uid="{55845B67-425E-4141-9DA2-AE7BDA97B7C6}"/>
    <cellStyle name="Normal 5" xfId="77" xr:uid="{00000000-0005-0000-0000-00004E000000}"/>
    <cellStyle name="Normal 5 10" xfId="3072" xr:uid="{1F180299-D11E-4691-A3BC-6A30766058B2}"/>
    <cellStyle name="Normal 5 11" xfId="4095" xr:uid="{2F5D3349-6AA9-4ACB-B8E0-BC2A7B3F42CC}"/>
    <cellStyle name="Normal 5 2" xfId="78" xr:uid="{00000000-0005-0000-0000-00004F000000}"/>
    <cellStyle name="Normal 5 2 2" xfId="1522" xr:uid="{4F6B48E3-82A2-4FB2-A4DA-88FF8A3F24DE}"/>
    <cellStyle name="Normal 5 2 2 2" xfId="3967" xr:uid="{6E8FD91E-F73C-4D4B-83D6-BCB6CF6619C1}"/>
    <cellStyle name="Normal 5 2 2 2 2" xfId="5193" xr:uid="{7D6B4E4F-7DD9-446C-B9FB-DF81FEF5C118}"/>
    <cellStyle name="Normal 5 2 2 3" xfId="3074" xr:uid="{93D9449C-0731-4E4E-A5FD-13CDED844A0B}"/>
    <cellStyle name="Normal 5 2 2 3 2" xfId="5118" xr:uid="{053CE95B-C176-4CF2-B3CB-AC01DB952320}"/>
    <cellStyle name="Normal 5 2 2 4" xfId="4195" xr:uid="{AC82FBEB-C285-4E87-89F0-919C04675461}"/>
    <cellStyle name="Normal 5 2 3" xfId="79" xr:uid="{00000000-0005-0000-0000-000050000000}"/>
    <cellStyle name="Normal 5 2 3 2" xfId="97" xr:uid="{00000000-0005-0000-0000-000051000000}"/>
    <cellStyle name="Normal 5 2 3 2 2" xfId="4343" xr:uid="{5543DCEA-0962-4B2C-B67F-BEF1A62BFD9B}"/>
    <cellStyle name="Normal 5 2 3 3" xfId="100" xr:uid="{00000000-0005-0000-0000-000052000000}"/>
    <cellStyle name="Normal 5 2 3 3 2" xfId="5124" xr:uid="{DEC6C1AC-B2B4-4D6A-B5C0-37F25C32F4C7}"/>
    <cellStyle name="Normal 5 2 3 3 3" xfId="4346" xr:uid="{7A07C783-5C3F-4444-818C-95C6BD293417}"/>
    <cellStyle name="Normal 5 2 3 4" xfId="3075" xr:uid="{830C0504-59C0-425A-BE28-9BD0D14A18F2}"/>
    <cellStyle name="Normal 5 2 3 4 2" xfId="5222" xr:uid="{A7D9234B-BFD3-494C-A52C-0C6BB26EF845}"/>
    <cellStyle name="Normal 5 2 3 5" xfId="5267" xr:uid="{FDAB5701-16AD-4BE9-9336-22F46F7A040A}"/>
    <cellStyle name="Normal 5 2 3 6" xfId="4334" xr:uid="{14A2F22F-8AE7-46A8-8D55-FD0B576115A0}"/>
    <cellStyle name="Normal 5 2 4" xfId="844" xr:uid="{E5ED4AF3-FB2C-445E-AD98-836387592AA0}"/>
    <cellStyle name="Normal 5 2 4 2" xfId="4502" xr:uid="{EA675423-065C-49FF-AAFF-0093F4C83299}"/>
    <cellStyle name="Normal 5 2 5" xfId="3073" xr:uid="{56C0C020-69DE-4D76-9EE6-4C91061F98B0}"/>
    <cellStyle name="Normal 5 2 5 2" xfId="5158" xr:uid="{15845BA9-8DF8-49F1-8861-3DBA76E687A7}"/>
    <cellStyle name="Normal 5 2 6" xfId="5258" xr:uid="{FA766C25-BD9B-4443-AE70-CCFBF0AF37C2}"/>
    <cellStyle name="Normal 5 2 7" xfId="4333" xr:uid="{7FA688F9-C486-4ECF-A6DA-278496B31912}"/>
    <cellStyle name="Normal 5 2 8" xfId="4102" xr:uid="{D56F54E2-80B6-4659-8413-1621CE6FFA03}"/>
    <cellStyle name="Normal 5 2_6.2 CBR B" xfId="4256" xr:uid="{903EF6A4-5C28-4A69-9063-4685343F74DC}"/>
    <cellStyle name="Normal 5 3" xfId="840" xr:uid="{6F900A40-2CC6-4DF6-9E52-39DACFBB9333}"/>
    <cellStyle name="Normal 5 3 2" xfId="3077" xr:uid="{BBCA93BD-31ED-4CFA-AF41-77815DF67356}"/>
    <cellStyle name="Normal 5 3 2 2" xfId="3968" xr:uid="{61170FAA-F1AD-4202-94A7-4FB129D2D392}"/>
    <cellStyle name="Normal 5 3 2 3" xfId="5183" xr:uid="{C261332F-AC14-46C3-AA93-E5ED9BFB079A}"/>
    <cellStyle name="Normal 5 3 3" xfId="3076" xr:uid="{C68D7473-62CF-4AD6-9E94-BFD8F68EF695}"/>
    <cellStyle name="Normal 5 3 3 2" xfId="4498" xr:uid="{F4279B59-9D96-45A6-9723-98834A18C062}"/>
    <cellStyle name="Normal 5 3 4" xfId="4190" xr:uid="{544686E3-E49A-466F-97C4-405EF6BA11D8}"/>
    <cellStyle name="Normal 5 4" xfId="626" xr:uid="{1FAB166A-B1F1-49B7-9742-8EEB87263E54}"/>
    <cellStyle name="Normal 5 4 2" xfId="3079" xr:uid="{4DEB7EE9-FD4F-442C-8985-5FEC00D860D3}"/>
    <cellStyle name="Normal 5 4 2 2" xfId="3969" xr:uid="{3F191751-3DD9-468D-AB0C-7EFBEF0AB236}"/>
    <cellStyle name="Normal 5 4 2 3" xfId="5215" xr:uid="{8014760E-2C1B-4F44-8C18-3880E503096C}"/>
    <cellStyle name="Normal 5 4 3" xfId="3078" xr:uid="{6E97F1F0-6138-4218-8871-46830C581C96}"/>
    <cellStyle name="Normal 5 5" xfId="3080" xr:uid="{89C77DDD-9C88-4B95-A1EF-02EA9E2255F2}"/>
    <cellStyle name="Normal 5 5 2" xfId="3081" xr:uid="{1A4EE026-A655-4004-8014-6528CED62249}"/>
    <cellStyle name="Normal 5 5 2 2" xfId="3970" xr:uid="{65D56797-6C03-4185-955A-18AFB547DBED}"/>
    <cellStyle name="Normal 5 5 3" xfId="5150" xr:uid="{ED6C2021-819B-47F6-AE73-A5CEFBA49B96}"/>
    <cellStyle name="Normal 5 6" xfId="3082" xr:uid="{F8DAEB06-1845-4706-A89C-02EFA183480F}"/>
    <cellStyle name="Normal 5 6 2" xfId="3083" xr:uid="{E5B4996A-2943-4C4F-8E3D-5A41EDFB1C20}"/>
    <cellStyle name="Normal 5 6 3" xfId="5257" xr:uid="{225FEB43-6566-4ACF-ABC4-6DE20A6E8F2F}"/>
    <cellStyle name="Normal 5 7" xfId="3084" xr:uid="{FC4F595B-22D7-41F5-A35C-48BE347FBD09}"/>
    <cellStyle name="Normal 5 7 2" xfId="3971" xr:uid="{28ACA489-932A-4CEF-9C2C-1FCF4CBEEED7}"/>
    <cellStyle name="Normal 5 7 3" xfId="4332" xr:uid="{5F7A1ED8-A7CE-4925-8F53-85C81A6CDB9A}"/>
    <cellStyle name="Normal 5 8" xfId="3085" xr:uid="{1CF6A98C-F586-4729-B486-FB7D04560BD0}"/>
    <cellStyle name="Normal 5 8 2" xfId="3972" xr:uid="{143065AB-712B-49CA-BC9F-295997355A73}"/>
    <cellStyle name="Normal 5 9" xfId="3086" xr:uid="{9420FDBA-D477-4386-B203-4FDD42BBDD56}"/>
    <cellStyle name="Normal 5 9 2" xfId="3973" xr:uid="{22D8F9FE-4D92-4BF7-8C1B-F0D9C57627B7}"/>
    <cellStyle name="Normal 5_6.2 CBR B" xfId="4255" xr:uid="{2B2FA1C3-D9E8-456F-AF18-17E820F735BB}"/>
    <cellStyle name="Normal 50" xfId="3087" xr:uid="{2F20D1CA-1F6D-4FEC-8F8A-B4910FFA7208}"/>
    <cellStyle name="Normal 51" xfId="3088" xr:uid="{1EFB2B35-30E0-4DD7-B94B-A805FE6A2ED9}"/>
    <cellStyle name="Normal 52" xfId="3089" xr:uid="{C5991479-8656-43B7-B3B4-2E22DB5F57E7}"/>
    <cellStyle name="Normal 53" xfId="3090" xr:uid="{A94D4159-8C06-48B3-92CB-B766D3DD6BFF}"/>
    <cellStyle name="Normal 54" xfId="3091" xr:uid="{E0CE1E2D-3963-43B4-8025-546B6E4FAE78}"/>
    <cellStyle name="Normal 55" xfId="3092" xr:uid="{6281283F-850E-4347-BA3A-89DF7FE4EED5}"/>
    <cellStyle name="Normal 56" xfId="3093" xr:uid="{53B7D51B-F31E-4C7F-BF8F-528767F42048}"/>
    <cellStyle name="Normal 56 2" xfId="5231" xr:uid="{598F366C-FC3F-4FBB-AEA3-BB85F75E1938}"/>
    <cellStyle name="Normal 57" xfId="3094" xr:uid="{A8E3A9AD-5326-4D03-BC52-3DDE969D20EA}"/>
    <cellStyle name="Normal 57 2" xfId="5233" xr:uid="{4BB137DA-68F1-4194-B95B-4ED1D987799A}"/>
    <cellStyle name="Normal 58" xfId="3095" xr:uid="{36BB42E3-7D1F-48F1-A80B-9CB7036C18FD}"/>
    <cellStyle name="Normal 59" xfId="3096" xr:uid="{35FBBF91-90D5-4F3C-A6AB-8589A767155D}"/>
    <cellStyle name="Normal 59 2" xfId="5269" xr:uid="{D0ECA15F-FD61-4FB9-ACA4-36091B2E9B11}"/>
    <cellStyle name="Normal 6" xfId="80" xr:uid="{00000000-0005-0000-0000-000053000000}"/>
    <cellStyle name="Normal 6 2" xfId="843" xr:uid="{213AA290-D736-4DDA-A4D4-2EF27A647389}"/>
    <cellStyle name="Normal 6 2 2" xfId="3099" xr:uid="{DA9D6632-EAAC-4A9B-A467-9ECEE171063D}"/>
    <cellStyle name="Normal 6 2 2 2" xfId="3974" xr:uid="{13437F6F-E3FA-4472-B740-7FE113E02F31}"/>
    <cellStyle name="Normal 6 2 2 3" xfId="5187" xr:uid="{E5BA8A9C-19BB-48B8-8CF3-388ECA87B5D5}"/>
    <cellStyle name="Normal 6 2 3" xfId="3098" xr:uid="{40493E82-0948-4A98-8BBB-C8D847A0FAD5}"/>
    <cellStyle name="Normal 6 2 3 2" xfId="4501" xr:uid="{A9FD7F22-4ED8-46A5-AFD7-2CDE1CDB8056}"/>
    <cellStyle name="Normal 6 2 4" xfId="4193" xr:uid="{1523FD16-6266-45D1-B68E-331336F47B56}"/>
    <cellStyle name="Normal 6 3" xfId="627" xr:uid="{4A26A58B-7FCB-41A0-981C-8E1A21369BCB}"/>
    <cellStyle name="Normal 6 3 2" xfId="3101" xr:uid="{FFB2F8D9-26C5-462A-9BA9-637DA7C39027}"/>
    <cellStyle name="Normal 6 3 2 2" xfId="5218" xr:uid="{0939CFC8-867B-49E5-9FAE-9CC8D9E6C13F}"/>
    <cellStyle name="Normal 6 3 3" xfId="3100" xr:uid="{761DFEB4-BAD6-4410-87A8-A9B2202AD32B}"/>
    <cellStyle name="Normal 6 3 3 2" xfId="4408" xr:uid="{AD846B29-2674-4FEF-801C-A4F40C853E92}"/>
    <cellStyle name="Normal 6 3 4" xfId="4290" xr:uid="{EAFC8D30-9811-4306-BE82-F3B8B5C12F38}"/>
    <cellStyle name="Normal 6 4" xfId="3102" xr:uid="{698D1C90-C82C-4510-A65F-9AF5DA42F829}"/>
    <cellStyle name="Normal 6 4 2" xfId="3975" xr:uid="{83516665-EFCE-4C69-BB27-4EAFE3926650}"/>
    <cellStyle name="Normal 6 4 2 2" xfId="5153" xr:uid="{19C2FB7E-BE95-42EF-AE91-18E7DE8A06E5}"/>
    <cellStyle name="Normal 6 4 3" xfId="4268" xr:uid="{19C6397B-AF34-428C-AE00-7F322F2349B4}"/>
    <cellStyle name="Normal 6 5" xfId="3103" xr:uid="{EDD69812-9B78-4698-BD24-895FB3B0B94F}"/>
    <cellStyle name="Normal 6 5 2" xfId="3976" xr:uid="{0C6F3C51-1C02-4883-B336-78B66ACD74CA}"/>
    <cellStyle name="Normal 6 5 3" xfId="5259" xr:uid="{DBF54954-FE7B-443C-9828-1C81E12561A0}"/>
    <cellStyle name="Normal 6 6" xfId="3097" xr:uid="{19295E8D-A89A-49CB-A0A9-DFD15417DB72}"/>
    <cellStyle name="Normal 6 6 2" xfId="4335" xr:uid="{54BF45E3-AB9D-4A84-B463-314CD96C607E}"/>
    <cellStyle name="Normal 6 7" xfId="4099" xr:uid="{2A499885-19AB-4CA3-AF97-97265A7399BD}"/>
    <cellStyle name="Normal 6_6.2 CBR B" xfId="4257" xr:uid="{334D9E40-ADE2-459A-95F4-EE78FE279F4C}"/>
    <cellStyle name="Normal 60" xfId="3104" xr:uid="{AB8F29BE-A568-4EE1-805D-9590CC9C5133}"/>
    <cellStyle name="Normal 60 2" xfId="4063" xr:uid="{2E244BB2-D6AB-4440-9AE0-4BC16F0C9A78}"/>
    <cellStyle name="Normal 61" xfId="3105" xr:uid="{E65E022C-0A15-467E-AEC6-82084B82E3EA}"/>
    <cellStyle name="Normal 62" xfId="3106" xr:uid="{5794CB5A-E10E-45CF-B6E1-D46CBC457CE5}"/>
    <cellStyle name="Normal 63" xfId="3107" xr:uid="{C567A1AB-A6D5-4D4D-A432-48CEC1A6E1FD}"/>
    <cellStyle name="Normal 64" xfId="3108" xr:uid="{C3A1A2B9-CB4F-428C-B844-1317830DE42F}"/>
    <cellStyle name="Normal 65" xfId="3109" xr:uid="{6ADA7ED0-8164-43DE-B20E-53AA3FBEB9D4}"/>
    <cellStyle name="Normal 66" xfId="3110" xr:uid="{A99DEABB-9E35-4645-AF82-CFA036BB0BFC}"/>
    <cellStyle name="Normal 67" xfId="3111" xr:uid="{0276BD34-C7DA-4F5C-B5EE-6C3CAD6526ED}"/>
    <cellStyle name="Normal 68" xfId="3112" xr:uid="{6E9325AE-91BD-4A06-A31C-38BE9B87A9A9}"/>
    <cellStyle name="Normal 68 2" xfId="3977" xr:uid="{4A55D801-0383-4695-A2E8-CB3A66632324}"/>
    <cellStyle name="Normal 69" xfId="3113" xr:uid="{A1DE6836-1D1B-4B0D-B96B-0A2A125F7315}"/>
    <cellStyle name="Normal 69 2" xfId="3978" xr:uid="{BFD92387-75EB-43D8-95B6-1F094CB05749}"/>
    <cellStyle name="Normal 7" xfId="81" xr:uid="{00000000-0005-0000-0000-000054000000}"/>
    <cellStyle name="Normal 7 2" xfId="628" xr:uid="{13E091AF-29C3-4863-8FB8-0E8A765159CD}"/>
    <cellStyle name="Normal 7 2 2" xfId="3115" xr:uid="{754E3403-7165-4409-AA1C-664025814581}"/>
    <cellStyle name="Normal 7 2 2 2" xfId="3979" xr:uid="{F3C56F01-B9F3-4DC2-BF0A-669299E7DD17}"/>
    <cellStyle name="Normal 7 2 3" xfId="3114" xr:uid="{A66D74B6-2126-4D29-978E-6722876AFCD8}"/>
    <cellStyle name="Normal 7 3" xfId="3116" xr:uid="{3BB66002-F8B2-4C9D-84F0-B492D7CE524A}"/>
    <cellStyle name="Normal 7 3 2" xfId="3980" xr:uid="{5D90E818-545F-4329-B0FE-E1949504CC05}"/>
    <cellStyle name="Normal 7 3 3" xfId="4336" xr:uid="{A74E060D-A1FC-47F2-86F2-47B0F96114F7}"/>
    <cellStyle name="Normal 7 4" xfId="3117" xr:uid="{ACC0AE04-153F-4F33-A816-997F752BF053}"/>
    <cellStyle name="Normal 7 5" xfId="4073" xr:uid="{9E128E65-BDE6-4368-86D0-1F0523F18003}"/>
    <cellStyle name="Normal 70" xfId="3118" xr:uid="{5BD5A87C-A4E6-4022-9D08-BADE5BC61FA6}"/>
    <cellStyle name="Normal 70 2" xfId="3981" xr:uid="{74376800-0CE8-411B-843F-DB4B51D2BEDA}"/>
    <cellStyle name="Normal 71" xfId="3119" xr:uid="{EA1520AD-CB09-400E-9BA7-0DA3FF321CC5}"/>
    <cellStyle name="Normal 72" xfId="3120" xr:uid="{1C929286-73DB-4E2B-A603-56EE144B1BC9}"/>
    <cellStyle name="Normal 73" xfId="3121" xr:uid="{638D221C-3C33-4B85-9457-4F1E0FBA85C5}"/>
    <cellStyle name="Normal 74" xfId="3122" xr:uid="{4522FBA0-6AE7-4A76-A837-47A181CCA17B}"/>
    <cellStyle name="Normal 75" xfId="3123" xr:uid="{B03DB7FC-A33F-44A4-855D-DA49053622BC}"/>
    <cellStyle name="Normal 76" xfId="3124" xr:uid="{3DC68567-0045-4E5B-903F-8675CD359BC5}"/>
    <cellStyle name="Normal 77" xfId="3125" xr:uid="{AED983EC-44A6-4BBC-B996-34406F5089F9}"/>
    <cellStyle name="Normal 78" xfId="3126" xr:uid="{E2297525-DA12-4238-BC5F-E1078BC7C875}"/>
    <cellStyle name="Normal 79" xfId="1537" xr:uid="{27ED1742-BBC0-49D1-B228-F1A124EC1ABD}"/>
    <cellStyle name="Normal 8" xfId="101" xr:uid="{947A62E7-9B13-4125-8F42-56423315674A}"/>
    <cellStyle name="Normal 8 2" xfId="629" xr:uid="{6582A769-8B2B-4D65-B887-379AD44BDFA1}"/>
    <cellStyle name="Normal 8 2 2" xfId="3129" xr:uid="{6FBE54EC-1B2F-4E15-825D-5EB183989BFE}"/>
    <cellStyle name="Normal 8 2 2 2" xfId="3982" xr:uid="{462ED283-44BD-41C2-AF15-B2C916800D43}"/>
    <cellStyle name="Normal 8 2 3" xfId="3130" xr:uid="{BB333824-FF26-4B97-9510-AFD15883B1C2}"/>
    <cellStyle name="Normal 8 2 4" xfId="3128" xr:uid="{FBCA31C1-029C-461C-A959-24F26A6CB36E}"/>
    <cellStyle name="Normal 8 3" xfId="3131" xr:uid="{BC1E597B-0759-4C95-A6E8-C26C9E159E62}"/>
    <cellStyle name="Normal 8 3 2" xfId="3983" xr:uid="{1AD347CB-8481-47D3-B83B-F4F1084C8ECB}"/>
    <cellStyle name="Normal 8 3 3" xfId="5165" xr:uid="{0ADF13B6-7073-4322-999C-6870F0730F8D}"/>
    <cellStyle name="Normal 8 4" xfId="3132" xr:uid="{07C6B0D2-59A2-4AED-9AFD-CE30AB3C2C28}"/>
    <cellStyle name="Normal 8 4 2" xfId="3984" xr:uid="{B4D2E60C-79F3-4340-9BB2-5F07AEC446F0}"/>
    <cellStyle name="Normal 8 4 3" xfId="4347" xr:uid="{B21C3060-076A-4F64-9F17-F60F357C9BB0}"/>
    <cellStyle name="Normal 8 5" xfId="3133" xr:uid="{3974CA91-CD5F-468C-8EB8-D66CC55934A8}"/>
    <cellStyle name="Normal 8 6" xfId="3127" xr:uid="{AD3E5037-5B9A-4AE0-A551-DF11A4D9D7E1}"/>
    <cellStyle name="Normal 8 7" xfId="4078" xr:uid="{C2AAC068-515D-47A4-805D-1FBCD374400E}"/>
    <cellStyle name="Normal 80" xfId="4064" xr:uid="{CDD6D413-663E-4E72-8623-6E400982DA48}"/>
    <cellStyle name="Normal 9" xfId="630" xr:uid="{1308C8C4-F275-4DBD-A9E8-E228AB03DA1C}"/>
    <cellStyle name="Normal 9 2" xfId="3135" xr:uid="{CB868C38-64D1-4349-BC22-AAC4582C65DE}"/>
    <cellStyle name="Normal 9 2 2" xfId="3136" xr:uid="{FA668D95-4AB8-4576-9809-237BFFCBE5CB}"/>
    <cellStyle name="Normal 9 2 2 2" xfId="3986" xr:uid="{655EB35F-17CB-44EA-A4E2-0677088F08EF}"/>
    <cellStyle name="Normal 9 2 3" xfId="3985" xr:uid="{971CA547-FA0B-47EC-A846-24C2B3499FD5}"/>
    <cellStyle name="Normal 9 2 4" xfId="5163" xr:uid="{0DFA9A82-6484-4166-8FDA-944EADAD9BFD}"/>
    <cellStyle name="Normal 9 3" xfId="3137" xr:uid="{36BCB4C7-90E2-408E-B55B-799F1E7CD1C1}"/>
    <cellStyle name="Normal 9 3 2" xfId="3987" xr:uid="{2D4B69E7-8D39-4981-A4DF-68711C323C21}"/>
    <cellStyle name="Normal 9 3 3" xfId="4409" xr:uid="{45BB7D5D-4911-44FA-875D-42B72D6701A1}"/>
    <cellStyle name="Normal 9 4" xfId="3134" xr:uid="{49F551DF-422E-482D-A524-96E96B61E32F}"/>
    <cellStyle name="Normal 9 5" xfId="4306" xr:uid="{D954007D-1C79-4CF4-A1FB-842244AC23DC}"/>
    <cellStyle name="Note 10" xfId="631" xr:uid="{35EB5A95-A177-4B20-9CA8-FDBCC671FD84}"/>
    <cellStyle name="Note 10 2" xfId="3138" xr:uid="{51CD742A-7F5B-4C2A-9389-EDD00D29E8A4}"/>
    <cellStyle name="Note 10 2 2" xfId="3988" xr:uid="{F461D8C3-9B0F-4C8B-925A-07CD6E6BCCED}"/>
    <cellStyle name="Note 11" xfId="632" xr:uid="{DD8908E4-84DE-45EA-B7BC-C557752625C8}"/>
    <cellStyle name="Note 11 2" xfId="3139" xr:uid="{D4DFA360-21C6-468A-9BD1-C370852E006C}"/>
    <cellStyle name="Note 11 2 2" xfId="3989" xr:uid="{FB354938-7335-4175-A9EB-6BE619268B30}"/>
    <cellStyle name="Note 12" xfId="633" xr:uid="{68F04D36-2740-4F78-83FA-8F74E024A676}"/>
    <cellStyle name="Note 12 2" xfId="3140" xr:uid="{A20FBEAC-3A8C-4D0E-AF1D-83DF0CAF4596}"/>
    <cellStyle name="Note 12 2 2" xfId="3990" xr:uid="{012472D5-F118-45EA-8DCA-D5C819B4FDD9}"/>
    <cellStyle name="Note 13" xfId="634" xr:uid="{5D21E44C-0A5A-42B8-93C2-5BF90A920C88}"/>
    <cellStyle name="Note 13 2" xfId="3141" xr:uid="{7D8C5CB7-32FE-4331-8468-45677CF92C08}"/>
    <cellStyle name="Note 13 2 2" xfId="3991" xr:uid="{759FBC58-2EF0-468E-BAE6-BF9C7E35B376}"/>
    <cellStyle name="Note 14" xfId="635" xr:uid="{647CC37C-98B8-4CEF-BCF8-D50D5CDAC4E6}"/>
    <cellStyle name="Note 14 2" xfId="3142" xr:uid="{EE02493D-2ED4-49AA-A667-DA7B7E498A16}"/>
    <cellStyle name="Note 14 2 2" xfId="3992" xr:uid="{2CFBA453-B35E-4B5F-95A0-E92A7C5B7863}"/>
    <cellStyle name="Note 15" xfId="636" xr:uid="{CADABAD8-6058-424E-B810-088BEF2266A5}"/>
    <cellStyle name="Note 15 2" xfId="3143" xr:uid="{3C5FC1DA-6325-4A21-A441-8AA67909A588}"/>
    <cellStyle name="Note 15 2 2" xfId="3993" xr:uid="{726D64FE-863D-4E15-9BFF-40098D34FD9D}"/>
    <cellStyle name="Note 16" xfId="853" xr:uid="{F0178167-BA7F-43D7-A57C-AB12C251AE24}"/>
    <cellStyle name="Note 17" xfId="5129" xr:uid="{C774A698-BF8C-4FF8-AA78-E68549CF71CA}"/>
    <cellStyle name="Note 18" xfId="5133" xr:uid="{990EC924-6CD4-4FB0-878B-FF614D15AC72}"/>
    <cellStyle name="Note 2" xfId="82" xr:uid="{00000000-0005-0000-0000-000055000000}"/>
    <cellStyle name="Note 2 10" xfId="3145" xr:uid="{D024DB17-6C40-454A-BD1C-9AAD3D29A467}"/>
    <cellStyle name="Note 2 10 2" xfId="3994" xr:uid="{A5AD21F6-1B49-4D2C-8538-7384A79AAD13}"/>
    <cellStyle name="Note 2 11" xfId="3146" xr:uid="{7A4C1CC0-5857-4237-AEFB-58E279DABBE0}"/>
    <cellStyle name="Note 2 12" xfId="3147" xr:uid="{1C98557A-6E77-44FE-8090-AC89F6D2B1B5}"/>
    <cellStyle name="Note 2 12 2" xfId="3995" xr:uid="{78C17B6E-AC45-4A1B-ACF7-E5788885758B}"/>
    <cellStyle name="Note 2 13" xfId="3144" xr:uid="{2315F6C3-71BC-4A16-AAAA-97376DF8BCFD}"/>
    <cellStyle name="Note 2 2" xfId="811" xr:uid="{88EE9475-8459-4E92-B64E-E25ACC6A51C7}"/>
    <cellStyle name="Note 2 2 2" xfId="3149" xr:uid="{D31C8499-C77B-4E63-8E72-F8620547486C}"/>
    <cellStyle name="Note 2 2 2 2" xfId="5167" xr:uid="{47639C4B-B8DB-4B48-89C2-D86F7568B6D0}"/>
    <cellStyle name="Note 2 2 3" xfId="3148" xr:uid="{9763E7E9-AB4D-4743-983F-F3089D00C071}"/>
    <cellStyle name="Note 2 2 3 2" xfId="4483" xr:uid="{D90AC90C-0384-4975-960C-FAD03909602D}"/>
    <cellStyle name="Note 2 2 4" xfId="4191" xr:uid="{B46E70CA-8B9C-4F48-9EA3-5D32D388EBCB}"/>
    <cellStyle name="Note 2 3" xfId="637" xr:uid="{CF50727E-2C77-407C-AC31-2D4DB5D30CFE}"/>
    <cellStyle name="Note 2 3 2" xfId="3151" xr:uid="{938BD703-54AE-4351-A262-E82B8B35244F}"/>
    <cellStyle name="Note 2 3 2 2" xfId="3152" xr:uid="{E1497DCA-2651-4139-9653-A3D2AD1049D6}"/>
    <cellStyle name="Note 2 3 2 2 2" xfId="3153" xr:uid="{84846449-8B4B-40CB-A8F4-CF39F4777BC3}"/>
    <cellStyle name="Note 2 3 2 2 2 2" xfId="3998" xr:uid="{CCF22707-2362-4B1A-A0F6-3BF5EF103F2F}"/>
    <cellStyle name="Note 2 3 2 2 3" xfId="3154" xr:uid="{8F24052E-17AB-4B1D-A6D9-37BEBE3999CC}"/>
    <cellStyle name="Note 2 3 2 2 3 2" xfId="3999" xr:uid="{5DC0DC09-FA3E-4897-8158-546EB80397AE}"/>
    <cellStyle name="Note 2 3 2 2 4" xfId="3997" xr:uid="{E09ED42F-DF7B-41D0-BEDC-F6B2D2B4EFC6}"/>
    <cellStyle name="Note 2 3 2 3" xfId="3155" xr:uid="{75D52522-8AD3-4D68-8AC4-F9B7B2E93E05}"/>
    <cellStyle name="Note 2 3 2 3 2" xfId="4000" xr:uid="{58F6E2F6-6B45-4D26-9214-9E456EB00F96}"/>
    <cellStyle name="Note 2 3 2 4" xfId="3156" xr:uid="{CE94D944-184C-479E-99C8-2E7918A9D979}"/>
    <cellStyle name="Note 2 3 2 4 2" xfId="4001" xr:uid="{4ED52FDA-8AB9-4624-97F4-869BB8ACB40A}"/>
    <cellStyle name="Note 2 3 2 5" xfId="3996" xr:uid="{A9D58885-DC59-4E1A-A2EF-C555763E32AE}"/>
    <cellStyle name="Note 2 3 2 6" xfId="5199" xr:uid="{B193A1DB-983A-404A-A7CE-EE7C1FE9AF04}"/>
    <cellStyle name="Note 2 3 3" xfId="3157" xr:uid="{5EEB194A-5A54-48A4-A878-E35A11AC0C84}"/>
    <cellStyle name="Note 2 3 3 2" xfId="3158" xr:uid="{C8558BB9-2579-4372-930F-87C5934B237D}"/>
    <cellStyle name="Note 2 3 3 2 2" xfId="4003" xr:uid="{F692E67D-1573-4A1D-8A48-32244A123CBE}"/>
    <cellStyle name="Note 2 3 3 3" xfId="3159" xr:uid="{B5D07914-FB25-433F-9FB7-A321C41EFD93}"/>
    <cellStyle name="Note 2 3 3 3 2" xfId="4004" xr:uid="{2F99AE9B-6E66-4A1A-8D2E-8F49F3E18DF5}"/>
    <cellStyle name="Note 2 3 3 4" xfId="4002" xr:uid="{2076984C-FD5B-4BF5-A565-9F3E77D091BD}"/>
    <cellStyle name="Note 2 3 3 5" xfId="4410" xr:uid="{03A39F2B-9540-41EA-B6FD-F5A6387BF042}"/>
    <cellStyle name="Note 2 3 4" xfId="3160" xr:uid="{9D979182-F29D-4693-99A8-98F4A6B613DB}"/>
    <cellStyle name="Note 2 3 4 2" xfId="4005" xr:uid="{26F13793-EAE5-43B8-9929-76460C8FB834}"/>
    <cellStyle name="Note 2 3 5" xfId="3161" xr:uid="{49337AC2-CCEE-4FF5-A62D-D12523D59616}"/>
    <cellStyle name="Note 2 3 5 2" xfId="4006" xr:uid="{250007FE-96DF-4090-ADE7-18244ED31E05}"/>
    <cellStyle name="Note 2 3 6" xfId="3150" xr:uid="{76C913F7-36F1-4B52-B726-A06E77228D21}"/>
    <cellStyle name="Note 2 3 7" xfId="4096" xr:uid="{FB257718-C8F7-488A-937A-970CAF29C942}"/>
    <cellStyle name="Note 2 4" xfId="3162" xr:uid="{492798C0-58AD-4CFF-A274-DD2B385EAF86}"/>
    <cellStyle name="Note 2 4 2" xfId="3163" xr:uid="{8B4A06D1-E502-46B7-B390-46DE59187255}"/>
    <cellStyle name="Note 2 4 2 2" xfId="3164" xr:uid="{4C91C560-F257-4598-8832-571E630B44D5}"/>
    <cellStyle name="Note 2 4 2 2 2" xfId="4008" xr:uid="{EDC896B7-0EEC-4916-99DB-4FB36231201B}"/>
    <cellStyle name="Note 2 4 2 3" xfId="3165" xr:uid="{60688583-1296-45D7-9295-1799E62E3794}"/>
    <cellStyle name="Note 2 4 2 3 2" xfId="4009" xr:uid="{F34564D1-798D-4A2B-9DA8-4E962FA856C1}"/>
    <cellStyle name="Note 2 4 2 4" xfId="4007" xr:uid="{CA99C699-65D2-41DF-9923-E0BA03E0CA84}"/>
    <cellStyle name="Note 2 4 3" xfId="3166" xr:uid="{42A67E5B-DD00-49C8-AC8A-0F54ED9DB71F}"/>
    <cellStyle name="Note 2 4 3 2" xfId="3167" xr:uid="{B6DCDD2B-BF9C-4E83-8DAC-931CA04A7252}"/>
    <cellStyle name="Note 2 4 3 2 2" xfId="4011" xr:uid="{269ECA4C-47D3-4F56-8A93-E94309F16B8E}"/>
    <cellStyle name="Note 2 4 3 3" xfId="3168" xr:uid="{3E49CEA6-BFCB-4AE2-A173-EFBBE7CD5DC7}"/>
    <cellStyle name="Note 2 4 3 3 2" xfId="4012" xr:uid="{797AFE7F-B5F0-4417-AE1C-14AD78945291}"/>
    <cellStyle name="Note 2 4 3 4" xfId="4010" xr:uid="{2DB5C5E8-8330-4DC1-8153-F77093F3A528}"/>
    <cellStyle name="Note 2 4 4" xfId="3169" xr:uid="{65A0B2E6-7A21-49C8-A049-E3882EBCD701}"/>
    <cellStyle name="Note 2 4 4 2" xfId="4013" xr:uid="{0720AC0A-DFC6-4A46-B32D-4202EC958568}"/>
    <cellStyle name="Note 2 4 5" xfId="3170" xr:uid="{B540D765-534E-4065-9A2F-32B6A76B5820}"/>
    <cellStyle name="Note 2 4 5 2" xfId="4014" xr:uid="{6D48989E-7CC2-45DB-A0F3-53B892C28FED}"/>
    <cellStyle name="Note 2 4 6" xfId="5134" xr:uid="{06CB2EB9-0145-4DBB-9EFA-13DC4E431822}"/>
    <cellStyle name="Note 2 5" xfId="3171" xr:uid="{380FDF61-821A-41AE-9776-DE6431F556EB}"/>
    <cellStyle name="Note 2 5 2" xfId="3172" xr:uid="{90882FE0-FF71-4915-AA5A-C38B9D556133}"/>
    <cellStyle name="Note 2 5 2 2" xfId="3173" xr:uid="{6D586D44-169F-4D48-94BB-189FF7DEB0D2}"/>
    <cellStyle name="Note 2 5 2 2 2" xfId="4016" xr:uid="{06D37D28-41C7-4D81-87A3-28898417CA84}"/>
    <cellStyle name="Note 2 5 2 3" xfId="3174" xr:uid="{07075368-4740-49F4-AF51-EEC24790237D}"/>
    <cellStyle name="Note 2 5 2 3 2" xfId="4017" xr:uid="{108B8971-436E-4BF6-A42B-1A49BF90B1F6}"/>
    <cellStyle name="Note 2 5 2 4" xfId="4015" xr:uid="{7FEAED71-D362-4C4A-89F5-7EC0F0E7B723}"/>
    <cellStyle name="Note 2 5 3" xfId="3175" xr:uid="{62E8167E-1C65-460D-8F01-C07883216CE2}"/>
    <cellStyle name="Note 2 5 3 2" xfId="4018" xr:uid="{3EA400DF-1012-4C31-9D3F-9A071AC75433}"/>
    <cellStyle name="Note 2 5 4" xfId="3176" xr:uid="{3979A77D-DEA7-4D25-87BD-B796E7592D6F}"/>
    <cellStyle name="Note 2 5 4 2" xfId="4019" xr:uid="{698F225E-4E9C-4306-BC6B-6E3ECD0F43D9}"/>
    <cellStyle name="Note 2 5 5" xfId="5260" xr:uid="{2DECF56E-425D-41BB-9359-B3036FC6FC5C}"/>
    <cellStyle name="Note 2 6" xfId="3177" xr:uid="{DB88B0F8-C4C0-4BE2-B24B-2D91225123CA}"/>
    <cellStyle name="Note 2 6 2" xfId="3178" xr:uid="{FF6F6669-0EE3-4EAD-9A42-FC0831E2424A}"/>
    <cellStyle name="Note 2 6 2 2" xfId="4020" xr:uid="{A8D57B0A-7DC3-4E0B-A2F6-729D0C7E73EA}"/>
    <cellStyle name="Note 2 6 3" xfId="3179" xr:uid="{1C148996-FD7F-4EE8-BA62-5D65CFBF49A8}"/>
    <cellStyle name="Note 2 6 3 2" xfId="4021" xr:uid="{262AAB51-5646-4784-B69E-96C3F30D60F3}"/>
    <cellStyle name="Note 2 6 4" xfId="4337" xr:uid="{398B1860-443F-431B-B6DA-D852D79612EF}"/>
    <cellStyle name="Note 2 7" xfId="3180" xr:uid="{D5E9C8DA-7397-40FA-B21E-CF3F0B7969F4}"/>
    <cellStyle name="Note 2 7 2" xfId="4022" xr:uid="{FCE99F72-C562-49F9-AF27-514132BC755C}"/>
    <cellStyle name="Note 2 8" xfId="3181" xr:uid="{131E66EA-215D-4412-A2F8-8016A86B6720}"/>
    <cellStyle name="Note 2 8 2" xfId="4023" xr:uid="{83A2DC66-1F26-4F08-B713-D44C8F3EBF4D}"/>
    <cellStyle name="Note 2 9" xfId="3182" xr:uid="{BF9903BC-7C52-482C-A276-CA79C57021AF}"/>
    <cellStyle name="Note 3" xfId="638" xr:uid="{19CEE5A5-BE22-42FF-910F-F069B3250C44}"/>
    <cellStyle name="Note 3 2" xfId="3184" xr:uid="{5F9888C6-1299-46CB-9D37-AD20611083F3}"/>
    <cellStyle name="Note 3 2 2" xfId="4024" xr:uid="{7176AF0E-0445-4FFC-8784-31C6EB9640C3}"/>
    <cellStyle name="Note 3 2 3" xfId="5164" xr:uid="{887CBF8E-5A1D-46BC-8A31-3E0B3AD8F75E}"/>
    <cellStyle name="Note 3 3" xfId="3185" xr:uid="{80F12924-4166-4667-9EE1-EA3F49C141D8}"/>
    <cellStyle name="Note 3 3 2" xfId="5226" xr:uid="{83A71F7B-B630-4AC9-B21E-7E046231D9AF}"/>
    <cellStyle name="Note 3 4" xfId="3186" xr:uid="{4796AB6D-26D4-44BE-B086-A6EAED981D50}"/>
    <cellStyle name="Note 3 4 2" xfId="4411" xr:uid="{D90FEDAF-58CC-4698-B511-6F80A4F1F7B3}"/>
    <cellStyle name="Note 3 5" xfId="3183" xr:uid="{7D7194C2-53E3-43ED-8D7F-AEF85EF52447}"/>
    <cellStyle name="Note 3 6" xfId="4203" xr:uid="{AA5B23C8-15E7-4954-A1F5-9EA1D8D0A94C}"/>
    <cellStyle name="Note 4" xfId="639" xr:uid="{7AAED23A-34C0-4215-94F7-C4B1D21960EC}"/>
    <cellStyle name="Note 4 2" xfId="3188" xr:uid="{4A56FD53-88DF-4CB8-8911-181C4440B2FB}"/>
    <cellStyle name="Note 4 2 2" xfId="4025" xr:uid="{911D5493-7A50-45D9-86EA-F17A16B59E74}"/>
    <cellStyle name="Note 4 3" xfId="3187" xr:uid="{D9703774-154F-4A8E-8738-6482E0700264}"/>
    <cellStyle name="Note 4 4" xfId="4124" xr:uid="{23DC36C8-EB96-4F88-82DE-965B0DAA51CC}"/>
    <cellStyle name="Note 5" xfId="640" xr:uid="{3103A930-B420-44AE-8895-D819302C9BDA}"/>
    <cellStyle name="Note 5 2" xfId="3190" xr:uid="{C2119399-959F-44C1-8A0A-BF5A6F0A4D89}"/>
    <cellStyle name="Note 5 2 2" xfId="4026" xr:uid="{02B303C7-FAED-4029-AC8F-E5FFC6661E4E}"/>
    <cellStyle name="Note 5 3" xfId="3189" xr:uid="{3192B608-E211-4968-99A5-265F12CA2115}"/>
    <cellStyle name="Note 6" xfId="641" xr:uid="{C572E38B-6B5D-494E-8559-22C9EAB31C47}"/>
    <cellStyle name="Note 6 2" xfId="3191" xr:uid="{4825A633-26A2-4152-9F10-DB4C2416F3EC}"/>
    <cellStyle name="Note 6 2 2" xfId="4028" xr:uid="{874C7ED5-9384-49F9-8332-C8CF21C75A07}"/>
    <cellStyle name="Note 7" xfId="642" xr:uid="{3E7F198A-42F7-4B61-99ED-E2D3DCC08E12}"/>
    <cellStyle name="Note 7 2" xfId="3192" xr:uid="{3F6A74FB-2EB7-407C-BD9F-7FEC8C883850}"/>
    <cellStyle name="Note 7 2 2" xfId="4029" xr:uid="{B85B2CE2-2B1E-417B-A3FC-CFE25382D3C6}"/>
    <cellStyle name="Note 8" xfId="643" xr:uid="{25454A26-39A3-4DBB-88AA-CA12323CA64D}"/>
    <cellStyle name="Note 8 2" xfId="3193" xr:uid="{E55CCF5F-5555-4459-B42D-3D82E60D83FB}"/>
    <cellStyle name="Note 8 2 2" xfId="4030" xr:uid="{64CAC776-A77F-498A-A21E-6E02127CB7AB}"/>
    <cellStyle name="Note 9" xfId="644" xr:uid="{00A3A72B-FBB4-4FAD-806E-3FCEF69DB47B}"/>
    <cellStyle name="Note 9 2" xfId="3194" xr:uid="{D4583715-06C3-4C5A-B017-9E1516101946}"/>
    <cellStyle name="Note 9 2 2" xfId="4031" xr:uid="{FBE1A648-90C3-4DE2-9B4C-9D0C1B24DE72}"/>
    <cellStyle name="Output 10" xfId="645" xr:uid="{948DCE6F-F3AD-49C7-90BE-C0A77BA0A473}"/>
    <cellStyle name="Output 10 2" xfId="3195" xr:uid="{EA2B219C-F270-4DAE-A7B3-D8F718D735DE}"/>
    <cellStyle name="Output 11" xfId="646" xr:uid="{41BB4598-CBAA-49B3-BCA1-F91656EA7BA5}"/>
    <cellStyle name="Output 11 2" xfId="3196" xr:uid="{9F185C09-9F45-49DB-BD4F-48D99E43858F}"/>
    <cellStyle name="Output 12" xfId="647" xr:uid="{D44A6A04-6B8C-4AC3-8451-ACF4F4536437}"/>
    <cellStyle name="Output 12 2" xfId="3197" xr:uid="{57609D4A-24DE-4FFC-A6A3-C5C614296491}"/>
    <cellStyle name="Output 13" xfId="648" xr:uid="{A1C840EB-126E-476B-9DB7-9F9FD513C45C}"/>
    <cellStyle name="Output 13 2" xfId="3198" xr:uid="{26386880-9D49-44C9-A4C9-DC2E5F783E3E}"/>
    <cellStyle name="Output 14" xfId="649" xr:uid="{209CA6CB-EBC5-4833-A448-26231E2C1D8F}"/>
    <cellStyle name="Output 14 2" xfId="3199" xr:uid="{9713433E-595D-40A8-9982-0F396E551AAB}"/>
    <cellStyle name="Output 15" xfId="650" xr:uid="{E30BF09A-1449-4208-A811-33F74229B6CB}"/>
    <cellStyle name="Output 15 2" xfId="3200" xr:uid="{3C0DD726-B618-489E-833E-19D1FE039CF1}"/>
    <cellStyle name="Output 16" xfId="850" xr:uid="{09A8C6D2-A18C-40CA-ADA3-B844F231D36B}"/>
    <cellStyle name="Output 16 2" xfId="3201" xr:uid="{4C2B7E1C-380E-4AB2-B4F1-E0F348C0251F}"/>
    <cellStyle name="Output 17" xfId="5130" xr:uid="{165C7BC8-D882-443C-A03C-F055DEFF2225}"/>
    <cellStyle name="Output 18" xfId="5127" xr:uid="{EEE45F0B-580D-4DF5-B9E2-E5FCFF792906}"/>
    <cellStyle name="Output 2" xfId="83" xr:uid="{00000000-0005-0000-0000-000056000000}"/>
    <cellStyle name="Output 2 2" xfId="806" xr:uid="{868B9F9B-667E-4F4E-AC42-FC4F489CB68D}"/>
    <cellStyle name="Output 2 2 2" xfId="3204" xr:uid="{59C1F0C0-5CDC-4F42-95D9-459F7FA8456C}"/>
    <cellStyle name="Output 2 2 3" xfId="3203" xr:uid="{4A0A973D-5113-4BEB-A4E6-C70938BC0D11}"/>
    <cellStyle name="Output 2 3" xfId="651" xr:uid="{B5A3D20B-4584-4D4F-B9C7-E8488A6C23BE}"/>
    <cellStyle name="Output 2 3 2" xfId="3206" xr:uid="{DCA7F719-0CF7-48B6-860E-B5811A0250BE}"/>
    <cellStyle name="Output 2 3 3" xfId="3205" xr:uid="{FD702B1D-0899-44A8-AC15-943A57C65B10}"/>
    <cellStyle name="Output 2 4" xfId="3207" xr:uid="{3844ADD0-1EC8-4B76-AD43-01406595B2B8}"/>
    <cellStyle name="Output 2 5" xfId="3208" xr:uid="{EFB6CD7C-FE46-4BBD-8371-DEB65828F5D0}"/>
    <cellStyle name="Output 2 6" xfId="3209" xr:uid="{EB2B9A5E-DAEF-4538-B563-6E56CCCEA8B0}"/>
    <cellStyle name="Output 2 7" xfId="3202" xr:uid="{18C2AE86-7E81-45ED-974F-B29D68C6B641}"/>
    <cellStyle name="Output 3" xfId="652" xr:uid="{06436D1D-8BB7-4628-9EA9-12D6FC22BB0A}"/>
    <cellStyle name="Output 3 2" xfId="3211" xr:uid="{389BB5F2-8CDF-4F28-BF66-A52B42B8DEF5}"/>
    <cellStyle name="Output 3 2 2" xfId="4412" xr:uid="{0781DB60-3465-490C-A3AA-E4FD4545A17D}"/>
    <cellStyle name="Output 3 3" xfId="3212" xr:uid="{130566DF-4589-4624-9F4C-CF6F7848AD98}"/>
    <cellStyle name="Output 3 4" xfId="3210" xr:uid="{1144CA18-77F8-4076-846F-1364586EA499}"/>
    <cellStyle name="Output 3 5" xfId="4119" xr:uid="{FF9CE456-C98E-403F-94CE-F529CDEC763D}"/>
    <cellStyle name="Output 4" xfId="653" xr:uid="{6FD8334D-DB5B-4630-81A8-BD868D298189}"/>
    <cellStyle name="Output 4 2" xfId="3214" xr:uid="{2AF86DC5-3D83-4146-93F2-AF0DB7BEC804}"/>
    <cellStyle name="Output 4 3" xfId="3213" xr:uid="{4D4576D6-6335-454C-ACEA-9FADB4AEC0E6}"/>
    <cellStyle name="Output 5" xfId="654" xr:uid="{1D3CCAC3-AAD0-459B-B647-1D3C3BE34F01}"/>
    <cellStyle name="Output 5 2" xfId="3215" xr:uid="{D080026D-4BBA-49DE-B5C0-3E5061B1B9F1}"/>
    <cellStyle name="Output 6" xfId="655" xr:uid="{26FD6B34-F510-4192-9020-53C7C8AA0209}"/>
    <cellStyle name="Output 6 2" xfId="3216" xr:uid="{7D2570F1-09DE-407D-88FF-2396ECB8B5A4}"/>
    <cellStyle name="Output 7" xfId="656" xr:uid="{E462345A-6513-4121-9711-FF362BF6DCF1}"/>
    <cellStyle name="Output 7 2" xfId="3217" xr:uid="{DED108C6-6982-49C3-B890-43033BB8209F}"/>
    <cellStyle name="Output 8" xfId="657" xr:uid="{94957617-06E5-49AE-AB00-F8F922E700A8}"/>
    <cellStyle name="Output 8 2" xfId="3218" xr:uid="{5BCF349F-35A7-455C-9FDE-B9D7E7F5BCAA}"/>
    <cellStyle name="Output 9" xfId="658" xr:uid="{9DC6D9F4-C9EC-4F7E-B76A-0C28FDD3DEC9}"/>
    <cellStyle name="Output 9 2" xfId="3219" xr:uid="{889700EE-B023-47A3-A410-2543402F3002}"/>
    <cellStyle name="Percent" xfId="2" builtinId="5"/>
    <cellStyle name="Percent [2]" xfId="84" xr:uid="{00000000-0005-0000-0000-000058000000}"/>
    <cellStyle name="Percent [2] 2" xfId="3222" xr:uid="{E8542C75-2A62-4BB1-90B5-3F5CA6E48EFC}"/>
    <cellStyle name="Percent [2] 2 2" xfId="3223" xr:uid="{A726A1A0-4487-41BB-BEED-08904089A954}"/>
    <cellStyle name="Percent [2] 3" xfId="3224" xr:uid="{3A1DA25B-2EE4-4B68-8F99-6985E74D78AB}"/>
    <cellStyle name="Percent [2] 4" xfId="3221" xr:uid="{C537E53A-F1DE-40DB-8454-FA1D60975D4F}"/>
    <cellStyle name="Percent 10" xfId="932" xr:uid="{FB1570F1-7578-4FAD-BB88-C18527592552}"/>
    <cellStyle name="Percent 10 2" xfId="3226" xr:uid="{FD28D1AF-FB3A-4455-9EEA-E771F7DC6FBA}"/>
    <cellStyle name="Percent 10 2 2" xfId="4033" xr:uid="{8EB2B08C-D12A-4D23-9E31-FB6799619E0F}"/>
    <cellStyle name="Percent 10 2 3" xfId="4566" xr:uid="{2CAA73ED-866F-4C52-9A30-AAF307CEE97D}"/>
    <cellStyle name="Percent 10 3" xfId="3227" xr:uid="{978A8D5D-7FB8-4DBF-BD97-23F469834D8C}"/>
    <cellStyle name="Percent 10 4" xfId="3225" xr:uid="{3E4C5AE9-8AB0-457F-8C2C-5CBC8C7CCB94}"/>
    <cellStyle name="Percent 10 5" xfId="4166" xr:uid="{644D55E9-4950-4642-879E-8BF154500EF0}"/>
    <cellStyle name="Percent 100" xfId="3228" xr:uid="{4CD7C043-273D-4CCE-B543-3BFCAA8BE9FE}"/>
    <cellStyle name="Percent 101" xfId="3229" xr:uid="{0D58841C-9BA2-4BE0-BA4F-A3816E1ECBC6}"/>
    <cellStyle name="Percent 102" xfId="3230" xr:uid="{F0FC6992-0D01-4E72-B6CC-2E81E763A09B}"/>
    <cellStyle name="Percent 103" xfId="3231" xr:uid="{6BBF0BC0-7FD8-4D0E-B1EE-297C0B7DAAE7}"/>
    <cellStyle name="Percent 104" xfId="3232" xr:uid="{0EF52901-330B-44F4-AC34-33D4C5EE3486}"/>
    <cellStyle name="Percent 105" xfId="3233" xr:uid="{12C5E70F-2C90-4E82-B2B4-E82BACEBF2B9}"/>
    <cellStyle name="Percent 106" xfId="3234" xr:uid="{A1F124F8-AAE3-4FDB-B4CF-77E96BBB302C}"/>
    <cellStyle name="Percent 107" xfId="3235" xr:uid="{111C77FE-1402-4295-8D52-323857788145}"/>
    <cellStyle name="Percent 108" xfId="3236" xr:uid="{539024A6-2345-4885-9416-622C1E4E54D8}"/>
    <cellStyle name="Percent 109" xfId="3237" xr:uid="{A0C56A5F-5DE4-449E-8696-5A45C6F4F74A}"/>
    <cellStyle name="Percent 11" xfId="939" xr:uid="{7AE6E81E-F411-42C0-A1D6-589223235D82}"/>
    <cellStyle name="Percent 11 2" xfId="3239" xr:uid="{19AA4F10-FC6C-4042-B268-08A13CF57D6B}"/>
    <cellStyle name="Percent 11 2 2" xfId="4034" xr:uid="{582CEB77-F3DF-46CD-9290-983527A8425F}"/>
    <cellStyle name="Percent 11 2 3" xfId="4570" xr:uid="{D167559F-DDBD-42A8-9666-C2FA4589C0AE}"/>
    <cellStyle name="Percent 11 3" xfId="3240" xr:uid="{8F119FEA-2342-4872-AE3A-8A4F090A5237}"/>
    <cellStyle name="Percent 11 4" xfId="3238" xr:uid="{10F4F5C6-49A1-463B-B449-1A91F4AFD98D}"/>
    <cellStyle name="Percent 11 5" xfId="4167" xr:uid="{5822CC16-3A83-4EEB-87EF-4ABC620A2C82}"/>
    <cellStyle name="Percent 110" xfId="3241" xr:uid="{0D35F749-FBB8-4999-82FC-010E958045BD}"/>
    <cellStyle name="Percent 111" xfId="3242" xr:uid="{2370E6BF-0F0D-4346-AFC4-BF17DA157C2D}"/>
    <cellStyle name="Percent 112" xfId="3243" xr:uid="{FE54AE75-5CB8-4EFB-8EB5-7EE9EADB4A9E}"/>
    <cellStyle name="Percent 113" xfId="3244" xr:uid="{022DD281-8685-43F3-89B3-7FE0B5AFEEC4}"/>
    <cellStyle name="Percent 114" xfId="3245" xr:uid="{15C36501-D55E-41B4-8481-68A538FD584A}"/>
    <cellStyle name="Percent 115" xfId="3246" xr:uid="{264C0B0C-9617-4013-9730-84DDE7041872}"/>
    <cellStyle name="Percent 116" xfId="3247" xr:uid="{E7ECAE7F-DCF2-4F28-AB30-01BE187EE310}"/>
    <cellStyle name="Percent 117" xfId="3248" xr:uid="{7A4C3285-3275-4767-80AF-010592C8B855}"/>
    <cellStyle name="Percent 118" xfId="3249" xr:uid="{8788F9C1-EAFF-4054-AA30-1292EC52CEDC}"/>
    <cellStyle name="Percent 118 2" xfId="4035" xr:uid="{24159B1F-D507-4794-B586-E19E9AD4D2B8}"/>
    <cellStyle name="Percent 119" xfId="3250" xr:uid="{8678D70A-0D38-48C9-A1FD-B5B71641C7FC}"/>
    <cellStyle name="Percent 119 2" xfId="4036" xr:uid="{8A569F7E-5551-4643-B72E-FCA729BE2D4E}"/>
    <cellStyle name="Percent 12" xfId="1017" xr:uid="{13BBC6A7-4A41-4785-B24C-CEC1AD4782DA}"/>
    <cellStyle name="Percent 12 2" xfId="3252" xr:uid="{411AAB77-81A3-4992-BA7B-B6AE0D694553}"/>
    <cellStyle name="Percent 12 2 2" xfId="4037" xr:uid="{F95260F1-B453-4A2D-AE4A-1DD948BA329C}"/>
    <cellStyle name="Percent 12 2 3" xfId="4644" xr:uid="{2DA9CC38-6F36-47BA-B370-774D8262CF28}"/>
    <cellStyle name="Percent 12 3" xfId="3253" xr:uid="{54B9D5A9-1C98-4403-A5B8-E98998C8AAA5}"/>
    <cellStyle name="Percent 12 4" xfId="3251" xr:uid="{1147EAB3-8648-4912-96CB-95FCC00BF096}"/>
    <cellStyle name="Percent 12 5" xfId="4168" xr:uid="{B60D161E-88F6-41B5-AB57-E82481F953DB}"/>
    <cellStyle name="Percent 120" xfId="3254" xr:uid="{DE1CF325-0C4F-4C9A-AD20-E916EBE5550A}"/>
    <cellStyle name="Percent 121" xfId="3255" xr:uid="{E7E1925F-03AC-4A49-BBBD-3E21C7CA467B}"/>
    <cellStyle name="Percent 122" xfId="3256" xr:uid="{D4C48AC7-2255-4080-A849-90B392B1D827}"/>
    <cellStyle name="Percent 123" xfId="3257" xr:uid="{4E324933-AEAB-412B-A13E-46AE9959167D}"/>
    <cellStyle name="Percent 124" xfId="3258" xr:uid="{6D54A5BD-F3A6-471F-B012-A414F47563E7}"/>
    <cellStyle name="Percent 125" xfId="3259" xr:uid="{F72D2AF8-E19D-48F7-BEC3-919951DE7895}"/>
    <cellStyle name="Percent 126" xfId="3260" xr:uid="{4D6F8D38-C826-4CC1-8B01-60DE86DAD6E2}"/>
    <cellStyle name="Percent 127" xfId="3261" xr:uid="{CE66A73C-A81C-4071-B0CD-BC18A38A8C10}"/>
    <cellStyle name="Percent 128" xfId="3262" xr:uid="{ECA897D8-A7CF-4849-8C68-76AC22D46BAD}"/>
    <cellStyle name="Percent 129" xfId="4032" xr:uid="{22B78185-5E9E-4109-8BD4-65429EFBA7B7}"/>
    <cellStyle name="Percent 13" xfId="1001" xr:uid="{11B89A78-EBF2-4925-A9DD-72416425FF84}"/>
    <cellStyle name="Percent 13 2" xfId="3264" xr:uid="{6DAA131A-F45F-4F29-9211-A9B9A51AFB99}"/>
    <cellStyle name="Percent 13 2 2" xfId="4038" xr:uid="{1C71872E-6C4F-4E37-A0D7-0DF6A4E67F84}"/>
    <cellStyle name="Percent 13 2 3" xfId="4631" xr:uid="{458AE758-D8FB-4B03-A5D5-E47E7000BA59}"/>
    <cellStyle name="Percent 13 3" xfId="3265" xr:uid="{A229B7F1-3931-46AE-BA1D-6492C35D285B}"/>
    <cellStyle name="Percent 13 4" xfId="3263" xr:uid="{C4E4E245-6C14-4551-B65C-E7089C131A80}"/>
    <cellStyle name="Percent 13 5" xfId="4169" xr:uid="{C10AB85C-8D94-48FB-A1D9-7A7EBDB76CC5}"/>
    <cellStyle name="Percent 13 6" xfId="4272" xr:uid="{835ECBA2-B35F-48AD-8BB1-287B72E99F97}"/>
    <cellStyle name="Percent 130" xfId="4062" xr:uid="{2BC6EEF6-E131-4748-9ECA-03FAAFD20A0B}"/>
    <cellStyle name="Percent 131" xfId="4027" xr:uid="{1D55A581-DF9D-41FF-9FB0-B3B68A68866A}"/>
    <cellStyle name="Percent 132" xfId="4061" xr:uid="{4C9F0B91-EAEA-438A-86C9-A604E5E3EDEE}"/>
    <cellStyle name="Percent 133" xfId="3220" xr:uid="{69056654-80EF-40E4-A89D-B36D4C96D904}"/>
    <cellStyle name="Percent 14" xfId="1005" xr:uid="{315724E4-062B-4765-9C10-C07216F846DA}"/>
    <cellStyle name="Percent 14 2" xfId="3267" xr:uid="{C0866961-18CD-4519-A984-7AEBD23915C2}"/>
    <cellStyle name="Percent 14 2 2" xfId="4039" xr:uid="{2F7E8AE7-88B2-4E67-B470-50C35058A95B}"/>
    <cellStyle name="Percent 14 2 3" xfId="4634" xr:uid="{2FF0FC76-8D24-4560-945F-7A1A6CAE24A0}"/>
    <cellStyle name="Percent 14 3" xfId="3268" xr:uid="{D42AC56B-2243-4C66-A943-AC730BAB2465}"/>
    <cellStyle name="Percent 14 4" xfId="3266" xr:uid="{81B344A7-EFF4-4D5C-AA09-CA1A94250BEC}"/>
    <cellStyle name="Percent 14 5" xfId="4170" xr:uid="{56E884C9-93B4-4FF5-90C4-9A7166738E8C}"/>
    <cellStyle name="Percent 15" xfId="994" xr:uid="{7DB09506-9926-4C30-A23C-6154A44DC063}"/>
    <cellStyle name="Percent 15 2" xfId="3270" xr:uid="{D00EB499-97B9-408D-9FB6-430FC8A0BC06}"/>
    <cellStyle name="Percent 15 2 2" xfId="4040" xr:uid="{D27CFD29-8902-487F-9832-6326E3692EC4}"/>
    <cellStyle name="Percent 15 2 3" xfId="4625" xr:uid="{9D4361E9-0881-40A6-8B6B-6E018746AA35}"/>
    <cellStyle name="Percent 15 3" xfId="3271" xr:uid="{27EE563B-C834-423C-BA1F-526E6150F642}"/>
    <cellStyle name="Percent 15 4" xfId="3269" xr:uid="{9C60C1BD-2439-4712-8D25-9B32D3347719}"/>
    <cellStyle name="Percent 15 5" xfId="4171" xr:uid="{FE6BA923-E2BF-4B40-94C3-9EBA6704BA48}"/>
    <cellStyle name="Percent 16" xfId="1490" xr:uid="{C4D6394C-3D02-4661-9E8C-77AA478929E7}"/>
    <cellStyle name="Percent 16 2" xfId="3273" xr:uid="{D5A55DDE-BD22-449A-8C90-176A5863D070}"/>
    <cellStyle name="Percent 16 2 2" xfId="4041" xr:uid="{86164D51-BC78-42A3-8BBE-5A01BE37CD61}"/>
    <cellStyle name="Percent 16 2 3" xfId="5113" xr:uid="{262B2556-0563-4456-90DD-83793402AA34}"/>
    <cellStyle name="Percent 16 3" xfId="3274" xr:uid="{58FC70D6-9A9F-4C38-9ECA-C0B0FB27C01A}"/>
    <cellStyle name="Percent 16 4" xfId="3272" xr:uid="{1B3003C4-2A5C-46F1-A9DC-364C57650085}"/>
    <cellStyle name="Percent 16 5" xfId="4172" xr:uid="{B082B1EE-8B0D-4DD6-8747-714A437B1812}"/>
    <cellStyle name="Percent 17" xfId="1010" xr:uid="{1F9FB357-76B2-48C6-9E1F-444336BFB2C0}"/>
    <cellStyle name="Percent 17 2" xfId="3276" xr:uid="{9858620E-FFED-42D1-AFDF-0C8182B5241B}"/>
    <cellStyle name="Percent 17 2 2" xfId="4042" xr:uid="{B2522E4F-D31A-495F-BBBA-CB99FEB55A09}"/>
    <cellStyle name="Percent 17 2 3" xfId="4638" xr:uid="{89F95A63-CD5B-4E73-8AB4-8DBDE5BFFBAD}"/>
    <cellStyle name="Percent 17 3" xfId="3277" xr:uid="{B7F88706-C35E-4CEF-83C0-748DB3B174F5}"/>
    <cellStyle name="Percent 17 4" xfId="3275" xr:uid="{614D31F7-D537-4CBD-8FBB-8C236B6B3F84}"/>
    <cellStyle name="Percent 17 5" xfId="4174" xr:uid="{377F9B22-71FD-4350-BBD0-922C6F02F702}"/>
    <cellStyle name="Percent 18" xfId="1019" xr:uid="{276BE303-10C9-4C7C-AD95-CCB0C7BDCA45}"/>
    <cellStyle name="Percent 18 2" xfId="3279" xr:uid="{CDF94843-98F0-4CFE-B889-2606A0AAEA79}"/>
    <cellStyle name="Percent 18 2 2" xfId="4043" xr:uid="{F3BD6356-FAFA-4BE4-B018-624BF4C02C36}"/>
    <cellStyle name="Percent 18 2 3" xfId="4646" xr:uid="{9827A90B-2A35-4FD9-AC1C-35A106A7986A}"/>
    <cellStyle name="Percent 18 3" xfId="3280" xr:uid="{A1447DF5-04B9-48F5-AEF7-AFF8D6F9B8A3}"/>
    <cellStyle name="Percent 18 4" xfId="3278" xr:uid="{9853A447-1558-48B8-8B88-90A6198B3E40}"/>
    <cellStyle name="Percent 18 5" xfId="4173" xr:uid="{B7A3778A-EF95-4A1B-9C2B-8BC9DA2BF6DE}"/>
    <cellStyle name="Percent 19" xfId="996" xr:uid="{5CEBFF43-1967-4B66-A658-E098DB32EC52}"/>
    <cellStyle name="Percent 19 2" xfId="3282" xr:uid="{CBBCA5CA-932F-44BD-B4A1-BB460BD3C698}"/>
    <cellStyle name="Percent 19 2 2" xfId="4044" xr:uid="{8DB2613F-7757-44A0-B292-71FA19FF6D6F}"/>
    <cellStyle name="Percent 19 2 3" xfId="4627" xr:uid="{90B6F26B-7EFF-47C5-A594-CBD455024D4E}"/>
    <cellStyle name="Percent 19 3" xfId="3283" xr:uid="{9CB3472B-13C5-415F-BEBC-F0ED774E5C61}"/>
    <cellStyle name="Percent 19 4" xfId="3281" xr:uid="{3E4213F4-D437-4B87-A628-180BE4BE7EE4}"/>
    <cellStyle name="Percent 19 5" xfId="4216" xr:uid="{5C201603-89F0-45A2-99C6-54A89F03CA59}"/>
    <cellStyle name="Percent 2" xfId="85" xr:uid="{00000000-0005-0000-0000-000059000000}"/>
    <cellStyle name="Percent 2 2" xfId="710" xr:uid="{5F566A33-788D-4491-BA80-85773E6ABBA7}"/>
    <cellStyle name="Percent 2 2 10" xfId="4430" xr:uid="{BA5B73AE-FA2A-4FEB-9879-DE1566E18E81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2 2 2" xfId="5101" xr:uid="{82E66CA3-12FF-4A27-98D5-6C9D764C3E26}"/>
    <cellStyle name="Percent 2 2 2 2 2 2 3" xfId="4868" xr:uid="{417DC55D-7A2A-48E9-81CB-E357477F33EC}"/>
    <cellStyle name="Percent 2 2 2 2 2 3" xfId="1362" xr:uid="{0FB9F9BB-5D75-4020-82D7-2C4364DA421F}"/>
    <cellStyle name="Percent 2 2 2 2 2 3 2" xfId="4985" xr:uid="{732DF45F-5B4F-4FC5-AFB6-75248E06F364}"/>
    <cellStyle name="Percent 2 2 2 2 2 4" xfId="1126" xr:uid="{EF1AA621-7718-46D6-AC53-D2FB3F60416D}"/>
    <cellStyle name="Percent 2 2 2 2 2 4 2" xfId="4751" xr:uid="{D1BCC08B-4192-4BF0-9D42-11FC8C7774D2}"/>
    <cellStyle name="Percent 2 2 2 2 2 5" xfId="4556" xr:uid="{B8A1D989-9F36-41FF-AB83-0887FA183B3A}"/>
    <cellStyle name="Percent 2 2 2 2 3" xfId="984" xr:uid="{B1F05F6C-B390-40EA-B343-C566D8DD604C}"/>
    <cellStyle name="Percent 2 2 2 2 3 2" xfId="1422" xr:uid="{BBD119E7-0FC4-4E68-B34A-A90D652EEE0C}"/>
    <cellStyle name="Percent 2 2 2 2 3 2 2" xfId="5045" xr:uid="{ECDF42E8-C13A-48F3-9529-BFA489E6AEEF}"/>
    <cellStyle name="Percent 2 2 2 2 3 3" xfId="1189" xr:uid="{6C317745-1C34-4BBA-82D2-4F24D0D8C069}"/>
    <cellStyle name="Percent 2 2 2 2 3 3 2" xfId="4812" xr:uid="{C6304A42-64DF-4516-B63A-E9D2518C689F}"/>
    <cellStyle name="Percent 2 2 2 2 3 4" xfId="4615" xr:uid="{ED15A865-D484-40AC-AF1F-4D7597044796}"/>
    <cellStyle name="Percent 2 2 2 2 4" xfId="1306" xr:uid="{8A14BC25-43A7-47D0-8C1C-78F2081802AB}"/>
    <cellStyle name="Percent 2 2 2 2 4 2" xfId="4929" xr:uid="{93636917-214A-42DE-AF6B-2F502E588878}"/>
    <cellStyle name="Percent 2 2 2 2 5" xfId="1069" xr:uid="{CB0CE082-3FD8-4C7A-BC45-D657324A4C73}"/>
    <cellStyle name="Percent 2 2 2 2 5 2" xfId="4695" xr:uid="{E2E73F03-A1CD-41C9-BB94-FCC14F443284}"/>
    <cellStyle name="Percent 2 2 2 2 6" xfId="4472" xr:uid="{30E893B2-6E40-4231-8696-3AF6179754E5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2 2 2" xfId="5071" xr:uid="{297A2E5A-D632-4381-B2DA-14A3860E5FBD}"/>
    <cellStyle name="Percent 2 2 2 3 2 3" xfId="4838" xr:uid="{24C3BE8A-6CCE-4C6C-9EC1-395BD49828D2}"/>
    <cellStyle name="Percent 2 2 2 3 3" xfId="1332" xr:uid="{C36D18BC-0C1A-4676-B3D9-8FEFF81F12E3}"/>
    <cellStyle name="Percent 2 2 2 3 3 2" xfId="4955" xr:uid="{516B110E-3812-4024-8D24-6C67F3D9EE02}"/>
    <cellStyle name="Percent 2 2 2 3 4" xfId="1096" xr:uid="{E9D05171-8549-4045-95DE-D2677DB08E9D}"/>
    <cellStyle name="Percent 2 2 2 3 4 2" xfId="4721" xr:uid="{71F82ADA-46E3-4C5C-AA0F-812DC278F949}"/>
    <cellStyle name="Percent 2 2 2 3 5" xfId="4526" xr:uid="{190D9B92-7958-41E2-8647-654454D4DD4B}"/>
    <cellStyle name="Percent 2 2 2 4" xfId="954" xr:uid="{2BC70880-FB56-4C6D-B3C1-D1D222A4FF4B}"/>
    <cellStyle name="Percent 2 2 2 4 2" xfId="1396" xr:uid="{DE582128-E9D5-4F43-923A-E3CD7F05F6D4}"/>
    <cellStyle name="Percent 2 2 2 4 2 2" xfId="5019" xr:uid="{1EF1268D-D56B-4A80-90A3-C19574D438B6}"/>
    <cellStyle name="Percent 2 2 2 4 3" xfId="1163" xr:uid="{FFC31374-59B4-461A-B16A-6A38C5AF4DCB}"/>
    <cellStyle name="Percent 2 2 2 4 3 2" xfId="4786" xr:uid="{E9BF24A3-390E-4681-87BE-9EEFAB9FAC2F}"/>
    <cellStyle name="Percent 2 2 2 4 4" xfId="4585" xr:uid="{A07314EC-1561-42CC-B6AD-BA9D3A33D637}"/>
    <cellStyle name="Percent 2 2 2 5" xfId="1280" xr:uid="{BDB68D74-C350-4EDC-A83C-9006A8FA1F85}"/>
    <cellStyle name="Percent 2 2 2 5 2" xfId="4903" xr:uid="{BB307034-ACC3-43B3-9A08-D485B38036E9}"/>
    <cellStyle name="Percent 2 2 2 6" xfId="1043" xr:uid="{F79B9E8B-24CA-419A-A2E1-D4C5134BA55B}"/>
    <cellStyle name="Percent 2 2 2 6 2" xfId="4669" xr:uid="{1D5277B9-AA8C-4C44-BF70-3869E64D2348}"/>
    <cellStyle name="Percent 2 2 2 7" xfId="3285" xr:uid="{1D4ED3FE-28EB-424B-A9DA-F5881E02C7CF}"/>
    <cellStyle name="Percent 2 2 2 8" xfId="4438" xr:uid="{2FE24003-DA4C-4C3F-8E5F-878341C55F31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2 2 2" xfId="5109" xr:uid="{C7E8BE1E-9AD3-4E83-80DD-541EC82F022E}"/>
    <cellStyle name="Percent 2 2 3 2 2 2 3" xfId="4876" xr:uid="{1D9D31F7-52C8-46CD-8F05-0A00EC549566}"/>
    <cellStyle name="Percent 2 2 3 2 2 3" xfId="1370" xr:uid="{A1B37527-05B3-46E3-A0A4-DAC5ABBF2FBF}"/>
    <cellStyle name="Percent 2 2 3 2 2 3 2" xfId="4993" xr:uid="{38DFF2CD-943A-4E7C-931C-00A02CEB151C}"/>
    <cellStyle name="Percent 2 2 3 2 2 4" xfId="1134" xr:uid="{77B232BD-EF62-4D0A-B9C3-B0DF78598044}"/>
    <cellStyle name="Percent 2 2 3 2 2 4 2" xfId="4759" xr:uid="{2F7C33DC-55ED-421F-8E10-BEE07851FA2F}"/>
    <cellStyle name="Percent 2 2 3 2 2 5" xfId="4564" xr:uid="{07E12ABB-7554-4EC8-852A-69B398D0A0E6}"/>
    <cellStyle name="Percent 2 2 3 2 3" xfId="992" xr:uid="{B690CDB8-EDC9-44D9-8D4E-39F1E9A35023}"/>
    <cellStyle name="Percent 2 2 3 2 3 2" xfId="1430" xr:uid="{08EEE802-44F5-4F43-96F8-92A9476EE4D6}"/>
    <cellStyle name="Percent 2 2 3 2 3 2 2" xfId="5053" xr:uid="{2F0D5AA0-1F34-43D8-8C71-22BFDB828008}"/>
    <cellStyle name="Percent 2 2 3 2 3 3" xfId="1197" xr:uid="{5C1C04E1-7084-4333-910C-D20285CC2BE5}"/>
    <cellStyle name="Percent 2 2 3 2 3 3 2" xfId="4820" xr:uid="{5E207C3F-8FC9-4380-A31D-C6A4B02697F6}"/>
    <cellStyle name="Percent 2 2 3 2 3 4" xfId="4623" xr:uid="{8C0D5F2F-A467-4EA9-8E3E-3FA9EEEC7C62}"/>
    <cellStyle name="Percent 2 2 3 2 4" xfId="1314" xr:uid="{D823029D-21EE-41FC-B92C-38976A279C31}"/>
    <cellStyle name="Percent 2 2 3 2 4 2" xfId="4937" xr:uid="{8281FB3B-A902-467C-B223-641B92196234}"/>
    <cellStyle name="Percent 2 2 3 2 5" xfId="1077" xr:uid="{955D8B21-0F5E-4361-8715-390646E07FE5}"/>
    <cellStyle name="Percent 2 2 3 2 5 2" xfId="4703" xr:uid="{270AC2C3-D710-4144-8C40-FCF166357F68}"/>
    <cellStyle name="Percent 2 2 3 2 6" xfId="4480" xr:uid="{84F5D107-46CE-4A5E-B712-B6E1419935A1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2 2 2" xfId="5079" xr:uid="{84D3D05E-6A29-40FE-B321-808B5283D9D6}"/>
    <cellStyle name="Percent 2 2 3 3 2 3" xfId="4846" xr:uid="{EDA1A9AF-43D1-4738-9448-EB8D7EAF018D}"/>
    <cellStyle name="Percent 2 2 3 3 3" xfId="1340" xr:uid="{DC1F1817-3C6B-4CEC-A655-7E63A634A07D}"/>
    <cellStyle name="Percent 2 2 3 3 3 2" xfId="4963" xr:uid="{A27FD8E1-3F68-40A8-839F-42F0BED10EEB}"/>
    <cellStyle name="Percent 2 2 3 3 4" xfId="1104" xr:uid="{D1860A29-6BD6-451F-A9B3-CEF347F16220}"/>
    <cellStyle name="Percent 2 2 3 3 4 2" xfId="4729" xr:uid="{AB15B365-FE2B-4AC8-BBA4-4B7ECB830B21}"/>
    <cellStyle name="Percent 2 2 3 3 5" xfId="4534" xr:uid="{B9652386-54DD-4B15-90D1-8CB50D3420FA}"/>
    <cellStyle name="Percent 2 2 3 4" xfId="962" xr:uid="{95D78603-66E8-4024-A783-3BEEEFD9FEC0}"/>
    <cellStyle name="Percent 2 2 3 4 2" xfId="1404" xr:uid="{3EAB58BA-5BA4-44A8-B4EE-E6301138CFFF}"/>
    <cellStyle name="Percent 2 2 3 4 2 2" xfId="5027" xr:uid="{DE0F6B6F-A409-4308-89B9-81FAEFBEF5B2}"/>
    <cellStyle name="Percent 2 2 3 4 3" xfId="1171" xr:uid="{F500D14E-AF25-4979-8E0F-8A6D777664FF}"/>
    <cellStyle name="Percent 2 2 3 4 3 2" xfId="4794" xr:uid="{C593A6EE-8E4A-4806-8EA9-D45941152AD6}"/>
    <cellStyle name="Percent 2 2 3 4 4" xfId="4593" xr:uid="{BF5D20FC-F362-4774-9E14-E00FABD33B35}"/>
    <cellStyle name="Percent 2 2 3 5" xfId="1288" xr:uid="{6B444173-8074-4761-BC65-0A84B7BA2D3D}"/>
    <cellStyle name="Percent 2 2 3 5 2" xfId="4911" xr:uid="{59A5A8BD-5172-4A89-825D-449EE98B87A2}"/>
    <cellStyle name="Percent 2 2 3 6" xfId="1051" xr:uid="{61119096-C3F9-47C9-872A-BABE34AA5001}"/>
    <cellStyle name="Percent 2 2 3 6 2" xfId="4677" xr:uid="{DD91DBA9-4FB3-4660-AEF0-455323A3C71B}"/>
    <cellStyle name="Percent 2 2 3 7" xfId="3286" xr:uid="{4618027D-2D5B-42E9-9281-31F55A37D13B}"/>
    <cellStyle name="Percent 2 2 3 8" xfId="4446" xr:uid="{D9A48914-5687-4BD5-9540-6E9092B74E5D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2 2 2" xfId="5093" xr:uid="{A423A6D7-59F2-4773-97C3-974AC23D854D}"/>
    <cellStyle name="Percent 2 2 4 2 2 3" xfId="4860" xr:uid="{AFCADE34-A551-4511-A75A-716B9981C205}"/>
    <cellStyle name="Percent 2 2 4 2 3" xfId="1354" xr:uid="{7EF0AEBC-96D9-464F-91AE-11582A21A53C}"/>
    <cellStyle name="Percent 2 2 4 2 3 2" xfId="4977" xr:uid="{590C678A-8082-48BE-9847-5195218707A3}"/>
    <cellStyle name="Percent 2 2 4 2 4" xfId="1118" xr:uid="{FEA682B3-D045-43DA-8BE3-B1C208A16ED9}"/>
    <cellStyle name="Percent 2 2 4 2 4 2" xfId="4743" xr:uid="{1EEA7C38-F500-410E-87B5-BEA2F5B9DA57}"/>
    <cellStyle name="Percent 2 2 4 2 5" xfId="4548" xr:uid="{106C9856-D507-4856-A613-9E490CEF979D}"/>
    <cellStyle name="Percent 2 2 4 3" xfId="976" xr:uid="{E82A8719-362B-4533-8AE7-243A3A10BCEB}"/>
    <cellStyle name="Percent 2 2 4 3 2" xfId="1414" xr:uid="{0D65EABF-9039-4F52-AAD7-86DA9F5E03E7}"/>
    <cellStyle name="Percent 2 2 4 3 2 2" xfId="5037" xr:uid="{975AC6FA-08A6-48A1-B294-A5832234EF98}"/>
    <cellStyle name="Percent 2 2 4 3 3" xfId="1181" xr:uid="{2027761D-7285-42B4-8E52-FD7608B4230C}"/>
    <cellStyle name="Percent 2 2 4 3 3 2" xfId="4804" xr:uid="{BF0C9DB0-F3AF-4B66-8DEE-105E8D1CA8FD}"/>
    <cellStyle name="Percent 2 2 4 3 4" xfId="4607" xr:uid="{55C8F640-06BF-402B-AA5E-729A2583B5AA}"/>
    <cellStyle name="Percent 2 2 4 4" xfId="1298" xr:uid="{3B1A5A77-BF21-48C5-B3F7-88AFD7439F34}"/>
    <cellStyle name="Percent 2 2 4 4 2" xfId="4921" xr:uid="{E82CC3AC-734E-4E48-93A1-5311517FEAC7}"/>
    <cellStyle name="Percent 2 2 4 5" xfId="1061" xr:uid="{9C590336-6991-43C1-88EC-9D1707BC96EC}"/>
    <cellStyle name="Percent 2 2 4 5 2" xfId="4687" xr:uid="{C47B0F76-521D-45BA-85BC-D87D63771DF2}"/>
    <cellStyle name="Percent 2 2 4 6" xfId="4464" xr:uid="{0DD2BED3-F634-4EA3-8494-E7A13B0881E3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2 2 2" xfId="5063" xr:uid="{BA26887E-01C5-422D-AEEF-333B9A7F99E4}"/>
    <cellStyle name="Percent 2 2 5 2 3" xfId="4830" xr:uid="{19068808-A1E2-4645-B2D7-6BEB0F8B6D95}"/>
    <cellStyle name="Percent 2 2 5 3" xfId="1324" xr:uid="{DCC78229-2BE3-40E8-84E4-1CBCF46CBB87}"/>
    <cellStyle name="Percent 2 2 5 3 2" xfId="4947" xr:uid="{932A667A-E079-4EBB-95AA-B91578BDAEE6}"/>
    <cellStyle name="Percent 2 2 5 4" xfId="1088" xr:uid="{CCBEFCB9-7912-450F-A502-47923A3928A2}"/>
    <cellStyle name="Percent 2 2 5 4 2" xfId="4713" xr:uid="{F571BF97-7DFD-4E8A-9DCB-ED18397E8D96}"/>
    <cellStyle name="Percent 2 2 5 5" xfId="4518" xr:uid="{DE3613C8-ADB7-4E35-9A67-CD229ADE7A84}"/>
    <cellStyle name="Percent 2 2 6" xfId="946" xr:uid="{9C4479DA-E787-427F-85A9-A4F58C5AAED7}"/>
    <cellStyle name="Percent 2 2 6 2" xfId="1388" xr:uid="{0668FD38-92E8-479D-86DA-C347453AA5FC}"/>
    <cellStyle name="Percent 2 2 6 2 2" xfId="5011" xr:uid="{9A5FCB9A-958A-4FCA-95B4-3842768F9676}"/>
    <cellStyle name="Percent 2 2 6 3" xfId="1155" xr:uid="{C3634280-881D-4D54-AFF1-030BE9D03180}"/>
    <cellStyle name="Percent 2 2 6 3 2" xfId="4778" xr:uid="{F481D391-15DB-4A6D-9072-BDF222F2BE99}"/>
    <cellStyle name="Percent 2 2 6 4" xfId="4577" xr:uid="{4281312B-C345-4253-93CB-EC1D7D02C9F3}"/>
    <cellStyle name="Percent 2 2 7" xfId="1272" xr:uid="{EDC9D8FF-2B90-40E7-A280-8190504072A1}"/>
    <cellStyle name="Percent 2 2 7 2" xfId="4895" xr:uid="{B5F62DAE-ED45-4D1F-9EBE-AE83720E54C5}"/>
    <cellStyle name="Percent 2 2 8" xfId="1035" xr:uid="{F1CC9E9A-C24E-4D2A-AF01-744365E7B526}"/>
    <cellStyle name="Percent 2 2 8 2" xfId="4661" xr:uid="{4379623E-AD74-4E13-8879-E87F3517F96C}"/>
    <cellStyle name="Percent 2 2 9" xfId="3284" xr:uid="{F94258B5-51B8-4F77-BE3D-C0F6670D60AA}"/>
    <cellStyle name="Percent 2 2 9 2" xfId="5182" xr:uid="{CD16EAB8-C5B1-4455-9746-AD6D90278A6E}"/>
    <cellStyle name="Percent 2 3" xfId="715" xr:uid="{957618BB-BB17-4599-B407-40F2504A0070}"/>
    <cellStyle name="Percent 2 3 10" xfId="4431" xr:uid="{4542AB5E-2E25-4A48-AAC8-D64A1A389144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2 2 2" xfId="5102" xr:uid="{4607356F-87FB-49D8-AC51-583969051A13}"/>
    <cellStyle name="Percent 2 3 2 2 2 2 3" xfId="4869" xr:uid="{C80D16C3-C0A2-442D-BF93-7E357A8A13B6}"/>
    <cellStyle name="Percent 2 3 2 2 2 3" xfId="1363" xr:uid="{8D03E115-34CE-4D64-93FD-487BF1B13253}"/>
    <cellStyle name="Percent 2 3 2 2 2 3 2" xfId="4986" xr:uid="{BA08733E-9C24-4666-A28E-EEEC679D99E9}"/>
    <cellStyle name="Percent 2 3 2 2 2 4" xfId="1127" xr:uid="{2FDBD90E-2E53-432D-97D4-96D689759883}"/>
    <cellStyle name="Percent 2 3 2 2 2 4 2" xfId="4752" xr:uid="{98F70A8F-84D3-4BE7-8CB9-5E89BC6F53EF}"/>
    <cellStyle name="Percent 2 3 2 2 2 5" xfId="4557" xr:uid="{045AE1F2-93D8-4099-9DA8-4FF2DAD6B347}"/>
    <cellStyle name="Percent 2 3 2 2 3" xfId="985" xr:uid="{BB0FB4EE-AE37-4CB9-B3E3-60A6A3E7CA87}"/>
    <cellStyle name="Percent 2 3 2 2 3 2" xfId="1423" xr:uid="{F64ED0DD-0205-438D-B588-ECE37A6A79A6}"/>
    <cellStyle name="Percent 2 3 2 2 3 2 2" xfId="5046" xr:uid="{E78A3A6A-28CD-4244-9595-0A39C3B0EA78}"/>
    <cellStyle name="Percent 2 3 2 2 3 3" xfId="1190" xr:uid="{45DA7050-7CA6-4E37-883F-A7FA850BCBAA}"/>
    <cellStyle name="Percent 2 3 2 2 3 3 2" xfId="4813" xr:uid="{9BEF17C2-8C54-4763-9101-4D8FB0A6E1B8}"/>
    <cellStyle name="Percent 2 3 2 2 3 4" xfId="4616" xr:uid="{22BC7A28-DB67-4550-B919-506A5E332FF6}"/>
    <cellStyle name="Percent 2 3 2 2 4" xfId="1307" xr:uid="{85CC6D77-C8BF-4997-856A-36C792984BC9}"/>
    <cellStyle name="Percent 2 3 2 2 4 2" xfId="4930" xr:uid="{C4FA0BD9-D905-49CA-8259-C82372498121}"/>
    <cellStyle name="Percent 2 3 2 2 5" xfId="1070" xr:uid="{01CD960F-60E3-4B38-A068-DBECC530CCCB}"/>
    <cellStyle name="Percent 2 3 2 2 5 2" xfId="4696" xr:uid="{5BD10F80-4CD8-4325-8354-3CB4C8677114}"/>
    <cellStyle name="Percent 2 3 2 2 6" xfId="4045" xr:uid="{90434B83-3AF3-4CC7-A5DB-5D412721197F}"/>
    <cellStyle name="Percent 2 3 2 2 7" xfId="4473" xr:uid="{8520E7D3-AC3D-428F-BAC5-F8EEE8F5AA61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2 2 2" xfId="5072" xr:uid="{62F7A815-5562-4996-B18E-34E937B7EED4}"/>
    <cellStyle name="Percent 2 3 2 3 2 3" xfId="4839" xr:uid="{7C962127-90F5-4556-B5E6-8E12E8407EE4}"/>
    <cellStyle name="Percent 2 3 2 3 3" xfId="1333" xr:uid="{47773169-E417-4DD5-BE8E-B367EAAC66B7}"/>
    <cellStyle name="Percent 2 3 2 3 3 2" xfId="4956" xr:uid="{7DA516E7-FE00-4F62-B6BA-454DA2FA6DE5}"/>
    <cellStyle name="Percent 2 3 2 3 4" xfId="1097" xr:uid="{2F36AFF0-A868-453E-9820-59363BF4605B}"/>
    <cellStyle name="Percent 2 3 2 3 4 2" xfId="4722" xr:uid="{2B965A72-33F4-4DFD-BF7C-5FEA268EC3AD}"/>
    <cellStyle name="Percent 2 3 2 3 5" xfId="4527" xr:uid="{8D2BEA2C-AA43-4317-965D-B5CB3792FD46}"/>
    <cellStyle name="Percent 2 3 2 4" xfId="955" xr:uid="{85BACFE1-8D9D-4C9D-B21D-8006B00DF0A3}"/>
    <cellStyle name="Percent 2 3 2 4 2" xfId="1397" xr:uid="{DA623913-9CF7-4071-A1B8-267A5DDBF6F8}"/>
    <cellStyle name="Percent 2 3 2 4 2 2" xfId="5020" xr:uid="{DFD54E3C-31D5-4489-BFBE-00C66F4A0EBD}"/>
    <cellStyle name="Percent 2 3 2 4 3" xfId="1164" xr:uid="{C90ECF37-3C70-4B50-A8A5-16B86102142B}"/>
    <cellStyle name="Percent 2 3 2 4 3 2" xfId="4787" xr:uid="{EEC95741-6B17-41BF-B058-8B5F1BBAAE41}"/>
    <cellStyle name="Percent 2 3 2 4 4" xfId="4586" xr:uid="{3C5A791B-0093-4ECE-8755-8B6483D3DC0D}"/>
    <cellStyle name="Percent 2 3 2 5" xfId="1281" xr:uid="{7801F8DD-CD8B-4ECF-AEE1-D2B6A7D3CE61}"/>
    <cellStyle name="Percent 2 3 2 5 2" xfId="4904" xr:uid="{AB88F5F9-F987-4C72-92BF-605EE175F242}"/>
    <cellStyle name="Percent 2 3 2 6" xfId="1044" xr:uid="{25644436-848F-4D06-8082-AC8096CEBBAB}"/>
    <cellStyle name="Percent 2 3 2 6 2" xfId="4670" xr:uid="{C203E39E-8242-43D8-80CD-0FA871A3C932}"/>
    <cellStyle name="Percent 2 3 2 7" xfId="3288" xr:uid="{3B275C6E-D372-495A-8C1F-0B9D60C77DAE}"/>
    <cellStyle name="Percent 2 3 2 8" xfId="4439" xr:uid="{5D09B214-184B-4462-9B95-3CDDF2E1BDB4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2 2 2" xfId="5110" xr:uid="{8E48C590-B9D2-40C1-8403-BD52FE489CBD}"/>
    <cellStyle name="Percent 2 3 3 2 2 2 3" xfId="4877" xr:uid="{4D013C06-90DD-45C1-80F4-5AF73B22BD11}"/>
    <cellStyle name="Percent 2 3 3 2 2 3" xfId="1371" xr:uid="{D30FF093-2737-41F8-8E8F-A19BC2F3774D}"/>
    <cellStyle name="Percent 2 3 3 2 2 3 2" xfId="4994" xr:uid="{4E993978-CB9D-4E03-BE1E-928F0F8E5D8F}"/>
    <cellStyle name="Percent 2 3 3 2 2 4" xfId="1135" xr:uid="{CFAE250A-5ACB-45AE-800B-4ECD631A2251}"/>
    <cellStyle name="Percent 2 3 3 2 2 4 2" xfId="4760" xr:uid="{1CB7B953-8062-415E-828B-A6F2B544AA43}"/>
    <cellStyle name="Percent 2 3 3 2 2 5" xfId="4565" xr:uid="{14BA04A5-4AEE-483C-B51D-110A5CF4D5C4}"/>
    <cellStyle name="Percent 2 3 3 2 3" xfId="993" xr:uid="{1D9A29FE-9C6E-46DC-9A77-B89E3F3CBDAB}"/>
    <cellStyle name="Percent 2 3 3 2 3 2" xfId="1431" xr:uid="{010D03B1-4B47-44DA-A3AE-EB8FDDD30EC5}"/>
    <cellStyle name="Percent 2 3 3 2 3 2 2" xfId="5054" xr:uid="{18B89BC8-368F-40F6-A40E-E1BC9D50844B}"/>
    <cellStyle name="Percent 2 3 3 2 3 3" xfId="1198" xr:uid="{41DCA3EF-8577-4C49-953F-C059C10267E5}"/>
    <cellStyle name="Percent 2 3 3 2 3 3 2" xfId="4821" xr:uid="{A09D39D3-2D4E-47DD-9618-B9F1296509C8}"/>
    <cellStyle name="Percent 2 3 3 2 3 4" xfId="4624" xr:uid="{65C5D562-AC90-4F0A-8208-C8832E5EA3C9}"/>
    <cellStyle name="Percent 2 3 3 2 4" xfId="1315" xr:uid="{F63763CF-C887-48B4-A431-E5E833571B72}"/>
    <cellStyle name="Percent 2 3 3 2 4 2" xfId="4938" xr:uid="{AB9CAEAB-38E4-4085-A7D9-647077028111}"/>
    <cellStyle name="Percent 2 3 3 2 5" xfId="1078" xr:uid="{748DDF15-5AF1-41A0-9367-3E4D45F8D759}"/>
    <cellStyle name="Percent 2 3 3 2 5 2" xfId="4704" xr:uid="{0A82C957-1AC2-453B-97C4-1A40318005F3}"/>
    <cellStyle name="Percent 2 3 3 2 6" xfId="4481" xr:uid="{46EEC8C6-1A04-4760-96C3-E8756963A212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2 2 2" xfId="5080" xr:uid="{7FBEA244-D7A8-4A9A-B8AB-92BC7D96574E}"/>
    <cellStyle name="Percent 2 3 3 3 2 3" xfId="4847" xr:uid="{39810182-25F0-41B4-97D1-709295B3AB9E}"/>
    <cellStyle name="Percent 2 3 3 3 3" xfId="1341" xr:uid="{4972E8A8-9A4C-4A17-BD8A-4949B375C5C0}"/>
    <cellStyle name="Percent 2 3 3 3 3 2" xfId="4964" xr:uid="{8C972208-E15B-46EF-AD3C-7B0A52D21C4A}"/>
    <cellStyle name="Percent 2 3 3 3 4" xfId="1105" xr:uid="{165CE284-A2FC-49C7-B2B5-59C4B3A90D7E}"/>
    <cellStyle name="Percent 2 3 3 3 4 2" xfId="4730" xr:uid="{74483092-FF46-4572-AD04-31D1A1E292FA}"/>
    <cellStyle name="Percent 2 3 3 3 5" xfId="4535" xr:uid="{88371A22-4A47-441D-8A0C-17D686128912}"/>
    <cellStyle name="Percent 2 3 3 4" xfId="963" xr:uid="{D211CE6A-38EE-4318-B1FA-11236953FD93}"/>
    <cellStyle name="Percent 2 3 3 4 2" xfId="1405" xr:uid="{1F8B2815-722A-4306-8EA5-152EC4C53F99}"/>
    <cellStyle name="Percent 2 3 3 4 2 2" xfId="5028" xr:uid="{2EED7B66-B1A2-4E55-B5E5-9E8403B63B08}"/>
    <cellStyle name="Percent 2 3 3 4 3" xfId="1172" xr:uid="{9A17229A-0A23-42FB-A386-6025C0AF1AA0}"/>
    <cellStyle name="Percent 2 3 3 4 3 2" xfId="4795" xr:uid="{A03FA0F2-313F-4678-A084-D9D1787997E0}"/>
    <cellStyle name="Percent 2 3 3 4 4" xfId="4594" xr:uid="{7C7AC0FF-31B2-452D-8667-EC0D05EF7C98}"/>
    <cellStyle name="Percent 2 3 3 5" xfId="1289" xr:uid="{B69FA835-8DA6-4470-B8B5-4F2EC6C92574}"/>
    <cellStyle name="Percent 2 3 3 5 2" xfId="4912" xr:uid="{1FF8A7AA-7064-46AE-B776-63A4F14E2712}"/>
    <cellStyle name="Percent 2 3 3 6" xfId="1052" xr:uid="{4229D542-344F-4FED-9745-1DCB82C2A25B}"/>
    <cellStyle name="Percent 2 3 3 6 2" xfId="4678" xr:uid="{AF430A81-7E4B-4BBF-941C-5847EA1DBF5A}"/>
    <cellStyle name="Percent 2 3 3 7" xfId="4447" xr:uid="{03D31EFE-914F-4E67-9B26-4B1C4D5E588F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2 2 2" xfId="5094" xr:uid="{D67C5096-4326-4068-97FC-04FCB6C6C57C}"/>
    <cellStyle name="Percent 2 3 4 2 2 3" xfId="4861" xr:uid="{0230E1CD-BF07-4BA6-BF68-FA2700AB3F01}"/>
    <cellStyle name="Percent 2 3 4 2 3" xfId="1355" xr:uid="{1753C37D-B412-4B6E-89EA-CA9A85CB8A9C}"/>
    <cellStyle name="Percent 2 3 4 2 3 2" xfId="4978" xr:uid="{61647D41-31B7-4D4B-BDFF-BC20CDBEF3DC}"/>
    <cellStyle name="Percent 2 3 4 2 4" xfId="1119" xr:uid="{FA2C178F-FECC-4FF1-B1CF-092C95D56237}"/>
    <cellStyle name="Percent 2 3 4 2 4 2" xfId="4744" xr:uid="{580D12B4-D69A-4247-AAEE-1E4CC8991F7D}"/>
    <cellStyle name="Percent 2 3 4 2 5" xfId="4549" xr:uid="{4FB13F70-9551-4D6A-A97F-26C56E747CB1}"/>
    <cellStyle name="Percent 2 3 4 3" xfId="977" xr:uid="{15CDCB16-6A58-45E5-98A8-0FB701935A23}"/>
    <cellStyle name="Percent 2 3 4 3 2" xfId="1415" xr:uid="{40D3D8C4-31D1-4158-950F-E62F909951EC}"/>
    <cellStyle name="Percent 2 3 4 3 2 2" xfId="5038" xr:uid="{97F4EF83-EEBA-44C8-9284-79A294ACBA30}"/>
    <cellStyle name="Percent 2 3 4 3 3" xfId="1182" xr:uid="{8BF9878D-6AD9-4640-86F8-6381C4488A5E}"/>
    <cellStyle name="Percent 2 3 4 3 3 2" xfId="4805" xr:uid="{AABDB2CA-F02E-4FB3-9DA4-F5E8B8906D04}"/>
    <cellStyle name="Percent 2 3 4 3 4" xfId="4608" xr:uid="{32EC7D37-2441-46F5-9A8C-312B4F2077AC}"/>
    <cellStyle name="Percent 2 3 4 4" xfId="1299" xr:uid="{EA845108-13B8-4213-8F1E-022A1DFBE373}"/>
    <cellStyle name="Percent 2 3 4 4 2" xfId="4922" xr:uid="{ABEBB792-CB99-4979-A164-C4001E44449E}"/>
    <cellStyle name="Percent 2 3 4 5" xfId="1062" xr:uid="{585185B1-1F12-41A8-8768-5FF189C2F07A}"/>
    <cellStyle name="Percent 2 3 4 5 2" xfId="4688" xr:uid="{595505CC-98FE-45A8-A5D7-2AA719F4EBB9}"/>
    <cellStyle name="Percent 2 3 4 6" xfId="4465" xr:uid="{4438BCEF-4D5A-45D2-8EC5-02548230938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2 2 2" xfId="5064" xr:uid="{FD39F7C7-02B2-4F86-A7A0-7D0A89C20EBC}"/>
    <cellStyle name="Percent 2 3 5 2 3" xfId="4831" xr:uid="{1960C257-EDB7-45FA-8625-9651C8654F66}"/>
    <cellStyle name="Percent 2 3 5 3" xfId="1325" xr:uid="{D6D89290-7914-4588-AA44-ED4448B728D9}"/>
    <cellStyle name="Percent 2 3 5 3 2" xfId="4948" xr:uid="{577D3BB8-0E64-48CF-8D40-510B4531093C}"/>
    <cellStyle name="Percent 2 3 5 4" xfId="1089" xr:uid="{8F0C975D-EACE-4C08-A195-E228E14156E8}"/>
    <cellStyle name="Percent 2 3 5 4 2" xfId="4714" xr:uid="{6B43EBB7-B8D2-42E1-A5BF-42B412EDEA37}"/>
    <cellStyle name="Percent 2 3 5 5" xfId="4519" xr:uid="{E4ECD4D2-DD33-4FF4-A6E1-B00F54E4FA87}"/>
    <cellStyle name="Percent 2 3 6" xfId="947" xr:uid="{3B956D36-FB19-4557-8C02-9B43DC27B55B}"/>
    <cellStyle name="Percent 2 3 6 2" xfId="1389" xr:uid="{E2417F6D-06E6-4402-A2F3-3C36E3214CEE}"/>
    <cellStyle name="Percent 2 3 6 2 2" xfId="5012" xr:uid="{E8E73AEE-D88C-4F13-8C5C-489D30E543D2}"/>
    <cellStyle name="Percent 2 3 6 3" xfId="1156" xr:uid="{BD8B0B01-D36E-4B3B-BCF0-186DC0A359ED}"/>
    <cellStyle name="Percent 2 3 6 3 2" xfId="4779" xr:uid="{8D8E54AC-CD64-4AE0-97AA-47E2E39B20ED}"/>
    <cellStyle name="Percent 2 3 6 4" xfId="4578" xr:uid="{F143117C-7FBC-4AE6-AD54-C30E31F932A8}"/>
    <cellStyle name="Percent 2 3 7" xfId="1273" xr:uid="{1E4F2552-9B0C-4E02-AD0B-3FA68BA722F5}"/>
    <cellStyle name="Percent 2 3 7 2" xfId="4896" xr:uid="{C07B7E08-759E-4B6F-A71B-FCE12654FEB8}"/>
    <cellStyle name="Percent 2 3 8" xfId="1036" xr:uid="{504F4993-2E2D-41CB-A02A-94ACD62B22AD}"/>
    <cellStyle name="Percent 2 3 8 2" xfId="4662" xr:uid="{6EC53F87-6226-463C-AC9A-8DFD7419FCF5}"/>
    <cellStyle name="Percent 2 3 9" xfId="3287" xr:uid="{A1F1DCAE-EBDC-405D-BB12-CC1F1424DB73}"/>
    <cellStyle name="Percent 2 3 9 2" xfId="5214" xr:uid="{DA4785E6-5F70-42EF-9DE5-111E6ABE6E06}"/>
    <cellStyle name="Percent 2 4" xfId="1491" xr:uid="{63A4295F-CB30-4A18-B766-1E2FF7F4C0D1}"/>
    <cellStyle name="Percent 2 5" xfId="660" xr:uid="{4942AEF8-1E46-4CCB-B071-0521E2369A69}"/>
    <cellStyle name="Percent 2 5 2" xfId="4046" xr:uid="{A5D86CA9-8011-48BA-8C0B-FB67B1D08F7F}"/>
    <cellStyle name="Percent 2 5 3" xfId="3289" xr:uid="{78BFD021-87DB-462C-B0BF-D367199DA1DB}"/>
    <cellStyle name="Percent 2 6" xfId="3290" xr:uid="{91914177-75E8-4C8A-A058-88DB36B318CD}"/>
    <cellStyle name="Percent 2 6 2" xfId="5149" xr:uid="{BF0DA203-08DD-4DE1-B9B5-6DC48C67D48B}"/>
    <cellStyle name="Percent 2 7" xfId="5261" xr:uid="{52BB6057-E822-4EFE-88A7-78EE879F39C7}"/>
    <cellStyle name="Percent 2 8" xfId="4338" xr:uid="{A4BE2534-5DE1-4CBD-AC3D-56354D231335}"/>
    <cellStyle name="Percent 20" xfId="995" xr:uid="{88286FDA-7BF1-4A87-994E-478ECAFFCA49}"/>
    <cellStyle name="Percent 20 2" xfId="3292" xr:uid="{226FAFBA-70EF-4143-A48A-D4C80528B56B}"/>
    <cellStyle name="Percent 20 2 2" xfId="4047" xr:uid="{C1BD5C73-511C-4783-8661-B63F08B589D7}"/>
    <cellStyle name="Percent 20 2 3" xfId="4626" xr:uid="{16550BA2-45E9-49E2-912E-C77C5B874A4F}"/>
    <cellStyle name="Percent 20 3" xfId="3293" xr:uid="{7E76B0C2-B529-4492-9FC1-CFCCC03B5DA2}"/>
    <cellStyle name="Percent 20 4" xfId="3291" xr:uid="{D6635231-A2C2-45CC-8F7E-26B8DCA4CFD8}"/>
    <cellStyle name="Percent 20 5" xfId="4218" xr:uid="{24C35711-D40A-4269-9487-209B420EE957}"/>
    <cellStyle name="Percent 21" xfId="997" xr:uid="{DF070F17-16A0-4CF6-8DC2-A1F7AEF91A35}"/>
    <cellStyle name="Percent 21 2" xfId="3295" xr:uid="{2DC3DE37-7A59-441B-B67A-515D9F80C5DE}"/>
    <cellStyle name="Percent 21 2 2" xfId="4628" xr:uid="{0DD862E4-EF87-4514-BEB8-7469FFEBC4B3}"/>
    <cellStyle name="Percent 21 3" xfId="3294" xr:uid="{B60BA67A-A3BD-4895-874C-0600DA9B64C7}"/>
    <cellStyle name="Percent 21 4" xfId="4221" xr:uid="{34BA8C4C-5FAC-41E7-AA86-A46FAAC66734}"/>
    <cellStyle name="Percent 22" xfId="1008" xr:uid="{072A6A8E-01B0-4277-9BF1-06FF2876414E}"/>
    <cellStyle name="Percent 22 2" xfId="3297" xr:uid="{10C2BBD6-F4F6-4DDA-ADE2-B55C0EB58B41}"/>
    <cellStyle name="Percent 22 2 2" xfId="4636" xr:uid="{14F3EBEB-4C29-4F47-B8D7-3FA2532D69B3}"/>
    <cellStyle name="Percent 22 3" xfId="3296" xr:uid="{AB4CC4C4-4677-4AFF-9D66-B0CD8F601C86}"/>
    <cellStyle name="Percent 22 4" xfId="4222" xr:uid="{1B508742-9FEA-4F90-98B4-8E5E1C98B1C9}"/>
    <cellStyle name="Percent 23" xfId="1492" xr:uid="{59092509-D486-4035-A998-EF1E88800E41}"/>
    <cellStyle name="Percent 23 2" xfId="3299" xr:uid="{A1B6BFFA-65EF-436A-A1CC-EEC5A9BB2E83}"/>
    <cellStyle name="Percent 23 2 2" xfId="5114" xr:uid="{47E7E7B8-DEEE-4635-8BD0-806294C843B7}"/>
    <cellStyle name="Percent 23 3" xfId="3298" xr:uid="{9DD8EA37-CCE7-4490-8B93-94602B3FEA40}"/>
    <cellStyle name="Percent 23 4" xfId="4223" xr:uid="{8108016F-8E8D-4697-8948-2165952E8224}"/>
    <cellStyle name="Percent 24" xfId="1011" xr:uid="{E2BF0BF1-3FF5-4A5B-B1B1-5DE1DD784078}"/>
    <cellStyle name="Percent 24 2" xfId="3301" xr:uid="{4AAB44A6-7D77-40C4-ACFE-2466C4092440}"/>
    <cellStyle name="Percent 24 2 2" xfId="4639" xr:uid="{8F00DA15-2715-4964-A92C-2FEE6FE81EB0}"/>
    <cellStyle name="Percent 24 3" xfId="3300" xr:uid="{1C0DDC02-FBA3-46AA-93D2-2451A7B38D62}"/>
    <cellStyle name="Percent 24 4" xfId="4224" xr:uid="{EA33A623-A062-40ED-A7A2-3F4414F3DDA8}"/>
    <cellStyle name="Percent 25" xfId="1494" xr:uid="{0ADD595E-96F4-45BC-9CFA-23D5819380C5}"/>
    <cellStyle name="Percent 25 2" xfId="3303" xr:uid="{8FC6FFFA-E09F-475C-9384-B30117FB5CC8}"/>
    <cellStyle name="Percent 25 2 2" xfId="5115" xr:uid="{2DC03EE3-0C62-4EBC-BB4C-755481F77942}"/>
    <cellStyle name="Percent 25 3" xfId="3302" xr:uid="{886E21D6-9CF6-4AD6-98FF-A61EA5AD5E4C}"/>
    <cellStyle name="Percent 25 4" xfId="4225" xr:uid="{458D27E3-D57A-41FC-8F82-D83A632638A7}"/>
    <cellStyle name="Percent 26" xfId="1021" xr:uid="{152B16FB-9AAC-47DA-BB25-B6E03715D3AB}"/>
    <cellStyle name="Percent 26 2" xfId="3305" xr:uid="{CFBFF4FE-F1CF-4B36-BC0B-D4249CF2E6B3}"/>
    <cellStyle name="Percent 26 2 2" xfId="4648" xr:uid="{31099C35-4392-47A4-9670-0BB1D017E37C}"/>
    <cellStyle name="Percent 26 3" xfId="3304" xr:uid="{808FE60B-7546-4224-88B3-39E65ABFEAA2}"/>
    <cellStyle name="Percent 26 4" xfId="4226" xr:uid="{AC9DC779-05E4-4379-B229-390E90B88D34}"/>
    <cellStyle name="Percent 27" xfId="998" xr:uid="{B053958A-9854-45B4-932F-35BD075BE6CC}"/>
    <cellStyle name="Percent 27 2" xfId="3307" xr:uid="{8C3171DD-77E2-4829-8B98-B069E5EEC20B}"/>
    <cellStyle name="Percent 27 2 2" xfId="4629" xr:uid="{BC73B338-F391-4319-92CF-B1580AA8C61D}"/>
    <cellStyle name="Percent 27 3" xfId="3306" xr:uid="{C9EBF182-5265-42D5-80AB-7C089A4849CD}"/>
    <cellStyle name="Percent 27 4" xfId="4227" xr:uid="{ABF5E1D4-D279-41E6-A17B-649F7A137462}"/>
    <cellStyle name="Percent 28" xfId="1007" xr:uid="{CA176766-B462-4A0E-8185-4B333BBC4162}"/>
    <cellStyle name="Percent 28 2" xfId="3309" xr:uid="{4CDD1EDF-78DB-49F9-AA7A-1A3B52133787}"/>
    <cellStyle name="Percent 28 2 2" xfId="4635" xr:uid="{7EB4224C-F38F-4B4C-B367-6AAFB8C03AE2}"/>
    <cellStyle name="Percent 28 3" xfId="3308" xr:uid="{32BE9B13-A046-4141-8C0D-B65022B8CA5D}"/>
    <cellStyle name="Percent 28 4" xfId="4228" xr:uid="{2D4A3CB5-56EE-485D-99FB-6B26E1272861}"/>
    <cellStyle name="Percent 29" xfId="1496" xr:uid="{E80A7E8B-47C6-4E4B-AF4D-7F99345B9FDD}"/>
    <cellStyle name="Percent 29 2" xfId="3311" xr:uid="{5660F009-1A1C-4C7B-8AD2-2F61ADE2D6F8}"/>
    <cellStyle name="Percent 29 2 2" xfId="5117" xr:uid="{31589A46-9AC9-4DE6-961B-BDFFC0F1486A}"/>
    <cellStyle name="Percent 29 3" xfId="3310" xr:uid="{5FBE4E40-484F-4FCE-8695-EF852F46E23B}"/>
    <cellStyle name="Percent 29 4" xfId="4229" xr:uid="{0F2514B6-0C80-4BC8-B14F-7B8FAC6E6AFA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4048" xr:uid="{4E990AB9-5AEA-4728-8F54-5CB153FFE95F}"/>
    <cellStyle name="Percent 3 2 2 2 2" xfId="5195" xr:uid="{0D4498CE-FA67-4C02-AA54-23F6DBFAAC8F}"/>
    <cellStyle name="Percent 3 2 2 3" xfId="3313" xr:uid="{73AB70EB-B086-4749-8EA3-54EB2E9142F5}"/>
    <cellStyle name="Percent 3 2 2 3 2" xfId="4504" xr:uid="{673D07C1-7A6A-4362-9DDE-C1D4638DD3CA}"/>
    <cellStyle name="Percent 3 2 2 4" xfId="4196" xr:uid="{B18ADFE5-2B3A-43EC-BE77-C7236E9DC2D4}"/>
    <cellStyle name="Percent 3 2 3" xfId="99" xr:uid="{00000000-0005-0000-0000-00005C000000}"/>
    <cellStyle name="Percent 3 2 3 2" xfId="3314" xr:uid="{73BA7E39-26CC-4147-83A4-DA529911B4EB}"/>
    <cellStyle name="Percent 3 2 3 2 2" xfId="5224" xr:uid="{A513E9E5-12A3-48A4-8E6A-92D1B09281B3}"/>
    <cellStyle name="Percent 3 2 3 3" xfId="4345" xr:uid="{144B2356-3A42-4040-BC66-4B718E07594A}"/>
    <cellStyle name="Percent 3 2 4" xfId="711" xr:uid="{CFAB68E3-4DA1-4B36-806A-2EF59B608AF7}"/>
    <cellStyle name="Percent 3 2 5" xfId="3312" xr:uid="{DD200D22-BFC0-49BE-B646-977ECCF55662}"/>
    <cellStyle name="Percent 3 2 5 2" xfId="5160" xr:uid="{875BA24B-FD89-45B1-856F-B494AFCC4383}"/>
    <cellStyle name="Percent 3 2 6" xfId="5263" xr:uid="{92FB91AE-6B06-44F6-9230-C2323882BCF8}"/>
    <cellStyle name="Percent 3 2 7" xfId="4340" xr:uid="{8ED8A4BA-BBB6-4831-A2E2-70FDEF082F23}"/>
    <cellStyle name="Percent 3 2 8" xfId="4103" xr:uid="{71427CB2-26A4-4869-820A-19169ED3F18D}"/>
    <cellStyle name="Percent 3 3" xfId="735" xr:uid="{B1055DFC-E471-4EEA-9D50-1A88F26CD4BA}"/>
    <cellStyle name="Percent 3 3 2" xfId="3316" xr:uid="{0C3C26C2-DC15-4FBD-AC9C-4A127343CDE1}"/>
    <cellStyle name="Percent 3 3 2 2" xfId="4049" xr:uid="{4DF4243E-2231-4919-9F64-F8BE20A18514}"/>
    <cellStyle name="Percent 3 3 2 3" xfId="5185" xr:uid="{E9574F80-ED1B-4CA4-8640-F54A5AFF82E1}"/>
    <cellStyle name="Percent 3 3 3" xfId="3315" xr:uid="{C942A3C8-A903-43EF-BDCC-455028F4B8E6}"/>
    <cellStyle name="Percent 3 3 3 2" xfId="4451" xr:uid="{21207CA4-6244-4B1A-81D1-FFC5801F412B}"/>
    <cellStyle name="Percent 3 3 4" xfId="4192" xr:uid="{AD9A6D58-5902-414C-B1F9-8974302878D9}"/>
    <cellStyle name="Percent 3 4" xfId="842" xr:uid="{18429C23-B04A-4925-B20D-809EF7B2CD13}"/>
    <cellStyle name="Percent 3 4 2" xfId="3318" xr:uid="{9CD2A593-D719-42B0-8DAB-B7112F478CEB}"/>
    <cellStyle name="Percent 3 4 2 2" xfId="5217" xr:uid="{61D31798-0125-417D-8BF6-4208CB898C6E}"/>
    <cellStyle name="Percent 3 4 3" xfId="3317" xr:uid="{7AE79392-C956-4886-8834-4F6597EE57E9}"/>
    <cellStyle name="Percent 3 4 4" xfId="4500" xr:uid="{CBBCABB2-FA68-4F56-AE8B-BC05480A206D}"/>
    <cellStyle name="Percent 3 5" xfId="661" xr:uid="{4A961E52-7858-4D07-90B6-5933D4465ABC}"/>
    <cellStyle name="Percent 3 6" xfId="3319" xr:uid="{F284BB3A-4EC9-4BF4-A0D4-4C32DCE2B0A9}"/>
    <cellStyle name="Percent 3 6 2" xfId="4050" xr:uid="{8A67F1ED-7F5C-4785-9642-5635EE852A47}"/>
    <cellStyle name="Percent 3 6 3" xfId="5152" xr:uid="{484F175B-5F85-4A46-8D0B-88A9EC693C8E}"/>
    <cellStyle name="Percent 3 7" xfId="3320" xr:uid="{00875B2E-8BB2-4BC8-8BF9-C90CA7ED2A34}"/>
    <cellStyle name="Percent 3 7 2" xfId="5262" xr:uid="{DADCCF8E-1481-48D8-9848-2A54F0A55E1E}"/>
    <cellStyle name="Percent 3 8" xfId="4339" xr:uid="{8F05F7DD-2DFD-4D9A-92E7-6DB9A3F9FE79}"/>
    <cellStyle name="Percent 3 9" xfId="4097" xr:uid="{9875A324-89BA-46F9-9586-2273D49F8F20}"/>
    <cellStyle name="Percent 30" xfId="1018" xr:uid="{F10D3621-BAA6-4330-8044-79E95329A343}"/>
    <cellStyle name="Percent 30 2" xfId="3322" xr:uid="{B2B7DB1E-7C31-47AF-8E96-E23C9C404561}"/>
    <cellStyle name="Percent 30 2 2" xfId="4645" xr:uid="{45EEAEF3-95B5-421F-A06C-43D2E44845A4}"/>
    <cellStyle name="Percent 30 3" xfId="3321" xr:uid="{BBA77599-F8B7-481D-9046-F9C8170DC507}"/>
    <cellStyle name="Percent 30 4" xfId="4267" xr:uid="{5558C4C8-2531-4EDD-92D9-7E8378151B1B}"/>
    <cellStyle name="Percent 31" xfId="1020" xr:uid="{3E4921C8-B9E3-47DF-8C3B-46F7F146FFFC}"/>
    <cellStyle name="Percent 31 2" xfId="3324" xr:uid="{2DDC04E1-5390-477F-A942-EFC3F82AED82}"/>
    <cellStyle name="Percent 31 2 2" xfId="4647" xr:uid="{FAE3B4B7-81C9-4A72-8F59-226A4D104F49}"/>
    <cellStyle name="Percent 31 3" xfId="3323" xr:uid="{518DBB1A-CDC5-49B0-B0F1-0DA8270A71DE}"/>
    <cellStyle name="Percent 31 4" xfId="4304" xr:uid="{BE1F7CDB-C6FA-43BC-A5C4-AEE6268AD70F}"/>
    <cellStyle name="Percent 32" xfId="1009" xr:uid="{9617C96B-923A-46D2-BD6C-665997BF16C1}"/>
    <cellStyle name="Percent 32 2" xfId="3326" xr:uid="{67970CCD-2365-40FF-93FD-688338F3A48D}"/>
    <cellStyle name="Percent 32 2 2" xfId="4637" xr:uid="{1324C52F-112D-488A-8411-DC207C4679B7}"/>
    <cellStyle name="Percent 32 3" xfId="3325" xr:uid="{2331179D-356E-42D6-8857-087CD70F5B5F}"/>
    <cellStyle name="Percent 32 4" xfId="4076" xr:uid="{066BD079-FE30-44F8-AB92-46AC75D49154}"/>
    <cellStyle name="Percent 33" xfId="1495" xr:uid="{BDCA4C26-8227-48E4-8115-35D488F4B99B}"/>
    <cellStyle name="Percent 33 2" xfId="3328" xr:uid="{FCB561A8-5FCB-4A70-88F3-BC5D40BA996A}"/>
    <cellStyle name="Percent 33 2 2" xfId="5116" xr:uid="{9DC7E278-C2EE-4789-BB81-F4D543B33AF4}"/>
    <cellStyle name="Percent 33 3" xfId="3327" xr:uid="{F2F71E8C-C212-4BF8-9335-76C601B1CE29}"/>
    <cellStyle name="Percent 33 4" xfId="4305" xr:uid="{6D29FF77-CD27-4EEE-A46C-46BC9123E1FD}"/>
    <cellStyle name="Percent 34" xfId="1003" xr:uid="{60C11D62-61CC-45E3-9415-54E833E12B30}"/>
    <cellStyle name="Percent 34 2" xfId="4633" xr:uid="{6564AB8E-60A1-4E39-BAB3-EDB54EE5E285}"/>
    <cellStyle name="Percent 34 3" xfId="4308" xr:uid="{5342F2F2-6116-47ED-BF4D-0CE73F44B676}"/>
    <cellStyle name="Percent 35" xfId="1493" xr:uid="{DC2BAC89-00D5-4A3B-B29A-B39718E8F0C6}"/>
    <cellStyle name="Percent 35 2" xfId="3330" xr:uid="{9BEB7E44-3538-4F70-8A8B-EEA0BBE13564}"/>
    <cellStyle name="Percent 35 3" xfId="3329" xr:uid="{1F5C8F66-7DF1-4F8A-8469-A05C5125A7E7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3333" xr:uid="{439A979D-4954-42EC-A148-B7A7F2BB37C2}"/>
    <cellStyle name="Percent 4 2 2 2" xfId="5188" xr:uid="{9B01B129-981A-464C-9D26-B0C8A3BDECD2}"/>
    <cellStyle name="Percent 4 2 3" xfId="3332" xr:uid="{9E744ECC-255D-4A73-AA71-066B53F593D1}"/>
    <cellStyle name="Percent 4 2 3 2" xfId="4512" xr:uid="{CC8F536B-DEB7-4160-B00B-A60E4D69D22E}"/>
    <cellStyle name="Percent 4 2 4" xfId="4197" xr:uid="{73DC03E2-7133-4385-8ED7-9425C07F4243}"/>
    <cellStyle name="Percent 4 3" xfId="712" xr:uid="{55D2CD74-19FC-40BE-B10B-80E3CC32F985}"/>
    <cellStyle name="Percent 4 3 2" xfId="3335" xr:uid="{53707C95-52C7-47CC-849B-C4898C4A0E53}"/>
    <cellStyle name="Percent 4 3 2 2" xfId="4051" xr:uid="{9844C425-C163-4312-8527-EBFE926CC5C3}"/>
    <cellStyle name="Percent 4 3 2 3" xfId="5219" xr:uid="{C32FBABE-BF14-4576-9C93-01D1D7D919BA}"/>
    <cellStyle name="Percent 4 3 3" xfId="3336" xr:uid="{41D799C0-0448-473E-BE7F-2368A40C066B}"/>
    <cellStyle name="Percent 4 3 4" xfId="3334" xr:uid="{8EDBF8D3-9D58-4675-8B77-8EE83C866755}"/>
    <cellStyle name="Percent 4 4" xfId="3337" xr:uid="{BB8EBD0E-8439-440D-8EE0-B94C8D809325}"/>
    <cellStyle name="Percent 4 4 2" xfId="3338" xr:uid="{7DA94600-FBF6-4C94-87CE-C6FA5349857C}"/>
    <cellStyle name="Percent 4 4 2 2" xfId="4052" xr:uid="{DE53A40F-D1E9-473E-A1CD-4BA4F057E9C7}"/>
    <cellStyle name="Percent 4 4 3" xfId="5154" xr:uid="{39E01AB7-F7A4-4BD9-82AE-1E399A136E1E}"/>
    <cellStyle name="Percent 4 5" xfId="3339" xr:uid="{C7170167-956F-428E-9A39-B88B1DE11513}"/>
    <cellStyle name="Percent 4 5 2" xfId="5264" xr:uid="{12A22975-D21A-472D-84B7-9E7A389B8E2D}"/>
    <cellStyle name="Percent 4 6" xfId="3340" xr:uid="{280EB1C1-8F7E-4DC6-A30F-3F56C66E25A8}"/>
    <cellStyle name="Percent 4 6 2" xfId="4053" xr:uid="{DFF4B8FD-D26D-4A72-AC86-BDBD05958EB0}"/>
    <cellStyle name="Percent 4 6 3" xfId="4341" xr:uid="{265FE728-2F62-4B84-A238-5EBCEB4E5613}"/>
    <cellStyle name="Percent 4 7" xfId="3331" xr:uid="{BEF9DDCC-2CE7-438B-B15E-0648370363CD}"/>
    <cellStyle name="Percent 4 8" xfId="4104" xr:uid="{027C776C-A740-40B2-914E-57AE6D49DE17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49 2" xfId="3341" xr:uid="{E557877B-9A88-42C2-9C15-E0021E597437}"/>
    <cellStyle name="Percent 5" xfId="89" xr:uid="{00000000-0005-0000-0000-00005E000000}"/>
    <cellStyle name="Percent 5 2" xfId="744" xr:uid="{C51EA53D-BD39-4949-B029-F588B38C9096}"/>
    <cellStyle name="Percent 5 2 2" xfId="3344" xr:uid="{8F5479AA-99D2-4B7D-8700-672DF2AD1B8C}"/>
    <cellStyle name="Percent 5 2 2 2" xfId="4054" xr:uid="{4CD82525-2491-45B9-803F-517AC02896BB}"/>
    <cellStyle name="Percent 5 2 3" xfId="3343" xr:uid="{16D6B481-35E3-4E21-AB05-C6DF385593C5}"/>
    <cellStyle name="Percent 5 3" xfId="3342" xr:uid="{A122B2BA-4A9C-44E0-9213-774920FFCEE7}"/>
    <cellStyle name="Percent 5 3 2" xfId="4342" xr:uid="{8D57238C-DA18-4155-B321-A8887B5379FC}"/>
    <cellStyle name="Percent 5 4" xfId="4155" xr:uid="{1EB02225-55C2-434C-B859-077141773578}"/>
    <cellStyle name="Percent 50" xfId="3345" xr:uid="{B34626AE-CCE5-4EFB-8D89-6970F27A56EA}"/>
    <cellStyle name="Percent 51" xfId="3346" xr:uid="{81D95A29-10D0-493A-9582-5F3EA0BB5A04}"/>
    <cellStyle name="Percent 52" xfId="3347" xr:uid="{0C839836-E19B-4033-83E6-0628AD0D7C10}"/>
    <cellStyle name="Percent 53" xfId="3348" xr:uid="{EF6DF6F0-0E5F-4E52-BD86-1DB938AEE03B}"/>
    <cellStyle name="Percent 54" xfId="3349" xr:uid="{FC68274E-CD8D-4703-864D-927DBA3978DB}"/>
    <cellStyle name="Percent 54 2" xfId="4266" xr:uid="{CCEE0B65-271F-4118-87F4-E0B410BB93A6}"/>
    <cellStyle name="Percent 55" xfId="3350" xr:uid="{2E46272D-6967-4B61-AC57-78913847BD31}"/>
    <cellStyle name="Percent 56" xfId="3351" xr:uid="{3E7B5D5F-7596-420A-B913-62588ACA4B0B}"/>
    <cellStyle name="Percent 57" xfId="3352" xr:uid="{88404B34-F6C1-4F69-B20E-6773EABA72D9}"/>
    <cellStyle name="Percent 58" xfId="3353" xr:uid="{FA45F6F9-175B-4A67-955E-1BDF50091CDC}"/>
    <cellStyle name="Percent 59" xfId="3354" xr:uid="{48C6CB43-0068-4C04-812A-E4C06731B34B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2 2" xfId="4055" xr:uid="{A4F8114A-8A24-4F10-AC3D-501849C70304}"/>
    <cellStyle name="Percent 6 2 2 3" xfId="3357" xr:uid="{593E6B79-9626-47F8-B7D8-CB364CF52E05}"/>
    <cellStyle name="Percent 6 2 2 4" xfId="5084" xr:uid="{937D2D45-A359-4AC8-83F1-CF46C190E687}"/>
    <cellStyle name="Percent 6 2 3" xfId="1228" xr:uid="{A7EDCDC1-20D6-435E-870C-68C5F715E7C6}"/>
    <cellStyle name="Percent 6 2 3 2" xfId="4851" xr:uid="{740D78F4-0FB4-4656-9A80-C52275627FE0}"/>
    <cellStyle name="Percent 6 2 4" xfId="3356" xr:uid="{B7FB4923-D85B-43B7-AE6A-68F5E40BF1F5}"/>
    <cellStyle name="Percent 6 2 5" xfId="4539" xr:uid="{BBB2AA8B-BDF4-479D-A24E-5E856261D6D4}"/>
    <cellStyle name="Percent 6 3" xfId="967" xr:uid="{89B06886-1275-4116-8A5C-BAE4447F47F1}"/>
    <cellStyle name="Percent 6 3 2" xfId="1345" xr:uid="{D312287E-6135-4A4E-B1DC-83B1838D1694}"/>
    <cellStyle name="Percent 6 3 2 2" xfId="4056" xr:uid="{4CFE85F2-0DAF-4D0B-9AA8-C426BBD31853}"/>
    <cellStyle name="Percent 6 3 2 3" xfId="3359" xr:uid="{AE2BB7E6-2966-4CD8-BAE1-D8971CDEF555}"/>
    <cellStyle name="Percent 6 3 2 4" xfId="4968" xr:uid="{CA2FEA1D-7990-4916-94C4-CA422A081A7F}"/>
    <cellStyle name="Percent 6 3 3" xfId="3358" xr:uid="{A64C3087-7574-4807-80AB-77031826A2C8}"/>
    <cellStyle name="Percent 6 3 4" xfId="4598" xr:uid="{F4AEDEAC-1D0E-45A1-A0D5-A8BA0B1B9C84}"/>
    <cellStyle name="Percent 6 4" xfId="1109" xr:uid="{38ECC924-6877-4C16-8D0F-B18EF5D0A5CC}"/>
    <cellStyle name="Percent 6 4 2" xfId="3361" xr:uid="{C0370AF3-E8AA-4E3C-BD3C-DE1A80E28440}"/>
    <cellStyle name="Percent 6 4 3" xfId="3360" xr:uid="{B5604C4A-E83C-458C-AC8B-288D36D9B846}"/>
    <cellStyle name="Percent 6 4 4" xfId="4734" xr:uid="{502F1545-E91C-4429-8593-13FE25B3A8AD}"/>
    <cellStyle name="Percent 6 5" xfId="3362" xr:uid="{924DFD00-AD5F-4623-A79C-54892C87592E}"/>
    <cellStyle name="Percent 6 5 2" xfId="4057" xr:uid="{74C801E8-BBB2-42C4-865E-2102A1626379}"/>
    <cellStyle name="Percent 6 5 3" xfId="4454" xr:uid="{937CACE7-8770-45A1-8AF9-BBE634CE41DE}"/>
    <cellStyle name="Percent 6 6" xfId="3355" xr:uid="{2829086F-5A01-40BB-A223-C606B38471DB}"/>
    <cellStyle name="Percent 6 7" xfId="4160" xr:uid="{6965890A-000C-416E-ADF5-FA464066F880}"/>
    <cellStyle name="Percent 60" xfId="3363" xr:uid="{3E905F77-F779-46EE-821F-E099D9940BBD}"/>
    <cellStyle name="Percent 61" xfId="3364" xr:uid="{9E0A7D9F-C4C6-4FD1-AF3B-F50DEA79A7B3}"/>
    <cellStyle name="Percent 62" xfId="3365" xr:uid="{5FDF3226-7EFA-4745-A841-31D6C10ED9B5}"/>
    <cellStyle name="Percent 63" xfId="3366" xr:uid="{669A833E-C991-402B-8192-293F03076095}"/>
    <cellStyle name="Percent 64" xfId="3367" xr:uid="{453A0E60-CF40-4682-B8FF-5620B1BC37AF}"/>
    <cellStyle name="Percent 65" xfId="3368" xr:uid="{9290CDF7-B28D-4647-BB9E-0E5CCDEF9A6F}"/>
    <cellStyle name="Percent 66" xfId="3369" xr:uid="{DC2634E0-896C-468A-BCE6-1863AFFB0DCF}"/>
    <cellStyle name="Percent 67" xfId="3370" xr:uid="{245B86A8-0B3C-42B5-8C6F-B3343E878D4E}"/>
    <cellStyle name="Percent 68" xfId="3371" xr:uid="{6CAE3BF3-965E-4308-B87D-2F2D16192819}"/>
    <cellStyle name="Percent 69" xfId="3372" xr:uid="{493A7419-7E4B-44AF-967E-C68BC672942E}"/>
    <cellStyle name="Percent 7" xfId="929" xr:uid="{E3721F02-5F4C-4E9C-9734-E0FFFDC69449}"/>
    <cellStyle name="Percent 7 2" xfId="1142" xr:uid="{06CD519F-2993-4E2E-BEEC-92D8F5DA0F5F}"/>
    <cellStyle name="Percent 7 2 2" xfId="4058" xr:uid="{ABEF1C56-9FC1-423B-A1CB-1F7E306AE3AF}"/>
    <cellStyle name="Percent 7 2 3" xfId="3374" xr:uid="{2F1423E2-4BD9-4F67-9AD6-A6257C12082F}"/>
    <cellStyle name="Percent 7 3" xfId="3375" xr:uid="{56748953-7B03-4D93-A0D8-2EFA4F75EB0D}"/>
    <cellStyle name="Percent 7 4" xfId="3373" xr:uid="{BB66C489-BD76-4DE1-A4D6-C1D07CF98C5A}"/>
    <cellStyle name="Percent 7 5" xfId="4161" xr:uid="{3198C315-A33B-4995-A6A7-88D24CCCADAE}"/>
    <cellStyle name="Percent 70" xfId="3376" xr:uid="{7EA3F65F-D680-4B68-8608-6C1B5A66FD95}"/>
    <cellStyle name="Percent 71" xfId="3377" xr:uid="{D92312E1-EB43-4398-A724-BB8C4F1A1C1B}"/>
    <cellStyle name="Percent 72" xfId="3378" xr:uid="{3C2FDB30-7D28-43C3-BD5C-50D72E99BD96}"/>
    <cellStyle name="Percent 73" xfId="3379" xr:uid="{23F63AE5-C7B2-48CC-9A33-2C4400BBBF83}"/>
    <cellStyle name="Percent 74" xfId="3380" xr:uid="{256D60DD-1117-405C-B84A-8728AAFD76C9}"/>
    <cellStyle name="Percent 75" xfId="3381" xr:uid="{ABBCE8B2-3D08-4A08-9D84-CB4314F32DBD}"/>
    <cellStyle name="Percent 76" xfId="3382" xr:uid="{593839A7-7852-48D0-9902-A09980CD0EC5}"/>
    <cellStyle name="Percent 77" xfId="3383" xr:uid="{CD19D231-6CA4-44D5-BFA3-7433AD639117}"/>
    <cellStyle name="Percent 78" xfId="3384" xr:uid="{0EA14770-C465-4910-B7C2-7CC2FFAB7985}"/>
    <cellStyle name="Percent 79" xfId="3385" xr:uid="{30E34E9B-9B79-4AA9-81D2-1C68F4A283CA}"/>
    <cellStyle name="Percent 8" xfId="930" xr:uid="{B03B89C8-5F04-4F53-8156-073A14975EDC}"/>
    <cellStyle name="Percent 8 2" xfId="1258" xr:uid="{757B7B4C-F691-4D83-BEE6-CC035DAC7294}"/>
    <cellStyle name="Percent 8 2 2" xfId="4059" xr:uid="{92AAB8DA-9F76-43EF-A201-4BD9045725EB}"/>
    <cellStyle name="Percent 8 2 3" xfId="3387" xr:uid="{3C04C539-DE4E-4036-8997-D13E114EC4A5}"/>
    <cellStyle name="Percent 8 2 4" xfId="4881" xr:uid="{274304FF-41E2-4DAF-AF2A-C3AEBAC78053}"/>
    <cellStyle name="Percent 8 3" xfId="3388" xr:uid="{CF7B55CF-6907-4B14-96BE-C75FAFC3FE10}"/>
    <cellStyle name="Percent 8 4" xfId="3386" xr:uid="{293A5C9A-024C-46D3-B7DF-B1B2C3BE134B}"/>
    <cellStyle name="Percent 8 5" xfId="4158" xr:uid="{5BBDB937-D949-4C7A-B29C-0357EC63D16A}"/>
    <cellStyle name="Percent 80" xfId="3389" xr:uid="{D7278DBC-6131-4025-A0A0-75BF897F3381}"/>
    <cellStyle name="Percent 81" xfId="3390" xr:uid="{34BF536C-5DE3-4E88-905E-6FB03636B4F9}"/>
    <cellStyle name="Percent 82" xfId="3391" xr:uid="{02A61FA2-64B7-4A2F-A2A3-539BE2B2EF26}"/>
    <cellStyle name="Percent 83" xfId="3392" xr:uid="{43FBEBE6-5064-42C5-9BFD-9DB077528E93}"/>
    <cellStyle name="Percent 84" xfId="3393" xr:uid="{5CCEBB32-3F97-4724-B2A1-EEDDBCE4BBC0}"/>
    <cellStyle name="Percent 85" xfId="3394" xr:uid="{A8A37F55-AFBE-4DAF-9E3A-0CC7F542B38A}"/>
    <cellStyle name="Percent 86" xfId="3395" xr:uid="{63933AB6-9078-41BD-A464-AD2AE8CC9288}"/>
    <cellStyle name="Percent 87" xfId="3396" xr:uid="{F78D5DC7-B338-4532-AC37-5AFC5713567E}"/>
    <cellStyle name="Percent 88" xfId="3397" xr:uid="{66B31C86-8A5E-49CE-AFE6-AE1769FEAB48}"/>
    <cellStyle name="Percent 89" xfId="3398" xr:uid="{E95BB977-7E30-4FC7-A4E4-C1363E357937}"/>
    <cellStyle name="Percent 9" xfId="933" xr:uid="{9A749FCD-075B-4097-874D-65B6CE283A39}"/>
    <cellStyle name="Percent 9 2" xfId="3400" xr:uid="{1D8E2420-B1DA-4F51-B78E-B8A14C7ECE13}"/>
    <cellStyle name="Percent 9 2 2" xfId="4060" xr:uid="{E13ACD92-4629-4BD5-8509-6D365C837D19}"/>
    <cellStyle name="Percent 9 2 3" xfId="4567" xr:uid="{75EA3243-89E6-4D28-9110-2CD33AA5CB6C}"/>
    <cellStyle name="Percent 9 3" xfId="3401" xr:uid="{76FD59AA-8FAE-4893-853B-3A883EA24C29}"/>
    <cellStyle name="Percent 9 4" xfId="3399" xr:uid="{506DDBF6-AB70-4374-BBF1-3A6103F63F50}"/>
    <cellStyle name="Percent 9 5" xfId="4164" xr:uid="{5B88345B-D890-4C16-9DB6-4AA5B3C86AE4}"/>
    <cellStyle name="Percent 90" xfId="3402" xr:uid="{0FA7B433-AFFA-4E07-A1BD-839AF1B80D10}"/>
    <cellStyle name="Percent 91" xfId="3403" xr:uid="{E4B2BD16-5ECD-4782-90D1-3072C605D4C2}"/>
    <cellStyle name="Percent 92" xfId="3404" xr:uid="{32E8D486-AC02-45EF-904E-B5AA0F95999E}"/>
    <cellStyle name="Percent 93" xfId="3405" xr:uid="{AE03E3BA-B5A0-4D61-833C-C5A10E241AEB}"/>
    <cellStyle name="Percent 94" xfId="3406" xr:uid="{D811B13F-A4E9-4A66-A806-8FA16FD07218}"/>
    <cellStyle name="Percent 95" xfId="3407" xr:uid="{885BF83F-23A8-42A8-ADF8-D1A6A83AE41A}"/>
    <cellStyle name="Percent 96" xfId="3408" xr:uid="{5B0ADE98-FBE7-4ED9-B6C5-8E279F30EC82}"/>
    <cellStyle name="Percent 97" xfId="3409" xr:uid="{CB21CC50-D696-4540-85BF-A8E9C9E9E7A6}"/>
    <cellStyle name="Percent 98" xfId="3410" xr:uid="{49118E77-8D54-4CBF-91CF-0CAD5574D22B}"/>
    <cellStyle name="Percent 99" xfId="3411" xr:uid="{B14C1EA1-AEEA-4E96-BCE6-331ED9A183AB}"/>
    <cellStyle name="PSChar" xfId="3412" xr:uid="{6A582459-E111-44B0-AEB5-84E9C4E9AF70}"/>
    <cellStyle name="PSChar 2" xfId="3413" xr:uid="{35C32BA6-BA7C-40C7-B130-DFC7479659CA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 23 4" xfId="5265" xr:uid="{1D923CB3-2E0E-448E-8A99-29B8F8490084}"/>
    <cellStyle name="STYLE1" xfId="90" xr:uid="{00000000-0005-0000-0000-000060000000}"/>
    <cellStyle name="STYLE1 2" xfId="3414" xr:uid="{491D9A6A-4812-4D14-A6F0-F9EAEB7CE30E}"/>
    <cellStyle name="STYLE2" xfId="91" xr:uid="{00000000-0005-0000-0000-000061000000}"/>
    <cellStyle name="STYLE2 2" xfId="3415" xr:uid="{16E63BEC-C062-4F22-A2A0-93097C53C5C1}"/>
    <cellStyle name="STYLE3" xfId="3416" xr:uid="{A5FE3E00-4EE1-42DF-B281-90397D1B3627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2 2 2" xfId="3419" xr:uid="{EABF86F3-D952-41B3-8A81-D6E434ED9378}"/>
    <cellStyle name="Title 2 2 3" xfId="3418" xr:uid="{C48C5DEF-C9C3-48C1-99DE-32C9E7F4A70D}"/>
    <cellStyle name="Title 2 3" xfId="3420" xr:uid="{87078BC4-CC02-4302-8CB2-0BF07BE29D71}"/>
    <cellStyle name="Title 2 3 2" xfId="3421" xr:uid="{E59AD029-C814-4284-B288-1C6A69FF6540}"/>
    <cellStyle name="Title 2 4" xfId="3422" xr:uid="{80E61ACC-0416-449E-AB8F-4FDA530C69D4}"/>
    <cellStyle name="Title 2 5" xfId="3423" xr:uid="{2BA1C68F-F192-46B1-98EF-2EE4E7323BA6}"/>
    <cellStyle name="Title 2 6" xfId="3417" xr:uid="{46416C73-DF60-45B9-85DD-C65E9AB87E10}"/>
    <cellStyle name="Title 3" xfId="793" xr:uid="{00A40A86-F2D4-46E7-BC07-5190D5DAED0C}"/>
    <cellStyle name="Title 3 2" xfId="3425" xr:uid="{B238A3BA-E958-458F-AAB4-0E4264D6E0F1}"/>
    <cellStyle name="Title 3 3" xfId="3424" xr:uid="{38180507-1003-4C6E-9B3C-CCF9DE5709AF}"/>
    <cellStyle name="Title 3 4" xfId="4110" xr:uid="{53240EA8-7473-4DD8-AFF9-B5D348CE96CD}"/>
    <cellStyle name="Title 4" xfId="3426" xr:uid="{BB178215-135C-4E20-A748-608B8D2F3BC7}"/>
    <cellStyle name="Title 5" xfId="3427" xr:uid="{116257BE-EA7D-4871-9631-6C9C8C90AC52}"/>
    <cellStyle name="Title 6" xfId="3428" xr:uid="{6A0B41EF-C3CA-41C3-9422-8E18028DE2AC}"/>
    <cellStyle name="Total 10" xfId="662" xr:uid="{B8C97E61-A9F6-4417-B045-67D836D6A9E9}"/>
    <cellStyle name="Total 10 2" xfId="3429" xr:uid="{A1B3A170-8AA3-401D-87EE-ECCE6AEA094A}"/>
    <cellStyle name="Total 11" xfId="663" xr:uid="{4AFD8423-901D-4C1F-9483-BFF2E575BAF2}"/>
    <cellStyle name="Total 11 2" xfId="3430" xr:uid="{A8D56C22-C83B-4575-B7E8-5893FA97912C}"/>
    <cellStyle name="Total 12" xfId="664" xr:uid="{03F47C12-3FB6-4CC5-8599-93F0CE2E6212}"/>
    <cellStyle name="Total 12 2" xfId="3431" xr:uid="{0F274A5D-177D-4B9F-8F30-1E3A9A577351}"/>
    <cellStyle name="Total 13" xfId="665" xr:uid="{40376B34-1598-432D-849E-19D337D84FAB}"/>
    <cellStyle name="Total 13 2" xfId="3432" xr:uid="{DF23123F-7A5A-479D-9E25-062F3F1FFC0F}"/>
    <cellStyle name="Total 14" xfId="666" xr:uid="{E0EC608F-D44D-4DA9-8508-F7B07A6D62C3}"/>
    <cellStyle name="Total 14 2" xfId="3433" xr:uid="{7037EE81-BA10-427E-8E3C-29BEC4CA2C17}"/>
    <cellStyle name="Total 15" xfId="667" xr:uid="{47B510AC-5742-44FB-8E21-028FBFA1CE2D}"/>
    <cellStyle name="Total 15 2" xfId="3434" xr:uid="{1E287A32-1E8E-41D5-A03E-30924E4BFDDF}"/>
    <cellStyle name="Total 16" xfId="794" xr:uid="{0AD3E2A5-2193-4C63-B928-834750545801}"/>
    <cellStyle name="Total 16 2" xfId="3435" xr:uid="{4633D797-5050-4740-A4EE-AAD715D4CA47}"/>
    <cellStyle name="Total 17" xfId="5131" xr:uid="{930258E0-45C0-459C-8055-4190F2841461}"/>
    <cellStyle name="Total 18" xfId="5125" xr:uid="{A68DBF1C-54B9-4151-A09F-BF06415EA03D}"/>
    <cellStyle name="Total 2" xfId="95" xr:uid="{00000000-0005-0000-0000-000065000000}"/>
    <cellStyle name="Total 2 2" xfId="813" xr:uid="{28FAF2D3-4A09-434B-BD0C-CA27F6C494BC}"/>
    <cellStyle name="Total 2 2 2" xfId="3438" xr:uid="{A938F53B-79D5-4617-826A-E652BBD07B42}"/>
    <cellStyle name="Total 2 2 3" xfId="3437" xr:uid="{BB807F55-21C1-44AF-90D3-D3F6021483EF}"/>
    <cellStyle name="Total 2 3" xfId="668" xr:uid="{EC04D9DC-5173-4E4A-A489-F66F37367CE0}"/>
    <cellStyle name="Total 2 3 2" xfId="3440" xr:uid="{E075A9C2-EEFC-4BDF-A6EB-82DD2D8D0AAE}"/>
    <cellStyle name="Total 2 3 3" xfId="3439" xr:uid="{4973904D-D934-440E-87E1-0E80D46FCEC7}"/>
    <cellStyle name="Total 2 4" xfId="3441" xr:uid="{05A52421-74EB-4331-B611-A5EB7A170CFD}"/>
    <cellStyle name="Total 2 4 2" xfId="3442" xr:uid="{AD9F3FE1-582E-4AED-9AC8-7508952B7536}"/>
    <cellStyle name="Total 2 5" xfId="3443" xr:uid="{B1E187F4-47B5-442E-AB8A-C91FAC37B094}"/>
    <cellStyle name="Total 2 6" xfId="3444" xr:uid="{552CA10F-98FA-4C94-940C-8C00F72DBDFD}"/>
    <cellStyle name="Total 2 7" xfId="3436" xr:uid="{BD785451-C3BC-4B74-80BC-0CF8DF3F3437}"/>
    <cellStyle name="Total 3" xfId="669" xr:uid="{BD127B31-8186-4B6D-8D0E-706E3F42F845}"/>
    <cellStyle name="Total 3 2" xfId="3446" xr:uid="{8E6C3E6C-ACF4-4844-AB60-1F13CE5146A4}"/>
    <cellStyle name="Total 3 2 2" xfId="4413" xr:uid="{D5B209B7-CC7C-4028-A074-19A01B84A211}"/>
    <cellStyle name="Total 3 3" xfId="3445" xr:uid="{C6A1DF29-3DD5-4FD2-921D-2EC72913BAA0}"/>
    <cellStyle name="Total 3 4" xfId="4126" xr:uid="{B70B3F1A-9C6B-47ED-9889-BD74C516D3CC}"/>
    <cellStyle name="Total 4" xfId="670" xr:uid="{A4DD1224-D6AA-40BD-806E-86C4453F2752}"/>
    <cellStyle name="Total 4 2" xfId="3448" xr:uid="{E3D98F0B-ECF1-47A4-A3A3-BCE2A808818D}"/>
    <cellStyle name="Total 4 3" xfId="3449" xr:uid="{EAAB7185-04E0-4F06-836A-4DBBC4D2CB9F}"/>
    <cellStyle name="Total 4 4" xfId="3447" xr:uid="{18E37D2A-4B4C-426A-AAC4-8E7DE9CDFC80}"/>
    <cellStyle name="Total 5" xfId="671" xr:uid="{EAE319E5-2D49-4304-92BB-167E6B681D0C}"/>
    <cellStyle name="Total 5 2" xfId="3450" xr:uid="{DB389614-DBB2-43D4-9D56-BE12192EB1AE}"/>
    <cellStyle name="Total 6" xfId="672" xr:uid="{A15C169C-84D9-47ED-8D17-D0385D36B226}"/>
    <cellStyle name="Total 6 2" xfId="3451" xr:uid="{595BB7F1-67B7-45D5-B733-54E13C025B36}"/>
    <cellStyle name="Total 7" xfId="673" xr:uid="{001D1633-CA86-4CA9-A6F6-68C601CA5879}"/>
    <cellStyle name="Total 7 2" xfId="3452" xr:uid="{95ABBDBB-34CD-4C16-A10B-218E83F0C29D}"/>
    <cellStyle name="Total 8" xfId="674" xr:uid="{218F9980-F3A4-458A-9A94-FAE3D15DAB05}"/>
    <cellStyle name="Total 8 2" xfId="3453" xr:uid="{9776B36E-798D-4926-8A48-950B94905CBE}"/>
    <cellStyle name="Total 9" xfId="675" xr:uid="{B0DC51FE-90E2-46C3-9684-9FBDAA24DFF5}"/>
    <cellStyle name="Total 9 2" xfId="3454" xr:uid="{3A40D67D-7DB0-40F6-91C9-E420DB82281D}"/>
    <cellStyle name="Warning Text" xfId="1532" builtinId="11" customBuiltin="1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2 2" xfId="3457" xr:uid="{6E7D412D-518A-47C4-94F6-A99A582BCF48}"/>
    <cellStyle name="Warning Text 2 2 3" xfId="3456" xr:uid="{D0CE5144-1138-44B5-BC00-CDF74A1F5BF7}"/>
    <cellStyle name="Warning Text 2 3" xfId="682" xr:uid="{5B3BC198-7405-44C4-9AC4-99FF46EBC9BD}"/>
    <cellStyle name="Warning Text 2 3 2" xfId="3459" xr:uid="{55F4D7FE-3F2B-4C6B-ABBD-BC0BA3782524}"/>
    <cellStyle name="Warning Text 2 3 3" xfId="3458" xr:uid="{32818F34-F7F5-4CEC-800E-051B7CA022B2}"/>
    <cellStyle name="Warning Text 2 4" xfId="3460" xr:uid="{B9C18256-40DE-4AF3-A26C-67694924E58F}"/>
    <cellStyle name="Warning Text 2 5" xfId="3461" xr:uid="{F2BD7583-30CC-4A88-9C96-D54A365601E7}"/>
    <cellStyle name="Warning Text 2 6" xfId="3455" xr:uid="{7D2E14F2-C5FA-4431-A7EC-A7B4BF3E40AD}"/>
    <cellStyle name="Warning Text 3" xfId="683" xr:uid="{A5BA6059-1DE1-47EF-A0D4-B76430AED1F7}"/>
    <cellStyle name="Warning Text 3 2" xfId="3463" xr:uid="{5D084670-EB2A-4A74-B658-81683866CE1C}"/>
    <cellStyle name="Warning Text 3 2 2" xfId="4414" xr:uid="{9E7675C0-CEAB-454B-92E9-A260060C9EA3}"/>
    <cellStyle name="Warning Text 3 3" xfId="3464" xr:uid="{EB71E6A8-9BC3-43A9-8CF4-DB3654090155}"/>
    <cellStyle name="Warning Text 3 4" xfId="3462" xr:uid="{A5B9BD36-269D-4F8C-808B-DE6F3CAC3E4D}"/>
    <cellStyle name="Warning Text 3 5" xfId="4123" xr:uid="{0CF46A07-F3F8-4981-B356-3C35C6FB1FCC}"/>
    <cellStyle name="Warning Text 4" xfId="684" xr:uid="{7F31B44A-BE13-4D1F-85C8-5DFE23E7654B}"/>
    <cellStyle name="Warning Text 4 2" xfId="3466" xr:uid="{45118D12-2B45-4933-B139-0D59B7DB2DF1}"/>
    <cellStyle name="Warning Text 4 3" xfId="3465" xr:uid="{45B1215F-8E44-4A34-BD92-6DF804994684}"/>
    <cellStyle name="Warning Text 5" xfId="685" xr:uid="{968A673C-2DBC-4706-B115-EB4C7B1B7AF0}"/>
    <cellStyle name="Warning Text 5 2" xfId="3467" xr:uid="{00DDC864-6B0A-41DB-A625-721D4AA015AF}"/>
    <cellStyle name="Warning Text 6" xfId="686" xr:uid="{3B092DE0-F827-405B-90DE-31D01E1505C0}"/>
    <cellStyle name="Warning Text 6 2" xfId="3468" xr:uid="{9D48C7EA-08D0-4DA9-9555-400131338A38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4472C4"/>
      <color rgb="FFFFCC00"/>
      <color rgb="FF33CC3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5"/>
          <c:tx>
            <c:strRef>
              <c:f>'Power Purchased Model'!$G$2</c:f>
              <c:strCache>
                <c:ptCount val="1"/>
                <c:pt idx="0">
                  <c:v>Adjusted Power Purchases</c:v>
                </c:pt>
              </c:strCache>
            </c:strRef>
          </c:tx>
          <c:spPr>
            <a:ln w="28575" cap="rnd">
              <a:solidFill>
                <a:schemeClr val="accent5">
                  <a:shade val="94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'Power Purchased Model'!$A$3:$A$122</c:f>
              <c:numCache>
                <c:formatCode>mmm\-yy</c:formatCode>
                <c:ptCount val="120"/>
                <c:pt idx="0">
                  <c:v>42400</c:v>
                </c:pt>
                <c:pt idx="1">
                  <c:v>42429</c:v>
                </c:pt>
                <c:pt idx="2">
                  <c:v>42460</c:v>
                </c:pt>
                <c:pt idx="3">
                  <c:v>42490</c:v>
                </c:pt>
                <c:pt idx="4">
                  <c:v>42521</c:v>
                </c:pt>
                <c:pt idx="5">
                  <c:v>42551</c:v>
                </c:pt>
                <c:pt idx="6">
                  <c:v>42582</c:v>
                </c:pt>
                <c:pt idx="7">
                  <c:v>42613</c:v>
                </c:pt>
                <c:pt idx="8">
                  <c:v>42643</c:v>
                </c:pt>
                <c:pt idx="9">
                  <c:v>42674</c:v>
                </c:pt>
                <c:pt idx="10">
                  <c:v>42704</c:v>
                </c:pt>
                <c:pt idx="11">
                  <c:v>42735</c:v>
                </c:pt>
                <c:pt idx="12">
                  <c:v>42766</c:v>
                </c:pt>
                <c:pt idx="13">
                  <c:v>42794</c:v>
                </c:pt>
                <c:pt idx="14">
                  <c:v>42825</c:v>
                </c:pt>
                <c:pt idx="15">
                  <c:v>42855</c:v>
                </c:pt>
                <c:pt idx="16">
                  <c:v>42886</c:v>
                </c:pt>
                <c:pt idx="17">
                  <c:v>42916</c:v>
                </c:pt>
                <c:pt idx="18">
                  <c:v>42947</c:v>
                </c:pt>
                <c:pt idx="19">
                  <c:v>42978</c:v>
                </c:pt>
                <c:pt idx="20">
                  <c:v>43008</c:v>
                </c:pt>
                <c:pt idx="21">
                  <c:v>43039</c:v>
                </c:pt>
                <c:pt idx="22">
                  <c:v>43069</c:v>
                </c:pt>
                <c:pt idx="23">
                  <c:v>43100</c:v>
                </c:pt>
                <c:pt idx="24">
                  <c:v>43131</c:v>
                </c:pt>
                <c:pt idx="25">
                  <c:v>43159</c:v>
                </c:pt>
                <c:pt idx="26">
                  <c:v>43190</c:v>
                </c:pt>
                <c:pt idx="27">
                  <c:v>43220</c:v>
                </c:pt>
                <c:pt idx="28">
                  <c:v>43251</c:v>
                </c:pt>
                <c:pt idx="29">
                  <c:v>43281</c:v>
                </c:pt>
                <c:pt idx="30">
                  <c:v>43312</c:v>
                </c:pt>
                <c:pt idx="31">
                  <c:v>43343</c:v>
                </c:pt>
                <c:pt idx="32">
                  <c:v>43373</c:v>
                </c:pt>
                <c:pt idx="33">
                  <c:v>43404</c:v>
                </c:pt>
                <c:pt idx="34">
                  <c:v>43434</c:v>
                </c:pt>
                <c:pt idx="35">
                  <c:v>43465</c:v>
                </c:pt>
                <c:pt idx="36">
                  <c:v>43496</c:v>
                </c:pt>
                <c:pt idx="37">
                  <c:v>43524</c:v>
                </c:pt>
                <c:pt idx="38">
                  <c:v>43555</c:v>
                </c:pt>
                <c:pt idx="39">
                  <c:v>43585</c:v>
                </c:pt>
                <c:pt idx="40">
                  <c:v>43616</c:v>
                </c:pt>
                <c:pt idx="41">
                  <c:v>43646</c:v>
                </c:pt>
                <c:pt idx="42">
                  <c:v>43677</c:v>
                </c:pt>
                <c:pt idx="43">
                  <c:v>43708</c:v>
                </c:pt>
                <c:pt idx="44">
                  <c:v>43738</c:v>
                </c:pt>
                <c:pt idx="45">
                  <c:v>43769</c:v>
                </c:pt>
                <c:pt idx="46">
                  <c:v>43799</c:v>
                </c:pt>
                <c:pt idx="47">
                  <c:v>43830</c:v>
                </c:pt>
                <c:pt idx="48">
                  <c:v>43861</c:v>
                </c:pt>
                <c:pt idx="49">
                  <c:v>43890</c:v>
                </c:pt>
                <c:pt idx="50">
                  <c:v>43921</c:v>
                </c:pt>
                <c:pt idx="51">
                  <c:v>43951</c:v>
                </c:pt>
                <c:pt idx="52">
                  <c:v>43982</c:v>
                </c:pt>
                <c:pt idx="53">
                  <c:v>44012</c:v>
                </c:pt>
                <c:pt idx="54">
                  <c:v>44043</c:v>
                </c:pt>
                <c:pt idx="55">
                  <c:v>44074</c:v>
                </c:pt>
                <c:pt idx="56">
                  <c:v>44104</c:v>
                </c:pt>
                <c:pt idx="57">
                  <c:v>44135</c:v>
                </c:pt>
                <c:pt idx="58">
                  <c:v>44165</c:v>
                </c:pt>
                <c:pt idx="59">
                  <c:v>44196</c:v>
                </c:pt>
                <c:pt idx="60">
                  <c:v>44227</c:v>
                </c:pt>
                <c:pt idx="61">
                  <c:v>44255</c:v>
                </c:pt>
                <c:pt idx="62">
                  <c:v>44286</c:v>
                </c:pt>
                <c:pt idx="63">
                  <c:v>44316</c:v>
                </c:pt>
                <c:pt idx="64">
                  <c:v>44347</c:v>
                </c:pt>
                <c:pt idx="65">
                  <c:v>44377</c:v>
                </c:pt>
                <c:pt idx="66">
                  <c:v>44408</c:v>
                </c:pt>
                <c:pt idx="67">
                  <c:v>44439</c:v>
                </c:pt>
                <c:pt idx="68">
                  <c:v>44469</c:v>
                </c:pt>
                <c:pt idx="69">
                  <c:v>44500</c:v>
                </c:pt>
                <c:pt idx="70">
                  <c:v>44530</c:v>
                </c:pt>
                <c:pt idx="71">
                  <c:v>44561</c:v>
                </c:pt>
                <c:pt idx="72">
                  <c:v>44592</c:v>
                </c:pt>
                <c:pt idx="73">
                  <c:v>44620</c:v>
                </c:pt>
                <c:pt idx="74">
                  <c:v>44651</c:v>
                </c:pt>
                <c:pt idx="75">
                  <c:v>44681</c:v>
                </c:pt>
                <c:pt idx="76">
                  <c:v>44712</c:v>
                </c:pt>
                <c:pt idx="77">
                  <c:v>44742</c:v>
                </c:pt>
                <c:pt idx="78">
                  <c:v>44773</c:v>
                </c:pt>
                <c:pt idx="79">
                  <c:v>44804</c:v>
                </c:pt>
                <c:pt idx="80">
                  <c:v>44834</c:v>
                </c:pt>
                <c:pt idx="81">
                  <c:v>44865</c:v>
                </c:pt>
                <c:pt idx="82">
                  <c:v>44895</c:v>
                </c:pt>
                <c:pt idx="83">
                  <c:v>44926</c:v>
                </c:pt>
                <c:pt idx="84">
                  <c:v>44957</c:v>
                </c:pt>
                <c:pt idx="85">
                  <c:v>44985</c:v>
                </c:pt>
                <c:pt idx="86">
                  <c:v>45016</c:v>
                </c:pt>
                <c:pt idx="87">
                  <c:v>45046</c:v>
                </c:pt>
                <c:pt idx="88">
                  <c:v>45077</c:v>
                </c:pt>
                <c:pt idx="89">
                  <c:v>45107</c:v>
                </c:pt>
                <c:pt idx="90">
                  <c:v>45138</c:v>
                </c:pt>
                <c:pt idx="91">
                  <c:v>45169</c:v>
                </c:pt>
                <c:pt idx="92">
                  <c:v>45199</c:v>
                </c:pt>
                <c:pt idx="93">
                  <c:v>45230</c:v>
                </c:pt>
                <c:pt idx="94">
                  <c:v>45260</c:v>
                </c:pt>
                <c:pt idx="95">
                  <c:v>45291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</c:numCache>
            </c:numRef>
          </c:cat>
          <c:val>
            <c:numRef>
              <c:f>'Power Purchased Model'!$G$3:$G$122</c:f>
              <c:numCache>
                <c:formatCode>#,##0_);\(#,##0\)</c:formatCode>
                <c:ptCount val="120"/>
                <c:pt idx="0">
                  <c:v>25159552</c:v>
                </c:pt>
                <c:pt idx="1">
                  <c:v>23014941</c:v>
                </c:pt>
                <c:pt idx="2">
                  <c:v>21970551</c:v>
                </c:pt>
                <c:pt idx="3">
                  <c:v>19763963</c:v>
                </c:pt>
                <c:pt idx="4">
                  <c:v>18836973</c:v>
                </c:pt>
                <c:pt idx="5">
                  <c:v>19211234</c:v>
                </c:pt>
                <c:pt idx="6">
                  <c:v>23404500</c:v>
                </c:pt>
                <c:pt idx="7">
                  <c:v>24564804</c:v>
                </c:pt>
                <c:pt idx="8">
                  <c:v>19239594</c:v>
                </c:pt>
                <c:pt idx="9">
                  <c:v>19360398</c:v>
                </c:pt>
                <c:pt idx="10">
                  <c:v>20317470</c:v>
                </c:pt>
                <c:pt idx="11">
                  <c:v>24538056</c:v>
                </c:pt>
                <c:pt idx="12">
                  <c:v>24383250.957844518</c:v>
                </c:pt>
                <c:pt idx="13">
                  <c:v>21070773.226623036</c:v>
                </c:pt>
                <c:pt idx="14">
                  <c:v>23393184.032128658</c:v>
                </c:pt>
                <c:pt idx="15">
                  <c:v>18825985.160844527</c:v>
                </c:pt>
                <c:pt idx="16">
                  <c:v>18786333.0832728</c:v>
                </c:pt>
                <c:pt idx="17">
                  <c:v>19567266.152046304</c:v>
                </c:pt>
                <c:pt idx="18">
                  <c:v>22381676.491002649</c:v>
                </c:pt>
                <c:pt idx="19">
                  <c:v>21132315.915526163</c:v>
                </c:pt>
                <c:pt idx="20">
                  <c:v>19954544.032724753</c:v>
                </c:pt>
                <c:pt idx="21">
                  <c:v>19246234.531076949</c:v>
                </c:pt>
                <c:pt idx="22">
                  <c:v>21849761.600563686</c:v>
                </c:pt>
                <c:pt idx="23">
                  <c:v>26178109.375145946</c:v>
                </c:pt>
                <c:pt idx="24">
                  <c:v>27156877.702999998</c:v>
                </c:pt>
                <c:pt idx="25">
                  <c:v>22662310.571999997</c:v>
                </c:pt>
                <c:pt idx="26">
                  <c:v>23534615.378000002</c:v>
                </c:pt>
                <c:pt idx="27">
                  <c:v>21736721.348000001</c:v>
                </c:pt>
                <c:pt idx="28">
                  <c:v>19774022.555</c:v>
                </c:pt>
                <c:pt idx="29">
                  <c:v>21054153.723000001</c:v>
                </c:pt>
                <c:pt idx="30">
                  <c:v>26045488.691000003</c:v>
                </c:pt>
                <c:pt idx="31">
                  <c:v>25645894.579999998</c:v>
                </c:pt>
                <c:pt idx="32">
                  <c:v>21607296.151000001</c:v>
                </c:pt>
                <c:pt idx="33">
                  <c:v>21087346.497000001</c:v>
                </c:pt>
                <c:pt idx="34">
                  <c:v>23149553.112999998</c:v>
                </c:pt>
                <c:pt idx="35">
                  <c:v>25358955.434999999</c:v>
                </c:pt>
                <c:pt idx="36">
                  <c:v>27894969.359999999</c:v>
                </c:pt>
                <c:pt idx="37">
                  <c:v>24435650.726</c:v>
                </c:pt>
                <c:pt idx="38">
                  <c:v>25143357.008000001</c:v>
                </c:pt>
                <c:pt idx="39">
                  <c:v>21419957.239</c:v>
                </c:pt>
                <c:pt idx="40">
                  <c:v>20126479.741</c:v>
                </c:pt>
                <c:pt idx="41">
                  <c:v>20273580.334999997</c:v>
                </c:pt>
                <c:pt idx="42">
                  <c:v>26858420.012999997</c:v>
                </c:pt>
                <c:pt idx="43">
                  <c:v>23828311.434</c:v>
                </c:pt>
                <c:pt idx="44">
                  <c:v>19656048.893999998</c:v>
                </c:pt>
                <c:pt idx="45">
                  <c:v>20804823.366999999</c:v>
                </c:pt>
                <c:pt idx="46">
                  <c:v>23741040.090999998</c:v>
                </c:pt>
                <c:pt idx="47">
                  <c:v>26398898.682</c:v>
                </c:pt>
                <c:pt idx="48">
                  <c:v>26523401.686000001</c:v>
                </c:pt>
                <c:pt idx="49">
                  <c:v>24898397.280999999</c:v>
                </c:pt>
                <c:pt idx="50">
                  <c:v>24574269.381999999</c:v>
                </c:pt>
                <c:pt idx="51">
                  <c:v>21967925.707000002</c:v>
                </c:pt>
                <c:pt idx="52">
                  <c:v>21748680.120000001</c:v>
                </c:pt>
                <c:pt idx="53">
                  <c:v>23703342.888</c:v>
                </c:pt>
                <c:pt idx="54">
                  <c:v>29815954.280999999</c:v>
                </c:pt>
                <c:pt idx="55">
                  <c:v>26121737.241</c:v>
                </c:pt>
                <c:pt idx="56">
                  <c:v>20682425.02699</c:v>
                </c:pt>
                <c:pt idx="57">
                  <c:v>21791036.214000002</c:v>
                </c:pt>
                <c:pt idx="58">
                  <c:v>22640626.522999998</c:v>
                </c:pt>
                <c:pt idx="59">
                  <c:v>26936455.295999996</c:v>
                </c:pt>
                <c:pt idx="60">
                  <c:v>27383194.68</c:v>
                </c:pt>
                <c:pt idx="61">
                  <c:v>26118374.440000001</c:v>
                </c:pt>
                <c:pt idx="62">
                  <c:v>25209899.25</c:v>
                </c:pt>
                <c:pt idx="63">
                  <c:v>21444082.049999997</c:v>
                </c:pt>
                <c:pt idx="64">
                  <c:v>21915007.870000001</c:v>
                </c:pt>
                <c:pt idx="65">
                  <c:v>24946416.130000003</c:v>
                </c:pt>
                <c:pt idx="66">
                  <c:v>25413113.779999997</c:v>
                </c:pt>
                <c:pt idx="67">
                  <c:v>29121956.240000002</c:v>
                </c:pt>
                <c:pt idx="68">
                  <c:v>21448441.290000003</c:v>
                </c:pt>
                <c:pt idx="69">
                  <c:v>21738524.600000001</c:v>
                </c:pt>
                <c:pt idx="70">
                  <c:v>23740519.789999999</c:v>
                </c:pt>
                <c:pt idx="71">
                  <c:v>26760724.010000002</c:v>
                </c:pt>
                <c:pt idx="72">
                  <c:v>30693913.289999999</c:v>
                </c:pt>
                <c:pt idx="73">
                  <c:v>26556495.73</c:v>
                </c:pt>
                <c:pt idx="74">
                  <c:v>26436228.200000003</c:v>
                </c:pt>
                <c:pt idx="75">
                  <c:v>22507686.228</c:v>
                </c:pt>
                <c:pt idx="76">
                  <c:v>22133009.34</c:v>
                </c:pt>
                <c:pt idx="77">
                  <c:v>23221729.140000001</c:v>
                </c:pt>
                <c:pt idx="78">
                  <c:v>26415918.866999999</c:v>
                </c:pt>
                <c:pt idx="79">
                  <c:v>27237589.953000002</c:v>
                </c:pt>
                <c:pt idx="80">
                  <c:v>22039776.68</c:v>
                </c:pt>
                <c:pt idx="81">
                  <c:v>21742886.627999999</c:v>
                </c:pt>
                <c:pt idx="82">
                  <c:v>23454128.573000003</c:v>
                </c:pt>
                <c:pt idx="83">
                  <c:v>27495141.667000003</c:v>
                </c:pt>
                <c:pt idx="84">
                  <c:v>27816333.475000001</c:v>
                </c:pt>
                <c:pt idx="85">
                  <c:v>25737050.190000001</c:v>
                </c:pt>
                <c:pt idx="86">
                  <c:v>26997986.940000001</c:v>
                </c:pt>
                <c:pt idx="87">
                  <c:v>22470351.425000001</c:v>
                </c:pt>
                <c:pt idx="88">
                  <c:v>22071224.705000002</c:v>
                </c:pt>
                <c:pt idx="89">
                  <c:v>24243663.09</c:v>
                </c:pt>
                <c:pt idx="90">
                  <c:v>28251363</c:v>
                </c:pt>
                <c:pt idx="91">
                  <c:v>25466441.18</c:v>
                </c:pt>
                <c:pt idx="92">
                  <c:v>23431411.390000001</c:v>
                </c:pt>
                <c:pt idx="93">
                  <c:v>23160515.342999998</c:v>
                </c:pt>
                <c:pt idx="94">
                  <c:v>25412591.949999999</c:v>
                </c:pt>
                <c:pt idx="95">
                  <c:v>28044242.27</c:v>
                </c:pt>
                <c:pt idx="96">
                  <c:v>30258212.252999999</c:v>
                </c:pt>
                <c:pt idx="97">
                  <c:v>26987081.115000002</c:v>
                </c:pt>
                <c:pt idx="98">
                  <c:v>26960112.859999999</c:v>
                </c:pt>
                <c:pt idx="99">
                  <c:v>23858192.226999998</c:v>
                </c:pt>
                <c:pt idx="100">
                  <c:v>23467027.705000002</c:v>
                </c:pt>
                <c:pt idx="101">
                  <c:v>26576956.670000002</c:v>
                </c:pt>
                <c:pt idx="102">
                  <c:v>31188046.25</c:v>
                </c:pt>
                <c:pt idx="103">
                  <c:v>29636389.199999999</c:v>
                </c:pt>
                <c:pt idx="104">
                  <c:v>25156585.809999999</c:v>
                </c:pt>
                <c:pt idx="105">
                  <c:v>24192596.690000001</c:v>
                </c:pt>
                <c:pt idx="106">
                  <c:v>25649642.219999999</c:v>
                </c:pt>
                <c:pt idx="107">
                  <c:v>30765166.719999999</c:v>
                </c:pt>
                <c:pt idx="108">
                  <c:v>33201030.52</c:v>
                </c:pt>
                <c:pt idx="109">
                  <c:v>29519019.879999999</c:v>
                </c:pt>
                <c:pt idx="110">
                  <c:v>28188056.210000001</c:v>
                </c:pt>
                <c:pt idx="111">
                  <c:v>25907144.830000002</c:v>
                </c:pt>
                <c:pt idx="112">
                  <c:v>24336479.93</c:v>
                </c:pt>
                <c:pt idx="113">
                  <c:v>28531695.16</c:v>
                </c:pt>
                <c:pt idx="114">
                  <c:v>35219494.310000002</c:v>
                </c:pt>
                <c:pt idx="115">
                  <c:v>31952622.859999999</c:v>
                </c:pt>
                <c:pt idx="116">
                  <c:v>25218657.690000001</c:v>
                </c:pt>
                <c:pt idx="117">
                  <c:v>25484179.57</c:v>
                </c:pt>
                <c:pt idx="118">
                  <c:v>28123203.390000001</c:v>
                </c:pt>
                <c:pt idx="119">
                  <c:v>33367453.830000002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CD5-48F5-A218-8CE9497A4DC9}"/>
            </c:ext>
          </c:extLst>
        </c:ser>
        <c:ser>
          <c:idx val="11"/>
          <c:order val="11"/>
          <c:tx>
            <c:strRef>
              <c:f>'Power Purchased Model'!$M$2</c:f>
              <c:strCache>
                <c:ptCount val="1"/>
                <c:pt idx="0">
                  <c:v>Predicted Purchases </c:v>
                </c:pt>
              </c:strCache>
            </c:strRef>
          </c:tx>
          <c:spPr>
            <a:ln w="28575" cap="rnd">
              <a:solidFill>
                <a:schemeClr val="accent5">
                  <a:tint val="41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'Power Purchased Model'!$A$3:$A$122</c:f>
              <c:numCache>
                <c:formatCode>mmm\-yy</c:formatCode>
                <c:ptCount val="120"/>
                <c:pt idx="0">
                  <c:v>42400</c:v>
                </c:pt>
                <c:pt idx="1">
                  <c:v>42429</c:v>
                </c:pt>
                <c:pt idx="2">
                  <c:v>42460</c:v>
                </c:pt>
                <c:pt idx="3">
                  <c:v>42490</c:v>
                </c:pt>
                <c:pt idx="4">
                  <c:v>42521</c:v>
                </c:pt>
                <c:pt idx="5">
                  <c:v>42551</c:v>
                </c:pt>
                <c:pt idx="6">
                  <c:v>42582</c:v>
                </c:pt>
                <c:pt idx="7">
                  <c:v>42613</c:v>
                </c:pt>
                <c:pt idx="8">
                  <c:v>42643</c:v>
                </c:pt>
                <c:pt idx="9">
                  <c:v>42674</c:v>
                </c:pt>
                <c:pt idx="10">
                  <c:v>42704</c:v>
                </c:pt>
                <c:pt idx="11">
                  <c:v>42735</c:v>
                </c:pt>
                <c:pt idx="12">
                  <c:v>42766</c:v>
                </c:pt>
                <c:pt idx="13">
                  <c:v>42794</c:v>
                </c:pt>
                <c:pt idx="14">
                  <c:v>42825</c:v>
                </c:pt>
                <c:pt idx="15">
                  <c:v>42855</c:v>
                </c:pt>
                <c:pt idx="16">
                  <c:v>42886</c:v>
                </c:pt>
                <c:pt idx="17">
                  <c:v>42916</c:v>
                </c:pt>
                <c:pt idx="18">
                  <c:v>42947</c:v>
                </c:pt>
                <c:pt idx="19">
                  <c:v>42978</c:v>
                </c:pt>
                <c:pt idx="20">
                  <c:v>43008</c:v>
                </c:pt>
                <c:pt idx="21">
                  <c:v>43039</c:v>
                </c:pt>
                <c:pt idx="22">
                  <c:v>43069</c:v>
                </c:pt>
                <c:pt idx="23">
                  <c:v>43100</c:v>
                </c:pt>
                <c:pt idx="24">
                  <c:v>43131</c:v>
                </c:pt>
                <c:pt idx="25">
                  <c:v>43159</c:v>
                </c:pt>
                <c:pt idx="26">
                  <c:v>43190</c:v>
                </c:pt>
                <c:pt idx="27">
                  <c:v>43220</c:v>
                </c:pt>
                <c:pt idx="28">
                  <c:v>43251</c:v>
                </c:pt>
                <c:pt idx="29">
                  <c:v>43281</c:v>
                </c:pt>
                <c:pt idx="30">
                  <c:v>43312</c:v>
                </c:pt>
                <c:pt idx="31">
                  <c:v>43343</c:v>
                </c:pt>
                <c:pt idx="32">
                  <c:v>43373</c:v>
                </c:pt>
                <c:pt idx="33">
                  <c:v>43404</c:v>
                </c:pt>
                <c:pt idx="34">
                  <c:v>43434</c:v>
                </c:pt>
                <c:pt idx="35">
                  <c:v>43465</c:v>
                </c:pt>
                <c:pt idx="36">
                  <c:v>43496</c:v>
                </c:pt>
                <c:pt idx="37">
                  <c:v>43524</c:v>
                </c:pt>
                <c:pt idx="38">
                  <c:v>43555</c:v>
                </c:pt>
                <c:pt idx="39">
                  <c:v>43585</c:v>
                </c:pt>
                <c:pt idx="40">
                  <c:v>43616</c:v>
                </c:pt>
                <c:pt idx="41">
                  <c:v>43646</c:v>
                </c:pt>
                <c:pt idx="42">
                  <c:v>43677</c:v>
                </c:pt>
                <c:pt idx="43">
                  <c:v>43708</c:v>
                </c:pt>
                <c:pt idx="44">
                  <c:v>43738</c:v>
                </c:pt>
                <c:pt idx="45">
                  <c:v>43769</c:v>
                </c:pt>
                <c:pt idx="46">
                  <c:v>43799</c:v>
                </c:pt>
                <c:pt idx="47">
                  <c:v>43830</c:v>
                </c:pt>
                <c:pt idx="48">
                  <c:v>43861</c:v>
                </c:pt>
                <c:pt idx="49">
                  <c:v>43890</c:v>
                </c:pt>
                <c:pt idx="50">
                  <c:v>43921</c:v>
                </c:pt>
                <c:pt idx="51">
                  <c:v>43951</c:v>
                </c:pt>
                <c:pt idx="52">
                  <c:v>43982</c:v>
                </c:pt>
                <c:pt idx="53">
                  <c:v>44012</c:v>
                </c:pt>
                <c:pt idx="54">
                  <c:v>44043</c:v>
                </c:pt>
                <c:pt idx="55">
                  <c:v>44074</c:v>
                </c:pt>
                <c:pt idx="56">
                  <c:v>44104</c:v>
                </c:pt>
                <c:pt idx="57">
                  <c:v>44135</c:v>
                </c:pt>
                <c:pt idx="58">
                  <c:v>44165</c:v>
                </c:pt>
                <c:pt idx="59">
                  <c:v>44196</c:v>
                </c:pt>
                <c:pt idx="60">
                  <c:v>44227</c:v>
                </c:pt>
                <c:pt idx="61">
                  <c:v>44255</c:v>
                </c:pt>
                <c:pt idx="62">
                  <c:v>44286</c:v>
                </c:pt>
                <c:pt idx="63">
                  <c:v>44316</c:v>
                </c:pt>
                <c:pt idx="64">
                  <c:v>44347</c:v>
                </c:pt>
                <c:pt idx="65">
                  <c:v>44377</c:v>
                </c:pt>
                <c:pt idx="66">
                  <c:v>44408</c:v>
                </c:pt>
                <c:pt idx="67">
                  <c:v>44439</c:v>
                </c:pt>
                <c:pt idx="68">
                  <c:v>44469</c:v>
                </c:pt>
                <c:pt idx="69">
                  <c:v>44500</c:v>
                </c:pt>
                <c:pt idx="70">
                  <c:v>44530</c:v>
                </c:pt>
                <c:pt idx="71">
                  <c:v>44561</c:v>
                </c:pt>
                <c:pt idx="72">
                  <c:v>44592</c:v>
                </c:pt>
                <c:pt idx="73">
                  <c:v>44620</c:v>
                </c:pt>
                <c:pt idx="74">
                  <c:v>44651</c:v>
                </c:pt>
                <c:pt idx="75">
                  <c:v>44681</c:v>
                </c:pt>
                <c:pt idx="76">
                  <c:v>44712</c:v>
                </c:pt>
                <c:pt idx="77">
                  <c:v>44742</c:v>
                </c:pt>
                <c:pt idx="78">
                  <c:v>44773</c:v>
                </c:pt>
                <c:pt idx="79">
                  <c:v>44804</c:v>
                </c:pt>
                <c:pt idx="80">
                  <c:v>44834</c:v>
                </c:pt>
                <c:pt idx="81">
                  <c:v>44865</c:v>
                </c:pt>
                <c:pt idx="82">
                  <c:v>44895</c:v>
                </c:pt>
                <c:pt idx="83">
                  <c:v>44926</c:v>
                </c:pt>
                <c:pt idx="84">
                  <c:v>44957</c:v>
                </c:pt>
                <c:pt idx="85">
                  <c:v>44985</c:v>
                </c:pt>
                <c:pt idx="86">
                  <c:v>45016</c:v>
                </c:pt>
                <c:pt idx="87">
                  <c:v>45046</c:v>
                </c:pt>
                <c:pt idx="88">
                  <c:v>45077</c:v>
                </c:pt>
                <c:pt idx="89">
                  <c:v>45107</c:v>
                </c:pt>
                <c:pt idx="90">
                  <c:v>45138</c:v>
                </c:pt>
                <c:pt idx="91">
                  <c:v>45169</c:v>
                </c:pt>
                <c:pt idx="92">
                  <c:v>45199</c:v>
                </c:pt>
                <c:pt idx="93">
                  <c:v>45230</c:v>
                </c:pt>
                <c:pt idx="94">
                  <c:v>45260</c:v>
                </c:pt>
                <c:pt idx="95">
                  <c:v>45291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</c:numCache>
            </c:numRef>
          </c:cat>
          <c:val>
            <c:numRef>
              <c:f>'Power Purchased Model'!$M$3:$M$122</c:f>
              <c:numCache>
                <c:formatCode>#,##0_);\(#,##0\)</c:formatCode>
                <c:ptCount val="120"/>
                <c:pt idx="0">
                  <c:v>25030507.999321096</c:v>
                </c:pt>
                <c:pt idx="1">
                  <c:v>22794203.497749321</c:v>
                </c:pt>
                <c:pt idx="2">
                  <c:v>21634498.466820851</c:v>
                </c:pt>
                <c:pt idx="3">
                  <c:v>20013678.74696286</c:v>
                </c:pt>
                <c:pt idx="4">
                  <c:v>19306201.86691707</c:v>
                </c:pt>
                <c:pt idx="5">
                  <c:v>20537995.507092305</c:v>
                </c:pt>
                <c:pt idx="6">
                  <c:v>25419612.404820539</c:v>
                </c:pt>
                <c:pt idx="7">
                  <c:v>26334416.356187753</c:v>
                </c:pt>
                <c:pt idx="8">
                  <c:v>18888378.452747304</c:v>
                </c:pt>
                <c:pt idx="9">
                  <c:v>18449789.621008549</c:v>
                </c:pt>
                <c:pt idx="10">
                  <c:v>19447705.767500315</c:v>
                </c:pt>
                <c:pt idx="11">
                  <c:v>24471717.969498865</c:v>
                </c:pt>
                <c:pt idx="12">
                  <c:v>24533429.234335303</c:v>
                </c:pt>
                <c:pt idx="13">
                  <c:v>21466061.751129754</c:v>
                </c:pt>
                <c:pt idx="14">
                  <c:v>23093294.419115879</c:v>
                </c:pt>
                <c:pt idx="15">
                  <c:v>18553808.973237999</c:v>
                </c:pt>
                <c:pt idx="16">
                  <c:v>18645999.509615511</c:v>
                </c:pt>
                <c:pt idx="17">
                  <c:v>20115474.182451345</c:v>
                </c:pt>
                <c:pt idx="18">
                  <c:v>22883662.389435846</c:v>
                </c:pt>
                <c:pt idx="19">
                  <c:v>21062484.556113705</c:v>
                </c:pt>
                <c:pt idx="20">
                  <c:v>19781898.862718306</c:v>
                </c:pt>
                <c:pt idx="21">
                  <c:v>18827785.208601251</c:v>
                </c:pt>
                <c:pt idx="22">
                  <c:v>21186204.661028922</c:v>
                </c:pt>
                <c:pt idx="23">
                  <c:v>26611465.307730004</c:v>
                </c:pt>
                <c:pt idx="24">
                  <c:v>26948001.348617248</c:v>
                </c:pt>
                <c:pt idx="25">
                  <c:v>22941531.981385984</c:v>
                </c:pt>
                <c:pt idx="26">
                  <c:v>23781495.443317529</c:v>
                </c:pt>
                <c:pt idx="27">
                  <c:v>21530609.044787493</c:v>
                </c:pt>
                <c:pt idx="28">
                  <c:v>20021511.191995591</c:v>
                </c:pt>
                <c:pt idx="29">
                  <c:v>20581404.781795781</c:v>
                </c:pt>
                <c:pt idx="30">
                  <c:v>26264407.789433677</c:v>
                </c:pt>
                <c:pt idx="31">
                  <c:v>26069699.537926361</c:v>
                </c:pt>
                <c:pt idx="32">
                  <c:v>20736298.966236405</c:v>
                </c:pt>
                <c:pt idx="33">
                  <c:v>21210631.669478625</c:v>
                </c:pt>
                <c:pt idx="34">
                  <c:v>22827167.994492143</c:v>
                </c:pt>
                <c:pt idx="35">
                  <c:v>25576074.303063337</c:v>
                </c:pt>
                <c:pt idx="36">
                  <c:v>28202523.529542096</c:v>
                </c:pt>
                <c:pt idx="37">
                  <c:v>24658513.988981131</c:v>
                </c:pt>
                <c:pt idx="38">
                  <c:v>25222337.615734786</c:v>
                </c:pt>
                <c:pt idx="39">
                  <c:v>21542213.201019712</c:v>
                </c:pt>
                <c:pt idx="40">
                  <c:v>20106843.767948981</c:v>
                </c:pt>
                <c:pt idx="41">
                  <c:v>20735294.006485865</c:v>
                </c:pt>
                <c:pt idx="42">
                  <c:v>27077302.857106604</c:v>
                </c:pt>
                <c:pt idx="43">
                  <c:v>23985312.887425944</c:v>
                </c:pt>
                <c:pt idx="44">
                  <c:v>19015718.648180548</c:v>
                </c:pt>
                <c:pt idx="45">
                  <c:v>21110294.336457081</c:v>
                </c:pt>
                <c:pt idx="46">
                  <c:v>23704586.893135287</c:v>
                </c:pt>
                <c:pt idx="47">
                  <c:v>26256933.394259986</c:v>
                </c:pt>
                <c:pt idx="48">
                  <c:v>26571385.056836475</c:v>
                </c:pt>
                <c:pt idx="49">
                  <c:v>25434779.048957065</c:v>
                </c:pt>
                <c:pt idx="50">
                  <c:v>23754273.244458549</c:v>
                </c:pt>
                <c:pt idx="51">
                  <c:v>21939925.898237001</c:v>
                </c:pt>
                <c:pt idx="52">
                  <c:v>21838452.732876703</c:v>
                </c:pt>
                <c:pt idx="53">
                  <c:v>23583108.090450205</c:v>
                </c:pt>
                <c:pt idx="54">
                  <c:v>29683882.9365706</c:v>
                </c:pt>
                <c:pt idx="55">
                  <c:v>25374778.624792218</c:v>
                </c:pt>
                <c:pt idx="56">
                  <c:v>20043935.695509009</c:v>
                </c:pt>
                <c:pt idx="57">
                  <c:v>21674089.528204173</c:v>
                </c:pt>
                <c:pt idx="58">
                  <c:v>21860008.654535241</c:v>
                </c:pt>
                <c:pt idx="59">
                  <c:v>26687724.209365159</c:v>
                </c:pt>
                <c:pt idx="60">
                  <c:v>27387662.024787292</c:v>
                </c:pt>
                <c:pt idx="61">
                  <c:v>25304357.515023388</c:v>
                </c:pt>
                <c:pt idx="62">
                  <c:v>24403467.007623713</c:v>
                </c:pt>
                <c:pt idx="63">
                  <c:v>21828760.034156445</c:v>
                </c:pt>
                <c:pt idx="64">
                  <c:v>22251080.132015985</c:v>
                </c:pt>
                <c:pt idx="65">
                  <c:v>25329283.026913106</c:v>
                </c:pt>
                <c:pt idx="66">
                  <c:v>24960980.710358709</c:v>
                </c:pt>
                <c:pt idx="67">
                  <c:v>28654682.846919551</c:v>
                </c:pt>
                <c:pt idx="68">
                  <c:v>19984909.540015832</c:v>
                </c:pt>
                <c:pt idx="69">
                  <c:v>21044791.205576781</c:v>
                </c:pt>
                <c:pt idx="70">
                  <c:v>23496159.590557493</c:v>
                </c:pt>
                <c:pt idx="71">
                  <c:v>25578781.061039016</c:v>
                </c:pt>
                <c:pt idx="72">
                  <c:v>29281936.9319015</c:v>
                </c:pt>
                <c:pt idx="73">
                  <c:v>25566311.435982522</c:v>
                </c:pt>
                <c:pt idx="74">
                  <c:v>25669918.767888043</c:v>
                </c:pt>
                <c:pt idx="75">
                  <c:v>22678735.666367751</c:v>
                </c:pt>
                <c:pt idx="76">
                  <c:v>22168515.783992205</c:v>
                </c:pt>
                <c:pt idx="77">
                  <c:v>23073525.810230769</c:v>
                </c:pt>
                <c:pt idx="78">
                  <c:v>27447591.952947062</c:v>
                </c:pt>
                <c:pt idx="79">
                  <c:v>27330930.737377152</c:v>
                </c:pt>
                <c:pt idx="80">
                  <c:v>21740765.21972603</c:v>
                </c:pt>
                <c:pt idx="81">
                  <c:v>22537473.22080031</c:v>
                </c:pt>
                <c:pt idx="82">
                  <c:v>23842835.485759571</c:v>
                </c:pt>
                <c:pt idx="83">
                  <c:v>27961516.060867667</c:v>
                </c:pt>
                <c:pt idx="84">
                  <c:v>28257833.0376211</c:v>
                </c:pt>
                <c:pt idx="85">
                  <c:v>26004340.928062934</c:v>
                </c:pt>
                <c:pt idx="86">
                  <c:v>26824519.270840805</c:v>
                </c:pt>
                <c:pt idx="87">
                  <c:v>23463152.855391286</c:v>
                </c:pt>
                <c:pt idx="88">
                  <c:v>23002195.03597185</c:v>
                </c:pt>
                <c:pt idx="89">
                  <c:v>24113012.574746992</c:v>
                </c:pt>
                <c:pt idx="90">
                  <c:v>27962236.285781238</c:v>
                </c:pt>
                <c:pt idx="91">
                  <c:v>25364394.87602064</c:v>
                </c:pt>
                <c:pt idx="92">
                  <c:v>23098986.595545739</c:v>
                </c:pt>
                <c:pt idx="93">
                  <c:v>24687512.054010112</c:v>
                </c:pt>
                <c:pt idx="94">
                  <c:v>26015938.12592949</c:v>
                </c:pt>
                <c:pt idx="95">
                  <c:v>28435456.617616028</c:v>
                </c:pt>
                <c:pt idx="96">
                  <c:v>30433676.029999115</c:v>
                </c:pt>
                <c:pt idx="97">
                  <c:v>28014199.777104754</c:v>
                </c:pt>
                <c:pt idx="98">
                  <c:v>27519210.484384496</c:v>
                </c:pt>
                <c:pt idx="99">
                  <c:v>25035216.180776656</c:v>
                </c:pt>
                <c:pt idx="100">
                  <c:v>24099815.049124803</c:v>
                </c:pt>
                <c:pt idx="101">
                  <c:v>26967673.994398803</c:v>
                </c:pt>
                <c:pt idx="102">
                  <c:v>30247803.26536065</c:v>
                </c:pt>
                <c:pt idx="103">
                  <c:v>28293978.096637852</c:v>
                </c:pt>
                <c:pt idx="104">
                  <c:v>24212715.739656147</c:v>
                </c:pt>
                <c:pt idx="105">
                  <c:v>25103600.888667937</c:v>
                </c:pt>
                <c:pt idx="106">
                  <c:v>26497019.943763278</c:v>
                </c:pt>
                <c:pt idx="107">
                  <c:v>30834508.598621748</c:v>
                </c:pt>
                <c:pt idx="108">
                  <c:v>32808399.179988503</c:v>
                </c:pt>
                <c:pt idx="109">
                  <c:v>29932780.948555287</c:v>
                </c:pt>
                <c:pt idx="110">
                  <c:v>28976024.223368388</c:v>
                </c:pt>
                <c:pt idx="111">
                  <c:v>26315694.782584447</c:v>
                </c:pt>
                <c:pt idx="112">
                  <c:v>25149849.75106369</c:v>
                </c:pt>
                <c:pt idx="113">
                  <c:v>28571817.476522103</c:v>
                </c:pt>
                <c:pt idx="114">
                  <c:v>33202723.903153844</c:v>
                </c:pt>
                <c:pt idx="115">
                  <c:v>30396907.610664796</c:v>
                </c:pt>
                <c:pt idx="116">
                  <c:v>24667206.908334281</c:v>
                </c:pt>
                <c:pt idx="117">
                  <c:v>26383317.623755481</c:v>
                </c:pt>
                <c:pt idx="118">
                  <c:v>28178340.92907171</c:v>
                </c:pt>
                <c:pt idx="119">
                  <c:v>32733116.101122037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CD5-48F5-A218-8CE9497A4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6862952"/>
        <c:axId val="77686079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'Power Purchased Model'!$B$2</c15:sqref>
                        </c15:formulaRef>
                      </c:ext>
                    </c:extLst>
                    <c:strCache>
                      <c:ptCount val="1"/>
                      <c:pt idx="0">
                        <c:v>Wholesale Purchases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shade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'Power Purchased Model'!$B$3:$B$122</c15:sqref>
                        </c15:formulaRef>
                      </c:ext>
                    </c:extLst>
                    <c:numCache>
                      <c:formatCode>#,##0</c:formatCode>
                      <c:ptCount val="120"/>
                      <c:pt idx="0">
                        <c:v>25159552</c:v>
                      </c:pt>
                      <c:pt idx="1">
                        <c:v>23014941</c:v>
                      </c:pt>
                      <c:pt idx="2">
                        <c:v>21970551</c:v>
                      </c:pt>
                      <c:pt idx="3">
                        <c:v>19763963</c:v>
                      </c:pt>
                      <c:pt idx="4">
                        <c:v>18836973</c:v>
                      </c:pt>
                      <c:pt idx="5">
                        <c:v>19211234</c:v>
                      </c:pt>
                      <c:pt idx="6">
                        <c:v>23404500</c:v>
                      </c:pt>
                      <c:pt idx="7">
                        <c:v>24564804</c:v>
                      </c:pt>
                      <c:pt idx="8">
                        <c:v>19239594</c:v>
                      </c:pt>
                      <c:pt idx="9">
                        <c:v>19360398</c:v>
                      </c:pt>
                      <c:pt idx="10">
                        <c:v>20317470</c:v>
                      </c:pt>
                      <c:pt idx="11">
                        <c:v>24538056</c:v>
                      </c:pt>
                      <c:pt idx="12" formatCode="#,##0_);\(#,##0\)">
                        <c:v>24383250.957844518</c:v>
                      </c:pt>
                      <c:pt idx="13" formatCode="#,##0_);\(#,##0\)">
                        <c:v>21070773.226623036</c:v>
                      </c:pt>
                      <c:pt idx="14" formatCode="#,##0_);\(#,##0\)">
                        <c:v>23393184.032128658</c:v>
                      </c:pt>
                      <c:pt idx="15" formatCode="#,##0_);\(#,##0\)">
                        <c:v>18825985.160844527</c:v>
                      </c:pt>
                      <c:pt idx="16" formatCode="#,##0_);\(#,##0\)">
                        <c:v>18786333.0832728</c:v>
                      </c:pt>
                      <c:pt idx="17" formatCode="#,##0_);\(#,##0\)">
                        <c:v>19567266.152046304</c:v>
                      </c:pt>
                      <c:pt idx="18" formatCode="#,##0_);\(#,##0\)">
                        <c:v>22381676.491002649</c:v>
                      </c:pt>
                      <c:pt idx="19" formatCode="#,##0_);\(#,##0\)">
                        <c:v>21132315.915526163</c:v>
                      </c:pt>
                      <c:pt idx="20" formatCode="#,##0_);\(#,##0\)">
                        <c:v>19954544.032724753</c:v>
                      </c:pt>
                      <c:pt idx="21" formatCode="#,##0_);\(#,##0\)">
                        <c:v>19246234.531076949</c:v>
                      </c:pt>
                      <c:pt idx="22" formatCode="#,##0_);\(#,##0\)">
                        <c:v>21849761.600563686</c:v>
                      </c:pt>
                      <c:pt idx="23" formatCode="#,##0_);\(#,##0\)">
                        <c:v>26178109.375145946</c:v>
                      </c:pt>
                      <c:pt idx="24" formatCode="#,##0_);\(#,##0\)">
                        <c:v>27156877.702999998</c:v>
                      </c:pt>
                      <c:pt idx="25" formatCode="#,##0_);\(#,##0\)">
                        <c:v>22662310.571999997</c:v>
                      </c:pt>
                      <c:pt idx="26" formatCode="#,##0_);\(#,##0\)">
                        <c:v>23534615.378000002</c:v>
                      </c:pt>
                      <c:pt idx="27" formatCode="#,##0_);\(#,##0\)">
                        <c:v>21736721.348000001</c:v>
                      </c:pt>
                      <c:pt idx="28" formatCode="#,##0_);\(#,##0\)">
                        <c:v>19774022.555</c:v>
                      </c:pt>
                      <c:pt idx="29" formatCode="#,##0_);\(#,##0\)">
                        <c:v>21054153.723000001</c:v>
                      </c:pt>
                      <c:pt idx="30" formatCode="#,##0_);\(#,##0\)">
                        <c:v>26045488.691000003</c:v>
                      </c:pt>
                      <c:pt idx="31" formatCode="#,##0_);\(#,##0\)">
                        <c:v>25645894.579999998</c:v>
                      </c:pt>
                      <c:pt idx="32" formatCode="#,##0_);\(#,##0\)">
                        <c:v>21607296.151000001</c:v>
                      </c:pt>
                      <c:pt idx="33" formatCode="#,##0_);\(#,##0\)">
                        <c:v>21087346.497000001</c:v>
                      </c:pt>
                      <c:pt idx="34" formatCode="#,##0_);\(#,##0\)">
                        <c:v>23149553.112999998</c:v>
                      </c:pt>
                      <c:pt idx="35" formatCode="#,##0_);\(#,##0\)">
                        <c:v>25358955.434999999</c:v>
                      </c:pt>
                      <c:pt idx="36" formatCode="#,##0_);\(#,##0\)">
                        <c:v>27894969.359999999</c:v>
                      </c:pt>
                      <c:pt idx="37" formatCode="#,##0_);\(#,##0\)">
                        <c:v>24435650.726</c:v>
                      </c:pt>
                      <c:pt idx="38" formatCode="#,##0_);\(#,##0\)">
                        <c:v>25143357.008000001</c:v>
                      </c:pt>
                      <c:pt idx="39" formatCode="#,##0_);\(#,##0\)">
                        <c:v>21419957.239</c:v>
                      </c:pt>
                      <c:pt idx="40" formatCode="#,##0_);\(#,##0\)">
                        <c:v>20126479.741</c:v>
                      </c:pt>
                      <c:pt idx="41" formatCode="#,##0_);\(#,##0\)">
                        <c:v>20273580.334999997</c:v>
                      </c:pt>
                      <c:pt idx="42" formatCode="#,##0_);\(#,##0\)">
                        <c:v>26858420.012999997</c:v>
                      </c:pt>
                      <c:pt idx="43" formatCode="#,##0_);\(#,##0\)">
                        <c:v>23828311.434</c:v>
                      </c:pt>
                      <c:pt idx="44" formatCode="#,##0_);\(#,##0\)">
                        <c:v>19656048.893999998</c:v>
                      </c:pt>
                      <c:pt idx="45" formatCode="#,##0_);\(#,##0\)">
                        <c:v>20804823.366999999</c:v>
                      </c:pt>
                      <c:pt idx="46" formatCode="#,##0_);\(#,##0\)">
                        <c:v>23741040.090999998</c:v>
                      </c:pt>
                      <c:pt idx="47" formatCode="#,##0_);\(#,##0\)">
                        <c:v>26398898.682</c:v>
                      </c:pt>
                      <c:pt idx="48" formatCode="#,##0_);\(#,##0\)">
                        <c:v>26523401.686000001</c:v>
                      </c:pt>
                      <c:pt idx="49" formatCode="#,##0_);\(#,##0\)">
                        <c:v>24898397.280999999</c:v>
                      </c:pt>
                      <c:pt idx="50" formatCode="#,##0_);\(#,##0\)">
                        <c:v>24574269.381999999</c:v>
                      </c:pt>
                      <c:pt idx="51" formatCode="#,##0_);\(#,##0\)">
                        <c:v>21967925.707000002</c:v>
                      </c:pt>
                      <c:pt idx="52" formatCode="#,##0_);\(#,##0\)">
                        <c:v>21748680.120000001</c:v>
                      </c:pt>
                      <c:pt idx="53" formatCode="#,##0_);\(#,##0\)">
                        <c:v>23703342.888</c:v>
                      </c:pt>
                      <c:pt idx="54" formatCode="#,##0_);\(#,##0\)">
                        <c:v>29815954.280999999</c:v>
                      </c:pt>
                      <c:pt idx="55" formatCode="#,##0_);\(#,##0\)">
                        <c:v>26121737.241</c:v>
                      </c:pt>
                      <c:pt idx="56" formatCode="#,##0_);\(#,##0\)">
                        <c:v>20682425.02699</c:v>
                      </c:pt>
                      <c:pt idx="57" formatCode="#,##0_);\(#,##0\)">
                        <c:v>21791036.214000002</c:v>
                      </c:pt>
                      <c:pt idx="58" formatCode="#,##0_);\(#,##0\)">
                        <c:v>22640626.522999998</c:v>
                      </c:pt>
                      <c:pt idx="59" formatCode="#,##0_);\(#,##0\)">
                        <c:v>26936455.295999996</c:v>
                      </c:pt>
                      <c:pt idx="60" formatCode="#,##0_);\(#,##0\)">
                        <c:v>27383194.68</c:v>
                      </c:pt>
                      <c:pt idx="61" formatCode="#,##0_);\(#,##0\)">
                        <c:v>26118374.440000001</c:v>
                      </c:pt>
                      <c:pt idx="62" formatCode="#,##0_);\(#,##0\)">
                        <c:v>25209899.25</c:v>
                      </c:pt>
                      <c:pt idx="63" formatCode="#,##0_);\(#,##0\)">
                        <c:v>21444082.049999997</c:v>
                      </c:pt>
                      <c:pt idx="64" formatCode="#,##0_);\(#,##0\)">
                        <c:v>21915007.870000001</c:v>
                      </c:pt>
                      <c:pt idx="65" formatCode="#,##0_);\(#,##0\)">
                        <c:v>24946416.130000003</c:v>
                      </c:pt>
                      <c:pt idx="66" formatCode="#,##0_);\(#,##0\)">
                        <c:v>25413113.779999997</c:v>
                      </c:pt>
                      <c:pt idx="67" formatCode="#,##0_);\(#,##0\)">
                        <c:v>29121956.240000002</c:v>
                      </c:pt>
                      <c:pt idx="68" formatCode="#,##0_);\(#,##0\)">
                        <c:v>21448441.290000003</c:v>
                      </c:pt>
                      <c:pt idx="69" formatCode="#,##0_);\(#,##0\)">
                        <c:v>21738524.600000001</c:v>
                      </c:pt>
                      <c:pt idx="70" formatCode="#,##0_);\(#,##0\)">
                        <c:v>23740519.789999999</c:v>
                      </c:pt>
                      <c:pt idx="71" formatCode="#,##0_);\(#,##0\)">
                        <c:v>26760724.010000002</c:v>
                      </c:pt>
                      <c:pt idx="72" formatCode="#,##0_);\(#,##0\)">
                        <c:v>30693913.289999999</c:v>
                      </c:pt>
                      <c:pt idx="73" formatCode="#,##0_);\(#,##0\)">
                        <c:v>26556495.73</c:v>
                      </c:pt>
                      <c:pt idx="74" formatCode="#,##0_);\(#,##0\)">
                        <c:v>26436228.200000003</c:v>
                      </c:pt>
                      <c:pt idx="75" formatCode="#,##0_);\(#,##0\)">
                        <c:v>22507686.228</c:v>
                      </c:pt>
                      <c:pt idx="76" formatCode="#,##0_);\(#,##0\)">
                        <c:v>22133009.34</c:v>
                      </c:pt>
                      <c:pt idx="77" formatCode="#,##0_);\(#,##0\)">
                        <c:v>23221729.140000001</c:v>
                      </c:pt>
                      <c:pt idx="78" formatCode="#,##0_);\(#,##0\)">
                        <c:v>26415918.866999999</c:v>
                      </c:pt>
                      <c:pt idx="79" formatCode="#,##0_);\(#,##0\)">
                        <c:v>27237589.953000002</c:v>
                      </c:pt>
                      <c:pt idx="80" formatCode="#,##0_);\(#,##0\)">
                        <c:v>22039776.68</c:v>
                      </c:pt>
                      <c:pt idx="81" formatCode="#,##0_);\(#,##0\)">
                        <c:v>21742886.627999999</c:v>
                      </c:pt>
                      <c:pt idx="82" formatCode="#,##0_);\(#,##0\)">
                        <c:v>23454128.573000003</c:v>
                      </c:pt>
                      <c:pt idx="83" formatCode="#,##0_);\(#,##0\)">
                        <c:v>27495141.667000003</c:v>
                      </c:pt>
                      <c:pt idx="84" formatCode="#,##0_);\(#,##0\)">
                        <c:v>27816333.475000001</c:v>
                      </c:pt>
                      <c:pt idx="85" formatCode="#,##0_);\(#,##0\)">
                        <c:v>25737050.190000001</c:v>
                      </c:pt>
                      <c:pt idx="86" formatCode="#,##0_);\(#,##0\)">
                        <c:v>26997986.940000001</c:v>
                      </c:pt>
                      <c:pt idx="87" formatCode="#,##0_);\(#,##0\)">
                        <c:v>22470351.425000001</c:v>
                      </c:pt>
                      <c:pt idx="88" formatCode="#,##0_);\(#,##0\)">
                        <c:v>22071224.705000002</c:v>
                      </c:pt>
                      <c:pt idx="89" formatCode="#,##0_);\(#,##0\)">
                        <c:v>24243663.09</c:v>
                      </c:pt>
                      <c:pt idx="90" formatCode="#,##0_);\(#,##0\)">
                        <c:v>28251363</c:v>
                      </c:pt>
                      <c:pt idx="91" formatCode="#,##0_);\(#,##0\)">
                        <c:v>25466441.18</c:v>
                      </c:pt>
                      <c:pt idx="92" formatCode="#,##0_);\(#,##0\)">
                        <c:v>23431411.390000001</c:v>
                      </c:pt>
                      <c:pt idx="93" formatCode="#,##0_);\(#,##0\)">
                        <c:v>23160515.342999998</c:v>
                      </c:pt>
                      <c:pt idx="94" formatCode="#,##0_);\(#,##0\)">
                        <c:v>25412591.949999999</c:v>
                      </c:pt>
                      <c:pt idx="95" formatCode="#,##0_);\(#,##0\)">
                        <c:v>28044242.27</c:v>
                      </c:pt>
                      <c:pt idx="96" formatCode="#,##0_);\(#,##0\)">
                        <c:v>30258212.252999999</c:v>
                      </c:pt>
                      <c:pt idx="97" formatCode="#,##0_);\(#,##0\)">
                        <c:v>26987081.115000002</c:v>
                      </c:pt>
                      <c:pt idx="98" formatCode="#,##0_);\(#,##0\)">
                        <c:v>26960112.859999999</c:v>
                      </c:pt>
                      <c:pt idx="99" formatCode="#,##0_);\(#,##0\)">
                        <c:v>23858192.226999998</c:v>
                      </c:pt>
                      <c:pt idx="100" formatCode="#,##0_);\(#,##0\)">
                        <c:v>23467027.705000002</c:v>
                      </c:pt>
                      <c:pt idx="101" formatCode="#,##0_);\(#,##0\)">
                        <c:v>26576956.670000002</c:v>
                      </c:pt>
                      <c:pt idx="102" formatCode="#,##0_);\(#,##0\)">
                        <c:v>31188046.25</c:v>
                      </c:pt>
                      <c:pt idx="103" formatCode="#,##0_);\(#,##0\)">
                        <c:v>29636389.199999999</c:v>
                      </c:pt>
                      <c:pt idx="104" formatCode="#,##0_);\(#,##0\)">
                        <c:v>25156585.809999999</c:v>
                      </c:pt>
                      <c:pt idx="105" formatCode="#,##0_);\(#,##0\)">
                        <c:v>24192596.690000001</c:v>
                      </c:pt>
                      <c:pt idx="106" formatCode="#,##0_);\(#,##0\)">
                        <c:v>25649642.219999999</c:v>
                      </c:pt>
                      <c:pt idx="107" formatCode="#,##0_);\(#,##0\)">
                        <c:v>30765166.719999999</c:v>
                      </c:pt>
                      <c:pt idx="108" formatCode="#,##0_);\(#,##0\)">
                        <c:v>33201030.52</c:v>
                      </c:pt>
                      <c:pt idx="109" formatCode="#,##0_);\(#,##0\)">
                        <c:v>29519019.879999999</c:v>
                      </c:pt>
                      <c:pt idx="110" formatCode="#,##0_);\(#,##0\)">
                        <c:v>28188056.210000001</c:v>
                      </c:pt>
                      <c:pt idx="111" formatCode="#,##0_);\(#,##0\)">
                        <c:v>25907144.830000002</c:v>
                      </c:pt>
                      <c:pt idx="112" formatCode="#,##0_);\(#,##0\)">
                        <c:v>24336479.93</c:v>
                      </c:pt>
                      <c:pt idx="113" formatCode="#,##0_);\(#,##0\)">
                        <c:v>28531695.16</c:v>
                      </c:pt>
                      <c:pt idx="114" formatCode="#,##0_);\(#,##0\)">
                        <c:v>35219494.310000002</c:v>
                      </c:pt>
                      <c:pt idx="115" formatCode="#,##0_);\(#,##0\)">
                        <c:v>31952622.859999999</c:v>
                      </c:pt>
                      <c:pt idx="116" formatCode="#,##0_);\(#,##0\)">
                        <c:v>25218657.690000001</c:v>
                      </c:pt>
                      <c:pt idx="117" formatCode="#,##0_);\(#,##0\)">
                        <c:v>25484179.57</c:v>
                      </c:pt>
                      <c:pt idx="118" formatCode="#,##0_);\(#,##0\)">
                        <c:v>28123203.390000001</c:v>
                      </c:pt>
                      <c:pt idx="119" formatCode="#,##0_);\(#,##0\)">
                        <c:v>33367453.830000002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BCD5-48F5-A218-8CE9497A4DC9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Model'!$C$2</c15:sqref>
                        </c15:formulaRef>
                      </c:ext>
                    </c:extLst>
                    <c:strCache>
                      <c:ptCount val="1"/>
                      <c:pt idx="0">
                        <c:v>Embedded Generation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shade val="51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Model'!$C$3:$C$122</c15:sqref>
                        </c15:formulaRef>
                      </c:ext>
                    </c:extLst>
                    <c:numCache>
                      <c:formatCode>#,##0</c:formatCode>
                      <c:ptCount val="120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BCD5-48F5-A218-8CE9497A4DC9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Model'!$D$2</c15:sqref>
                        </c15:formulaRef>
                      </c:ext>
                    </c:extLst>
                    <c:strCache>
                      <c:ptCount val="1"/>
                      <c:pt idx="0">
                        <c:v>Power Purchases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shade val="62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Model'!$D$3:$D$122</c15:sqref>
                        </c15:formulaRef>
                      </c:ext>
                    </c:extLst>
                    <c:numCache>
                      <c:formatCode>#,##0_);\(#,##0\)</c:formatCode>
                      <c:ptCount val="120"/>
                      <c:pt idx="0">
                        <c:v>25159552</c:v>
                      </c:pt>
                      <c:pt idx="1">
                        <c:v>23014941</c:v>
                      </c:pt>
                      <c:pt idx="2">
                        <c:v>21970551</c:v>
                      </c:pt>
                      <c:pt idx="3">
                        <c:v>19763963</c:v>
                      </c:pt>
                      <c:pt idx="4">
                        <c:v>18836973</c:v>
                      </c:pt>
                      <c:pt idx="5">
                        <c:v>19211234</c:v>
                      </c:pt>
                      <c:pt idx="6">
                        <c:v>23404500</c:v>
                      </c:pt>
                      <c:pt idx="7">
                        <c:v>24564804</c:v>
                      </c:pt>
                      <c:pt idx="8">
                        <c:v>19239594</c:v>
                      </c:pt>
                      <c:pt idx="9">
                        <c:v>19360398</c:v>
                      </c:pt>
                      <c:pt idx="10">
                        <c:v>20317470</c:v>
                      </c:pt>
                      <c:pt idx="11">
                        <c:v>24538056</c:v>
                      </c:pt>
                      <c:pt idx="12">
                        <c:v>24383250.957844518</c:v>
                      </c:pt>
                      <c:pt idx="13">
                        <c:v>21070773.226623036</c:v>
                      </c:pt>
                      <c:pt idx="14">
                        <c:v>23393184.032128658</c:v>
                      </c:pt>
                      <c:pt idx="15">
                        <c:v>18825985.160844527</c:v>
                      </c:pt>
                      <c:pt idx="16">
                        <c:v>18786333.0832728</c:v>
                      </c:pt>
                      <c:pt idx="17">
                        <c:v>19567266.152046304</c:v>
                      </c:pt>
                      <c:pt idx="18">
                        <c:v>22381676.491002649</c:v>
                      </c:pt>
                      <c:pt idx="19">
                        <c:v>21132315.915526163</c:v>
                      </c:pt>
                      <c:pt idx="20">
                        <c:v>19954544.032724753</c:v>
                      </c:pt>
                      <c:pt idx="21">
                        <c:v>19246234.531076949</c:v>
                      </c:pt>
                      <c:pt idx="22">
                        <c:v>21849761.600563686</c:v>
                      </c:pt>
                      <c:pt idx="23">
                        <c:v>26178109.375145946</c:v>
                      </c:pt>
                      <c:pt idx="24">
                        <c:v>27156877.702999998</c:v>
                      </c:pt>
                      <c:pt idx="25">
                        <c:v>22662310.571999997</c:v>
                      </c:pt>
                      <c:pt idx="26">
                        <c:v>23534615.378000002</c:v>
                      </c:pt>
                      <c:pt idx="27">
                        <c:v>21736721.348000001</c:v>
                      </c:pt>
                      <c:pt idx="28">
                        <c:v>19774022.555</c:v>
                      </c:pt>
                      <c:pt idx="29">
                        <c:v>21054153.723000001</c:v>
                      </c:pt>
                      <c:pt idx="30">
                        <c:v>26045488.691000003</c:v>
                      </c:pt>
                      <c:pt idx="31">
                        <c:v>25645894.579999998</c:v>
                      </c:pt>
                      <c:pt idx="32">
                        <c:v>21607296.151000001</c:v>
                      </c:pt>
                      <c:pt idx="33">
                        <c:v>21087346.497000001</c:v>
                      </c:pt>
                      <c:pt idx="34">
                        <c:v>23149553.112999998</c:v>
                      </c:pt>
                      <c:pt idx="35">
                        <c:v>25358955.434999999</c:v>
                      </c:pt>
                      <c:pt idx="36">
                        <c:v>27894969.359999999</c:v>
                      </c:pt>
                      <c:pt idx="37">
                        <c:v>24435650.726</c:v>
                      </c:pt>
                      <c:pt idx="38">
                        <c:v>25143357.008000001</c:v>
                      </c:pt>
                      <c:pt idx="39">
                        <c:v>21419957.239</c:v>
                      </c:pt>
                      <c:pt idx="40">
                        <c:v>20126479.741</c:v>
                      </c:pt>
                      <c:pt idx="41">
                        <c:v>20273580.334999997</c:v>
                      </c:pt>
                      <c:pt idx="42">
                        <c:v>26858420.012999997</c:v>
                      </c:pt>
                      <c:pt idx="43">
                        <c:v>23828311.434</c:v>
                      </c:pt>
                      <c:pt idx="44">
                        <c:v>19656048.893999998</c:v>
                      </c:pt>
                      <c:pt idx="45">
                        <c:v>20804823.366999999</c:v>
                      </c:pt>
                      <c:pt idx="46">
                        <c:v>23741040.090999998</c:v>
                      </c:pt>
                      <c:pt idx="47">
                        <c:v>26398898.682</c:v>
                      </c:pt>
                      <c:pt idx="48">
                        <c:v>26523401.686000001</c:v>
                      </c:pt>
                      <c:pt idx="49">
                        <c:v>24898397.280999999</c:v>
                      </c:pt>
                      <c:pt idx="50">
                        <c:v>24574269.381999999</c:v>
                      </c:pt>
                      <c:pt idx="51">
                        <c:v>21967925.707000002</c:v>
                      </c:pt>
                      <c:pt idx="52">
                        <c:v>21748680.120000001</c:v>
                      </c:pt>
                      <c:pt idx="53">
                        <c:v>23703342.888</c:v>
                      </c:pt>
                      <c:pt idx="54">
                        <c:v>29815954.280999999</c:v>
                      </c:pt>
                      <c:pt idx="55">
                        <c:v>26121737.241</c:v>
                      </c:pt>
                      <c:pt idx="56">
                        <c:v>20682425.02699</c:v>
                      </c:pt>
                      <c:pt idx="57">
                        <c:v>21791036.214000002</c:v>
                      </c:pt>
                      <c:pt idx="58">
                        <c:v>22640626.522999998</c:v>
                      </c:pt>
                      <c:pt idx="59">
                        <c:v>26936455.295999996</c:v>
                      </c:pt>
                      <c:pt idx="60">
                        <c:v>27383194.68</c:v>
                      </c:pt>
                      <c:pt idx="61">
                        <c:v>26118374.440000001</c:v>
                      </c:pt>
                      <c:pt idx="62">
                        <c:v>25209899.25</c:v>
                      </c:pt>
                      <c:pt idx="63">
                        <c:v>21444082.049999997</c:v>
                      </c:pt>
                      <c:pt idx="64">
                        <c:v>21915007.870000001</c:v>
                      </c:pt>
                      <c:pt idx="65">
                        <c:v>24946416.130000003</c:v>
                      </c:pt>
                      <c:pt idx="66">
                        <c:v>25413113.779999997</c:v>
                      </c:pt>
                      <c:pt idx="67">
                        <c:v>29121956.240000002</c:v>
                      </c:pt>
                      <c:pt idx="68">
                        <c:v>21448441.290000003</c:v>
                      </c:pt>
                      <c:pt idx="69">
                        <c:v>21738524.600000001</c:v>
                      </c:pt>
                      <c:pt idx="70">
                        <c:v>23740519.789999999</c:v>
                      </c:pt>
                      <c:pt idx="71">
                        <c:v>26760724.010000002</c:v>
                      </c:pt>
                      <c:pt idx="72">
                        <c:v>30693913.289999999</c:v>
                      </c:pt>
                      <c:pt idx="73">
                        <c:v>26556495.73</c:v>
                      </c:pt>
                      <c:pt idx="74">
                        <c:v>26436228.200000003</c:v>
                      </c:pt>
                      <c:pt idx="75">
                        <c:v>22507686.228</c:v>
                      </c:pt>
                      <c:pt idx="76">
                        <c:v>22133009.34</c:v>
                      </c:pt>
                      <c:pt idx="77">
                        <c:v>23221729.140000001</c:v>
                      </c:pt>
                      <c:pt idx="78">
                        <c:v>26415918.866999999</c:v>
                      </c:pt>
                      <c:pt idx="79">
                        <c:v>27237589.953000002</c:v>
                      </c:pt>
                      <c:pt idx="80">
                        <c:v>22039776.68</c:v>
                      </c:pt>
                      <c:pt idx="81">
                        <c:v>21742886.627999999</c:v>
                      </c:pt>
                      <c:pt idx="82">
                        <c:v>23454128.573000003</c:v>
                      </c:pt>
                      <c:pt idx="83">
                        <c:v>27495141.667000003</c:v>
                      </c:pt>
                      <c:pt idx="84">
                        <c:v>27816333.475000001</c:v>
                      </c:pt>
                      <c:pt idx="85">
                        <c:v>25737050.190000001</c:v>
                      </c:pt>
                      <c:pt idx="86">
                        <c:v>26997986.940000001</c:v>
                      </c:pt>
                      <c:pt idx="87">
                        <c:v>22470351.425000001</c:v>
                      </c:pt>
                      <c:pt idx="88">
                        <c:v>22071224.705000002</c:v>
                      </c:pt>
                      <c:pt idx="89">
                        <c:v>24243663.09</c:v>
                      </c:pt>
                      <c:pt idx="90">
                        <c:v>28251363</c:v>
                      </c:pt>
                      <c:pt idx="91">
                        <c:v>25466441.18</c:v>
                      </c:pt>
                      <c:pt idx="92">
                        <c:v>23431411.390000001</c:v>
                      </c:pt>
                      <c:pt idx="93">
                        <c:v>23160515.342999998</c:v>
                      </c:pt>
                      <c:pt idx="94">
                        <c:v>25412591.949999999</c:v>
                      </c:pt>
                      <c:pt idx="95">
                        <c:v>28044242.27</c:v>
                      </c:pt>
                      <c:pt idx="96">
                        <c:v>30258212.252999999</c:v>
                      </c:pt>
                      <c:pt idx="97">
                        <c:v>26987081.115000002</c:v>
                      </c:pt>
                      <c:pt idx="98">
                        <c:v>26960112.859999999</c:v>
                      </c:pt>
                      <c:pt idx="99">
                        <c:v>23858192.226999998</c:v>
                      </c:pt>
                      <c:pt idx="100">
                        <c:v>23467027.705000002</c:v>
                      </c:pt>
                      <c:pt idx="101">
                        <c:v>26576956.670000002</c:v>
                      </c:pt>
                      <c:pt idx="102">
                        <c:v>31188046.25</c:v>
                      </c:pt>
                      <c:pt idx="103">
                        <c:v>29636389.199999999</c:v>
                      </c:pt>
                      <c:pt idx="104">
                        <c:v>25156585.809999999</c:v>
                      </c:pt>
                      <c:pt idx="105">
                        <c:v>24192596.690000001</c:v>
                      </c:pt>
                      <c:pt idx="106">
                        <c:v>25649642.219999999</c:v>
                      </c:pt>
                      <c:pt idx="107">
                        <c:v>30765166.719999999</c:v>
                      </c:pt>
                      <c:pt idx="108">
                        <c:v>33201030.52</c:v>
                      </c:pt>
                      <c:pt idx="109">
                        <c:v>29519019.879999999</c:v>
                      </c:pt>
                      <c:pt idx="110">
                        <c:v>28188056.210000001</c:v>
                      </c:pt>
                      <c:pt idx="111">
                        <c:v>25907144.830000002</c:v>
                      </c:pt>
                      <c:pt idx="112">
                        <c:v>24336479.93</c:v>
                      </c:pt>
                      <c:pt idx="113">
                        <c:v>28531695.16</c:v>
                      </c:pt>
                      <c:pt idx="114">
                        <c:v>35219494.310000002</c:v>
                      </c:pt>
                      <c:pt idx="115">
                        <c:v>31952622.859999999</c:v>
                      </c:pt>
                      <c:pt idx="116">
                        <c:v>25218657.690000001</c:v>
                      </c:pt>
                      <c:pt idx="117">
                        <c:v>25484179.57</c:v>
                      </c:pt>
                      <c:pt idx="118">
                        <c:v>28123203.390000001</c:v>
                      </c:pt>
                      <c:pt idx="119">
                        <c:v>33367453.830000002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BCD5-48F5-A218-8CE9497A4DC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Model'!$E$2</c15:sqref>
                        </c15:formulaRef>
                      </c:ext>
                    </c:extLst>
                    <c:strCache>
                      <c:ptCount val="1"/>
                      <c:pt idx="0">
                        <c:v>Shut Down Adjustment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shade val="73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Model'!$E$3:$E$122</c15:sqref>
                        </c15:formulaRef>
                      </c:ext>
                    </c:extLst>
                    <c:numCache>
                      <c:formatCode>#,##0</c:formatCode>
                      <c:ptCount val="120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CD5-48F5-A218-8CE9497A4DC9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Model'!$F$2</c15:sqref>
                        </c15:formulaRef>
                      </c:ext>
                    </c:extLst>
                    <c:strCache>
                      <c:ptCount val="1"/>
                      <c:pt idx="0">
                        <c:v>Reduced Load Adjustment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shade val="83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Model'!$F$3:$F$122</c15:sqref>
                        </c15:formulaRef>
                      </c:ext>
                    </c:extLst>
                    <c:numCache>
                      <c:formatCode>#,##0</c:formatCode>
                      <c:ptCount val="120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BCD5-48F5-A218-8CE9497A4DC9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Model'!$H$2</c15:sqref>
                        </c15:formulaRef>
                      </c:ext>
                    </c:extLst>
                    <c:strCache>
                      <c:ptCount val="1"/>
                      <c:pt idx="0">
                        <c:v>Heating Degree Days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tint val="9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Model'!$H$3:$H$122</c15:sqref>
                        </c15:formulaRef>
                      </c:ext>
                    </c:extLst>
                    <c:numCache>
                      <c:formatCode>0</c:formatCode>
                      <c:ptCount val="120"/>
                      <c:pt idx="0">
                        <c:v>670.4</c:v>
                      </c:pt>
                      <c:pt idx="1">
                        <c:v>588.4</c:v>
                      </c:pt>
                      <c:pt idx="2">
                        <c:v>476.0999999999998</c:v>
                      </c:pt>
                      <c:pt idx="3">
                        <c:v>394.8</c:v>
                      </c:pt>
                      <c:pt idx="4">
                        <c:v>142.50000000000003</c:v>
                      </c:pt>
                      <c:pt idx="5">
                        <c:v>24.200000000000003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25.900000000000006</c:v>
                      </c:pt>
                      <c:pt idx="9">
                        <c:v>194.20000000000002</c:v>
                      </c:pt>
                      <c:pt idx="10">
                        <c:v>337.80000000000007</c:v>
                      </c:pt>
                      <c:pt idx="11">
                        <c:v>607.99999999999989</c:v>
                      </c:pt>
                      <c:pt idx="12" formatCode="#,##0_);\(#,##0\)">
                        <c:v>608.9</c:v>
                      </c:pt>
                      <c:pt idx="13" formatCode="#,##0_);\(#,##0\)">
                        <c:v>510.4</c:v>
                      </c:pt>
                      <c:pt idx="14" formatCode="#,##0_);\(#,##0\)">
                        <c:v>574</c:v>
                      </c:pt>
                      <c:pt idx="15" formatCode="#,##0_);\(#,##0\)">
                        <c:v>257.49999999999994</c:v>
                      </c:pt>
                      <c:pt idx="16" formatCode="#,##0_);\(#,##0\)">
                        <c:v>177</c:v>
                      </c:pt>
                      <c:pt idx="17" formatCode="#,##0_);\(#,##0\)">
                        <c:v>26.699999999999996</c:v>
                      </c:pt>
                      <c:pt idx="18" formatCode="#,##0_);\(#,##0\)">
                        <c:v>0</c:v>
                      </c:pt>
                      <c:pt idx="19" formatCode="#,##0_);\(#,##0\)">
                        <c:v>11.6</c:v>
                      </c:pt>
                      <c:pt idx="20" formatCode="#,##0_);\(#,##0\)">
                        <c:v>49.1</c:v>
                      </c:pt>
                      <c:pt idx="21" formatCode="#,##0_);\(#,##0\)">
                        <c:v>153.99999999999997</c:v>
                      </c:pt>
                      <c:pt idx="22" formatCode="#,##0_);\(#,##0\)">
                        <c:v>414.2</c:v>
                      </c:pt>
                      <c:pt idx="23" formatCode="#,##0_);\(#,##0\)">
                        <c:v>718.49999999999989</c:v>
                      </c:pt>
                      <c:pt idx="24" formatCode="#,##0_);\(#,##0\)">
                        <c:v>732.29999999999984</c:v>
                      </c:pt>
                      <c:pt idx="25" formatCode="#,##0_);\(#,##0\)">
                        <c:v>555.00000000000023</c:v>
                      </c:pt>
                      <c:pt idx="26" formatCode="#,##0_);\(#,##0\)">
                        <c:v>553.99999999999989</c:v>
                      </c:pt>
                      <c:pt idx="27" formatCode="#,##0_);\(#,##0\)">
                        <c:v>418.9</c:v>
                      </c:pt>
                      <c:pt idx="28" formatCode="#,##0_);\(#,##0\)">
                        <c:v>75.3</c:v>
                      </c:pt>
                      <c:pt idx="29" formatCode="#,##0_);\(#,##0\)">
                        <c:v>14.799999999999999</c:v>
                      </c:pt>
                      <c:pt idx="30" formatCode="#,##0_);\(#,##0\)">
                        <c:v>0</c:v>
                      </c:pt>
                      <c:pt idx="31" formatCode="#,##0_);\(#,##0\)">
                        <c:v>1.2</c:v>
                      </c:pt>
                      <c:pt idx="32" formatCode="#,##0_);\(#,##0\)">
                        <c:v>41.4</c:v>
                      </c:pt>
                      <c:pt idx="33" formatCode="#,##0_);\(#,##0\)">
                        <c:v>289.40000000000003</c:v>
                      </c:pt>
                      <c:pt idx="34" formatCode="#,##0_);\(#,##0\)">
                        <c:v>494.1</c:v>
                      </c:pt>
                      <c:pt idx="35" formatCode="#,##0_);\(#,##0\)">
                        <c:v>563.60000000000014</c:v>
                      </c:pt>
                      <c:pt idx="36" formatCode="#,##0_);\(#,##0\)">
                        <c:v>764.5</c:v>
                      </c:pt>
                      <c:pt idx="37" formatCode="#,##0_);\(#,##0\)">
                        <c:v>621.70000000000016</c:v>
                      </c:pt>
                      <c:pt idx="38" formatCode="#,##0_);\(#,##0\)">
                        <c:v>593.90000000000009</c:v>
                      </c:pt>
                      <c:pt idx="39" formatCode="#,##0_);\(#,##0\)">
                        <c:v>346.8</c:v>
                      </c:pt>
                      <c:pt idx="40" formatCode="#,##0_);\(#,##0\)">
                        <c:v>181</c:v>
                      </c:pt>
                      <c:pt idx="41" formatCode="#,##0_);\(#,##0\)">
                        <c:v>35.5</c:v>
                      </c:pt>
                      <c:pt idx="42" formatCode="#,##0_);\(#,##0\)">
                        <c:v>0</c:v>
                      </c:pt>
                      <c:pt idx="43" formatCode="#,##0_);\(#,##0\)">
                        <c:v>0.89999999999999991</c:v>
                      </c:pt>
                      <c:pt idx="44" formatCode="#,##0_);\(#,##0\)">
                        <c:v>38.400000000000006</c:v>
                      </c:pt>
                      <c:pt idx="45" formatCode="#,##0_);\(#,##0\)">
                        <c:v>236.5</c:v>
                      </c:pt>
                      <c:pt idx="46" formatCode="#,##0_);\(#,##0\)">
                        <c:v>513.30000000000007</c:v>
                      </c:pt>
                      <c:pt idx="47" formatCode="#,##0_);\(#,##0\)">
                        <c:v>582.4</c:v>
                      </c:pt>
                      <c:pt idx="48" formatCode="#,##0_);\(#,##0\)">
                        <c:v>605</c:v>
                      </c:pt>
                      <c:pt idx="49" formatCode="#,##0_);\(#,##0\)">
                        <c:v>611.79999999999995</c:v>
                      </c:pt>
                      <c:pt idx="50" formatCode="#,##0_);\(#,##0\)">
                        <c:v>458.69999999999993</c:v>
                      </c:pt>
                      <c:pt idx="51" formatCode="#,##0_);\(#,##0\)">
                        <c:v>362.2999999999999</c:v>
                      </c:pt>
                      <c:pt idx="52" formatCode="#,##0_);\(#,##0\)">
                        <c:v>208.09999999999997</c:v>
                      </c:pt>
                      <c:pt idx="53" formatCode="#,##0_);\(#,##0\)">
                        <c:v>23.799999999999997</c:v>
                      </c:pt>
                      <c:pt idx="54" formatCode="#,##0_);\(#,##0\)">
                        <c:v>0</c:v>
                      </c:pt>
                      <c:pt idx="55" formatCode="#,##0_);\(#,##0\)">
                        <c:v>0.8</c:v>
                      </c:pt>
                      <c:pt idx="56" formatCode="#,##0_);\(#,##0\)">
                        <c:v>69.100000000000009</c:v>
                      </c:pt>
                      <c:pt idx="57" formatCode="#,##0_);\(#,##0\)">
                        <c:v>270.3</c:v>
                      </c:pt>
                      <c:pt idx="58" formatCode="#,##0_);\(#,##0\)">
                        <c:v>334.79999999999995</c:v>
                      </c:pt>
                      <c:pt idx="59" formatCode="#,##0_);\(#,##0\)">
                        <c:v>567.29999999999995</c:v>
                      </c:pt>
                      <c:pt idx="60" formatCode="#,##0_);\(#,##0\)">
                        <c:v>621.20000000000005</c:v>
                      </c:pt>
                      <c:pt idx="61" formatCode="#,##0_);\(#,##0\)">
                        <c:v>600.9</c:v>
                      </c:pt>
                      <c:pt idx="62" formatCode="#,##0_);\(#,##0\)">
                        <c:v>460.7</c:v>
                      </c:pt>
                      <c:pt idx="63" formatCode="#,##0_);\(#,##0\)">
                        <c:v>302.39999999999998</c:v>
                      </c:pt>
                      <c:pt idx="64" formatCode="#,##0_);\(#,##0\)">
                        <c:v>164.2</c:v>
                      </c:pt>
                      <c:pt idx="65" formatCode="#,##0_);\(#,##0\)">
                        <c:v>7</c:v>
                      </c:pt>
                      <c:pt idx="66" formatCode="#,##0_);\(#,##0\)">
                        <c:v>4.4000000000000004</c:v>
                      </c:pt>
                      <c:pt idx="67" formatCode="#,##0_);\(#,##0\)">
                        <c:v>0</c:v>
                      </c:pt>
                      <c:pt idx="68" formatCode="#,##0_);\(#,##0\)">
                        <c:v>35.6</c:v>
                      </c:pt>
                      <c:pt idx="69" formatCode="#,##0_);\(#,##0\)">
                        <c:v>145.19999999999999</c:v>
                      </c:pt>
                      <c:pt idx="70" formatCode="#,##0_);\(#,##0\)">
                        <c:v>413.7</c:v>
                      </c:pt>
                      <c:pt idx="71" formatCode="#,##0_);\(#,##0\)">
                        <c:v>445.8</c:v>
                      </c:pt>
                      <c:pt idx="72" formatCode="#,##0_);\(#,##0\)">
                        <c:v>737.1</c:v>
                      </c:pt>
                      <c:pt idx="73" formatCode="#,##0_);\(#,##0\)">
                        <c:v>585.1</c:v>
                      </c:pt>
                      <c:pt idx="74" formatCode="#,##0_);\(#,##0\)">
                        <c:v>523.9</c:v>
                      </c:pt>
                      <c:pt idx="75" formatCode="#,##0_);\(#,##0\)">
                        <c:v>327.9</c:v>
                      </c:pt>
                      <c:pt idx="76" formatCode="#,##0_);\(#,##0\)">
                        <c:v>98.2</c:v>
                      </c:pt>
                      <c:pt idx="77" formatCode="#,##0_);\(#,##0\)">
                        <c:v>17.7</c:v>
                      </c:pt>
                      <c:pt idx="78" formatCode="#,##0_);\(#,##0\)">
                        <c:v>0</c:v>
                      </c:pt>
                      <c:pt idx="79" formatCode="#,##0_);\(#,##0\)">
                        <c:v>0</c:v>
                      </c:pt>
                      <c:pt idx="80" formatCode="#,##0_);\(#,##0\)">
                        <c:v>52.3</c:v>
                      </c:pt>
                      <c:pt idx="81" formatCode="#,##0_);\(#,##0\)">
                        <c:v>236.7</c:v>
                      </c:pt>
                      <c:pt idx="82" formatCode="#,##0_);\(#,##0\)">
                        <c:v>380.1</c:v>
                      </c:pt>
                      <c:pt idx="83" formatCode="#,##0_);\(#,##0\)">
                        <c:v>575.29999999999995</c:v>
                      </c:pt>
                      <c:pt idx="84" formatCode="#,##0_);\(#,##0\)">
                        <c:v>585.1</c:v>
                      </c:pt>
                      <c:pt idx="85" formatCode="#,##0_);\(#,##0\)">
                        <c:v>543.29999999999995</c:v>
                      </c:pt>
                      <c:pt idx="86" formatCode="#,##0_);\(#,##0\)">
                        <c:v>530.9</c:v>
                      </c:pt>
                      <c:pt idx="87" formatCode="#,##0_);\(#,##0\)">
                        <c:v>275.7</c:v>
                      </c:pt>
                      <c:pt idx="88" formatCode="#,##0_);\(#,##0\)">
                        <c:v>153.9</c:v>
                      </c:pt>
                      <c:pt idx="89" formatCode="#,##0_);\(#,##0\)">
                        <c:v>16.100000000000001</c:v>
                      </c:pt>
                      <c:pt idx="90" formatCode="#,##0_);\(#,##0\)">
                        <c:v>0</c:v>
                      </c:pt>
                      <c:pt idx="91" formatCode="#,##0_);\(#,##0\)">
                        <c:v>7</c:v>
                      </c:pt>
                      <c:pt idx="92" formatCode="#,##0_);\(#,##0\)">
                        <c:v>26</c:v>
                      </c:pt>
                      <c:pt idx="93" formatCode="#,##0_);\(#,##0\)">
                        <c:v>188.8</c:v>
                      </c:pt>
                      <c:pt idx="94" formatCode="#,##0_);\(#,##0\)">
                        <c:v>422.1</c:v>
                      </c:pt>
                      <c:pt idx="95" formatCode="#,##0_);\(#,##0\)">
                        <c:v>473.7</c:v>
                      </c:pt>
                      <c:pt idx="96" formatCode="#,##0_);\(#,##0\)">
                        <c:v>623.4</c:v>
                      </c:pt>
                      <c:pt idx="97" formatCode="#,##0_);\(#,##0\)">
                        <c:v>517.4</c:v>
                      </c:pt>
                      <c:pt idx="98" formatCode="#,##0_);\(#,##0\)">
                        <c:v>443.6</c:v>
                      </c:pt>
                      <c:pt idx="99" formatCode="#,##0_);\(#,##0\)">
                        <c:v>284.7</c:v>
                      </c:pt>
                      <c:pt idx="100" formatCode="#,##0_);\(#,##0\)">
                        <c:v>70.3</c:v>
                      </c:pt>
                      <c:pt idx="101" formatCode="#,##0_);\(#,##0\)">
                        <c:v>20.7</c:v>
                      </c:pt>
                      <c:pt idx="102" formatCode="#,##0_);\(#,##0\)">
                        <c:v>0.4</c:v>
                      </c:pt>
                      <c:pt idx="103" formatCode="#,##0_);\(#,##0\)">
                        <c:v>6.8</c:v>
                      </c:pt>
                      <c:pt idx="104" formatCode="#,##0_);\(#,##0\)">
                        <c:v>19.3</c:v>
                      </c:pt>
                      <c:pt idx="105" formatCode="#,##0_);\(#,##0\)">
                        <c:v>194.6</c:v>
                      </c:pt>
                      <c:pt idx="106" formatCode="#,##0_);\(#,##0\)">
                        <c:v>353.4</c:v>
                      </c:pt>
                      <c:pt idx="107" formatCode="#,##0_);\(#,##0\)">
                        <c:v>577</c:v>
                      </c:pt>
                      <c:pt idx="108" formatCode="#,##0_);\(#,##0\)">
                        <c:v>726.2</c:v>
                      </c:pt>
                      <c:pt idx="109" formatCode="#,##0_);\(#,##0\)">
                        <c:v>643.5</c:v>
                      </c:pt>
                      <c:pt idx="110" formatCode="#,##0_);\(#,##0\)">
                        <c:v>486.7</c:v>
                      </c:pt>
                      <c:pt idx="111" formatCode="#,##0_);\(#,##0\)">
                        <c:v>319.60000000000002</c:v>
                      </c:pt>
                      <c:pt idx="112" formatCode="#,##0_);\(#,##0\)">
                        <c:v>154.19999999999999</c:v>
                      </c:pt>
                      <c:pt idx="113" formatCode="#,##0_);\(#,##0\)">
                        <c:v>12.8</c:v>
                      </c:pt>
                      <c:pt idx="114" formatCode="#,##0_);\(#,##0\)">
                        <c:v>0</c:v>
                      </c:pt>
                      <c:pt idx="115" formatCode="#,##0_);\(#,##0\)">
                        <c:v>16.3</c:v>
                      </c:pt>
                      <c:pt idx="116" formatCode="#,##0_);\(#,##0\)">
                        <c:v>20.2</c:v>
                      </c:pt>
                      <c:pt idx="117" formatCode="#,##0_);\(#,##0\)">
                        <c:v>203.7</c:v>
                      </c:pt>
                      <c:pt idx="118" formatCode="#,##0_);\(#,##0\)">
                        <c:v>433.8</c:v>
                      </c:pt>
                      <c:pt idx="119" formatCode="#,##0_);\(#,##0\)">
                        <c:v>665.2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BCD5-48F5-A218-8CE9497A4DC9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Model'!$I$2</c15:sqref>
                        </c15:formulaRef>
                      </c:ext>
                    </c:extLst>
                    <c:strCache>
                      <c:ptCount val="1"/>
                      <c:pt idx="0">
                        <c:v>Cooling Degree Days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tint val="84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Model'!$I$3:$I$122</c15:sqref>
                        </c15:formulaRef>
                      </c:ext>
                    </c:extLst>
                    <c:numCache>
                      <c:formatCode>0</c:formatCode>
                      <c:ptCount val="12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36.9</c:v>
                      </c:pt>
                      <c:pt idx="5">
                        <c:v>83.7</c:v>
                      </c:pt>
                      <c:pt idx="6">
                        <c:v>176.89999999999998</c:v>
                      </c:pt>
                      <c:pt idx="7">
                        <c:v>195.4</c:v>
                      </c:pt>
                      <c:pt idx="8">
                        <c:v>69.400000000000006</c:v>
                      </c:pt>
                      <c:pt idx="9">
                        <c:v>4.0999999999999996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 formatCode="#,##0_);\(#,##0\)">
                        <c:v>0</c:v>
                      </c:pt>
                      <c:pt idx="13" formatCode="#,##0_);\(#,##0\)">
                        <c:v>0</c:v>
                      </c:pt>
                      <c:pt idx="14" formatCode="#,##0_);\(#,##0\)">
                        <c:v>0</c:v>
                      </c:pt>
                      <c:pt idx="15" formatCode="#,##0_);\(#,##0\)">
                        <c:v>0</c:v>
                      </c:pt>
                      <c:pt idx="16" formatCode="#,##0_);\(#,##0\)">
                        <c:v>9</c:v>
                      </c:pt>
                      <c:pt idx="17" formatCode="#,##0_);\(#,##0\)">
                        <c:v>68.2</c:v>
                      </c:pt>
                      <c:pt idx="18" formatCode="#,##0_);\(#,##0\)">
                        <c:v>116.49999999999999</c:v>
                      </c:pt>
                      <c:pt idx="19" formatCode="#,##0_);\(#,##0\)">
                        <c:v>75.2</c:v>
                      </c:pt>
                      <c:pt idx="20" formatCode="#,##0_);\(#,##0\)">
                        <c:v>71.499999999999986</c:v>
                      </c:pt>
                      <c:pt idx="21" formatCode="#,##0_);\(#,##0\)">
                        <c:v>8.1</c:v>
                      </c:pt>
                      <c:pt idx="22" formatCode="#,##0_);\(#,##0\)">
                        <c:v>0</c:v>
                      </c:pt>
                      <c:pt idx="23" formatCode="#,##0_);\(#,##0\)">
                        <c:v>0</c:v>
                      </c:pt>
                      <c:pt idx="24" formatCode="#,##0_);\(#,##0\)">
                        <c:v>0</c:v>
                      </c:pt>
                      <c:pt idx="25" formatCode="#,##0_);\(#,##0\)">
                        <c:v>0</c:v>
                      </c:pt>
                      <c:pt idx="26" formatCode="#,##0_);\(#,##0\)">
                        <c:v>0</c:v>
                      </c:pt>
                      <c:pt idx="27" formatCode="#,##0_);\(#,##0\)">
                        <c:v>0</c:v>
                      </c:pt>
                      <c:pt idx="28" formatCode="#,##0_);\(#,##0\)">
                        <c:v>43.4</c:v>
                      </c:pt>
                      <c:pt idx="29" formatCode="#,##0_);\(#,##0\)">
                        <c:v>60.5</c:v>
                      </c:pt>
                      <c:pt idx="30" formatCode="#,##0_);\(#,##0\)">
                        <c:v>167.8</c:v>
                      </c:pt>
                      <c:pt idx="31" formatCode="#,##0_);\(#,##0\)">
                        <c:v>162.4</c:v>
                      </c:pt>
                      <c:pt idx="32" formatCode="#,##0_);\(#,##0\)">
                        <c:v>76</c:v>
                      </c:pt>
                      <c:pt idx="33" formatCode="#,##0_);\(#,##0\)">
                        <c:v>8.1999999999999993</c:v>
                      </c:pt>
                      <c:pt idx="34" formatCode="#,##0_);\(#,##0\)">
                        <c:v>0</c:v>
                      </c:pt>
                      <c:pt idx="35" formatCode="#,##0_);\(#,##0\)">
                        <c:v>0</c:v>
                      </c:pt>
                      <c:pt idx="36" formatCode="#,##0_);\(#,##0\)">
                        <c:v>0</c:v>
                      </c:pt>
                      <c:pt idx="37" formatCode="#,##0_);\(#,##0\)">
                        <c:v>0</c:v>
                      </c:pt>
                      <c:pt idx="38" formatCode="#,##0_);\(#,##0\)">
                        <c:v>0</c:v>
                      </c:pt>
                      <c:pt idx="39" formatCode="#,##0_);\(#,##0\)">
                        <c:v>0</c:v>
                      </c:pt>
                      <c:pt idx="40" formatCode="#,##0_);\(#,##0\)">
                        <c:v>0</c:v>
                      </c:pt>
                      <c:pt idx="41" formatCode="#,##0_);\(#,##0\)">
                        <c:v>41.300000000000004</c:v>
                      </c:pt>
                      <c:pt idx="42" formatCode="#,##0_);\(#,##0\)">
                        <c:v>166.90000000000003</c:v>
                      </c:pt>
                      <c:pt idx="43" formatCode="#,##0_);\(#,##0\)">
                        <c:v>103.30000000000003</c:v>
                      </c:pt>
                      <c:pt idx="44" formatCode="#,##0_);\(#,##0\)">
                        <c:v>25.400000000000002</c:v>
                      </c:pt>
                      <c:pt idx="45" formatCode="#,##0_);\(#,##0\)">
                        <c:v>5.0999999999999996</c:v>
                      </c:pt>
                      <c:pt idx="46" formatCode="#,##0_);\(#,##0\)">
                        <c:v>0</c:v>
                      </c:pt>
                      <c:pt idx="47" formatCode="#,##0_);\(#,##0\)">
                        <c:v>0</c:v>
                      </c:pt>
                      <c:pt idx="48" formatCode="#,##0_);\(#,##0\)">
                        <c:v>0</c:v>
                      </c:pt>
                      <c:pt idx="49" formatCode="#,##0_);\(#,##0\)">
                        <c:v>0</c:v>
                      </c:pt>
                      <c:pt idx="50" formatCode="#,##0_);\(#,##0\)">
                        <c:v>0</c:v>
                      </c:pt>
                      <c:pt idx="51" formatCode="#,##0_);\(#,##0\)">
                        <c:v>0</c:v>
                      </c:pt>
                      <c:pt idx="52" formatCode="#,##0_);\(#,##0\)">
                        <c:v>24.2</c:v>
                      </c:pt>
                      <c:pt idx="53" formatCode="#,##0_);\(#,##0\)">
                        <c:v>97.700000000000017</c:v>
                      </c:pt>
                      <c:pt idx="54" formatCode="#,##0_);\(#,##0\)">
                        <c:v>215.7</c:v>
                      </c:pt>
                      <c:pt idx="55" formatCode="#,##0_);\(#,##0\)">
                        <c:v>126.69999999999999</c:v>
                      </c:pt>
                      <c:pt idx="56" formatCode="#,##0_);\(#,##0\)">
                        <c:v>33.300000000000004</c:v>
                      </c:pt>
                      <c:pt idx="57" formatCode="#,##0_);\(#,##0\)">
                        <c:v>0</c:v>
                      </c:pt>
                      <c:pt idx="58" formatCode="#,##0_);\(#,##0\)">
                        <c:v>0</c:v>
                      </c:pt>
                      <c:pt idx="59" formatCode="#,##0_);\(#,##0\)">
                        <c:v>0</c:v>
                      </c:pt>
                      <c:pt idx="60" formatCode="#,##0_);\(#,##0\)">
                        <c:v>0</c:v>
                      </c:pt>
                      <c:pt idx="61" formatCode="#,##0_);\(#,##0\)">
                        <c:v>0</c:v>
                      </c:pt>
                      <c:pt idx="62" formatCode="#,##0_);\(#,##0\)">
                        <c:v>0</c:v>
                      </c:pt>
                      <c:pt idx="63" formatCode="#,##0_);\(#,##0\)">
                        <c:v>0</c:v>
                      </c:pt>
                      <c:pt idx="64" formatCode="#,##0_);\(#,##0\)">
                        <c:v>27.9</c:v>
                      </c:pt>
                      <c:pt idx="65" formatCode="#,##0_);\(#,##0\)">
                        <c:v>122</c:v>
                      </c:pt>
                      <c:pt idx="66" formatCode="#,##0_);\(#,##0\)">
                        <c:v>101.7</c:v>
                      </c:pt>
                      <c:pt idx="67" formatCode="#,##0_);\(#,##0\)">
                        <c:v>178.5</c:v>
                      </c:pt>
                      <c:pt idx="68" formatCode="#,##0_);\(#,##0\)">
                        <c:v>24.9</c:v>
                      </c:pt>
                      <c:pt idx="69" formatCode="#,##0_);\(#,##0\)">
                        <c:v>5.6</c:v>
                      </c:pt>
                      <c:pt idx="70" formatCode="#,##0_);\(#,##0\)">
                        <c:v>0</c:v>
                      </c:pt>
                      <c:pt idx="71" formatCode="#,##0_);\(#,##0\)">
                        <c:v>0</c:v>
                      </c:pt>
                      <c:pt idx="72" formatCode="#,##0_);\(#,##0\)">
                        <c:v>0</c:v>
                      </c:pt>
                      <c:pt idx="73" formatCode="#,##0_);\(#,##0\)">
                        <c:v>0</c:v>
                      </c:pt>
                      <c:pt idx="74" formatCode="#,##0_);\(#,##0\)">
                        <c:v>0</c:v>
                      </c:pt>
                      <c:pt idx="75" formatCode="#,##0_);\(#,##0\)">
                        <c:v>0</c:v>
                      </c:pt>
                      <c:pt idx="76" formatCode="#,##0_);\(#,##0\)">
                        <c:v>34.6</c:v>
                      </c:pt>
                      <c:pt idx="77" formatCode="#,##0_);\(#,##0\)">
                        <c:v>64.2</c:v>
                      </c:pt>
                      <c:pt idx="78" formatCode="#,##0_);\(#,##0\)">
                        <c:v>144.69999999999999</c:v>
                      </c:pt>
                      <c:pt idx="79" formatCode="#,##0_);\(#,##0\)">
                        <c:v>140.5</c:v>
                      </c:pt>
                      <c:pt idx="80" formatCode="#,##0_);\(#,##0\)">
                        <c:v>46.1</c:v>
                      </c:pt>
                      <c:pt idx="81" formatCode="#,##0_);\(#,##0\)">
                        <c:v>0.2</c:v>
                      </c:pt>
                      <c:pt idx="82" formatCode="#,##0_);\(#,##0\)">
                        <c:v>0.9</c:v>
                      </c:pt>
                      <c:pt idx="83" formatCode="#,##0_);\(#,##0\)">
                        <c:v>0</c:v>
                      </c:pt>
                      <c:pt idx="84" formatCode="#,##0_);\(#,##0\)">
                        <c:v>0</c:v>
                      </c:pt>
                      <c:pt idx="85" formatCode="#,##0_);\(#,##0\)">
                        <c:v>0</c:v>
                      </c:pt>
                      <c:pt idx="86" formatCode="#,##0_);\(#,##0\)">
                        <c:v>0</c:v>
                      </c:pt>
                      <c:pt idx="87" formatCode="#,##0_);\(#,##0\)">
                        <c:v>7.1</c:v>
                      </c:pt>
                      <c:pt idx="88" formatCode="#,##0_);\(#,##0\)">
                        <c:v>15</c:v>
                      </c:pt>
                      <c:pt idx="89" formatCode="#,##0_);\(#,##0\)">
                        <c:v>59.1</c:v>
                      </c:pt>
                      <c:pt idx="90" formatCode="#,##0_);\(#,##0\)">
                        <c:v>128.30000000000001</c:v>
                      </c:pt>
                      <c:pt idx="91" formatCode="#,##0_);\(#,##0\)">
                        <c:v>70.8</c:v>
                      </c:pt>
                      <c:pt idx="92" formatCode="#,##0_);\(#,##0\)">
                        <c:v>47</c:v>
                      </c:pt>
                      <c:pt idx="93" formatCode="#,##0_);\(#,##0\)">
                        <c:v>21.8</c:v>
                      </c:pt>
                      <c:pt idx="94" formatCode="#,##0_);\(#,##0\)">
                        <c:v>0</c:v>
                      </c:pt>
                      <c:pt idx="95" formatCode="#,##0_);\(#,##0\)">
                        <c:v>0</c:v>
                      </c:pt>
                      <c:pt idx="96" formatCode="#,##0_);\(#,##0\)">
                        <c:v>0</c:v>
                      </c:pt>
                      <c:pt idx="97" formatCode="#,##0_);\(#,##0\)">
                        <c:v>0</c:v>
                      </c:pt>
                      <c:pt idx="98" formatCode="#,##0_);\(#,##0\)">
                        <c:v>0</c:v>
                      </c:pt>
                      <c:pt idx="99" formatCode="#,##0_);\(#,##0\)">
                        <c:v>0</c:v>
                      </c:pt>
                      <c:pt idx="100" formatCode="#,##0_);\(#,##0\)">
                        <c:v>20.8</c:v>
                      </c:pt>
                      <c:pt idx="101" formatCode="#,##0_);\(#,##0\)">
                        <c:v>82.4</c:v>
                      </c:pt>
                      <c:pt idx="102" formatCode="#,##0_);\(#,##0\)">
                        <c:v>140.5</c:v>
                      </c:pt>
                      <c:pt idx="103" formatCode="#,##0_);\(#,##0\)">
                        <c:v>97.4</c:v>
                      </c:pt>
                      <c:pt idx="104" formatCode="#,##0_);\(#,##0\)">
                        <c:v>43.8</c:v>
                      </c:pt>
                      <c:pt idx="105" formatCode="#,##0_);\(#,##0\)">
                        <c:v>3</c:v>
                      </c:pt>
                      <c:pt idx="106" formatCode="#,##0_);\(#,##0\)">
                        <c:v>1.7</c:v>
                      </c:pt>
                      <c:pt idx="107" formatCode="#,##0_);\(#,##0\)">
                        <c:v>0</c:v>
                      </c:pt>
                      <c:pt idx="108" formatCode="#,##0_);\(#,##0\)">
                        <c:v>0</c:v>
                      </c:pt>
                      <c:pt idx="109" formatCode="#,##0_);\(#,##0\)">
                        <c:v>0</c:v>
                      </c:pt>
                      <c:pt idx="110" formatCode="#,##0_);\(#,##0\)">
                        <c:v>0</c:v>
                      </c:pt>
                      <c:pt idx="111" formatCode="#,##0_);\(#,##0\)">
                        <c:v>0</c:v>
                      </c:pt>
                      <c:pt idx="112" formatCode="#,##0_);\(#,##0\)">
                        <c:v>5.0999999999999996</c:v>
                      </c:pt>
                      <c:pt idx="113" formatCode="#,##0_);\(#,##0\)">
                        <c:v>98.8</c:v>
                      </c:pt>
                      <c:pt idx="114" formatCode="#,##0_);\(#,##0\)">
                        <c:v>183.6</c:v>
                      </c:pt>
                      <c:pt idx="115" formatCode="#,##0_);\(#,##0\)">
                        <c:v>121</c:v>
                      </c:pt>
                      <c:pt idx="116" formatCode="#,##0_);\(#,##0\)">
                        <c:v>35.299999999999997</c:v>
                      </c:pt>
                      <c:pt idx="117" formatCode="#,##0_);\(#,##0\)">
                        <c:v>9.9</c:v>
                      </c:pt>
                      <c:pt idx="118" formatCode="#,##0_);\(#,##0\)">
                        <c:v>0</c:v>
                      </c:pt>
                      <c:pt idx="119" formatCode="#,##0_);\(#,##0\)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BCD5-48F5-A218-8CE9497A4DC9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Model'!$J$2</c15:sqref>
                        </c15:formulaRef>
                      </c:ext>
                    </c:extLst>
                    <c:strCache>
                      <c:ptCount val="1"/>
                      <c:pt idx="0">
                        <c:v>Days in Month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tint val="74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Model'!$J$3:$J$122</c15:sqref>
                        </c15:formulaRef>
                      </c:ext>
                    </c:extLst>
                    <c:numCache>
                      <c:formatCode>#,##0_);\(#,##0\)</c:formatCode>
                      <c:ptCount val="120"/>
                      <c:pt idx="0">
                        <c:v>31</c:v>
                      </c:pt>
                      <c:pt idx="1">
                        <c:v>29</c:v>
                      </c:pt>
                      <c:pt idx="2">
                        <c:v>31</c:v>
                      </c:pt>
                      <c:pt idx="3">
                        <c:v>30</c:v>
                      </c:pt>
                      <c:pt idx="4">
                        <c:v>31</c:v>
                      </c:pt>
                      <c:pt idx="5">
                        <c:v>30</c:v>
                      </c:pt>
                      <c:pt idx="6">
                        <c:v>31</c:v>
                      </c:pt>
                      <c:pt idx="7">
                        <c:v>31</c:v>
                      </c:pt>
                      <c:pt idx="8">
                        <c:v>30</c:v>
                      </c:pt>
                      <c:pt idx="9">
                        <c:v>31</c:v>
                      </c:pt>
                      <c:pt idx="10">
                        <c:v>30</c:v>
                      </c:pt>
                      <c:pt idx="11">
                        <c:v>31</c:v>
                      </c:pt>
                      <c:pt idx="12">
                        <c:v>31</c:v>
                      </c:pt>
                      <c:pt idx="13">
                        <c:v>28</c:v>
                      </c:pt>
                      <c:pt idx="14">
                        <c:v>31</c:v>
                      </c:pt>
                      <c:pt idx="15">
                        <c:v>30</c:v>
                      </c:pt>
                      <c:pt idx="16">
                        <c:v>31</c:v>
                      </c:pt>
                      <c:pt idx="17">
                        <c:v>30</c:v>
                      </c:pt>
                      <c:pt idx="18">
                        <c:v>31</c:v>
                      </c:pt>
                      <c:pt idx="19">
                        <c:v>31</c:v>
                      </c:pt>
                      <c:pt idx="20">
                        <c:v>30</c:v>
                      </c:pt>
                      <c:pt idx="21">
                        <c:v>31</c:v>
                      </c:pt>
                      <c:pt idx="22">
                        <c:v>30</c:v>
                      </c:pt>
                      <c:pt idx="23">
                        <c:v>31</c:v>
                      </c:pt>
                      <c:pt idx="24">
                        <c:v>31</c:v>
                      </c:pt>
                      <c:pt idx="25">
                        <c:v>28</c:v>
                      </c:pt>
                      <c:pt idx="26">
                        <c:v>31</c:v>
                      </c:pt>
                      <c:pt idx="27">
                        <c:v>30</c:v>
                      </c:pt>
                      <c:pt idx="28">
                        <c:v>31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31</c:v>
                      </c:pt>
                      <c:pt idx="32">
                        <c:v>30</c:v>
                      </c:pt>
                      <c:pt idx="33">
                        <c:v>31</c:v>
                      </c:pt>
                      <c:pt idx="34">
                        <c:v>30</c:v>
                      </c:pt>
                      <c:pt idx="35">
                        <c:v>31</c:v>
                      </c:pt>
                      <c:pt idx="36">
                        <c:v>31</c:v>
                      </c:pt>
                      <c:pt idx="37">
                        <c:v>28</c:v>
                      </c:pt>
                      <c:pt idx="38">
                        <c:v>31</c:v>
                      </c:pt>
                      <c:pt idx="39">
                        <c:v>30</c:v>
                      </c:pt>
                      <c:pt idx="40">
                        <c:v>31</c:v>
                      </c:pt>
                      <c:pt idx="41">
                        <c:v>30</c:v>
                      </c:pt>
                      <c:pt idx="42">
                        <c:v>31</c:v>
                      </c:pt>
                      <c:pt idx="43">
                        <c:v>31</c:v>
                      </c:pt>
                      <c:pt idx="44">
                        <c:v>30</c:v>
                      </c:pt>
                      <c:pt idx="45">
                        <c:v>31</c:v>
                      </c:pt>
                      <c:pt idx="46">
                        <c:v>30</c:v>
                      </c:pt>
                      <c:pt idx="47">
                        <c:v>31</c:v>
                      </c:pt>
                      <c:pt idx="48">
                        <c:v>31</c:v>
                      </c:pt>
                      <c:pt idx="49">
                        <c:v>29</c:v>
                      </c:pt>
                      <c:pt idx="50">
                        <c:v>31</c:v>
                      </c:pt>
                      <c:pt idx="51">
                        <c:v>30</c:v>
                      </c:pt>
                      <c:pt idx="52">
                        <c:v>31</c:v>
                      </c:pt>
                      <c:pt idx="53">
                        <c:v>30</c:v>
                      </c:pt>
                      <c:pt idx="54">
                        <c:v>31</c:v>
                      </c:pt>
                      <c:pt idx="55">
                        <c:v>31</c:v>
                      </c:pt>
                      <c:pt idx="56">
                        <c:v>30</c:v>
                      </c:pt>
                      <c:pt idx="57">
                        <c:v>31</c:v>
                      </c:pt>
                      <c:pt idx="58">
                        <c:v>30</c:v>
                      </c:pt>
                      <c:pt idx="59">
                        <c:v>31</c:v>
                      </c:pt>
                      <c:pt idx="60">
                        <c:v>31</c:v>
                      </c:pt>
                      <c:pt idx="61">
                        <c:v>28</c:v>
                      </c:pt>
                      <c:pt idx="62">
                        <c:v>31</c:v>
                      </c:pt>
                      <c:pt idx="63">
                        <c:v>30</c:v>
                      </c:pt>
                      <c:pt idx="64">
                        <c:v>31</c:v>
                      </c:pt>
                      <c:pt idx="65">
                        <c:v>30</c:v>
                      </c:pt>
                      <c:pt idx="66">
                        <c:v>31</c:v>
                      </c:pt>
                      <c:pt idx="67">
                        <c:v>31</c:v>
                      </c:pt>
                      <c:pt idx="68">
                        <c:v>30</c:v>
                      </c:pt>
                      <c:pt idx="69">
                        <c:v>31</c:v>
                      </c:pt>
                      <c:pt idx="70">
                        <c:v>30</c:v>
                      </c:pt>
                      <c:pt idx="71">
                        <c:v>31</c:v>
                      </c:pt>
                      <c:pt idx="72">
                        <c:v>31</c:v>
                      </c:pt>
                      <c:pt idx="73">
                        <c:v>28</c:v>
                      </c:pt>
                      <c:pt idx="74">
                        <c:v>31</c:v>
                      </c:pt>
                      <c:pt idx="75">
                        <c:v>30</c:v>
                      </c:pt>
                      <c:pt idx="76">
                        <c:v>31</c:v>
                      </c:pt>
                      <c:pt idx="77">
                        <c:v>30</c:v>
                      </c:pt>
                      <c:pt idx="78">
                        <c:v>31</c:v>
                      </c:pt>
                      <c:pt idx="79">
                        <c:v>31</c:v>
                      </c:pt>
                      <c:pt idx="80">
                        <c:v>30</c:v>
                      </c:pt>
                      <c:pt idx="81">
                        <c:v>31</c:v>
                      </c:pt>
                      <c:pt idx="82">
                        <c:v>30</c:v>
                      </c:pt>
                      <c:pt idx="83">
                        <c:v>31</c:v>
                      </c:pt>
                      <c:pt idx="84">
                        <c:v>31</c:v>
                      </c:pt>
                      <c:pt idx="85">
                        <c:v>28</c:v>
                      </c:pt>
                      <c:pt idx="86">
                        <c:v>31</c:v>
                      </c:pt>
                      <c:pt idx="87">
                        <c:v>30</c:v>
                      </c:pt>
                      <c:pt idx="88">
                        <c:v>31</c:v>
                      </c:pt>
                      <c:pt idx="89">
                        <c:v>30</c:v>
                      </c:pt>
                      <c:pt idx="90">
                        <c:v>31</c:v>
                      </c:pt>
                      <c:pt idx="91">
                        <c:v>31</c:v>
                      </c:pt>
                      <c:pt idx="92">
                        <c:v>30</c:v>
                      </c:pt>
                      <c:pt idx="93">
                        <c:v>31</c:v>
                      </c:pt>
                      <c:pt idx="94">
                        <c:v>30</c:v>
                      </c:pt>
                      <c:pt idx="95">
                        <c:v>31</c:v>
                      </c:pt>
                      <c:pt idx="96">
                        <c:v>31</c:v>
                      </c:pt>
                      <c:pt idx="97">
                        <c:v>29</c:v>
                      </c:pt>
                      <c:pt idx="98">
                        <c:v>31</c:v>
                      </c:pt>
                      <c:pt idx="99">
                        <c:v>30</c:v>
                      </c:pt>
                      <c:pt idx="100">
                        <c:v>31</c:v>
                      </c:pt>
                      <c:pt idx="101">
                        <c:v>30</c:v>
                      </c:pt>
                      <c:pt idx="102">
                        <c:v>31</c:v>
                      </c:pt>
                      <c:pt idx="103">
                        <c:v>31</c:v>
                      </c:pt>
                      <c:pt idx="104">
                        <c:v>30</c:v>
                      </c:pt>
                      <c:pt idx="105">
                        <c:v>31</c:v>
                      </c:pt>
                      <c:pt idx="106">
                        <c:v>30</c:v>
                      </c:pt>
                      <c:pt idx="107">
                        <c:v>31</c:v>
                      </c:pt>
                      <c:pt idx="108">
                        <c:v>31</c:v>
                      </c:pt>
                      <c:pt idx="109">
                        <c:v>28</c:v>
                      </c:pt>
                      <c:pt idx="110">
                        <c:v>31</c:v>
                      </c:pt>
                      <c:pt idx="111">
                        <c:v>30</c:v>
                      </c:pt>
                      <c:pt idx="112">
                        <c:v>31</c:v>
                      </c:pt>
                      <c:pt idx="113">
                        <c:v>30</c:v>
                      </c:pt>
                      <c:pt idx="114">
                        <c:v>31</c:v>
                      </c:pt>
                      <c:pt idx="115">
                        <c:v>31</c:v>
                      </c:pt>
                      <c:pt idx="116">
                        <c:v>30</c:v>
                      </c:pt>
                      <c:pt idx="117">
                        <c:v>31</c:v>
                      </c:pt>
                      <c:pt idx="118">
                        <c:v>30</c:v>
                      </c:pt>
                      <c:pt idx="119">
                        <c:v>31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BCD5-48F5-A218-8CE9497A4DC9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Model'!$K$2</c15:sqref>
                        </c15:formulaRef>
                      </c:ext>
                    </c:extLst>
                    <c:strCache>
                      <c:ptCount val="1"/>
                      <c:pt idx="0">
                        <c:v>Spring Fall Flag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tint val="63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Model'!$K$3:$K$122</c15:sqref>
                        </c15:formulaRef>
                      </c:ext>
                    </c:extLst>
                    <c:numCache>
                      <c:formatCode>#\ ?/?</c:formatCode>
                      <c:ptCount val="120"/>
                      <c:pt idx="0">
                        <c:v>0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1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1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1</c:v>
                      </c:pt>
                      <c:pt idx="21">
                        <c:v>1</c:v>
                      </c:pt>
                      <c:pt idx="22">
                        <c:v>1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1</c:v>
                      </c:pt>
                      <c:pt idx="27">
                        <c:v>1</c:v>
                      </c:pt>
                      <c:pt idx="28">
                        <c:v>1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1</c:v>
                      </c:pt>
                      <c:pt idx="33">
                        <c:v>1</c:v>
                      </c:pt>
                      <c:pt idx="34">
                        <c:v>1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1</c:v>
                      </c:pt>
                      <c:pt idx="39">
                        <c:v>1</c:v>
                      </c:pt>
                      <c:pt idx="40">
                        <c:v>1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1</c:v>
                      </c:pt>
                      <c:pt idx="45">
                        <c:v>1</c:v>
                      </c:pt>
                      <c:pt idx="46">
                        <c:v>1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1</c:v>
                      </c:pt>
                      <c:pt idx="51">
                        <c:v>1</c:v>
                      </c:pt>
                      <c:pt idx="52">
                        <c:v>1</c:v>
                      </c:pt>
                      <c:pt idx="53">
                        <c:v>0</c:v>
                      </c:pt>
                      <c:pt idx="54">
                        <c:v>0</c:v>
                      </c:pt>
                      <c:pt idx="55">
                        <c:v>0</c:v>
                      </c:pt>
                      <c:pt idx="56">
                        <c:v>1</c:v>
                      </c:pt>
                      <c:pt idx="57">
                        <c:v>1</c:v>
                      </c:pt>
                      <c:pt idx="58">
                        <c:v>1</c:v>
                      </c:pt>
                      <c:pt idx="59">
                        <c:v>0</c:v>
                      </c:pt>
                      <c:pt idx="60">
                        <c:v>0</c:v>
                      </c:pt>
                      <c:pt idx="61">
                        <c:v>0</c:v>
                      </c:pt>
                      <c:pt idx="62">
                        <c:v>1</c:v>
                      </c:pt>
                      <c:pt idx="63">
                        <c:v>1</c:v>
                      </c:pt>
                      <c:pt idx="64">
                        <c:v>1</c:v>
                      </c:pt>
                      <c:pt idx="65">
                        <c:v>0</c:v>
                      </c:pt>
                      <c:pt idx="66">
                        <c:v>0</c:v>
                      </c:pt>
                      <c:pt idx="67">
                        <c:v>0</c:v>
                      </c:pt>
                      <c:pt idx="68">
                        <c:v>1</c:v>
                      </c:pt>
                      <c:pt idx="69">
                        <c:v>1</c:v>
                      </c:pt>
                      <c:pt idx="70">
                        <c:v>1</c:v>
                      </c:pt>
                      <c:pt idx="71">
                        <c:v>0</c:v>
                      </c:pt>
                      <c:pt idx="72">
                        <c:v>0</c:v>
                      </c:pt>
                      <c:pt idx="73">
                        <c:v>0</c:v>
                      </c:pt>
                      <c:pt idx="74">
                        <c:v>1</c:v>
                      </c:pt>
                      <c:pt idx="75">
                        <c:v>1</c:v>
                      </c:pt>
                      <c:pt idx="76">
                        <c:v>1</c:v>
                      </c:pt>
                      <c:pt idx="77">
                        <c:v>0</c:v>
                      </c:pt>
                      <c:pt idx="78">
                        <c:v>0</c:v>
                      </c:pt>
                      <c:pt idx="79">
                        <c:v>0</c:v>
                      </c:pt>
                      <c:pt idx="80">
                        <c:v>1</c:v>
                      </c:pt>
                      <c:pt idx="81">
                        <c:v>1</c:v>
                      </c:pt>
                      <c:pt idx="82">
                        <c:v>1</c:v>
                      </c:pt>
                      <c:pt idx="83">
                        <c:v>0</c:v>
                      </c:pt>
                      <c:pt idx="84">
                        <c:v>0</c:v>
                      </c:pt>
                      <c:pt idx="85">
                        <c:v>0</c:v>
                      </c:pt>
                      <c:pt idx="86">
                        <c:v>1</c:v>
                      </c:pt>
                      <c:pt idx="87">
                        <c:v>1</c:v>
                      </c:pt>
                      <c:pt idx="88">
                        <c:v>1</c:v>
                      </c:pt>
                      <c:pt idx="89">
                        <c:v>0</c:v>
                      </c:pt>
                      <c:pt idx="90">
                        <c:v>0</c:v>
                      </c:pt>
                      <c:pt idx="91">
                        <c:v>0</c:v>
                      </c:pt>
                      <c:pt idx="92">
                        <c:v>1</c:v>
                      </c:pt>
                      <c:pt idx="93">
                        <c:v>1</c:v>
                      </c:pt>
                      <c:pt idx="94">
                        <c:v>1</c:v>
                      </c:pt>
                      <c:pt idx="95">
                        <c:v>0</c:v>
                      </c:pt>
                      <c:pt idx="96">
                        <c:v>0</c:v>
                      </c:pt>
                      <c:pt idx="97">
                        <c:v>0</c:v>
                      </c:pt>
                      <c:pt idx="98">
                        <c:v>1</c:v>
                      </c:pt>
                      <c:pt idx="99">
                        <c:v>1</c:v>
                      </c:pt>
                      <c:pt idx="100">
                        <c:v>1</c:v>
                      </c:pt>
                      <c:pt idx="101">
                        <c:v>0</c:v>
                      </c:pt>
                      <c:pt idx="102">
                        <c:v>0</c:v>
                      </c:pt>
                      <c:pt idx="103">
                        <c:v>0</c:v>
                      </c:pt>
                      <c:pt idx="104">
                        <c:v>1</c:v>
                      </c:pt>
                      <c:pt idx="105">
                        <c:v>1</c:v>
                      </c:pt>
                      <c:pt idx="106">
                        <c:v>1</c:v>
                      </c:pt>
                      <c:pt idx="107">
                        <c:v>0</c:v>
                      </c:pt>
                      <c:pt idx="108">
                        <c:v>0</c:v>
                      </c:pt>
                      <c:pt idx="109">
                        <c:v>0</c:v>
                      </c:pt>
                      <c:pt idx="110">
                        <c:v>1</c:v>
                      </c:pt>
                      <c:pt idx="111">
                        <c:v>1</c:v>
                      </c:pt>
                      <c:pt idx="112">
                        <c:v>1</c:v>
                      </c:pt>
                      <c:pt idx="113">
                        <c:v>0</c:v>
                      </c:pt>
                      <c:pt idx="114">
                        <c:v>0</c:v>
                      </c:pt>
                      <c:pt idx="115">
                        <c:v>0</c:v>
                      </c:pt>
                      <c:pt idx="116">
                        <c:v>1</c:v>
                      </c:pt>
                      <c:pt idx="117">
                        <c:v>1</c:v>
                      </c:pt>
                      <c:pt idx="118">
                        <c:v>1</c:v>
                      </c:pt>
                      <c:pt idx="119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BCD5-48F5-A218-8CE9497A4DC9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Model'!$L$2</c15:sqref>
                        </c15:formulaRef>
                      </c:ext>
                    </c:extLst>
                    <c:strCache>
                      <c:ptCount val="1"/>
                      <c:pt idx="0">
                        <c:v>Number of Customers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tint val="52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Model'!$A$3:$A$122</c15:sqref>
                        </c15:formulaRef>
                      </c:ext>
                    </c:extLst>
                    <c:numCache>
                      <c:formatCode>mmm\-yy</c:formatCode>
                      <c:ptCount val="120"/>
                      <c:pt idx="0">
                        <c:v>42400</c:v>
                      </c:pt>
                      <c:pt idx="1">
                        <c:v>42429</c:v>
                      </c:pt>
                      <c:pt idx="2">
                        <c:v>42460</c:v>
                      </c:pt>
                      <c:pt idx="3">
                        <c:v>42490</c:v>
                      </c:pt>
                      <c:pt idx="4">
                        <c:v>42521</c:v>
                      </c:pt>
                      <c:pt idx="5">
                        <c:v>42551</c:v>
                      </c:pt>
                      <c:pt idx="6">
                        <c:v>42582</c:v>
                      </c:pt>
                      <c:pt idx="7">
                        <c:v>42613</c:v>
                      </c:pt>
                      <c:pt idx="8">
                        <c:v>42643</c:v>
                      </c:pt>
                      <c:pt idx="9">
                        <c:v>42674</c:v>
                      </c:pt>
                      <c:pt idx="10">
                        <c:v>42704</c:v>
                      </c:pt>
                      <c:pt idx="11">
                        <c:v>42735</c:v>
                      </c:pt>
                      <c:pt idx="12">
                        <c:v>42766</c:v>
                      </c:pt>
                      <c:pt idx="13">
                        <c:v>42794</c:v>
                      </c:pt>
                      <c:pt idx="14">
                        <c:v>42825</c:v>
                      </c:pt>
                      <c:pt idx="15">
                        <c:v>42855</c:v>
                      </c:pt>
                      <c:pt idx="16">
                        <c:v>42886</c:v>
                      </c:pt>
                      <c:pt idx="17">
                        <c:v>42916</c:v>
                      </c:pt>
                      <c:pt idx="18">
                        <c:v>42947</c:v>
                      </c:pt>
                      <c:pt idx="19">
                        <c:v>42978</c:v>
                      </c:pt>
                      <c:pt idx="20">
                        <c:v>43008</c:v>
                      </c:pt>
                      <c:pt idx="21">
                        <c:v>43039</c:v>
                      </c:pt>
                      <c:pt idx="22">
                        <c:v>43069</c:v>
                      </c:pt>
                      <c:pt idx="23">
                        <c:v>43100</c:v>
                      </c:pt>
                      <c:pt idx="24">
                        <c:v>43131</c:v>
                      </c:pt>
                      <c:pt idx="25">
                        <c:v>43159</c:v>
                      </c:pt>
                      <c:pt idx="26">
                        <c:v>43190</c:v>
                      </c:pt>
                      <c:pt idx="27">
                        <c:v>43220</c:v>
                      </c:pt>
                      <c:pt idx="28">
                        <c:v>43251</c:v>
                      </c:pt>
                      <c:pt idx="29">
                        <c:v>43281</c:v>
                      </c:pt>
                      <c:pt idx="30">
                        <c:v>43312</c:v>
                      </c:pt>
                      <c:pt idx="31">
                        <c:v>43343</c:v>
                      </c:pt>
                      <c:pt idx="32">
                        <c:v>43373</c:v>
                      </c:pt>
                      <c:pt idx="33">
                        <c:v>43404</c:v>
                      </c:pt>
                      <c:pt idx="34">
                        <c:v>43434</c:v>
                      </c:pt>
                      <c:pt idx="35">
                        <c:v>43465</c:v>
                      </c:pt>
                      <c:pt idx="36">
                        <c:v>43496</c:v>
                      </c:pt>
                      <c:pt idx="37">
                        <c:v>43524</c:v>
                      </c:pt>
                      <c:pt idx="38">
                        <c:v>43555</c:v>
                      </c:pt>
                      <c:pt idx="39">
                        <c:v>43585</c:v>
                      </c:pt>
                      <c:pt idx="40">
                        <c:v>43616</c:v>
                      </c:pt>
                      <c:pt idx="41">
                        <c:v>43646</c:v>
                      </c:pt>
                      <c:pt idx="42">
                        <c:v>43677</c:v>
                      </c:pt>
                      <c:pt idx="43">
                        <c:v>43708</c:v>
                      </c:pt>
                      <c:pt idx="44">
                        <c:v>43738</c:v>
                      </c:pt>
                      <c:pt idx="45">
                        <c:v>43769</c:v>
                      </c:pt>
                      <c:pt idx="46">
                        <c:v>43799</c:v>
                      </c:pt>
                      <c:pt idx="47">
                        <c:v>43830</c:v>
                      </c:pt>
                      <c:pt idx="48">
                        <c:v>43861</c:v>
                      </c:pt>
                      <c:pt idx="49">
                        <c:v>43890</c:v>
                      </c:pt>
                      <c:pt idx="50">
                        <c:v>43921</c:v>
                      </c:pt>
                      <c:pt idx="51">
                        <c:v>43951</c:v>
                      </c:pt>
                      <c:pt idx="52">
                        <c:v>43982</c:v>
                      </c:pt>
                      <c:pt idx="53">
                        <c:v>44012</c:v>
                      </c:pt>
                      <c:pt idx="54">
                        <c:v>44043</c:v>
                      </c:pt>
                      <c:pt idx="55">
                        <c:v>44074</c:v>
                      </c:pt>
                      <c:pt idx="56">
                        <c:v>44104</c:v>
                      </c:pt>
                      <c:pt idx="57">
                        <c:v>44135</c:v>
                      </c:pt>
                      <c:pt idx="58">
                        <c:v>44165</c:v>
                      </c:pt>
                      <c:pt idx="59">
                        <c:v>44196</c:v>
                      </c:pt>
                      <c:pt idx="60">
                        <c:v>44227</c:v>
                      </c:pt>
                      <c:pt idx="61">
                        <c:v>44255</c:v>
                      </c:pt>
                      <c:pt idx="62">
                        <c:v>44286</c:v>
                      </c:pt>
                      <c:pt idx="63">
                        <c:v>44316</c:v>
                      </c:pt>
                      <c:pt idx="64">
                        <c:v>44347</c:v>
                      </c:pt>
                      <c:pt idx="65">
                        <c:v>44377</c:v>
                      </c:pt>
                      <c:pt idx="66">
                        <c:v>44408</c:v>
                      </c:pt>
                      <c:pt idx="67">
                        <c:v>44439</c:v>
                      </c:pt>
                      <c:pt idx="68">
                        <c:v>44469</c:v>
                      </c:pt>
                      <c:pt idx="69">
                        <c:v>44500</c:v>
                      </c:pt>
                      <c:pt idx="70">
                        <c:v>44530</c:v>
                      </c:pt>
                      <c:pt idx="71">
                        <c:v>44561</c:v>
                      </c:pt>
                      <c:pt idx="72">
                        <c:v>44592</c:v>
                      </c:pt>
                      <c:pt idx="73">
                        <c:v>44620</c:v>
                      </c:pt>
                      <c:pt idx="74">
                        <c:v>44651</c:v>
                      </c:pt>
                      <c:pt idx="75">
                        <c:v>44681</c:v>
                      </c:pt>
                      <c:pt idx="76">
                        <c:v>44712</c:v>
                      </c:pt>
                      <c:pt idx="77">
                        <c:v>44742</c:v>
                      </c:pt>
                      <c:pt idx="78">
                        <c:v>44773</c:v>
                      </c:pt>
                      <c:pt idx="79">
                        <c:v>44804</c:v>
                      </c:pt>
                      <c:pt idx="80">
                        <c:v>44834</c:v>
                      </c:pt>
                      <c:pt idx="81">
                        <c:v>44865</c:v>
                      </c:pt>
                      <c:pt idx="82">
                        <c:v>44895</c:v>
                      </c:pt>
                      <c:pt idx="83">
                        <c:v>44926</c:v>
                      </c:pt>
                      <c:pt idx="84">
                        <c:v>44957</c:v>
                      </c:pt>
                      <c:pt idx="85">
                        <c:v>44985</c:v>
                      </c:pt>
                      <c:pt idx="86">
                        <c:v>45016</c:v>
                      </c:pt>
                      <c:pt idx="87">
                        <c:v>45046</c:v>
                      </c:pt>
                      <c:pt idx="88">
                        <c:v>45077</c:v>
                      </c:pt>
                      <c:pt idx="89">
                        <c:v>45107</c:v>
                      </c:pt>
                      <c:pt idx="90">
                        <c:v>45138</c:v>
                      </c:pt>
                      <c:pt idx="91">
                        <c:v>45169</c:v>
                      </c:pt>
                      <c:pt idx="92">
                        <c:v>45199</c:v>
                      </c:pt>
                      <c:pt idx="93">
                        <c:v>45230</c:v>
                      </c:pt>
                      <c:pt idx="94">
                        <c:v>45260</c:v>
                      </c:pt>
                      <c:pt idx="95">
                        <c:v>45291</c:v>
                      </c:pt>
                      <c:pt idx="96">
                        <c:v>45322</c:v>
                      </c:pt>
                      <c:pt idx="97">
                        <c:v>45351</c:v>
                      </c:pt>
                      <c:pt idx="98">
                        <c:v>45382</c:v>
                      </c:pt>
                      <c:pt idx="99">
                        <c:v>45412</c:v>
                      </c:pt>
                      <c:pt idx="100">
                        <c:v>45443</c:v>
                      </c:pt>
                      <c:pt idx="101">
                        <c:v>45473</c:v>
                      </c:pt>
                      <c:pt idx="102">
                        <c:v>45504</c:v>
                      </c:pt>
                      <c:pt idx="103">
                        <c:v>45535</c:v>
                      </c:pt>
                      <c:pt idx="104">
                        <c:v>45565</c:v>
                      </c:pt>
                      <c:pt idx="105">
                        <c:v>45596</c:v>
                      </c:pt>
                      <c:pt idx="106">
                        <c:v>45626</c:v>
                      </c:pt>
                      <c:pt idx="107">
                        <c:v>45657</c:v>
                      </c:pt>
                      <c:pt idx="108">
                        <c:v>45688</c:v>
                      </c:pt>
                      <c:pt idx="109">
                        <c:v>45716</c:v>
                      </c:pt>
                      <c:pt idx="110">
                        <c:v>45747</c:v>
                      </c:pt>
                      <c:pt idx="111">
                        <c:v>45777</c:v>
                      </c:pt>
                      <c:pt idx="112">
                        <c:v>45808</c:v>
                      </c:pt>
                      <c:pt idx="113">
                        <c:v>45838</c:v>
                      </c:pt>
                      <c:pt idx="114">
                        <c:v>45869</c:v>
                      </c:pt>
                      <c:pt idx="115">
                        <c:v>45900</c:v>
                      </c:pt>
                      <c:pt idx="116">
                        <c:v>45930</c:v>
                      </c:pt>
                      <c:pt idx="117">
                        <c:v>45961</c:v>
                      </c:pt>
                      <c:pt idx="118">
                        <c:v>45991</c:v>
                      </c:pt>
                      <c:pt idx="119">
                        <c:v>46022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'Power Purchased Model'!$L$3:$L$122</c15:sqref>
                        </c15:formulaRef>
                      </c:ext>
                    </c:extLst>
                    <c:numCache>
                      <c:formatCode>#,##0_);\(#,##0\)</c:formatCode>
                      <c:ptCount val="120"/>
                      <c:pt idx="0">
                        <c:v>16198</c:v>
                      </c:pt>
                      <c:pt idx="1">
                        <c:v>16213</c:v>
                      </c:pt>
                      <c:pt idx="2">
                        <c:v>16244</c:v>
                      </c:pt>
                      <c:pt idx="3">
                        <c:v>16250</c:v>
                      </c:pt>
                      <c:pt idx="4">
                        <c:v>16262</c:v>
                      </c:pt>
                      <c:pt idx="5">
                        <c:v>16270</c:v>
                      </c:pt>
                      <c:pt idx="6">
                        <c:v>16282</c:v>
                      </c:pt>
                      <c:pt idx="7">
                        <c:v>16293</c:v>
                      </c:pt>
                      <c:pt idx="8">
                        <c:v>16324</c:v>
                      </c:pt>
                      <c:pt idx="9">
                        <c:v>16371</c:v>
                      </c:pt>
                      <c:pt idx="10">
                        <c:v>16400</c:v>
                      </c:pt>
                      <c:pt idx="11">
                        <c:v>16426</c:v>
                      </c:pt>
                      <c:pt idx="12">
                        <c:v>16479</c:v>
                      </c:pt>
                      <c:pt idx="13">
                        <c:v>16483</c:v>
                      </c:pt>
                      <c:pt idx="14">
                        <c:v>16497</c:v>
                      </c:pt>
                      <c:pt idx="15">
                        <c:v>16510</c:v>
                      </c:pt>
                      <c:pt idx="16">
                        <c:v>16550</c:v>
                      </c:pt>
                      <c:pt idx="17">
                        <c:v>16589</c:v>
                      </c:pt>
                      <c:pt idx="18">
                        <c:v>16719</c:v>
                      </c:pt>
                      <c:pt idx="19">
                        <c:v>16775</c:v>
                      </c:pt>
                      <c:pt idx="20">
                        <c:v>16851</c:v>
                      </c:pt>
                      <c:pt idx="21">
                        <c:v>17087</c:v>
                      </c:pt>
                      <c:pt idx="22">
                        <c:v>17227</c:v>
                      </c:pt>
                      <c:pt idx="23">
                        <c:v>17229</c:v>
                      </c:pt>
                      <c:pt idx="24">
                        <c:v>17402</c:v>
                      </c:pt>
                      <c:pt idx="25">
                        <c:v>17449</c:v>
                      </c:pt>
                      <c:pt idx="26">
                        <c:v>17480</c:v>
                      </c:pt>
                      <c:pt idx="27">
                        <c:v>17527</c:v>
                      </c:pt>
                      <c:pt idx="28">
                        <c:v>17556</c:v>
                      </c:pt>
                      <c:pt idx="29">
                        <c:v>17628</c:v>
                      </c:pt>
                      <c:pt idx="30">
                        <c:v>17635</c:v>
                      </c:pt>
                      <c:pt idx="31">
                        <c:v>17692</c:v>
                      </c:pt>
                      <c:pt idx="32">
                        <c:v>17722</c:v>
                      </c:pt>
                      <c:pt idx="33">
                        <c:v>17815</c:v>
                      </c:pt>
                      <c:pt idx="34">
                        <c:v>17906</c:v>
                      </c:pt>
                      <c:pt idx="35">
                        <c:v>18164</c:v>
                      </c:pt>
                      <c:pt idx="36">
                        <c:v>18298</c:v>
                      </c:pt>
                      <c:pt idx="37">
                        <c:v>18380</c:v>
                      </c:pt>
                      <c:pt idx="38">
                        <c:v>18471</c:v>
                      </c:pt>
                      <c:pt idx="39">
                        <c:v>18480</c:v>
                      </c:pt>
                      <c:pt idx="40">
                        <c:v>18492</c:v>
                      </c:pt>
                      <c:pt idx="41">
                        <c:v>18504</c:v>
                      </c:pt>
                      <c:pt idx="42">
                        <c:v>18534</c:v>
                      </c:pt>
                      <c:pt idx="43">
                        <c:v>18540</c:v>
                      </c:pt>
                      <c:pt idx="44">
                        <c:v>18551</c:v>
                      </c:pt>
                      <c:pt idx="45">
                        <c:v>18559</c:v>
                      </c:pt>
                      <c:pt idx="46">
                        <c:v>18576</c:v>
                      </c:pt>
                      <c:pt idx="47">
                        <c:v>18633</c:v>
                      </c:pt>
                      <c:pt idx="48">
                        <c:v>18668</c:v>
                      </c:pt>
                      <c:pt idx="49">
                        <c:v>18678</c:v>
                      </c:pt>
                      <c:pt idx="50">
                        <c:v>18695</c:v>
                      </c:pt>
                      <c:pt idx="51">
                        <c:v>18695</c:v>
                      </c:pt>
                      <c:pt idx="52">
                        <c:v>18714</c:v>
                      </c:pt>
                      <c:pt idx="53">
                        <c:v>18752</c:v>
                      </c:pt>
                      <c:pt idx="54">
                        <c:v>18766</c:v>
                      </c:pt>
                      <c:pt idx="55">
                        <c:v>18799</c:v>
                      </c:pt>
                      <c:pt idx="56">
                        <c:v>18824</c:v>
                      </c:pt>
                      <c:pt idx="57">
                        <c:v>18971</c:v>
                      </c:pt>
                      <c:pt idx="58">
                        <c:v>18970</c:v>
                      </c:pt>
                      <c:pt idx="59">
                        <c:v>19282</c:v>
                      </c:pt>
                      <c:pt idx="60">
                        <c:v>19313</c:v>
                      </c:pt>
                      <c:pt idx="61">
                        <c:v>19329</c:v>
                      </c:pt>
                      <c:pt idx="62">
                        <c:v>19350</c:v>
                      </c:pt>
                      <c:pt idx="63">
                        <c:v>19360</c:v>
                      </c:pt>
                      <c:pt idx="64">
                        <c:v>19530</c:v>
                      </c:pt>
                      <c:pt idx="65">
                        <c:v>19557</c:v>
                      </c:pt>
                      <c:pt idx="66">
                        <c:v>19600</c:v>
                      </c:pt>
                      <c:pt idx="67">
                        <c:v>19594</c:v>
                      </c:pt>
                      <c:pt idx="68">
                        <c:v>19630</c:v>
                      </c:pt>
                      <c:pt idx="69">
                        <c:v>19656</c:v>
                      </c:pt>
                      <c:pt idx="70">
                        <c:v>19657</c:v>
                      </c:pt>
                      <c:pt idx="71">
                        <c:v>19704</c:v>
                      </c:pt>
                      <c:pt idx="72">
                        <c:v>19788</c:v>
                      </c:pt>
                      <c:pt idx="73">
                        <c:v>19810</c:v>
                      </c:pt>
                      <c:pt idx="74">
                        <c:v>19854</c:v>
                      </c:pt>
                      <c:pt idx="75">
                        <c:v>19919</c:v>
                      </c:pt>
                      <c:pt idx="76">
                        <c:v>19961</c:v>
                      </c:pt>
                      <c:pt idx="77">
                        <c:v>20015</c:v>
                      </c:pt>
                      <c:pt idx="78">
                        <c:v>20061</c:v>
                      </c:pt>
                      <c:pt idx="79">
                        <c:v>20154</c:v>
                      </c:pt>
                      <c:pt idx="80">
                        <c:v>20167</c:v>
                      </c:pt>
                      <c:pt idx="81">
                        <c:v>20305</c:v>
                      </c:pt>
                      <c:pt idx="82">
                        <c:v>20413</c:v>
                      </c:pt>
                      <c:pt idx="83">
                        <c:v>20514</c:v>
                      </c:pt>
                      <c:pt idx="84">
                        <c:v>20697</c:v>
                      </c:pt>
                      <c:pt idx="85">
                        <c:v>20815</c:v>
                      </c:pt>
                      <c:pt idx="86">
                        <c:v>20974</c:v>
                      </c:pt>
                      <c:pt idx="87">
                        <c:v>21059</c:v>
                      </c:pt>
                      <c:pt idx="88">
                        <c:v>21114</c:v>
                      </c:pt>
                      <c:pt idx="89">
                        <c:v>21388</c:v>
                      </c:pt>
                      <c:pt idx="90">
                        <c:v>21442</c:v>
                      </c:pt>
                      <c:pt idx="91">
                        <c:v>21574</c:v>
                      </c:pt>
                      <c:pt idx="92">
                        <c:v>21889</c:v>
                      </c:pt>
                      <c:pt idx="93">
                        <c:v>22078</c:v>
                      </c:pt>
                      <c:pt idx="94">
                        <c:v>22191</c:v>
                      </c:pt>
                      <c:pt idx="95">
                        <c:v>22337</c:v>
                      </c:pt>
                      <c:pt idx="96">
                        <c:v>22480</c:v>
                      </c:pt>
                      <c:pt idx="97">
                        <c:v>22616</c:v>
                      </c:pt>
                      <c:pt idx="98">
                        <c:v>22842</c:v>
                      </c:pt>
                      <c:pt idx="99">
                        <c:v>22955</c:v>
                      </c:pt>
                      <c:pt idx="100">
                        <c:v>23059</c:v>
                      </c:pt>
                      <c:pt idx="101">
                        <c:v>23128</c:v>
                      </c:pt>
                      <c:pt idx="102">
                        <c:v>23209</c:v>
                      </c:pt>
                      <c:pt idx="103">
                        <c:v>23286</c:v>
                      </c:pt>
                      <c:pt idx="104">
                        <c:v>23309</c:v>
                      </c:pt>
                      <c:pt idx="105">
                        <c:v>23403</c:v>
                      </c:pt>
                      <c:pt idx="106">
                        <c:v>23505</c:v>
                      </c:pt>
                      <c:pt idx="107">
                        <c:v>23506</c:v>
                      </c:pt>
                      <c:pt idx="108">
                        <c:v>23630</c:v>
                      </c:pt>
                      <c:pt idx="109">
                        <c:v>23629</c:v>
                      </c:pt>
                      <c:pt idx="110">
                        <c:v>23808</c:v>
                      </c:pt>
                      <c:pt idx="111">
                        <c:v>23843</c:v>
                      </c:pt>
                      <c:pt idx="112">
                        <c:v>23871</c:v>
                      </c:pt>
                      <c:pt idx="113">
                        <c:v>24073</c:v>
                      </c:pt>
                      <c:pt idx="114">
                        <c:v>24104</c:v>
                      </c:pt>
                      <c:pt idx="115">
                        <c:v>24158</c:v>
                      </c:pt>
                      <c:pt idx="116">
                        <c:v>24210</c:v>
                      </c:pt>
                      <c:pt idx="117">
                        <c:v>24273</c:v>
                      </c:pt>
                      <c:pt idx="118">
                        <c:v>24307</c:v>
                      </c:pt>
                      <c:pt idx="119">
                        <c:v>24347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BCD5-48F5-A218-8CE9497A4DC9}"/>
                  </c:ext>
                </c:extLst>
              </c15:ser>
            </c15:filteredLineSeries>
          </c:ext>
        </c:extLst>
      </c:lineChart>
      <c:dateAx>
        <c:axId val="7768629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860792"/>
        <c:crosses val="autoZero"/>
        <c:auto val="1"/>
        <c:lblOffset val="100"/>
        <c:baseTimeUnit val="months"/>
      </c:dateAx>
      <c:valAx>
        <c:axId val="776860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6862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304799</xdr:colOff>
      <xdr:row>174</xdr:row>
      <xdr:rowOff>87086</xdr:rowOff>
    </xdr:from>
    <xdr:to>
      <xdr:col>18</xdr:col>
      <xdr:colOff>1338942</xdr:colOff>
      <xdr:row>199</xdr:row>
      <xdr:rowOff>21771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C745EB-0167-5A0E-70FD-49D6C4D5CA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00" dT="2026-05-17T01:20:13.61" personId="{00000000-0000-0000-0000-000000000000}" id="{28553AF2-F6EA-4804-8ECF-AFFC866DF55C}">
    <text>5 percent</text>
  </threadedComment>
  <threadedComment ref="E306" dT="2026-05-17T01:20:24.15" personId="{00000000-0000-0000-0000-000000000000}" id="{A046C285-3B29-4320-9476-9EB916975B2B}">
    <text>3 percent</text>
  </threadedComment>
  <threadedComment ref="E312" dT="2026-05-17T01:20:42.30" personId="{00000000-0000-0000-0000-000000000000}" id="{F177072B-53CE-497D-B3E9-E536EA86877F}">
    <text>4%</text>
  </threadedComment>
  <threadedComment ref="O312" dT="2026-05-17T01:21:49.65" personId="{00000000-0000-0000-0000-000000000000}" id="{227AC27B-6C81-4096-87CF-AC98D19057FB}">
    <text>7%</text>
  </threadedComment>
  <threadedComment ref="E314" dT="2026-05-17T01:20:52.90" personId="{00000000-0000-0000-0000-000000000000}" id="{F6E9F7EB-CC90-4AE7-8638-27D96A2379BF}">
    <text>5%</text>
  </threadedComment>
  <threadedComment ref="O314" dT="2026-05-17T01:21:58.29" personId="{00000000-0000-0000-0000-000000000000}" id="{DE683BE0-E958-4A9B-BECD-D834ECBACC8D}">
    <text>8%</text>
  </threadedComment>
  <threadedComment ref="E318" dT="2026-05-17T01:21:09.14" personId="{00000000-0000-0000-0000-000000000000}" id="{11663B3A-DD52-43DA-9C74-DDE8954693DB}">
    <text>6%</text>
  </threadedComment>
  <threadedComment ref="O318" dT="2026-05-17T01:22:10.98" personId="{00000000-0000-0000-0000-000000000000}" id="{108DF860-FF77-443A-9A0B-A6FA0EDDDFFA}">
    <text>7%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1E7E1-B99B-4D16-8AF1-8E531DBE40A9}">
  <dimension ref="A1:Z343"/>
  <sheetViews>
    <sheetView topLeftCell="L302" zoomScale="80" zoomScaleNormal="80" workbookViewId="0">
      <selection activeCell="AB327" sqref="AB327"/>
    </sheetView>
  </sheetViews>
  <sheetFormatPr defaultColWidth="8.88671875" defaultRowHeight="10.199999999999999" x14ac:dyDescent="0.2"/>
  <cols>
    <col min="1" max="1" width="22.109375" style="129" customWidth="1"/>
    <col min="2" max="2" width="14.88671875" style="129" customWidth="1"/>
    <col min="3" max="3" width="13.5546875" style="129" customWidth="1"/>
    <col min="4" max="4" width="13.33203125" style="129" customWidth="1"/>
    <col min="5" max="5" width="13.5546875" style="129" customWidth="1"/>
    <col min="6" max="6" width="14.5546875" style="129" customWidth="1"/>
    <col min="7" max="7" width="13.44140625" style="129" customWidth="1"/>
    <col min="8" max="8" width="13.5546875" style="129" customWidth="1"/>
    <col min="9" max="9" width="14.109375" style="129" customWidth="1"/>
    <col min="10" max="10" width="13.44140625" style="129" customWidth="1"/>
    <col min="11" max="11" width="14" style="129" customWidth="1"/>
    <col min="12" max="13" width="13.44140625" style="129" customWidth="1"/>
    <col min="14" max="14" width="14.33203125" style="129" customWidth="1"/>
    <col min="15" max="15" width="14.6640625" style="129" customWidth="1"/>
    <col min="16" max="16" width="14" style="129" customWidth="1"/>
    <col min="17" max="17" width="13.88671875" style="129" customWidth="1"/>
    <col min="18" max="18" width="8.88671875" style="129"/>
    <col min="19" max="19" width="12.109375" style="129" customWidth="1"/>
    <col min="20" max="16384" width="8.88671875" style="129"/>
  </cols>
  <sheetData>
    <row r="1" spans="1:7" x14ac:dyDescent="0.2">
      <c r="A1" s="128" t="s">
        <v>0</v>
      </c>
    </row>
    <row r="2" spans="1:7" s="131" customFormat="1" ht="40.799999999999997" x14ac:dyDescent="0.25">
      <c r="A2" s="130" t="s">
        <v>1</v>
      </c>
      <c r="B2" s="130" t="s">
        <v>2</v>
      </c>
      <c r="C2" s="130" t="s">
        <v>3</v>
      </c>
      <c r="D2" s="130" t="s">
        <v>4</v>
      </c>
      <c r="E2" s="130" t="s">
        <v>3</v>
      </c>
      <c r="F2" s="130" t="s">
        <v>5</v>
      </c>
      <c r="G2" s="130" t="s">
        <v>6</v>
      </c>
    </row>
    <row r="3" spans="1:7" x14ac:dyDescent="0.2">
      <c r="A3" s="228" t="s">
        <v>7</v>
      </c>
      <c r="B3" s="229"/>
      <c r="C3" s="229"/>
      <c r="D3" s="229"/>
      <c r="E3" s="229"/>
      <c r="F3" s="229"/>
      <c r="G3" s="230"/>
    </row>
    <row r="4" spans="1:7" x14ac:dyDescent="0.2">
      <c r="A4" s="132"/>
      <c r="B4" s="133"/>
      <c r="C4" s="133"/>
      <c r="D4" s="133"/>
      <c r="E4" s="133"/>
      <c r="F4" s="133"/>
      <c r="G4" s="133"/>
    </row>
    <row r="5" spans="1:7" x14ac:dyDescent="0.2">
      <c r="A5" s="132" t="s">
        <v>8</v>
      </c>
      <c r="B5" s="133">
        <f>B274/1000000</f>
        <v>302.07045601919532</v>
      </c>
      <c r="C5" s="133"/>
      <c r="D5" s="133"/>
      <c r="E5" s="133"/>
      <c r="F5" s="134">
        <f>B273</f>
        <v>26822</v>
      </c>
      <c r="G5" s="133"/>
    </row>
    <row r="6" spans="1:7" x14ac:dyDescent="0.2">
      <c r="A6" s="132"/>
      <c r="B6" s="133"/>
      <c r="C6" s="133"/>
      <c r="D6" s="133"/>
      <c r="E6" s="133"/>
      <c r="F6" s="133"/>
      <c r="G6" s="133"/>
    </row>
    <row r="7" spans="1:7" x14ac:dyDescent="0.2">
      <c r="A7" s="135">
        <v>2016</v>
      </c>
      <c r="B7" s="133" cm="1">
        <f t="array" ref="B7:B18">TRANSPOSE('Load Forecast Summary'!B10:M10)/1000000</f>
        <v>244.03833872000001</v>
      </c>
      <c r="C7" s="133"/>
      <c r="D7" s="136">
        <f>B7*F115</f>
        <v>238.3961723287936</v>
      </c>
      <c r="E7" s="133"/>
      <c r="F7" s="134" cm="1">
        <f t="array" ref="F7:F18">TRANSPOSE('Load Forecast Summary'!B47:M47)</f>
        <v>19399.000000000004</v>
      </c>
      <c r="G7" s="133"/>
    </row>
    <row r="8" spans="1:7" x14ac:dyDescent="0.2">
      <c r="A8" s="135">
        <v>2017</v>
      </c>
      <c r="B8" s="133">
        <v>243.19256515000001</v>
      </c>
      <c r="C8" s="133">
        <f>B8-B7</f>
        <v>-0.84577357000000575</v>
      </c>
      <c r="D8" s="136">
        <f t="shared" ref="D8:D17" si="0">B8*F116</f>
        <v>247.06905463849102</v>
      </c>
      <c r="E8" s="133">
        <f>D8-D7</f>
        <v>8.6728823096974281</v>
      </c>
      <c r="F8" s="134">
        <v>19958.25</v>
      </c>
      <c r="G8" s="133">
        <f>F8-F7</f>
        <v>559.24999999999636</v>
      </c>
    </row>
    <row r="9" spans="1:7" x14ac:dyDescent="0.2">
      <c r="A9" s="135">
        <v>2018</v>
      </c>
      <c r="B9" s="133">
        <v>264.47127377999999</v>
      </c>
      <c r="C9" s="133">
        <f t="shared" ref="C9:C18" si="1">B9-B8</f>
        <v>21.278708629999983</v>
      </c>
      <c r="D9" s="136">
        <f t="shared" si="0"/>
        <v>257.66378319290277</v>
      </c>
      <c r="E9" s="133">
        <f t="shared" ref="E9:E18" si="2">D9-D8</f>
        <v>10.594728554411745</v>
      </c>
      <c r="F9" s="134">
        <v>20997.416666666668</v>
      </c>
      <c r="G9" s="133">
        <f t="shared" ref="G9:G18" si="3">F9-F8</f>
        <v>1039.1666666666679</v>
      </c>
    </row>
    <row r="10" spans="1:7" x14ac:dyDescent="0.2">
      <c r="A10" s="135">
        <v>2019</v>
      </c>
      <c r="B10" s="133">
        <v>271.02130609999995</v>
      </c>
      <c r="C10" s="133">
        <f t="shared" si="1"/>
        <v>6.5500323199999571</v>
      </c>
      <c r="D10" s="136">
        <f t="shared" si="0"/>
        <v>270.32207113026192</v>
      </c>
      <c r="E10" s="133">
        <f t="shared" si="2"/>
        <v>12.658287937359148</v>
      </c>
      <c r="F10" s="134">
        <v>22042.666666666664</v>
      </c>
      <c r="G10" s="133">
        <f t="shared" si="3"/>
        <v>1045.2499999999964</v>
      </c>
    </row>
    <row r="11" spans="1:7" x14ac:dyDescent="0.2">
      <c r="A11" s="135">
        <v>2020</v>
      </c>
      <c r="B11" s="133">
        <v>276.83813386999992</v>
      </c>
      <c r="C11" s="133">
        <f t="shared" si="1"/>
        <v>5.8168277699999749</v>
      </c>
      <c r="D11" s="136">
        <f t="shared" si="0"/>
        <v>273.65172694915623</v>
      </c>
      <c r="E11" s="133">
        <f t="shared" si="2"/>
        <v>3.3296558188943095</v>
      </c>
      <c r="F11" s="134">
        <v>22460.5</v>
      </c>
      <c r="G11" s="133">
        <f t="shared" si="3"/>
        <v>417.83333333333576</v>
      </c>
    </row>
    <row r="12" spans="1:7" x14ac:dyDescent="0.2">
      <c r="A12" s="135">
        <v>2021</v>
      </c>
      <c r="B12" s="133">
        <v>279.28330284000003</v>
      </c>
      <c r="C12" s="133">
        <f t="shared" si="1"/>
        <v>2.4451689700001111</v>
      </c>
      <c r="D12" s="136">
        <f t="shared" si="0"/>
        <v>281.54829042603245</v>
      </c>
      <c r="E12" s="133">
        <f t="shared" si="2"/>
        <v>7.8965634768762243</v>
      </c>
      <c r="F12" s="134">
        <v>23343.666666666664</v>
      </c>
      <c r="G12" s="133">
        <f t="shared" si="3"/>
        <v>883.16666666666424</v>
      </c>
    </row>
    <row r="13" spans="1:7" x14ac:dyDescent="0.2">
      <c r="A13" s="135">
        <v>2022</v>
      </c>
      <c r="B13" s="133">
        <v>284.46792455449116</v>
      </c>
      <c r="C13" s="133">
        <f t="shared" si="1"/>
        <v>5.1846217144911293</v>
      </c>
      <c r="D13" s="136">
        <f t="shared" si="0"/>
        <v>284.13225240351687</v>
      </c>
      <c r="E13" s="133">
        <f t="shared" si="2"/>
        <v>2.5839619774844209</v>
      </c>
      <c r="F13" s="134">
        <v>24316.583333333336</v>
      </c>
      <c r="G13" s="133">
        <f t="shared" si="3"/>
        <v>972.91666666667152</v>
      </c>
    </row>
    <row r="14" spans="1:7" x14ac:dyDescent="0.2">
      <c r="A14" s="135">
        <v>2023</v>
      </c>
      <c r="B14" s="133">
        <v>286.82713592999994</v>
      </c>
      <c r="C14" s="133">
        <f t="shared" si="1"/>
        <v>2.359211375508778</v>
      </c>
      <c r="D14" s="136">
        <f t="shared" si="0"/>
        <v>293.86300557436283</v>
      </c>
      <c r="E14" s="133">
        <f t="shared" si="2"/>
        <v>9.7307531708459578</v>
      </c>
      <c r="F14" s="134">
        <v>25988.249999999996</v>
      </c>
      <c r="G14" s="133">
        <f t="shared" si="3"/>
        <v>1671.6666666666606</v>
      </c>
    </row>
    <row r="15" spans="1:7" x14ac:dyDescent="0.2">
      <c r="A15" s="135">
        <v>2024</v>
      </c>
      <c r="B15" s="133">
        <v>308.43810185000001</v>
      </c>
      <c r="C15" s="133">
        <f t="shared" si="1"/>
        <v>21.610965920000069</v>
      </c>
      <c r="D15" s="136">
        <f t="shared" si="0"/>
        <v>314.97698960922003</v>
      </c>
      <c r="E15" s="133">
        <f t="shared" si="2"/>
        <v>21.113984034857197</v>
      </c>
      <c r="F15" s="134">
        <v>27915.416666666668</v>
      </c>
      <c r="G15" s="133">
        <f t="shared" si="3"/>
        <v>1927.1666666666715</v>
      </c>
    </row>
    <row r="16" spans="1:7" x14ac:dyDescent="0.2">
      <c r="A16" s="135">
        <v>2025</v>
      </c>
      <c r="B16" s="133">
        <v>332.17443755999994</v>
      </c>
      <c r="C16" s="133">
        <f t="shared" si="1"/>
        <v>23.736335709999935</v>
      </c>
      <c r="D16" s="136">
        <f t="shared" si="0"/>
        <v>329.02542389193115</v>
      </c>
      <c r="E16" s="133">
        <f t="shared" si="2"/>
        <v>14.048434282711128</v>
      </c>
      <c r="F16" s="134">
        <v>29082.500000000004</v>
      </c>
      <c r="G16" s="133">
        <f t="shared" si="3"/>
        <v>1167.0833333333358</v>
      </c>
    </row>
    <row r="17" spans="1:9" x14ac:dyDescent="0.2">
      <c r="A17" s="135" t="s">
        <v>9</v>
      </c>
      <c r="B17" s="133">
        <v>338.14988146542328</v>
      </c>
      <c r="C17" s="133">
        <f t="shared" si="1"/>
        <v>5.975443905423333</v>
      </c>
      <c r="D17" s="136">
        <f t="shared" si="0"/>
        <v>338.14988146542328</v>
      </c>
      <c r="E17" s="133">
        <f t="shared" si="2"/>
        <v>9.1244575734921227</v>
      </c>
      <c r="F17" s="134">
        <v>30432.523578293029</v>
      </c>
      <c r="G17" s="133">
        <f t="shared" si="3"/>
        <v>1350.0235782930249</v>
      </c>
    </row>
    <row r="18" spans="1:9" x14ac:dyDescent="0.2">
      <c r="A18" s="135" t="s">
        <v>10</v>
      </c>
      <c r="B18" s="133">
        <v>350.18224616413278</v>
      </c>
      <c r="C18" s="133">
        <f t="shared" si="1"/>
        <v>12.0323646987095</v>
      </c>
      <c r="D18" s="136">
        <f>B18*F126</f>
        <v>350.18224616413278</v>
      </c>
      <c r="E18" s="133">
        <f t="shared" si="2"/>
        <v>12.0323646987095</v>
      </c>
      <c r="F18" s="134">
        <v>31847.478432170799</v>
      </c>
      <c r="G18" s="133">
        <f t="shared" si="3"/>
        <v>1414.9548538777708</v>
      </c>
    </row>
    <row r="20" spans="1:9" x14ac:dyDescent="0.2">
      <c r="A20" s="128" t="s">
        <v>11</v>
      </c>
    </row>
    <row r="21" spans="1:9" s="137" customFormat="1" ht="20.399999999999999" x14ac:dyDescent="0.2">
      <c r="A21" s="130" t="s">
        <v>1</v>
      </c>
      <c r="B21" s="130" t="s">
        <v>12</v>
      </c>
      <c r="C21" s="130" t="s">
        <v>13</v>
      </c>
      <c r="D21" s="130" t="s">
        <v>14</v>
      </c>
      <c r="E21" s="130" t="s">
        <v>15</v>
      </c>
      <c r="F21" s="130" t="s">
        <v>16</v>
      </c>
      <c r="G21" s="130" t="s">
        <v>17</v>
      </c>
      <c r="H21" s="130" t="s">
        <v>18</v>
      </c>
      <c r="I21" s="130" t="s">
        <v>19</v>
      </c>
    </row>
    <row r="22" spans="1:9" x14ac:dyDescent="0.2">
      <c r="A22" s="232" t="s">
        <v>20</v>
      </c>
      <c r="B22" s="232"/>
      <c r="C22" s="232"/>
      <c r="D22" s="232"/>
      <c r="E22" s="232"/>
      <c r="F22" s="232"/>
      <c r="G22" s="232"/>
      <c r="H22" s="232"/>
      <c r="I22" s="232"/>
    </row>
    <row r="23" spans="1:9" x14ac:dyDescent="0.2">
      <c r="A23" s="135">
        <f>A7</f>
        <v>2016</v>
      </c>
      <c r="B23" s="138" cm="1">
        <f t="array" ref="B23:B32">TRANSPOSE('Load Forecast Summary'!B15:K15)/1000000</f>
        <v>150.13591650999999</v>
      </c>
      <c r="C23" s="138" cm="1">
        <f t="array" ref="C23:C32">TRANSPOSE('Load Forecast Summary'!B19:K19)/1000000</f>
        <v>33.558136500000003</v>
      </c>
      <c r="D23" s="138" cm="1">
        <f t="array" ref="D23:D32">TRANSPOSE('Load Forecast Summary'!B23:K23)/1000000</f>
        <v>58.286974199999996</v>
      </c>
      <c r="E23" s="138" cm="1">
        <f t="array" ref="E23:E32">TRANSPOSE('Load Forecast Summary'!B42:K42)/1000000</f>
        <v>0.94837559999999999</v>
      </c>
      <c r="F23" s="138" cm="1">
        <f t="array" ref="F23:F32">TRANSPOSE('Load Forecast Summary'!B28:K28)/1000000</f>
        <v>0.46165200000000001</v>
      </c>
      <c r="G23" s="138" cm="1">
        <f t="array" ref="G23:G32">TRANSPOSE('Load Forecast Summary'!B32:K32)/1000000</f>
        <v>0.10324230000000001</v>
      </c>
      <c r="H23" s="138" cm="1">
        <f t="array" ref="H23:H32">TRANSPOSE('Load Forecast Summary'!B37:K37)/1000000</f>
        <v>0.54404160999999995</v>
      </c>
      <c r="I23" s="138">
        <f>SUM(B23:H23)</f>
        <v>244.03833871999998</v>
      </c>
    </row>
    <row r="24" spans="1:9" x14ac:dyDescent="0.2">
      <c r="A24" s="135">
        <f t="shared" ref="A24:A31" si="4">A8</f>
        <v>2017</v>
      </c>
      <c r="B24" s="138">
        <v>145.25046083000001</v>
      </c>
      <c r="C24" s="138">
        <v>32.775442000000005</v>
      </c>
      <c r="D24" s="138">
        <v>63.107664689999993</v>
      </c>
      <c r="E24" s="138">
        <v>0.92035230000000001</v>
      </c>
      <c r="F24" s="138">
        <v>0.46019599999999999</v>
      </c>
      <c r="G24" s="138">
        <v>0.10384914000000003</v>
      </c>
      <c r="H24" s="138">
        <v>0.57460018999999984</v>
      </c>
      <c r="I24" s="138">
        <f t="shared" ref="I24:I32" si="5">SUM(B24:H24)</f>
        <v>243.19256514999998</v>
      </c>
    </row>
    <row r="25" spans="1:9" x14ac:dyDescent="0.2">
      <c r="A25" s="135">
        <f t="shared" si="4"/>
        <v>2018</v>
      </c>
      <c r="B25" s="138">
        <v>160.85375341</v>
      </c>
      <c r="C25" s="138">
        <v>36.037382240000007</v>
      </c>
      <c r="D25" s="138">
        <v>65.404828979999991</v>
      </c>
      <c r="E25" s="138">
        <v>0.97188989999999986</v>
      </c>
      <c r="F25" s="138">
        <v>0.48291399999999995</v>
      </c>
      <c r="G25" s="138">
        <v>0.10545953999999999</v>
      </c>
      <c r="H25" s="138">
        <v>0.61504570999999997</v>
      </c>
      <c r="I25" s="138">
        <f t="shared" si="5"/>
        <v>264.47127377999999</v>
      </c>
    </row>
    <row r="26" spans="1:9" x14ac:dyDescent="0.2">
      <c r="A26" s="135">
        <f t="shared" si="4"/>
        <v>2019</v>
      </c>
      <c r="B26" s="138">
        <v>161.28451966999995</v>
      </c>
      <c r="C26" s="138">
        <v>42.48066296999999</v>
      </c>
      <c r="D26" s="138">
        <v>65.09012451000001</v>
      </c>
      <c r="E26" s="138">
        <v>0.92295419999999984</v>
      </c>
      <c r="F26" s="138">
        <v>0.4855870000000001</v>
      </c>
      <c r="G26" s="138">
        <v>0.10380449999999999</v>
      </c>
      <c r="H26" s="138">
        <v>0.65365324999999996</v>
      </c>
      <c r="I26" s="138">
        <f t="shared" si="5"/>
        <v>271.02130609999995</v>
      </c>
    </row>
    <row r="27" spans="1:9" x14ac:dyDescent="0.2">
      <c r="A27" s="135">
        <f t="shared" si="4"/>
        <v>2020</v>
      </c>
      <c r="B27" s="138">
        <v>174.95759951999997</v>
      </c>
      <c r="C27" s="138">
        <v>39.873537010000007</v>
      </c>
      <c r="D27" s="138">
        <v>59.83454695999999</v>
      </c>
      <c r="E27" s="138">
        <v>0.94531140000000013</v>
      </c>
      <c r="F27" s="138">
        <v>0.43996800000000003</v>
      </c>
      <c r="G27" s="138">
        <v>0.10096937999999998</v>
      </c>
      <c r="H27" s="138">
        <v>0.68620159999999997</v>
      </c>
      <c r="I27" s="138">
        <f t="shared" si="5"/>
        <v>276.83813386999998</v>
      </c>
    </row>
    <row r="28" spans="1:9" x14ac:dyDescent="0.2">
      <c r="A28" s="135">
        <f t="shared" si="4"/>
        <v>2021</v>
      </c>
      <c r="B28" s="138">
        <v>178.49970920000004</v>
      </c>
      <c r="C28" s="138">
        <v>40.48796067</v>
      </c>
      <c r="D28" s="138">
        <v>58.09587057000001</v>
      </c>
      <c r="E28" s="138">
        <v>0.9101709</v>
      </c>
      <c r="F28" s="138">
        <v>0.43924800000000003</v>
      </c>
      <c r="G28" s="138">
        <v>9.9205680000000004E-2</v>
      </c>
      <c r="H28" s="138">
        <v>0.75113781999999996</v>
      </c>
      <c r="I28" s="138">
        <f t="shared" si="5"/>
        <v>279.28330284000009</v>
      </c>
    </row>
    <row r="29" spans="1:9" x14ac:dyDescent="0.2">
      <c r="A29" s="135">
        <f t="shared" si="4"/>
        <v>2022</v>
      </c>
      <c r="B29" s="138">
        <v>181.84366279904293</v>
      </c>
      <c r="C29" s="138">
        <v>43.953859175448265</v>
      </c>
      <c r="D29" s="138">
        <v>56.383556809999988</v>
      </c>
      <c r="E29" s="138">
        <v>0.93558890000000006</v>
      </c>
      <c r="F29" s="138">
        <v>0.44788800000000001</v>
      </c>
      <c r="G29" s="138">
        <v>9.758723999999995E-2</v>
      </c>
      <c r="H29" s="138">
        <v>0.8057816299999998</v>
      </c>
      <c r="I29" s="138">
        <f t="shared" si="5"/>
        <v>284.46792455449122</v>
      </c>
    </row>
    <row r="30" spans="1:9" x14ac:dyDescent="0.2">
      <c r="A30" s="135">
        <f t="shared" si="4"/>
        <v>2023</v>
      </c>
      <c r="B30" s="138">
        <v>184.11603712000002</v>
      </c>
      <c r="C30" s="138">
        <v>44.829085220000003</v>
      </c>
      <c r="D30" s="138">
        <v>55.566830360000004</v>
      </c>
      <c r="E30" s="138">
        <v>0.9024432</v>
      </c>
      <c r="F30" s="138">
        <v>0.4478879999999999</v>
      </c>
      <c r="G30" s="138">
        <v>9.7106340000000013E-2</v>
      </c>
      <c r="H30" s="138">
        <v>0.8677456899999999</v>
      </c>
      <c r="I30" s="138">
        <f t="shared" si="5"/>
        <v>286.82713592999994</v>
      </c>
    </row>
    <row r="31" spans="1:9" x14ac:dyDescent="0.2">
      <c r="A31" s="135">
        <f t="shared" si="4"/>
        <v>2024</v>
      </c>
      <c r="B31" s="138">
        <v>198.21644386</v>
      </c>
      <c r="C31" s="138">
        <v>51.768404240000002</v>
      </c>
      <c r="D31" s="138">
        <v>56.073428660000012</v>
      </c>
      <c r="E31" s="138">
        <v>0.94980780000000009</v>
      </c>
      <c r="F31" s="138">
        <v>0.40248600000000007</v>
      </c>
      <c r="G31" s="138">
        <v>8.7522479999999986E-2</v>
      </c>
      <c r="H31" s="138">
        <v>0.94000881000000003</v>
      </c>
      <c r="I31" s="138">
        <f t="shared" si="5"/>
        <v>308.43810185000001</v>
      </c>
    </row>
    <row r="32" spans="1:9" x14ac:dyDescent="0.2">
      <c r="A32" s="135">
        <f>A16</f>
        <v>2025</v>
      </c>
      <c r="B32" s="138">
        <v>216.26022182</v>
      </c>
      <c r="C32" s="138">
        <v>47.670304479999999</v>
      </c>
      <c r="D32" s="138">
        <v>65.757608600000012</v>
      </c>
      <c r="E32" s="138">
        <v>0.97659005000000021</v>
      </c>
      <c r="F32" s="138">
        <v>0.42525600000000002</v>
      </c>
      <c r="G32" s="138">
        <v>9.3986399999999998E-2</v>
      </c>
      <c r="H32" s="138">
        <v>0.99047021000000002</v>
      </c>
      <c r="I32" s="138">
        <f t="shared" si="5"/>
        <v>332.17443756000006</v>
      </c>
    </row>
    <row r="33" spans="1:9" x14ac:dyDescent="0.2">
      <c r="A33" s="234"/>
      <c r="B33" s="235"/>
      <c r="C33" s="235"/>
      <c r="D33" s="235"/>
      <c r="E33" s="235"/>
      <c r="F33" s="235"/>
      <c r="G33" s="235"/>
      <c r="H33" s="235"/>
      <c r="I33" s="236"/>
    </row>
    <row r="34" spans="1:9" x14ac:dyDescent="0.2">
      <c r="A34" s="228" t="s">
        <v>21</v>
      </c>
      <c r="B34" s="229"/>
      <c r="C34" s="229"/>
      <c r="D34" s="229"/>
      <c r="E34" s="229"/>
      <c r="F34" s="229"/>
      <c r="G34" s="229"/>
      <c r="H34" s="229"/>
      <c r="I34" s="230"/>
    </row>
    <row r="35" spans="1:9" x14ac:dyDescent="0.2">
      <c r="A35" s="132" t="s">
        <v>8</v>
      </c>
      <c r="B35" s="138">
        <f>B242/1000000</f>
        <v>196.51574997726757</v>
      </c>
      <c r="C35" s="138">
        <f>B246/1000000</f>
        <v>43.471713172288815</v>
      </c>
      <c r="D35" s="138">
        <f>B250/1000000</f>
        <v>59.688867208894173</v>
      </c>
      <c r="E35" s="138">
        <f>B255/1000000</f>
        <v>0.93558890000000006</v>
      </c>
      <c r="F35" s="138">
        <f>B260/1000000</f>
        <v>0.46660934307314234</v>
      </c>
      <c r="G35" s="138">
        <f>B264/1000000</f>
        <v>9.6591330334792974E-2</v>
      </c>
      <c r="H35" s="138">
        <f>B269/1000000</f>
        <v>0.89533608733680103</v>
      </c>
      <c r="I35" s="138">
        <f>SUM(B35:H35)</f>
        <v>302.07045601919526</v>
      </c>
    </row>
    <row r="36" spans="1:9" x14ac:dyDescent="0.2">
      <c r="A36" s="234"/>
      <c r="B36" s="235"/>
      <c r="C36" s="235"/>
      <c r="D36" s="235"/>
      <c r="E36" s="235"/>
      <c r="F36" s="235"/>
      <c r="G36" s="235"/>
      <c r="H36" s="235"/>
      <c r="I36" s="236"/>
    </row>
    <row r="37" spans="1:9" x14ac:dyDescent="0.2">
      <c r="A37" s="135">
        <f>A7</f>
        <v>2016</v>
      </c>
      <c r="B37" s="138">
        <f>B23*$F$115</f>
        <v>146.6647741202888</v>
      </c>
      <c r="C37" s="138">
        <f>C23*$F$115</f>
        <v>32.782272384119999</v>
      </c>
      <c r="D37" s="138">
        <f t="shared" ref="D37:H37" si="6">D23*$F$115</f>
        <v>56.939379356495998</v>
      </c>
      <c r="E37" s="138">
        <f t="shared" si="6"/>
        <v>0.92644915612799994</v>
      </c>
      <c r="F37" s="138">
        <f t="shared" si="6"/>
        <v>0.45097860575999998</v>
      </c>
      <c r="G37" s="138">
        <f t="shared" si="6"/>
        <v>0.100855338024</v>
      </c>
      <c r="H37" s="138">
        <f t="shared" si="6"/>
        <v>0.53146336797679994</v>
      </c>
      <c r="I37" s="138">
        <f>SUM(B37:H37)</f>
        <v>238.39617232879363</v>
      </c>
    </row>
    <row r="38" spans="1:9" x14ac:dyDescent="0.2">
      <c r="A38" s="135">
        <f t="shared" ref="A38:A48" si="7">A8</f>
        <v>2017</v>
      </c>
      <c r="B38" s="138">
        <f t="shared" ref="B38:H38" si="8">B24*$F$116</f>
        <v>147.56575317563022</v>
      </c>
      <c r="C38" s="138">
        <f t="shared" si="8"/>
        <v>33.297882545480007</v>
      </c>
      <c r="D38" s="138">
        <f t="shared" si="8"/>
        <v>64.113600865158602</v>
      </c>
      <c r="E38" s="138">
        <f t="shared" si="8"/>
        <v>0.93502271566200013</v>
      </c>
      <c r="F38" s="138">
        <f t="shared" si="8"/>
        <v>0.46753152424000005</v>
      </c>
      <c r="G38" s="138">
        <f t="shared" si="8"/>
        <v>0.10550449529160004</v>
      </c>
      <c r="H38" s="138">
        <f t="shared" si="8"/>
        <v>0.58375931702859984</v>
      </c>
      <c r="I38" s="138">
        <f t="shared" ref="I38:I48" si="9">SUM(B38:H38)</f>
        <v>247.06905463849102</v>
      </c>
    </row>
    <row r="39" spans="1:9" x14ac:dyDescent="0.2">
      <c r="A39" s="135">
        <f t="shared" si="7"/>
        <v>2018</v>
      </c>
      <c r="B39" s="138">
        <f t="shared" ref="B39:H39" si="10">B25*$F$117</f>
        <v>156.7133777972266</v>
      </c>
      <c r="C39" s="138">
        <f t="shared" si="10"/>
        <v>35.109780021142406</v>
      </c>
      <c r="D39" s="138">
        <f t="shared" si="10"/>
        <v>63.72130868205479</v>
      </c>
      <c r="E39" s="138">
        <f t="shared" si="10"/>
        <v>0.94687345397399991</v>
      </c>
      <c r="F39" s="138">
        <f t="shared" si="10"/>
        <v>0.47048379363999998</v>
      </c>
      <c r="G39" s="138">
        <f t="shared" si="10"/>
        <v>0.10274501144039999</v>
      </c>
      <c r="H39" s="138">
        <f t="shared" si="10"/>
        <v>0.59921443342460001</v>
      </c>
      <c r="I39" s="138">
        <f t="shared" si="9"/>
        <v>257.66378319290283</v>
      </c>
    </row>
    <row r="40" spans="1:9" x14ac:dyDescent="0.2">
      <c r="A40" s="135">
        <f t="shared" si="7"/>
        <v>2019</v>
      </c>
      <c r="B40" s="138">
        <f t="shared" ref="B40:H40" si="11">B26*$F$118</f>
        <v>160.86840560925134</v>
      </c>
      <c r="C40" s="138">
        <f t="shared" si="11"/>
        <v>42.371062859537389</v>
      </c>
      <c r="D40" s="138">
        <f t="shared" si="11"/>
        <v>64.922191988764212</v>
      </c>
      <c r="E40" s="138">
        <f t="shared" si="11"/>
        <v>0.92057297816399986</v>
      </c>
      <c r="F40" s="138">
        <f t="shared" si="11"/>
        <v>0.48433418554000007</v>
      </c>
      <c r="G40" s="138">
        <f t="shared" si="11"/>
        <v>0.10353668438999999</v>
      </c>
      <c r="H40" s="138">
        <f t="shared" si="11"/>
        <v>0.651966824615</v>
      </c>
      <c r="I40" s="138">
        <f t="shared" si="9"/>
        <v>270.32207113026192</v>
      </c>
    </row>
    <row r="41" spans="1:9" x14ac:dyDescent="0.2">
      <c r="A41" s="135">
        <f t="shared" si="7"/>
        <v>2020</v>
      </c>
      <c r="B41" s="138">
        <f t="shared" ref="B41:H41" si="12">B27*$F$119</f>
        <v>172.94383754952477</v>
      </c>
      <c r="C41" s="138">
        <f t="shared" si="12"/>
        <v>39.414592599014902</v>
      </c>
      <c r="D41" s="138">
        <f t="shared" si="12"/>
        <v>59.145851324490387</v>
      </c>
      <c r="E41" s="138">
        <f t="shared" si="12"/>
        <v>0.9344308657860001</v>
      </c>
      <c r="F41" s="138">
        <f t="shared" si="12"/>
        <v>0.43490396832</v>
      </c>
      <c r="G41" s="138">
        <f t="shared" si="12"/>
        <v>9.980722243619998E-2</v>
      </c>
      <c r="H41" s="138">
        <f t="shared" si="12"/>
        <v>0.67830341958399998</v>
      </c>
      <c r="I41" s="138">
        <f t="shared" si="9"/>
        <v>273.65172694915623</v>
      </c>
    </row>
    <row r="42" spans="1:9" x14ac:dyDescent="0.2">
      <c r="A42" s="135">
        <f t="shared" si="7"/>
        <v>2021</v>
      </c>
      <c r="B42" s="138">
        <f t="shared" ref="B42:H42" si="13">B28*$F$120</f>
        <v>179.94734184161206</v>
      </c>
      <c r="C42" s="138">
        <f t="shared" si="13"/>
        <v>40.816318031033703</v>
      </c>
      <c r="D42" s="138">
        <f t="shared" si="13"/>
        <v>58.567028080322714</v>
      </c>
      <c r="E42" s="138">
        <f t="shared" si="13"/>
        <v>0.91755238599900002</v>
      </c>
      <c r="F42" s="138">
        <f t="shared" si="13"/>
        <v>0.44281030128000004</v>
      </c>
      <c r="G42" s="138">
        <f t="shared" si="13"/>
        <v>0.10001023806480001</v>
      </c>
      <c r="H42" s="138">
        <f t="shared" si="13"/>
        <v>0.75722954772020001</v>
      </c>
      <c r="I42" s="138">
        <f t="shared" si="9"/>
        <v>281.54829042603245</v>
      </c>
    </row>
    <row r="43" spans="1:9" x14ac:dyDescent="0.2">
      <c r="A43" s="135">
        <f t="shared" si="7"/>
        <v>2022</v>
      </c>
      <c r="B43" s="138">
        <f t="shared" ref="B43:H43" si="14">B29*$F$121</f>
        <v>181.62908727694006</v>
      </c>
      <c r="C43" s="138">
        <f t="shared" si="14"/>
        <v>43.901993621621237</v>
      </c>
      <c r="D43" s="138">
        <f t="shared" si="14"/>
        <v>56.317024212964192</v>
      </c>
      <c r="E43" s="138">
        <f t="shared" si="14"/>
        <v>0.93448490509800008</v>
      </c>
      <c r="F43" s="138">
        <f t="shared" si="14"/>
        <v>0.44735949216000004</v>
      </c>
      <c r="G43" s="138">
        <f t="shared" si="14"/>
        <v>9.7472087056799953E-2</v>
      </c>
      <c r="H43" s="138">
        <f t="shared" si="14"/>
        <v>0.80483080767659987</v>
      </c>
      <c r="I43" s="138">
        <f t="shared" si="9"/>
        <v>284.13225240351687</v>
      </c>
    </row>
    <row r="44" spans="1:9" x14ac:dyDescent="0.2">
      <c r="A44" s="135">
        <f t="shared" si="7"/>
        <v>2023</v>
      </c>
      <c r="B44" s="138">
        <f t="shared" ref="B44:H44" si="15">B30*$F$122</f>
        <v>188.63240351055362</v>
      </c>
      <c r="C44" s="138">
        <f t="shared" si="15"/>
        <v>45.928742680446604</v>
      </c>
      <c r="D44" s="138">
        <f t="shared" si="15"/>
        <v>56.929884708730803</v>
      </c>
      <c r="E44" s="138">
        <f t="shared" si="15"/>
        <v>0.92458013169599995</v>
      </c>
      <c r="F44" s="138">
        <f t="shared" si="15"/>
        <v>0.45887469263999986</v>
      </c>
      <c r="G44" s="138">
        <f t="shared" si="15"/>
        <v>9.9488358520200007E-2</v>
      </c>
      <c r="H44" s="138">
        <f t="shared" si="15"/>
        <v>0.88903149177569984</v>
      </c>
      <c r="I44" s="138">
        <f t="shared" si="9"/>
        <v>293.86300557436294</v>
      </c>
    </row>
    <row r="45" spans="1:9" x14ac:dyDescent="0.2">
      <c r="A45" s="135">
        <f t="shared" si="7"/>
        <v>2024</v>
      </c>
      <c r="B45" s="138">
        <f t="shared" ref="B45:H45" si="16">B31*$F$123</f>
        <v>202.41863246983203</v>
      </c>
      <c r="C45" s="138">
        <f t="shared" si="16"/>
        <v>52.865894409888007</v>
      </c>
      <c r="D45" s="138">
        <f t="shared" si="16"/>
        <v>57.262185347592016</v>
      </c>
      <c r="E45" s="138">
        <f t="shared" si="16"/>
        <v>0.96994372536000018</v>
      </c>
      <c r="F45" s="138">
        <f t="shared" si="16"/>
        <v>0.41101870320000011</v>
      </c>
      <c r="G45" s="138">
        <f t="shared" si="16"/>
        <v>8.9377956575999992E-2</v>
      </c>
      <c r="H45" s="138">
        <f t="shared" si="16"/>
        <v>0.95993699677200017</v>
      </c>
      <c r="I45" s="138">
        <f t="shared" si="9"/>
        <v>314.97698960922008</v>
      </c>
    </row>
    <row r="46" spans="1:9" x14ac:dyDescent="0.2">
      <c r="A46" s="135">
        <f t="shared" si="7"/>
        <v>2025</v>
      </c>
      <c r="B46" s="138">
        <f>B32*$F$124</f>
        <v>214.21007491714639</v>
      </c>
      <c r="C46" s="138">
        <f t="shared" ref="C46:H46" si="17">C32*$F$124</f>
        <v>47.218389993529598</v>
      </c>
      <c r="D46" s="138">
        <f t="shared" si="17"/>
        <v>65.134226470472015</v>
      </c>
      <c r="E46" s="138">
        <f t="shared" si="17"/>
        <v>0.96733197632600021</v>
      </c>
      <c r="F46" s="138">
        <f t="shared" si="17"/>
        <v>0.42122457312</v>
      </c>
      <c r="G46" s="138">
        <f t="shared" si="17"/>
        <v>9.3095408927999987E-2</v>
      </c>
      <c r="H46" s="138">
        <f t="shared" si="17"/>
        <v>0.9810805524092</v>
      </c>
      <c r="I46" s="138">
        <f t="shared" si="9"/>
        <v>329.02542389193121</v>
      </c>
    </row>
    <row r="47" spans="1:9" x14ac:dyDescent="0.2">
      <c r="A47" s="132" t="str">
        <f t="shared" si="7"/>
        <v>2026 Bridge</v>
      </c>
      <c r="B47" s="138">
        <f>'Rate Class Energy Model'!H34/1000000</f>
        <v>221.72618303836421</v>
      </c>
      <c r="C47" s="138">
        <f>'Rate Class Energy Model'!I34/1000000</f>
        <v>48.05871177495623</v>
      </c>
      <c r="D47" s="138">
        <f>'Rate Class Energy Model'!J34/1000000</f>
        <v>65.824562961728262</v>
      </c>
      <c r="E47" s="138">
        <f>'Rate Class Energy Model'!N34/1000000</f>
        <v>0.97659005000000021</v>
      </c>
      <c r="F47" s="138">
        <f>'Rate Class Energy Model'!K34/1000000</f>
        <v>0.42112680350290932</v>
      </c>
      <c r="G47" s="138">
        <f>'Rate Class Energy Model'!L34/1000000</f>
        <v>9.2555677010087475E-2</v>
      </c>
      <c r="H47" s="138">
        <f>'Rate Class Energy Model'!M34/1000000</f>
        <v>1.0501511598616062</v>
      </c>
      <c r="I47" s="138">
        <f t="shared" si="9"/>
        <v>338.14988146542328</v>
      </c>
    </row>
    <row r="48" spans="1:9" x14ac:dyDescent="0.2">
      <c r="A48" s="132" t="str">
        <f t="shared" si="7"/>
        <v>2027 Test</v>
      </c>
      <c r="B48" s="138">
        <f>'Rate Class Energy Model'!H35/1000000</f>
        <v>231.43397841278954</v>
      </c>
      <c r="C48" s="138">
        <f>'Rate Class Energy Model'!I35/1000000</f>
        <v>49.324890322704029</v>
      </c>
      <c r="D48" s="138">
        <f>'Rate Class Energy Model'!J35/1000000</f>
        <v>66.825174748645807</v>
      </c>
      <c r="E48" s="138">
        <f>'Rate Class Energy Model'!N35/1000000</f>
        <v>0.97659005000000021</v>
      </c>
      <c r="F48" s="138">
        <f>'Rate Class Energy Model'!K35/1000000</f>
        <v>0.41703770112256605</v>
      </c>
      <c r="G48" s="138">
        <f>'Rate Class Energy Model'!L35/1000000</f>
        <v>9.1146733429471036E-2</v>
      </c>
      <c r="H48" s="138">
        <f>'Rate Class Energy Model'!M35/1000000</f>
        <v>1.1134281954413117</v>
      </c>
      <c r="I48" s="138">
        <f t="shared" si="9"/>
        <v>350.18224616413278</v>
      </c>
    </row>
    <row r="50" spans="1:9" x14ac:dyDescent="0.2">
      <c r="A50" s="128" t="s">
        <v>22</v>
      </c>
    </row>
    <row r="51" spans="1:9" ht="20.399999999999999" x14ac:dyDescent="0.2">
      <c r="A51" s="130" t="s">
        <v>1</v>
      </c>
      <c r="B51" s="130" t="s">
        <v>12</v>
      </c>
      <c r="C51" s="130" t="s">
        <v>13</v>
      </c>
      <c r="D51" s="130" t="s">
        <v>14</v>
      </c>
      <c r="E51" s="130" t="str">
        <f>E21</f>
        <v>Embedded Distributor</v>
      </c>
      <c r="F51" s="130" t="s">
        <v>16</v>
      </c>
      <c r="G51" s="130" t="s">
        <v>17</v>
      </c>
      <c r="H51" s="130" t="s">
        <v>18</v>
      </c>
      <c r="I51" s="130" t="s">
        <v>19</v>
      </c>
    </row>
    <row r="52" spans="1:9" x14ac:dyDescent="0.2">
      <c r="A52" s="232" t="s">
        <v>23</v>
      </c>
      <c r="B52" s="232"/>
      <c r="C52" s="232"/>
      <c r="D52" s="232"/>
      <c r="E52" s="232"/>
      <c r="F52" s="232"/>
      <c r="G52" s="232"/>
      <c r="H52" s="232"/>
      <c r="I52" s="232"/>
    </row>
    <row r="53" spans="1:9" x14ac:dyDescent="0.2">
      <c r="A53" s="135"/>
      <c r="B53" s="132"/>
      <c r="C53" s="132"/>
      <c r="D53" s="132"/>
      <c r="E53" s="132"/>
      <c r="F53" s="132"/>
      <c r="G53" s="132"/>
      <c r="H53" s="132"/>
      <c r="I53" s="132"/>
    </row>
    <row r="54" spans="1:9" x14ac:dyDescent="0.2">
      <c r="A54" s="135" t="s">
        <v>8</v>
      </c>
      <c r="B54" s="134">
        <f>B241</f>
        <v>20736</v>
      </c>
      <c r="C54" s="134">
        <f>B245</f>
        <v>1314</v>
      </c>
      <c r="D54" s="134">
        <f>B249</f>
        <v>87</v>
      </c>
      <c r="E54" s="134">
        <f>B254</f>
        <v>1</v>
      </c>
      <c r="F54" s="134">
        <f>B259</f>
        <v>75</v>
      </c>
      <c r="G54" s="139">
        <f>B263</f>
        <v>149</v>
      </c>
      <c r="H54" s="134">
        <f>B268</f>
        <v>4460</v>
      </c>
      <c r="I54" s="134">
        <f>SUM(B54:H54)</f>
        <v>26822</v>
      </c>
    </row>
    <row r="55" spans="1:9" x14ac:dyDescent="0.2">
      <c r="A55" s="135"/>
      <c r="B55" s="132"/>
      <c r="C55" s="132"/>
      <c r="D55" s="132"/>
      <c r="E55" s="132"/>
      <c r="F55" s="132"/>
      <c r="G55" s="132"/>
      <c r="H55" s="132"/>
      <c r="I55" s="132"/>
    </row>
    <row r="56" spans="1:9" x14ac:dyDescent="0.2">
      <c r="A56" s="135">
        <f t="shared" ref="A56:A63" si="18">A37</f>
        <v>2016</v>
      </c>
      <c r="B56" s="134" cm="1">
        <f t="array" ref="B56:B67">TRANSPOSE('Load Forecast Summary'!B14:M14)</f>
        <v>15201.583333333334</v>
      </c>
      <c r="C56" s="134" cm="1">
        <f t="array" ref="C56:C67">TRANSPOSE('Load Forecast Summary'!B18:M18)</f>
        <v>1016.25</v>
      </c>
      <c r="D56" s="134" cm="1">
        <f t="array" ref="D56:D67">TRANSPOSE('Load Forecast Summary'!B22:M22)</f>
        <v>75.583333333333329</v>
      </c>
      <c r="E56" s="134" cm="1">
        <f t="array" ref="E56:E67">TRANSPOSE('Load Forecast Summary'!B41:M41)</f>
        <v>1</v>
      </c>
      <c r="F56" s="134" cm="1">
        <f t="array" ref="F56:F67">TRANSPOSE('Load Forecast Summary'!B27:M27)</f>
        <v>75.333333333333329</v>
      </c>
      <c r="G56" s="134" cm="1">
        <f t="array" ref="G56:G67">TRANSPOSE('Load Forecast Summary'!B31:M31)</f>
        <v>166.08333333333334</v>
      </c>
      <c r="H56" s="134" cm="1">
        <f t="array" ref="H56:H67">TRANSPOSE('Load Forecast Summary'!B36:M36)</f>
        <v>2863.1666666666665</v>
      </c>
      <c r="I56" s="134">
        <f>SUM(B56:H56)</f>
        <v>19399.000000000004</v>
      </c>
    </row>
    <row r="57" spans="1:9" x14ac:dyDescent="0.2">
      <c r="A57" s="135">
        <f t="shared" si="18"/>
        <v>2017</v>
      </c>
      <c r="B57" s="134">
        <v>15631.666666666666</v>
      </c>
      <c r="C57" s="134">
        <v>1030.3333333333333</v>
      </c>
      <c r="D57" s="134">
        <v>86.666666666666671</v>
      </c>
      <c r="E57" s="134">
        <v>1</v>
      </c>
      <c r="F57" s="134">
        <v>73.5</v>
      </c>
      <c r="G57" s="134">
        <v>161.83333333333334</v>
      </c>
      <c r="H57" s="134">
        <v>2973.25</v>
      </c>
      <c r="I57" s="134">
        <f t="shared" ref="I57:I67" si="19">SUM(B57:H57)</f>
        <v>19958.25</v>
      </c>
    </row>
    <row r="58" spans="1:9" x14ac:dyDescent="0.2">
      <c r="A58" s="135">
        <f t="shared" si="18"/>
        <v>2018</v>
      </c>
      <c r="B58" s="134">
        <v>16490.666666666668</v>
      </c>
      <c r="C58" s="134">
        <v>1082</v>
      </c>
      <c r="D58" s="134">
        <v>91</v>
      </c>
      <c r="E58" s="134">
        <v>1</v>
      </c>
      <c r="F58" s="134">
        <v>74</v>
      </c>
      <c r="G58" s="134">
        <v>161.5</v>
      </c>
      <c r="H58" s="134">
        <v>3097.25</v>
      </c>
      <c r="I58" s="134">
        <f t="shared" si="19"/>
        <v>20997.416666666668</v>
      </c>
    </row>
    <row r="59" spans="1:9" x14ac:dyDescent="0.2">
      <c r="A59" s="135">
        <f t="shared" si="18"/>
        <v>2019</v>
      </c>
      <c r="B59" s="134">
        <v>17294.333333333332</v>
      </c>
      <c r="C59" s="134">
        <v>1121.0833333333333</v>
      </c>
      <c r="D59" s="134">
        <v>85.083333333333329</v>
      </c>
      <c r="E59" s="134">
        <v>1</v>
      </c>
      <c r="F59" s="134">
        <v>74.5</v>
      </c>
      <c r="G59" s="134">
        <v>159.91666666666666</v>
      </c>
      <c r="H59" s="134">
        <v>3306.75</v>
      </c>
      <c r="I59" s="134">
        <f t="shared" si="19"/>
        <v>22042.666666666664</v>
      </c>
    </row>
    <row r="60" spans="1:9" x14ac:dyDescent="0.2">
      <c r="A60" s="135">
        <f t="shared" si="18"/>
        <v>2020</v>
      </c>
      <c r="B60" s="134">
        <v>17582.833333333332</v>
      </c>
      <c r="C60" s="134">
        <v>1153.9166666666667</v>
      </c>
      <c r="D60" s="134">
        <v>80.083333333333329</v>
      </c>
      <c r="E60" s="134">
        <v>1</v>
      </c>
      <c r="F60" s="134">
        <v>73.166666666666671</v>
      </c>
      <c r="G60" s="134">
        <v>155.08333333333334</v>
      </c>
      <c r="H60" s="134">
        <v>3414.4166666666665</v>
      </c>
      <c r="I60" s="134">
        <f t="shared" si="19"/>
        <v>22460.5</v>
      </c>
    </row>
    <row r="61" spans="1:9" x14ac:dyDescent="0.2">
      <c r="A61" s="135">
        <f t="shared" si="18"/>
        <v>2021</v>
      </c>
      <c r="B61" s="134">
        <v>18253.333333333332</v>
      </c>
      <c r="C61" s="134">
        <v>1191.25</v>
      </c>
      <c r="D61" s="134">
        <v>77.75</v>
      </c>
      <c r="E61" s="134">
        <v>1</v>
      </c>
      <c r="F61" s="134">
        <v>71</v>
      </c>
      <c r="G61" s="134">
        <v>152.75</v>
      </c>
      <c r="H61" s="134">
        <v>3596.5833333333335</v>
      </c>
      <c r="I61" s="134">
        <f t="shared" si="19"/>
        <v>23343.666666666664</v>
      </c>
    </row>
    <row r="62" spans="1:9" x14ac:dyDescent="0.2">
      <c r="A62" s="135">
        <f t="shared" si="18"/>
        <v>2022</v>
      </c>
      <c r="B62" s="134">
        <v>18754.666666666668</v>
      </c>
      <c r="C62" s="134">
        <v>1246.1666666666667</v>
      </c>
      <c r="D62" s="134">
        <v>78.25</v>
      </c>
      <c r="E62" s="134">
        <v>1</v>
      </c>
      <c r="F62" s="134">
        <v>71.833333333333329</v>
      </c>
      <c r="G62" s="134">
        <v>150.66666666666666</v>
      </c>
      <c r="H62" s="134">
        <v>4014</v>
      </c>
      <c r="I62" s="134">
        <f t="shared" si="19"/>
        <v>24316.583333333336</v>
      </c>
    </row>
    <row r="63" spans="1:9" x14ac:dyDescent="0.2">
      <c r="A63" s="135">
        <f t="shared" si="18"/>
        <v>2023</v>
      </c>
      <c r="B63" s="134">
        <v>20106.333333333332</v>
      </c>
      <c r="C63" s="134">
        <v>1271.5833333333333</v>
      </c>
      <c r="D63" s="134">
        <v>84.25</v>
      </c>
      <c r="E63" s="134">
        <v>1</v>
      </c>
      <c r="F63" s="134">
        <v>74.833333333333329</v>
      </c>
      <c r="G63" s="134">
        <v>151</v>
      </c>
      <c r="H63" s="134">
        <v>4299.25</v>
      </c>
      <c r="I63" s="134">
        <f t="shared" si="19"/>
        <v>25988.249999999996</v>
      </c>
    </row>
    <row r="64" spans="1:9" x14ac:dyDescent="0.2">
      <c r="A64" s="135">
        <f>A45</f>
        <v>2024</v>
      </c>
      <c r="B64" s="134">
        <v>21734.083333333332</v>
      </c>
      <c r="C64" s="134">
        <v>1289.6666666666667</v>
      </c>
      <c r="D64" s="134">
        <v>83.416666666666671</v>
      </c>
      <c r="E64" s="134">
        <v>1</v>
      </c>
      <c r="F64" s="134">
        <v>70.166666666666671</v>
      </c>
      <c r="G64" s="134">
        <v>148.58333333333334</v>
      </c>
      <c r="H64" s="134">
        <v>4588.5</v>
      </c>
      <c r="I64" s="134">
        <f t="shared" si="19"/>
        <v>27915.416666666668</v>
      </c>
    </row>
    <row r="65" spans="1:9" x14ac:dyDescent="0.2">
      <c r="A65" s="135">
        <f>A46</f>
        <v>2025</v>
      </c>
      <c r="B65" s="134">
        <v>22632.5</v>
      </c>
      <c r="C65" s="134">
        <v>1300.1666666666667</v>
      </c>
      <c r="D65" s="134">
        <v>87.416666666666671</v>
      </c>
      <c r="E65" s="134">
        <v>1</v>
      </c>
      <c r="F65" s="134">
        <v>69</v>
      </c>
      <c r="G65" s="134">
        <v>144.66666666666666</v>
      </c>
      <c r="H65" s="134">
        <v>4847.75</v>
      </c>
      <c r="I65" s="134">
        <f t="shared" si="19"/>
        <v>29082.500000000004</v>
      </c>
    </row>
    <row r="66" spans="1:9" x14ac:dyDescent="0.2">
      <c r="A66" s="135" t="str">
        <f>A47</f>
        <v>2026 Bridge</v>
      </c>
      <c r="B66" s="134">
        <v>23655.786128724281</v>
      </c>
      <c r="C66" s="134">
        <v>1336.2500863644038</v>
      </c>
      <c r="D66" s="134">
        <v>88.84089624731395</v>
      </c>
      <c r="E66" s="134">
        <v>1</v>
      </c>
      <c r="F66" s="134">
        <v>68.330016370611446</v>
      </c>
      <c r="G66" s="134">
        <v>142.46445522039346</v>
      </c>
      <c r="H66" s="134">
        <v>5139.8519953660216</v>
      </c>
      <c r="I66" s="134">
        <f t="shared" si="19"/>
        <v>30432.523578293029</v>
      </c>
    </row>
    <row r="67" spans="1:9" x14ac:dyDescent="0.2">
      <c r="A67" s="135" t="str">
        <f>A48</f>
        <v>2027 Test</v>
      </c>
      <c r="B67" s="134">
        <v>24725.338224586067</v>
      </c>
      <c r="C67" s="134">
        <v>1373.3349262726908</v>
      </c>
      <c r="D67" s="134">
        <v>90.28832998313824</v>
      </c>
      <c r="E67" s="134">
        <v>1</v>
      </c>
      <c r="F67" s="134">
        <v>67.666538220406196</v>
      </c>
      <c r="G67" s="134">
        <v>140.29576728970159</v>
      </c>
      <c r="H67" s="134">
        <v>5449.5546458187964</v>
      </c>
      <c r="I67" s="134">
        <f t="shared" si="19"/>
        <v>31847.478432170799</v>
      </c>
    </row>
    <row r="68" spans="1:9" x14ac:dyDescent="0.2">
      <c r="A68" s="237"/>
      <c r="B68" s="237"/>
      <c r="C68" s="237"/>
      <c r="D68" s="237"/>
      <c r="E68" s="237"/>
      <c r="F68" s="237"/>
      <c r="G68" s="237"/>
      <c r="H68" s="237"/>
    </row>
    <row r="69" spans="1:9" x14ac:dyDescent="0.2">
      <c r="A69" s="228" t="s">
        <v>24</v>
      </c>
      <c r="B69" s="229"/>
      <c r="C69" s="229"/>
      <c r="D69" s="229"/>
      <c r="E69" s="229"/>
      <c r="F69" s="229"/>
      <c r="G69" s="229"/>
      <c r="H69" s="230"/>
    </row>
    <row r="70" spans="1:9" x14ac:dyDescent="0.2">
      <c r="A70" s="135">
        <f>A56</f>
        <v>2016</v>
      </c>
      <c r="B70" s="140">
        <f>B23*1000000/B56</f>
        <v>9876.3341434828599</v>
      </c>
      <c r="C70" s="140">
        <f t="shared" ref="C70:G70" si="20">C23*1000000/C56</f>
        <v>33021.536531365316</v>
      </c>
      <c r="D70" s="140">
        <f t="shared" si="20"/>
        <v>771161.73142227123</v>
      </c>
      <c r="E70" s="140">
        <f t="shared" si="20"/>
        <v>948375.6</v>
      </c>
      <c r="F70" s="140">
        <f t="shared" si="20"/>
        <v>6128.1238938053102</v>
      </c>
      <c r="G70" s="140">
        <f t="shared" si="20"/>
        <v>621.62950326141492</v>
      </c>
      <c r="H70" s="140">
        <f>H23*1000000/H56</f>
        <v>190.01395075382734</v>
      </c>
    </row>
    <row r="71" spans="1:9" x14ac:dyDescent="0.2">
      <c r="A71" s="135">
        <f t="shared" ref="A71:A79" si="21">A57</f>
        <v>2017</v>
      </c>
      <c r="B71" s="140">
        <f t="shared" ref="B71:H79" si="22">B24*1000000/B57</f>
        <v>9292.0648787717255</v>
      </c>
      <c r="C71" s="140">
        <f t="shared" si="22"/>
        <v>31810.522808152706</v>
      </c>
      <c r="D71" s="140">
        <f t="shared" si="22"/>
        <v>728165.3618076921</v>
      </c>
      <c r="E71" s="140">
        <f t="shared" si="22"/>
        <v>920352.3</v>
      </c>
      <c r="F71" s="140">
        <f t="shared" si="22"/>
        <v>6261.1700680272106</v>
      </c>
      <c r="G71" s="140">
        <f t="shared" si="22"/>
        <v>641.7042636457262</v>
      </c>
      <c r="H71" s="140">
        <f t="shared" si="22"/>
        <v>193.25660136214574</v>
      </c>
    </row>
    <row r="72" spans="1:9" x14ac:dyDescent="0.2">
      <c r="A72" s="135">
        <f t="shared" si="21"/>
        <v>2018</v>
      </c>
      <c r="B72" s="140">
        <f t="shared" si="22"/>
        <v>9754.2298720488343</v>
      </c>
      <c r="C72" s="140">
        <f t="shared" si="22"/>
        <v>33306.268243992614</v>
      </c>
      <c r="D72" s="140">
        <f t="shared" si="22"/>
        <v>718734.38439560425</v>
      </c>
      <c r="E72" s="140">
        <f t="shared" si="22"/>
        <v>971889.89999999991</v>
      </c>
      <c r="F72" s="140">
        <f t="shared" si="22"/>
        <v>6525.8648648648641</v>
      </c>
      <c r="G72" s="140">
        <f t="shared" si="22"/>
        <v>653.00024767801858</v>
      </c>
      <c r="H72" s="140">
        <f t="shared" si="22"/>
        <v>198.57799983856646</v>
      </c>
    </row>
    <row r="73" spans="1:9" x14ac:dyDescent="0.2">
      <c r="A73" s="135">
        <f t="shared" si="21"/>
        <v>2019</v>
      </c>
      <c r="B73" s="140">
        <f t="shared" si="22"/>
        <v>9325.8593182738059</v>
      </c>
      <c r="C73" s="140">
        <f t="shared" si="22"/>
        <v>37892.511383334568</v>
      </c>
      <c r="D73" s="140">
        <f t="shared" si="22"/>
        <v>765016.1548677769</v>
      </c>
      <c r="E73" s="140">
        <f t="shared" si="22"/>
        <v>922954.19999999984</v>
      </c>
      <c r="F73" s="140">
        <f t="shared" si="22"/>
        <v>6517.9463087248341</v>
      </c>
      <c r="G73" s="140">
        <f t="shared" si="22"/>
        <v>649.11620635747784</v>
      </c>
      <c r="H73" s="140">
        <f t="shared" si="22"/>
        <v>197.6724124896046</v>
      </c>
    </row>
    <row r="74" spans="1:9" x14ac:dyDescent="0.2">
      <c r="A74" s="135">
        <f t="shared" si="21"/>
        <v>2020</v>
      </c>
      <c r="B74" s="140">
        <f t="shared" si="22"/>
        <v>9950.4781853512413</v>
      </c>
      <c r="C74" s="140">
        <f t="shared" si="22"/>
        <v>34554.95371705063</v>
      </c>
      <c r="D74" s="140">
        <f t="shared" si="22"/>
        <v>747153.5520499479</v>
      </c>
      <c r="E74" s="140">
        <f t="shared" si="22"/>
        <v>945311.40000000014</v>
      </c>
      <c r="F74" s="140">
        <f t="shared" si="22"/>
        <v>6013.2300683371295</v>
      </c>
      <c r="G74" s="140">
        <f t="shared" si="22"/>
        <v>651.06531972058019</v>
      </c>
      <c r="H74" s="140">
        <f t="shared" si="22"/>
        <v>200.97183999218998</v>
      </c>
    </row>
    <row r="75" spans="1:9" x14ac:dyDescent="0.2">
      <c r="A75" s="135">
        <f t="shared" si="21"/>
        <v>2021</v>
      </c>
      <c r="B75" s="140">
        <f t="shared" si="22"/>
        <v>9779.0198612125678</v>
      </c>
      <c r="C75" s="140">
        <f t="shared" si="22"/>
        <v>33987.794896117528</v>
      </c>
      <c r="D75" s="140">
        <f t="shared" si="22"/>
        <v>747213.76938906766</v>
      </c>
      <c r="E75" s="140">
        <f t="shared" si="22"/>
        <v>910170.9</v>
      </c>
      <c r="F75" s="140">
        <f t="shared" si="22"/>
        <v>6186.5915492957747</v>
      </c>
      <c r="G75" s="140">
        <f t="shared" si="22"/>
        <v>649.46435351882167</v>
      </c>
      <c r="H75" s="140">
        <f t="shared" si="22"/>
        <v>208.84760629300953</v>
      </c>
    </row>
    <row r="76" spans="1:9" x14ac:dyDescent="0.2">
      <c r="A76" s="135">
        <f t="shared" si="21"/>
        <v>2022</v>
      </c>
      <c r="B76" s="140">
        <f t="shared" si="22"/>
        <v>9695.915476985796</v>
      </c>
      <c r="C76" s="140">
        <f t="shared" si="22"/>
        <v>35271.252514737142</v>
      </c>
      <c r="D76" s="140">
        <f t="shared" si="22"/>
        <v>720556.63654952066</v>
      </c>
      <c r="E76" s="140">
        <f t="shared" si="22"/>
        <v>935588.9</v>
      </c>
      <c r="F76" s="140">
        <f t="shared" si="22"/>
        <v>6235.0997679814391</v>
      </c>
      <c r="G76" s="140">
        <f t="shared" si="22"/>
        <v>647.70292035398199</v>
      </c>
      <c r="H76" s="140">
        <f t="shared" si="22"/>
        <v>200.74280767314394</v>
      </c>
    </row>
    <row r="77" spans="1:9" x14ac:dyDescent="0.2">
      <c r="A77" s="135">
        <f t="shared" si="21"/>
        <v>2023</v>
      </c>
      <c r="B77" s="140">
        <f t="shared" si="22"/>
        <v>9157.116519836205</v>
      </c>
      <c r="C77" s="140">
        <f t="shared" si="22"/>
        <v>35254.539788977003</v>
      </c>
      <c r="D77" s="140">
        <f t="shared" si="22"/>
        <v>659546.94789317518</v>
      </c>
      <c r="E77" s="140">
        <f t="shared" si="22"/>
        <v>902443.2</v>
      </c>
      <c r="F77" s="140">
        <f t="shared" si="22"/>
        <v>5985.140311804008</v>
      </c>
      <c r="G77" s="140">
        <f t="shared" si="22"/>
        <v>643.08834437086102</v>
      </c>
      <c r="H77" s="140">
        <f t="shared" si="22"/>
        <v>201.83652730127346</v>
      </c>
    </row>
    <row r="78" spans="1:9" x14ac:dyDescent="0.2">
      <c r="A78" s="135">
        <f t="shared" si="21"/>
        <v>2024</v>
      </c>
      <c r="B78" s="140">
        <f t="shared" si="22"/>
        <v>9120.0737946926674</v>
      </c>
      <c r="C78" s="140">
        <f t="shared" si="22"/>
        <v>40140.918252778494</v>
      </c>
      <c r="D78" s="140">
        <f t="shared" si="22"/>
        <v>672208.93498501508</v>
      </c>
      <c r="E78" s="140">
        <f t="shared" si="22"/>
        <v>949807.8</v>
      </c>
      <c r="F78" s="140">
        <f t="shared" si="22"/>
        <v>5736.1425178147274</v>
      </c>
      <c r="G78" s="140">
        <f t="shared" si="22"/>
        <v>589.04641615255173</v>
      </c>
      <c r="H78" s="140">
        <f t="shared" si="22"/>
        <v>204.86189604445897</v>
      </c>
    </row>
    <row r="79" spans="1:9" x14ac:dyDescent="0.2">
      <c r="A79" s="135">
        <f t="shared" si="21"/>
        <v>2025</v>
      </c>
      <c r="B79" s="140">
        <f>B32*1000000/B65</f>
        <v>9555.2953416547007</v>
      </c>
      <c r="C79" s="140">
        <f t="shared" si="22"/>
        <v>36664.764373798229</v>
      </c>
      <c r="D79" s="140">
        <f t="shared" si="22"/>
        <v>752231.93822688283</v>
      </c>
      <c r="E79" s="140">
        <f t="shared" si="22"/>
        <v>976590.05000000016</v>
      </c>
      <c r="F79" s="140">
        <f t="shared" si="22"/>
        <v>6163.130434782609</v>
      </c>
      <c r="G79" s="140">
        <f t="shared" si="22"/>
        <v>649.67557603686635</v>
      </c>
      <c r="H79" s="140">
        <f>H32*1000000/H65</f>
        <v>204.31544737249237</v>
      </c>
    </row>
    <row r="80" spans="1:9" x14ac:dyDescent="0.2">
      <c r="A80" s="234"/>
      <c r="B80" s="235"/>
      <c r="C80" s="235"/>
      <c r="D80" s="235"/>
      <c r="E80" s="235"/>
      <c r="F80" s="235"/>
      <c r="G80" s="235"/>
      <c r="H80" s="236"/>
    </row>
    <row r="81" spans="1:8" x14ac:dyDescent="0.2">
      <c r="A81" s="228" t="s">
        <v>25</v>
      </c>
      <c r="B81" s="229"/>
      <c r="C81" s="229"/>
      <c r="D81" s="229"/>
      <c r="E81" s="229"/>
      <c r="F81" s="229"/>
      <c r="G81" s="229"/>
      <c r="H81" s="230"/>
    </row>
    <row r="82" spans="1:8" x14ac:dyDescent="0.2">
      <c r="A82" s="234"/>
      <c r="B82" s="235"/>
      <c r="C82" s="235"/>
      <c r="D82" s="235"/>
      <c r="E82" s="235"/>
      <c r="F82" s="235"/>
      <c r="G82" s="235"/>
      <c r="H82" s="236"/>
    </row>
    <row r="83" spans="1:8" x14ac:dyDescent="0.2">
      <c r="A83" s="132" t="str">
        <f>A35</f>
        <v>2024 OEB-Approved</v>
      </c>
      <c r="B83" s="141">
        <f>(B35*1000000)/B54</f>
        <v>9477.0326956629797</v>
      </c>
      <c r="C83" s="141">
        <f t="shared" ref="C83:G83" si="23">(C35*1000000)/C54</f>
        <v>33083.495564907775</v>
      </c>
      <c r="D83" s="141">
        <f t="shared" si="23"/>
        <v>686078.93343556521</v>
      </c>
      <c r="E83" s="141">
        <f t="shared" si="23"/>
        <v>935588.9</v>
      </c>
      <c r="F83" s="141">
        <f t="shared" si="23"/>
        <v>6221.4579076418977</v>
      </c>
      <c r="G83" s="141">
        <f t="shared" si="23"/>
        <v>648.26396197847635</v>
      </c>
      <c r="H83" s="141">
        <f>(H35*1000000)/H54</f>
        <v>200.74800164502264</v>
      </c>
    </row>
    <row r="84" spans="1:8" x14ac:dyDescent="0.2">
      <c r="A84" s="132"/>
      <c r="B84" s="132"/>
      <c r="C84" s="132"/>
      <c r="D84" s="132"/>
      <c r="E84" s="132"/>
      <c r="F84" s="132"/>
      <c r="G84" s="132"/>
      <c r="H84" s="132"/>
    </row>
    <row r="85" spans="1:8" x14ac:dyDescent="0.2">
      <c r="A85" s="135">
        <f t="shared" ref="A85:A96" si="24">A37</f>
        <v>2016</v>
      </c>
      <c r="B85" s="141">
        <f>B37*1000000/B56</f>
        <v>9647.9932980855356</v>
      </c>
      <c r="C85" s="141">
        <f t="shared" ref="C85:G85" si="25">C37*1000000/C56</f>
        <v>32258.078606760148</v>
      </c>
      <c r="D85" s="141">
        <f t="shared" si="25"/>
        <v>753332.47219178837</v>
      </c>
      <c r="E85" s="141">
        <f t="shared" si="25"/>
        <v>926449.15612799989</v>
      </c>
      <c r="F85" s="141">
        <f t="shared" si="25"/>
        <v>5986.4416693805315</v>
      </c>
      <c r="G85" s="141">
        <f t="shared" si="25"/>
        <v>607.25742914601096</v>
      </c>
      <c r="H85" s="141">
        <f>H37*1000000/H56</f>
        <v>185.62082821239886</v>
      </c>
    </row>
    <row r="86" spans="1:8" x14ac:dyDescent="0.2">
      <c r="A86" s="135">
        <f t="shared" si="24"/>
        <v>2017</v>
      </c>
      <c r="B86" s="141">
        <f t="shared" ref="B86:H96" si="26">B38*1000000/B57</f>
        <v>9440.1803929393463</v>
      </c>
      <c r="C86" s="141">
        <f t="shared" si="26"/>
        <v>32317.582541714666</v>
      </c>
      <c r="D86" s="141">
        <f t="shared" si="26"/>
        <v>739772.31767490692</v>
      </c>
      <c r="E86" s="141">
        <f t="shared" si="26"/>
        <v>935022.71566200012</v>
      </c>
      <c r="F86" s="141">
        <f t="shared" si="26"/>
        <v>6360.9731189115655</v>
      </c>
      <c r="G86" s="141">
        <f t="shared" si="26"/>
        <v>651.93302960823905</v>
      </c>
      <c r="H86" s="141">
        <f t="shared" si="26"/>
        <v>196.33711158785835</v>
      </c>
    </row>
    <row r="87" spans="1:8" x14ac:dyDescent="0.2">
      <c r="A87" s="135">
        <f t="shared" si="24"/>
        <v>2018</v>
      </c>
      <c r="B87" s="141">
        <f t="shared" si="26"/>
        <v>9503.1559951422987</v>
      </c>
      <c r="C87" s="141">
        <f t="shared" si="26"/>
        <v>32448.964899392246</v>
      </c>
      <c r="D87" s="141">
        <f t="shared" si="26"/>
        <v>700234.16134126135</v>
      </c>
      <c r="E87" s="141">
        <f t="shared" si="26"/>
        <v>946873.45397399995</v>
      </c>
      <c r="F87" s="141">
        <f t="shared" si="26"/>
        <v>6357.889103243243</v>
      </c>
      <c r="G87" s="141">
        <f t="shared" si="26"/>
        <v>636.19202130278632</v>
      </c>
      <c r="H87" s="141">
        <f t="shared" si="26"/>
        <v>193.46660212272178</v>
      </c>
    </row>
    <row r="88" spans="1:8" x14ac:dyDescent="0.2">
      <c r="A88" s="135">
        <f t="shared" si="24"/>
        <v>2019</v>
      </c>
      <c r="B88" s="141">
        <f t="shared" si="26"/>
        <v>9301.7986012326601</v>
      </c>
      <c r="C88" s="141">
        <f t="shared" si="26"/>
        <v>37794.748703965561</v>
      </c>
      <c r="D88" s="141">
        <f t="shared" si="26"/>
        <v>763042.41318821802</v>
      </c>
      <c r="E88" s="141">
        <f t="shared" si="26"/>
        <v>920572.97816399985</v>
      </c>
      <c r="F88" s="141">
        <f t="shared" si="26"/>
        <v>6501.1300072483236</v>
      </c>
      <c r="G88" s="141">
        <f t="shared" si="26"/>
        <v>647.44148654507558</v>
      </c>
      <c r="H88" s="141">
        <f t="shared" si="26"/>
        <v>197.16241766538144</v>
      </c>
    </row>
    <row r="89" spans="1:8" x14ac:dyDescent="0.2">
      <c r="A89" s="135">
        <f t="shared" si="24"/>
        <v>2020</v>
      </c>
      <c r="B89" s="141">
        <f t="shared" si="26"/>
        <v>9835.9481814378487</v>
      </c>
      <c r="C89" s="141">
        <f t="shared" si="26"/>
        <v>34157.22619976737</v>
      </c>
      <c r="D89" s="141">
        <f t="shared" si="26"/>
        <v>738553.81466585293</v>
      </c>
      <c r="E89" s="141">
        <f t="shared" si="26"/>
        <v>934430.86578600015</v>
      </c>
      <c r="F89" s="141">
        <f t="shared" si="26"/>
        <v>5944.0177902505693</v>
      </c>
      <c r="G89" s="141">
        <f t="shared" si="26"/>
        <v>643.5715578905963</v>
      </c>
      <c r="H89" s="141">
        <f t="shared" si="26"/>
        <v>198.65865411387989</v>
      </c>
    </row>
    <row r="90" spans="1:8" x14ac:dyDescent="0.2">
      <c r="A90" s="135">
        <f t="shared" si="24"/>
        <v>2021</v>
      </c>
      <c r="B90" s="141">
        <f t="shared" si="26"/>
        <v>9858.3277122870022</v>
      </c>
      <c r="C90" s="141">
        <f t="shared" si="26"/>
        <v>34263.435912725035</v>
      </c>
      <c r="D90" s="141">
        <f t="shared" si="26"/>
        <v>753273.67305881297</v>
      </c>
      <c r="E90" s="141">
        <f t="shared" si="26"/>
        <v>917552.38599900005</v>
      </c>
      <c r="F90" s="141">
        <f t="shared" si="26"/>
        <v>6236.7648067605633</v>
      </c>
      <c r="G90" s="141">
        <f t="shared" si="26"/>
        <v>654.73150942585937</v>
      </c>
      <c r="H90" s="141">
        <f t="shared" si="26"/>
        <v>210.54136038004589</v>
      </c>
    </row>
    <row r="91" spans="1:8" x14ac:dyDescent="0.2">
      <c r="A91" s="135">
        <f t="shared" si="24"/>
        <v>2022</v>
      </c>
      <c r="B91" s="141">
        <f t="shared" si="26"/>
        <v>9684.4742967229504</v>
      </c>
      <c r="C91" s="141">
        <f t="shared" si="26"/>
        <v>35229.632436769745</v>
      </c>
      <c r="D91" s="141">
        <f t="shared" si="26"/>
        <v>719706.37971839227</v>
      </c>
      <c r="E91" s="141">
        <f t="shared" si="26"/>
        <v>934484.90509800008</v>
      </c>
      <c r="F91" s="141">
        <f t="shared" si="26"/>
        <v>6227.742350255221</v>
      </c>
      <c r="G91" s="141">
        <f t="shared" si="26"/>
        <v>646.93863090796435</v>
      </c>
      <c r="H91" s="141">
        <f t="shared" si="26"/>
        <v>200.50593116008963</v>
      </c>
    </row>
    <row r="92" spans="1:8" x14ac:dyDescent="0.2">
      <c r="A92" s="135">
        <f t="shared" si="24"/>
        <v>2023</v>
      </c>
      <c r="B92" s="141">
        <f t="shared" si="26"/>
        <v>9381.7405880677888</v>
      </c>
      <c r="C92" s="141">
        <f t="shared" si="26"/>
        <v>36119.333650000604</v>
      </c>
      <c r="D92" s="141">
        <f t="shared" si="26"/>
        <v>675725.63452499465</v>
      </c>
      <c r="E92" s="141">
        <f t="shared" si="26"/>
        <v>924580.131696</v>
      </c>
      <c r="F92" s="141">
        <f t="shared" si="26"/>
        <v>6131.9558036525596</v>
      </c>
      <c r="G92" s="141">
        <f t="shared" si="26"/>
        <v>658.86330145827822</v>
      </c>
      <c r="H92" s="141">
        <f t="shared" si="26"/>
        <v>206.78757731597369</v>
      </c>
    </row>
    <row r="93" spans="1:8" x14ac:dyDescent="0.2">
      <c r="A93" s="135">
        <f t="shared" si="24"/>
        <v>2024</v>
      </c>
      <c r="B93" s="141">
        <f t="shared" si="26"/>
        <v>9313.4193591401545</v>
      </c>
      <c r="C93" s="141">
        <f t="shared" si="26"/>
        <v>40991.905719737406</v>
      </c>
      <c r="D93" s="141">
        <f t="shared" si="26"/>
        <v>686459.76440669748</v>
      </c>
      <c r="E93" s="141">
        <f t="shared" si="26"/>
        <v>969943.72536000016</v>
      </c>
      <c r="F93" s="141">
        <f t="shared" si="26"/>
        <v>5857.7487391924005</v>
      </c>
      <c r="G93" s="141">
        <f t="shared" si="26"/>
        <v>601.53420017498593</v>
      </c>
      <c r="H93" s="141">
        <f t="shared" si="26"/>
        <v>209.20496824060154</v>
      </c>
    </row>
    <row r="94" spans="1:8" x14ac:dyDescent="0.2">
      <c r="A94" s="135">
        <f t="shared" si="24"/>
        <v>2025</v>
      </c>
      <c r="B94" s="141">
        <f t="shared" si="26"/>
        <v>9464.7111418158129</v>
      </c>
      <c r="C94" s="141">
        <f t="shared" si="26"/>
        <v>36317.182407534616</v>
      </c>
      <c r="D94" s="141">
        <f t="shared" si="26"/>
        <v>745100.77945249202</v>
      </c>
      <c r="E94" s="141">
        <f t="shared" si="26"/>
        <v>967331.97632600018</v>
      </c>
      <c r="F94" s="141">
        <f t="shared" si="26"/>
        <v>6104.7039582608695</v>
      </c>
      <c r="G94" s="141">
        <f t="shared" si="26"/>
        <v>643.51665157603679</v>
      </c>
      <c r="H94" s="141">
        <f t="shared" si="26"/>
        <v>202.37853693140116</v>
      </c>
    </row>
    <row r="95" spans="1:8" x14ac:dyDescent="0.2">
      <c r="A95" s="132" t="str">
        <f t="shared" si="24"/>
        <v>2026 Bridge</v>
      </c>
      <c r="B95" s="141">
        <f>B47*1000000/B66</f>
        <v>9373.0211218443037</v>
      </c>
      <c r="C95" s="141">
        <f t="shared" si="26"/>
        <v>35965.357282566576</v>
      </c>
      <c r="D95" s="141">
        <f t="shared" si="26"/>
        <v>740926.37222486851</v>
      </c>
      <c r="E95" s="141">
        <f t="shared" si="26"/>
        <v>976590.05000000016</v>
      </c>
      <c r="F95" s="141">
        <f t="shared" si="26"/>
        <v>6163.130434782609</v>
      </c>
      <c r="G95" s="141">
        <f t="shared" si="26"/>
        <v>649.67557603686635</v>
      </c>
      <c r="H95" s="141">
        <f t="shared" si="26"/>
        <v>204.31544737249237</v>
      </c>
    </row>
    <row r="96" spans="1:8" x14ac:dyDescent="0.2">
      <c r="A96" s="132" t="str">
        <f t="shared" si="24"/>
        <v>2027 Test</v>
      </c>
      <c r="B96" s="141">
        <f>B48*1000000/B67</f>
        <v>9360.194643673638</v>
      </c>
      <c r="C96" s="141">
        <f t="shared" si="26"/>
        <v>35916.140614419957</v>
      </c>
      <c r="D96" s="141">
        <f t="shared" si="26"/>
        <v>740130.80938727863</v>
      </c>
      <c r="E96" s="141">
        <f t="shared" si="26"/>
        <v>976590.05000000016</v>
      </c>
      <c r="F96" s="141">
        <f t="shared" si="26"/>
        <v>6163.130434782609</v>
      </c>
      <c r="G96" s="141">
        <f t="shared" si="26"/>
        <v>649.67557603686635</v>
      </c>
      <c r="H96" s="141">
        <f>H48*1000000/H67</f>
        <v>204.3154473724924</v>
      </c>
    </row>
    <row r="98" spans="1:9" x14ac:dyDescent="0.2">
      <c r="A98" s="228" t="s">
        <v>26</v>
      </c>
      <c r="B98" s="230"/>
      <c r="I98" s="142" t="s">
        <v>27</v>
      </c>
    </row>
    <row r="99" spans="1:9" x14ac:dyDescent="0.2">
      <c r="A99" s="132" t="s">
        <v>28</v>
      </c>
      <c r="B99" s="143">
        <f>'Power Purchased Model'!V17</f>
        <v>0.98053867505605607</v>
      </c>
    </row>
    <row r="100" spans="1:9" x14ac:dyDescent="0.2">
      <c r="A100" s="132" t="s">
        <v>29</v>
      </c>
      <c r="B100" s="143">
        <f>'Power Purchased Model'!V18</f>
        <v>0.96145609328068582</v>
      </c>
    </row>
    <row r="101" spans="1:9" x14ac:dyDescent="0.2">
      <c r="A101" s="132" t="s">
        <v>30</v>
      </c>
      <c r="B101" s="143">
        <f>'Power Purchased Model'!V19</f>
        <v>0.95976557105615445</v>
      </c>
    </row>
    <row r="102" spans="1:9" x14ac:dyDescent="0.2">
      <c r="A102" s="132" t="s">
        <v>31</v>
      </c>
      <c r="B102" s="144">
        <f>'Power Purchased Model'!Y25</f>
        <v>568.7331874901771</v>
      </c>
    </row>
    <row r="103" spans="1:9" x14ac:dyDescent="0.2">
      <c r="A103" s="132" t="s">
        <v>32</v>
      </c>
      <c r="B103" s="144">
        <f>'Power Purchased Model'!V44</f>
        <v>1.0798164562129227</v>
      </c>
    </row>
    <row r="104" spans="1:9" x14ac:dyDescent="0.2">
      <c r="A104" s="132" t="s">
        <v>33</v>
      </c>
      <c r="B104" s="143">
        <f>'Power Purchased Model'!V39</f>
        <v>2.0546446757717843E-2</v>
      </c>
    </row>
    <row r="105" spans="1:9" x14ac:dyDescent="0.2">
      <c r="A105" s="232" t="s">
        <v>34</v>
      </c>
      <c r="B105" s="232"/>
    </row>
    <row r="106" spans="1:9" x14ac:dyDescent="0.2">
      <c r="A106" s="132" t="s">
        <v>35</v>
      </c>
      <c r="B106" s="144" cm="1">
        <f t="array" ref="B106:B110">'Power Purchased Model'!X31:X35</f>
        <v>26.189939749157091</v>
      </c>
    </row>
    <row r="107" spans="1:9" x14ac:dyDescent="0.2">
      <c r="A107" s="132" t="s">
        <v>36</v>
      </c>
      <c r="B107" s="144">
        <v>20.452296217717873</v>
      </c>
    </row>
    <row r="108" spans="1:9" x14ac:dyDescent="0.2">
      <c r="A108" s="132" t="s">
        <v>37</v>
      </c>
      <c r="B108" s="144">
        <v>7.507254238398648</v>
      </c>
    </row>
    <row r="109" spans="1:9" x14ac:dyDescent="0.2">
      <c r="A109" s="132" t="s">
        <v>38</v>
      </c>
      <c r="B109" s="144">
        <v>-5.6877887943961785</v>
      </c>
    </row>
    <row r="110" spans="1:9" x14ac:dyDescent="0.2">
      <c r="A110" s="132" t="s">
        <v>39</v>
      </c>
      <c r="B110" s="144">
        <v>37.244991914752504</v>
      </c>
    </row>
    <row r="111" spans="1:9" x14ac:dyDescent="0.2">
      <c r="A111" s="132" t="s">
        <v>40</v>
      </c>
      <c r="B111" s="144">
        <f>'Power Purchased Model'!X30</f>
        <v>-7.1617982324741112</v>
      </c>
    </row>
    <row r="113" spans="1:7" x14ac:dyDescent="0.2">
      <c r="A113" s="128" t="s">
        <v>41</v>
      </c>
    </row>
    <row r="114" spans="1:7" ht="20.399999999999999" x14ac:dyDescent="0.2">
      <c r="A114" s="130" t="s">
        <v>1</v>
      </c>
      <c r="B114" s="130" t="s">
        <v>42</v>
      </c>
      <c r="C114" s="130" t="s">
        <v>43</v>
      </c>
      <c r="D114" s="130" t="s">
        <v>44</v>
      </c>
      <c r="E114" s="130" t="s">
        <v>45</v>
      </c>
      <c r="F114" s="130" t="s">
        <v>46</v>
      </c>
      <c r="G114" s="130" t="s">
        <v>47</v>
      </c>
    </row>
    <row r="115" spans="1:7" x14ac:dyDescent="0.2">
      <c r="A115" s="135">
        <f t="shared" ref="A115:A126" si="27">A85</f>
        <v>2016</v>
      </c>
      <c r="B115" s="145">
        <f>'Power Purchased Model'!D152/1000000</f>
        <v>259.38203600000003</v>
      </c>
      <c r="C115" s="146">
        <f>'Power Purchased Model'!N152/1000000</f>
        <v>262.32870665662688</v>
      </c>
      <c r="D115" s="143">
        <f>C115/B115-1</f>
        <v>1.136034978392586E-2</v>
      </c>
      <c r="E115" s="145">
        <f>'Power Purchased Model (WN)'!Q152/1000000</f>
        <v>256.26306841917381</v>
      </c>
      <c r="F115" s="144" cm="1">
        <f t="array" ref="F115:F126">'Power Purchased Model'!T152:T163</f>
        <v>0.97687999999999997</v>
      </c>
      <c r="G115" s="144">
        <f>B115*F115</f>
        <v>253.38512332768002</v>
      </c>
    </row>
    <row r="116" spans="1:7" x14ac:dyDescent="0.2">
      <c r="A116" s="135">
        <f t="shared" si="27"/>
        <v>2017</v>
      </c>
      <c r="B116" s="145">
        <f>'Power Purchased Model'!D153/1000000</f>
        <v>256.76943455879996</v>
      </c>
      <c r="C116" s="146">
        <f>'Power Purchased Model'!N153/1000000</f>
        <v>256.76156905551386</v>
      </c>
      <c r="D116" s="143">
        <f t="shared" ref="D116:D124" si="28">C116/B116-1</f>
        <v>-3.0632552895593079E-5</v>
      </c>
      <c r="E116" s="145">
        <f>'Power Purchased Model (WN)'!Q153/1000000</f>
        <v>260.85481332794751</v>
      </c>
      <c r="F116" s="144">
        <v>1.0159400000000001</v>
      </c>
      <c r="G116" s="144">
        <f t="shared" ref="G116:G123" si="29">B116*F116</f>
        <v>260.86233934566724</v>
      </c>
    </row>
    <row r="117" spans="1:7" x14ac:dyDescent="0.2">
      <c r="A117" s="135">
        <f t="shared" si="27"/>
        <v>2018</v>
      </c>
      <c r="B117" s="145">
        <f>'Power Purchased Model'!D154/1000000</f>
        <v>278.81323574599998</v>
      </c>
      <c r="C117" s="146">
        <f>'Power Purchased Model'!N154/1000000</f>
        <v>278.48883405253019</v>
      </c>
      <c r="D117" s="143">
        <f t="shared" si="28"/>
        <v>-1.1635089439058222E-3</v>
      </c>
      <c r="E117" s="145">
        <f>'Power Purchased Model (WN)'!Q154/1000000</f>
        <v>271.32048735440031</v>
      </c>
      <c r="F117" s="144">
        <v>0.97426000000000001</v>
      </c>
      <c r="G117" s="144">
        <f t="shared" si="29"/>
        <v>271.63658305789795</v>
      </c>
    </row>
    <row r="118" spans="1:7" x14ac:dyDescent="0.2">
      <c r="A118" s="135">
        <f t="shared" si="27"/>
        <v>2019</v>
      </c>
      <c r="B118" s="145">
        <f>'Power Purchased Model'!D155/1000000</f>
        <v>280.58153689</v>
      </c>
      <c r="C118" s="146">
        <f>'Power Purchased Model'!N155/1000000</f>
        <v>281.61787512627797</v>
      </c>
      <c r="D118" s="143">
        <f t="shared" si="28"/>
        <v>3.6935368155897041E-3</v>
      </c>
      <c r="E118" s="145">
        <f>'Power Purchased Model (WN)'!Q155/1000000</f>
        <v>280.89209924635293</v>
      </c>
      <c r="F118" s="144">
        <v>0.99741999999999997</v>
      </c>
      <c r="G118" s="144">
        <f t="shared" si="29"/>
        <v>279.85763652482376</v>
      </c>
    </row>
    <row r="119" spans="1:7" x14ac:dyDescent="0.2">
      <c r="A119" s="135">
        <f t="shared" si="27"/>
        <v>2020</v>
      </c>
      <c r="B119" s="145">
        <f>'Power Purchased Model'!D156/1000000</f>
        <v>291.40425164599003</v>
      </c>
      <c r="C119" s="146">
        <f>'Power Purchased Model'!N156/1000000</f>
        <v>288.44634372079241</v>
      </c>
      <c r="D119" s="143">
        <f t="shared" si="28"/>
        <v>-1.0150531121251416E-2</v>
      </c>
      <c r="E119" s="145">
        <f>'Power Purchased Model (WN)'!Q156/1000000</f>
        <v>285.12564357354699</v>
      </c>
      <c r="F119" s="144">
        <v>0.98848999999999998</v>
      </c>
      <c r="G119" s="144">
        <f t="shared" si="29"/>
        <v>288.05018870954467</v>
      </c>
    </row>
    <row r="120" spans="1:7" x14ac:dyDescent="0.2">
      <c r="A120" s="135">
        <f t="shared" si="27"/>
        <v>2021</v>
      </c>
      <c r="B120" s="145">
        <f>'Power Purchased Model'!D157/1000000</f>
        <v>295.24025412999998</v>
      </c>
      <c r="C120" s="146">
        <f>'Power Purchased Model'!N157/1000000</f>
        <v>290.22491469498732</v>
      </c>
      <c r="D120" s="143">
        <f t="shared" si="28"/>
        <v>-1.6987315804180003E-2</v>
      </c>
      <c r="E120" s="145">
        <f>'Power Purchased Model (WN)'!Q157/1000000</f>
        <v>292.57972173381779</v>
      </c>
      <c r="F120" s="144">
        <v>1.0081100000000001</v>
      </c>
      <c r="G120" s="144">
        <f t="shared" si="29"/>
        <v>297.63465259099428</v>
      </c>
    </row>
    <row r="121" spans="1:7" x14ac:dyDescent="0.2">
      <c r="A121" s="135">
        <f t="shared" si="27"/>
        <v>2022</v>
      </c>
      <c r="B121" s="145">
        <f>'Power Purchased Model'!D158/1000000</f>
        <v>299.934504296</v>
      </c>
      <c r="C121" s="146">
        <f>'Power Purchased Model'!N158/1000000</f>
        <v>299.30005707384055</v>
      </c>
      <c r="D121" s="143">
        <f t="shared" si="28"/>
        <v>-2.1152858809913022E-3</v>
      </c>
      <c r="E121" s="145">
        <f>'Power Purchased Model (WN)'!Q158/1000000</f>
        <v>298.94776983679884</v>
      </c>
      <c r="F121" s="144">
        <v>0.99882000000000004</v>
      </c>
      <c r="G121" s="144">
        <f t="shared" si="29"/>
        <v>299.58058158093075</v>
      </c>
    </row>
    <row r="122" spans="1:7" x14ac:dyDescent="0.2">
      <c r="A122" s="135">
        <f t="shared" si="27"/>
        <v>2023</v>
      </c>
      <c r="B122" s="145">
        <f>'Power Purchased Model'!D159/1000000</f>
        <v>303.10317495799995</v>
      </c>
      <c r="C122" s="146">
        <f>'Power Purchased Model'!N159/1000000</f>
        <v>307.22957825753821</v>
      </c>
      <c r="D122" s="143">
        <f t="shared" si="28"/>
        <v>1.3613857064050938E-2</v>
      </c>
      <c r="E122" s="145">
        <f>'Power Purchased Model (WN)'!Q159/1000000</f>
        <v>314.76733193306819</v>
      </c>
      <c r="F122" s="144">
        <v>1.0245299999999999</v>
      </c>
      <c r="G122" s="144">
        <f t="shared" si="29"/>
        <v>310.53829583971969</v>
      </c>
    </row>
    <row r="123" spans="1:7" x14ac:dyDescent="0.2">
      <c r="A123" s="135">
        <f t="shared" si="27"/>
        <v>2024</v>
      </c>
      <c r="B123" s="145">
        <f>'Power Purchased Model'!D160/1000000</f>
        <v>324.69600972000001</v>
      </c>
      <c r="C123" s="146">
        <f>'Power Purchased Model'!N160/1000000</f>
        <v>327.25941804849617</v>
      </c>
      <c r="D123" s="143">
        <f t="shared" si="28"/>
        <v>7.8947946748921805E-3</v>
      </c>
      <c r="E123" s="145">
        <f>'Power Purchased Model (WN)'!Q160/1000000</f>
        <v>334.19802623091482</v>
      </c>
      <c r="F123" s="144">
        <v>1.0212000000000001</v>
      </c>
      <c r="G123" s="144">
        <f t="shared" si="29"/>
        <v>331.57956512606404</v>
      </c>
    </row>
    <row r="124" spans="1:7" x14ac:dyDescent="0.2">
      <c r="A124" s="135">
        <f t="shared" si="27"/>
        <v>2025</v>
      </c>
      <c r="B124" s="145">
        <f>'Power Purchased Model'!D161/1000000</f>
        <v>349.04903817999997</v>
      </c>
      <c r="C124" s="146">
        <f>'Power Purchased Model'!N161/1000000</f>
        <v>347.31617943818458</v>
      </c>
      <c r="D124" s="143">
        <f t="shared" si="28"/>
        <v>-4.9645137280732721E-3</v>
      </c>
      <c r="E124" s="145">
        <f>'Power Purchased Model (WN)'!Q161/1000000</f>
        <v>344.02451446876694</v>
      </c>
      <c r="F124" s="144">
        <v>0.99051999999999996</v>
      </c>
      <c r="G124" s="144">
        <f>B124*F124</f>
        <v>345.74005329805357</v>
      </c>
    </row>
    <row r="125" spans="1:7" x14ac:dyDescent="0.2">
      <c r="A125" s="135" t="str">
        <f t="shared" si="27"/>
        <v>2026 Bridge</v>
      </c>
      <c r="B125" s="145"/>
      <c r="C125" s="146">
        <f>'Power Purchased Model'!N162/1000000</f>
        <v>356.15916801785556</v>
      </c>
      <c r="D125" s="132"/>
      <c r="E125" s="145">
        <f>'Power Purchased Model (WN)'!Q162/1000000</f>
        <v>356.15916801785556</v>
      </c>
      <c r="F125" s="144">
        <v>1</v>
      </c>
      <c r="G125" s="144"/>
    </row>
    <row r="126" spans="1:7" x14ac:dyDescent="0.2">
      <c r="A126" s="135" t="str">
        <f t="shared" si="27"/>
        <v>2027 Test</v>
      </c>
      <c r="B126" s="145"/>
      <c r="C126" s="146">
        <f>'Power Purchased Model'!N163/1000000</f>
        <v>368.83235595986582</v>
      </c>
      <c r="D126" s="132"/>
      <c r="E126" s="145">
        <f>'Power Purchased Model (WN)'!Q163/1000000</f>
        <v>368.83235595986582</v>
      </c>
      <c r="F126" s="144">
        <v>1</v>
      </c>
      <c r="G126" s="144"/>
    </row>
    <row r="128" spans="1:7" x14ac:dyDescent="0.2">
      <c r="A128" s="128" t="s">
        <v>48</v>
      </c>
    </row>
    <row r="132" spans="1:9" x14ac:dyDescent="0.2">
      <c r="A132" s="129" t="s">
        <v>49</v>
      </c>
    </row>
    <row r="140" spans="1:9" x14ac:dyDescent="0.2">
      <c r="A140" s="128" t="s">
        <v>50</v>
      </c>
    </row>
    <row r="141" spans="1:9" ht="45.6" customHeight="1" x14ac:dyDescent="0.2">
      <c r="A141" s="130" t="str" cm="1">
        <f t="array" ref="A141:I141">A51:I51</f>
        <v>Year</v>
      </c>
      <c r="B141" s="130" t="str">
        <v>Residential</v>
      </c>
      <c r="C141" s="130" t="str">
        <v>General Service &lt; 50 kW</v>
      </c>
      <c r="D141" s="130" t="str">
        <v>General Service &gt; 50 kW</v>
      </c>
      <c r="E141" s="130" t="str">
        <v>Embedded Distributor</v>
      </c>
      <c r="F141" s="130" t="str">
        <v>Unmetered Scattered Load</v>
      </c>
      <c r="G141" s="130" t="str">
        <v>Sentinel Lighting</v>
      </c>
      <c r="H141" s="130" t="str">
        <v xml:space="preserve">Street Lighting </v>
      </c>
      <c r="I141" s="130" t="str">
        <v xml:space="preserve">Total </v>
      </c>
    </row>
    <row r="142" spans="1:9" x14ac:dyDescent="0.2">
      <c r="A142" s="233" t="s">
        <v>51</v>
      </c>
      <c r="B142" s="233"/>
      <c r="C142" s="233"/>
      <c r="D142" s="233"/>
      <c r="E142" s="233"/>
      <c r="F142" s="233"/>
      <c r="G142" s="233"/>
      <c r="H142" s="233"/>
      <c r="I142" s="233"/>
    </row>
    <row r="143" spans="1:9" x14ac:dyDescent="0.2">
      <c r="A143" s="135">
        <f t="shared" ref="A143:A154" si="30">A85</f>
        <v>2016</v>
      </c>
      <c r="B143" s="134" cm="1">
        <f t="array" ref="B143:B154">'Rate Class Customer Model'!B11:B22</f>
        <v>15201.583333333334</v>
      </c>
      <c r="C143" s="134" cm="1">
        <f t="array" ref="C143:C154">'Rate Class Customer Model'!C11:C22</f>
        <v>1016.25</v>
      </c>
      <c r="D143" s="134" cm="1">
        <f t="array" ref="D143:D154">'Rate Class Customer Model'!D11:D22</f>
        <v>75.583333333333329</v>
      </c>
      <c r="E143" s="134" cm="1">
        <f t="array" ref="E143:E154">'Rate Class Customer Model'!H11:H22</f>
        <v>1</v>
      </c>
      <c r="F143" s="134" cm="1">
        <f t="array" ref="F143:F154">'Rate Class Customer Model'!E11:E22</f>
        <v>75.333333333333329</v>
      </c>
      <c r="G143" s="134" cm="1">
        <f t="array" ref="G143:G154">'Rate Class Customer Model'!F11:F22</f>
        <v>166.08333333333334</v>
      </c>
      <c r="H143" s="134" cm="1">
        <f t="array" ref="H143:H154">'Rate Class Customer Model'!G11:G22</f>
        <v>2863.1666666666665</v>
      </c>
      <c r="I143" s="147">
        <f>SUM(B143:H143)</f>
        <v>19399.000000000004</v>
      </c>
    </row>
    <row r="144" spans="1:9" x14ac:dyDescent="0.2">
      <c r="A144" s="135">
        <f t="shared" si="30"/>
        <v>2017</v>
      </c>
      <c r="B144" s="134">
        <v>15631.666666666666</v>
      </c>
      <c r="C144" s="134">
        <v>1030.3333333333333</v>
      </c>
      <c r="D144" s="134">
        <v>86.666666666666671</v>
      </c>
      <c r="E144" s="134">
        <v>1</v>
      </c>
      <c r="F144" s="134">
        <v>73.5</v>
      </c>
      <c r="G144" s="134">
        <v>161.83333333333334</v>
      </c>
      <c r="H144" s="134">
        <v>2973.25</v>
      </c>
      <c r="I144" s="147">
        <f t="shared" ref="I144:I154" si="31">SUM(B144:H144)</f>
        <v>19958.25</v>
      </c>
    </row>
    <row r="145" spans="1:9" x14ac:dyDescent="0.2">
      <c r="A145" s="135">
        <f t="shared" si="30"/>
        <v>2018</v>
      </c>
      <c r="B145" s="134">
        <v>16490.666666666668</v>
      </c>
      <c r="C145" s="134">
        <v>1082</v>
      </c>
      <c r="D145" s="134">
        <v>91</v>
      </c>
      <c r="E145" s="134">
        <v>1</v>
      </c>
      <c r="F145" s="134">
        <v>74</v>
      </c>
      <c r="G145" s="134">
        <v>161.5</v>
      </c>
      <c r="H145" s="134">
        <v>3097.25</v>
      </c>
      <c r="I145" s="147">
        <f t="shared" si="31"/>
        <v>20997.416666666668</v>
      </c>
    </row>
    <row r="146" spans="1:9" x14ac:dyDescent="0.2">
      <c r="A146" s="135">
        <f t="shared" si="30"/>
        <v>2019</v>
      </c>
      <c r="B146" s="134">
        <v>17294.333333333332</v>
      </c>
      <c r="C146" s="134">
        <v>1121.0833333333333</v>
      </c>
      <c r="D146" s="134">
        <v>85.083333333333329</v>
      </c>
      <c r="E146" s="134">
        <v>1</v>
      </c>
      <c r="F146" s="134">
        <v>74.5</v>
      </c>
      <c r="G146" s="134">
        <v>159.91666666666666</v>
      </c>
      <c r="H146" s="134">
        <v>3306.75</v>
      </c>
      <c r="I146" s="147">
        <f t="shared" si="31"/>
        <v>22042.666666666664</v>
      </c>
    </row>
    <row r="147" spans="1:9" x14ac:dyDescent="0.2">
      <c r="A147" s="135">
        <f t="shared" si="30"/>
        <v>2020</v>
      </c>
      <c r="B147" s="134">
        <v>17582.833333333332</v>
      </c>
      <c r="C147" s="134">
        <v>1153.9166666666667</v>
      </c>
      <c r="D147" s="134">
        <v>80.083333333333329</v>
      </c>
      <c r="E147" s="134">
        <v>1</v>
      </c>
      <c r="F147" s="134">
        <v>73.166666666666671</v>
      </c>
      <c r="G147" s="134">
        <v>155.08333333333334</v>
      </c>
      <c r="H147" s="134">
        <v>3414.4166666666665</v>
      </c>
      <c r="I147" s="147">
        <f t="shared" si="31"/>
        <v>22460.5</v>
      </c>
    </row>
    <row r="148" spans="1:9" x14ac:dyDescent="0.2">
      <c r="A148" s="135">
        <f t="shared" si="30"/>
        <v>2021</v>
      </c>
      <c r="B148" s="134">
        <v>18253.333333333332</v>
      </c>
      <c r="C148" s="134">
        <v>1191.25</v>
      </c>
      <c r="D148" s="134">
        <v>77.75</v>
      </c>
      <c r="E148" s="134">
        <v>1</v>
      </c>
      <c r="F148" s="134">
        <v>71</v>
      </c>
      <c r="G148" s="134">
        <v>152.75</v>
      </c>
      <c r="H148" s="134">
        <v>3596.5833333333335</v>
      </c>
      <c r="I148" s="147">
        <f t="shared" si="31"/>
        <v>23343.666666666664</v>
      </c>
    </row>
    <row r="149" spans="1:9" x14ac:dyDescent="0.2">
      <c r="A149" s="135">
        <f t="shared" si="30"/>
        <v>2022</v>
      </c>
      <c r="B149" s="134">
        <v>18754.666666666668</v>
      </c>
      <c r="C149" s="134">
        <v>1246.1666666666667</v>
      </c>
      <c r="D149" s="134">
        <v>78.25</v>
      </c>
      <c r="E149" s="134">
        <v>1</v>
      </c>
      <c r="F149" s="134">
        <v>71.833333333333329</v>
      </c>
      <c r="G149" s="134">
        <v>150.66666666666666</v>
      </c>
      <c r="H149" s="134">
        <v>4014</v>
      </c>
      <c r="I149" s="147">
        <f t="shared" si="31"/>
        <v>24316.583333333336</v>
      </c>
    </row>
    <row r="150" spans="1:9" x14ac:dyDescent="0.2">
      <c r="A150" s="135">
        <f t="shared" si="30"/>
        <v>2023</v>
      </c>
      <c r="B150" s="134">
        <v>20106.333333333332</v>
      </c>
      <c r="C150" s="134">
        <v>1271.5833333333333</v>
      </c>
      <c r="D150" s="134">
        <v>84.25</v>
      </c>
      <c r="E150" s="134">
        <v>1</v>
      </c>
      <c r="F150" s="134">
        <v>74.833333333333329</v>
      </c>
      <c r="G150" s="134">
        <v>151</v>
      </c>
      <c r="H150" s="134">
        <v>4299.25</v>
      </c>
      <c r="I150" s="147">
        <f t="shared" si="31"/>
        <v>25988.249999999996</v>
      </c>
    </row>
    <row r="151" spans="1:9" x14ac:dyDescent="0.2">
      <c r="A151" s="135">
        <f t="shared" si="30"/>
        <v>2024</v>
      </c>
      <c r="B151" s="134">
        <v>21734.083333333332</v>
      </c>
      <c r="C151" s="134">
        <v>1289.6666666666667</v>
      </c>
      <c r="D151" s="134">
        <v>83.416666666666671</v>
      </c>
      <c r="E151" s="134">
        <v>1</v>
      </c>
      <c r="F151" s="134">
        <v>70.166666666666671</v>
      </c>
      <c r="G151" s="134">
        <v>148.58333333333334</v>
      </c>
      <c r="H151" s="134">
        <v>4588.5</v>
      </c>
      <c r="I151" s="147">
        <f t="shared" si="31"/>
        <v>27915.416666666668</v>
      </c>
    </row>
    <row r="152" spans="1:9" x14ac:dyDescent="0.2">
      <c r="A152" s="135">
        <f t="shared" si="30"/>
        <v>2025</v>
      </c>
      <c r="B152" s="134">
        <v>22632.5</v>
      </c>
      <c r="C152" s="134">
        <v>1300.1666666666667</v>
      </c>
      <c r="D152" s="134">
        <v>87.416666666666671</v>
      </c>
      <c r="E152" s="134">
        <v>1</v>
      </c>
      <c r="F152" s="134">
        <v>69</v>
      </c>
      <c r="G152" s="134">
        <v>144.66666666666666</v>
      </c>
      <c r="H152" s="134">
        <v>4847.75</v>
      </c>
      <c r="I152" s="147">
        <f t="shared" si="31"/>
        <v>29082.500000000004</v>
      </c>
    </row>
    <row r="153" spans="1:9" x14ac:dyDescent="0.2">
      <c r="A153" s="135" t="str">
        <f t="shared" si="30"/>
        <v>2026 Bridge</v>
      </c>
      <c r="B153" s="134">
        <v>23655.786128724281</v>
      </c>
      <c r="C153" s="134">
        <v>1336.2500863644038</v>
      </c>
      <c r="D153" s="134">
        <v>88.84089624731395</v>
      </c>
      <c r="E153" s="134">
        <v>1</v>
      </c>
      <c r="F153" s="134">
        <v>68.330016370611446</v>
      </c>
      <c r="G153" s="134">
        <v>142.46445522039346</v>
      </c>
      <c r="H153" s="134">
        <v>5139.8519953660216</v>
      </c>
      <c r="I153" s="147">
        <f t="shared" si="31"/>
        <v>30432.523578293029</v>
      </c>
    </row>
    <row r="154" spans="1:9" x14ac:dyDescent="0.2">
      <c r="A154" s="135" t="str">
        <f t="shared" si="30"/>
        <v>2027 Test</v>
      </c>
      <c r="B154" s="134">
        <v>24725.338224586067</v>
      </c>
      <c r="C154" s="134">
        <v>1373.3349262726908</v>
      </c>
      <c r="D154" s="134">
        <v>90.28832998313824</v>
      </c>
      <c r="E154" s="134">
        <v>1</v>
      </c>
      <c r="F154" s="134">
        <v>67.666538220406196</v>
      </c>
      <c r="G154" s="134">
        <v>140.29576728970159</v>
      </c>
      <c r="H154" s="134">
        <v>5449.5546458187964</v>
      </c>
      <c r="I154" s="147">
        <f t="shared" si="31"/>
        <v>31847.478432170799</v>
      </c>
    </row>
    <row r="156" spans="1:9" x14ac:dyDescent="0.2">
      <c r="A156" s="128" t="s">
        <v>52</v>
      </c>
    </row>
    <row r="157" spans="1:9" ht="20.399999999999999" x14ac:dyDescent="0.2">
      <c r="A157" s="130" t="str">
        <f>A141</f>
        <v>Year</v>
      </c>
      <c r="B157" s="130" t="str">
        <f t="shared" ref="B157:H157" si="32">B141</f>
        <v>Residential</v>
      </c>
      <c r="C157" s="130" t="str">
        <f t="shared" si="32"/>
        <v>General Service &lt; 50 kW</v>
      </c>
      <c r="D157" s="130" t="str">
        <f t="shared" si="32"/>
        <v>General Service &gt; 50 kW</v>
      </c>
      <c r="E157" s="130" t="str">
        <f t="shared" si="32"/>
        <v>Embedded Distributor</v>
      </c>
      <c r="F157" s="130" t="str">
        <f t="shared" si="32"/>
        <v>Unmetered Scattered Load</v>
      </c>
      <c r="G157" s="130" t="str">
        <f t="shared" si="32"/>
        <v>Sentinel Lighting</v>
      </c>
      <c r="H157" s="130" t="str">
        <f t="shared" si="32"/>
        <v xml:space="preserve">Street Lighting </v>
      </c>
      <c r="I157" s="148"/>
    </row>
    <row r="158" spans="1:9" ht="14.4" customHeight="1" x14ac:dyDescent="0.2">
      <c r="A158" s="233" t="s">
        <v>53</v>
      </c>
      <c r="B158" s="233"/>
      <c r="C158" s="233"/>
      <c r="D158" s="233"/>
      <c r="E158" s="233"/>
      <c r="F158" s="233"/>
      <c r="G158" s="233"/>
      <c r="H158" s="233"/>
      <c r="I158" s="149"/>
    </row>
    <row r="159" spans="1:9" x14ac:dyDescent="0.2">
      <c r="A159" s="135">
        <f>A143</f>
        <v>2016</v>
      </c>
      <c r="B159" s="143">
        <f>B144/B143-1</f>
        <v>2.8292009056074097E-2</v>
      </c>
      <c r="C159" s="143">
        <f>C144/C143-1</f>
        <v>1.3858138581385848E-2</v>
      </c>
      <c r="D159" s="143">
        <f>D144/D143-1</f>
        <v>0.14663726571113567</v>
      </c>
      <c r="E159" s="143">
        <f t="shared" ref="E159:H159" si="33">E144/E143-1</f>
        <v>0</v>
      </c>
      <c r="F159" s="143">
        <f t="shared" si="33"/>
        <v>-2.433628318584069E-2</v>
      </c>
      <c r="G159" s="143">
        <f t="shared" si="33"/>
        <v>-2.5589563472152577E-2</v>
      </c>
      <c r="H159" s="143">
        <f t="shared" si="33"/>
        <v>3.8448105244775599E-2</v>
      </c>
    </row>
    <row r="160" spans="1:9" x14ac:dyDescent="0.2">
      <c r="A160" s="135">
        <f t="shared" ref="A160:A167" si="34">A144</f>
        <v>2017</v>
      </c>
      <c r="B160" s="143">
        <f t="shared" ref="B160:B167" si="35">B145/B144-1</f>
        <v>5.4952553577140462E-2</v>
      </c>
      <c r="C160" s="143">
        <f t="shared" ref="C160:H167" si="36">C145/C144-1</f>
        <v>5.0145583953413286E-2</v>
      </c>
      <c r="D160" s="143">
        <f t="shared" si="36"/>
        <v>5.0000000000000044E-2</v>
      </c>
      <c r="E160" s="143">
        <f t="shared" si="36"/>
        <v>0</v>
      </c>
      <c r="F160" s="143">
        <f t="shared" si="36"/>
        <v>6.8027210884353817E-3</v>
      </c>
      <c r="G160" s="143">
        <f t="shared" si="36"/>
        <v>-2.059732234809486E-3</v>
      </c>
      <c r="H160" s="143">
        <f t="shared" si="36"/>
        <v>4.1705204742285451E-2</v>
      </c>
    </row>
    <row r="161" spans="1:9" x14ac:dyDescent="0.2">
      <c r="A161" s="135">
        <f t="shared" si="34"/>
        <v>2018</v>
      </c>
      <c r="B161" s="143">
        <f t="shared" si="35"/>
        <v>4.8734637774902723E-2</v>
      </c>
      <c r="C161" s="143">
        <f t="shared" si="36"/>
        <v>3.612138016019717E-2</v>
      </c>
      <c r="D161" s="143">
        <f t="shared" si="36"/>
        <v>-6.501831501831512E-2</v>
      </c>
      <c r="E161" s="143">
        <f t="shared" si="36"/>
        <v>0</v>
      </c>
      <c r="F161" s="143">
        <f t="shared" si="36"/>
        <v>6.7567567567567988E-3</v>
      </c>
      <c r="G161" s="143">
        <f t="shared" si="36"/>
        <v>-9.8039215686275272E-3</v>
      </c>
      <c r="H161" s="143">
        <f t="shared" si="36"/>
        <v>6.7640648962789651E-2</v>
      </c>
    </row>
    <row r="162" spans="1:9" x14ac:dyDescent="0.2">
      <c r="A162" s="135">
        <f t="shared" si="34"/>
        <v>2019</v>
      </c>
      <c r="B162" s="143">
        <f t="shared" si="35"/>
        <v>1.6681764739895577E-2</v>
      </c>
      <c r="C162" s="143">
        <f t="shared" si="36"/>
        <v>2.9287147848063855E-2</v>
      </c>
      <c r="D162" s="143">
        <f t="shared" si="36"/>
        <v>-5.8765915768854038E-2</v>
      </c>
      <c r="E162" s="143">
        <f t="shared" si="36"/>
        <v>0</v>
      </c>
      <c r="F162" s="143">
        <f t="shared" si="36"/>
        <v>-1.7897091722595015E-2</v>
      </c>
      <c r="G162" s="143">
        <f t="shared" si="36"/>
        <v>-3.0224075039082754E-2</v>
      </c>
      <c r="H162" s="143">
        <f t="shared" si="36"/>
        <v>3.2559663314936538E-2</v>
      </c>
    </row>
    <row r="163" spans="1:9" x14ac:dyDescent="0.2">
      <c r="A163" s="135">
        <f t="shared" si="34"/>
        <v>2020</v>
      </c>
      <c r="B163" s="143">
        <f t="shared" si="35"/>
        <v>3.8133785794856712E-2</v>
      </c>
      <c r="C163" s="143">
        <f t="shared" si="36"/>
        <v>3.2353578392431581E-2</v>
      </c>
      <c r="D163" s="143">
        <f t="shared" si="36"/>
        <v>-2.9136316337148749E-2</v>
      </c>
      <c r="E163" s="143">
        <f t="shared" si="36"/>
        <v>0</v>
      </c>
      <c r="F163" s="143">
        <f t="shared" si="36"/>
        <v>-2.9612756264236983E-2</v>
      </c>
      <c r="G163" s="143">
        <f t="shared" si="36"/>
        <v>-1.5045674368619033E-2</v>
      </c>
      <c r="H163" s="143">
        <f t="shared" si="36"/>
        <v>5.3352207551314423E-2</v>
      </c>
    </row>
    <row r="164" spans="1:9" x14ac:dyDescent="0.2">
      <c r="A164" s="135">
        <f t="shared" si="34"/>
        <v>2021</v>
      </c>
      <c r="B164" s="143">
        <f t="shared" si="35"/>
        <v>2.7465303140979058E-2</v>
      </c>
      <c r="C164" s="143">
        <f t="shared" si="36"/>
        <v>4.6100034977264892E-2</v>
      </c>
      <c r="D164" s="143">
        <f t="shared" si="36"/>
        <v>6.4308681672025081E-3</v>
      </c>
      <c r="E164" s="143">
        <f t="shared" si="36"/>
        <v>0</v>
      </c>
      <c r="F164" s="143">
        <f t="shared" si="36"/>
        <v>1.1737089201877771E-2</v>
      </c>
      <c r="G164" s="143">
        <f t="shared" si="36"/>
        <v>-1.3638843426077574E-2</v>
      </c>
      <c r="H164" s="143">
        <f t="shared" si="36"/>
        <v>0.11605922287356041</v>
      </c>
    </row>
    <row r="165" spans="1:9" x14ac:dyDescent="0.2">
      <c r="A165" s="135">
        <f t="shared" si="34"/>
        <v>2022</v>
      </c>
      <c r="B165" s="143">
        <f t="shared" si="35"/>
        <v>7.2070951229916025E-2</v>
      </c>
      <c r="C165" s="143">
        <f t="shared" si="36"/>
        <v>2.0395880700815772E-2</v>
      </c>
      <c r="D165" s="143">
        <f t="shared" si="36"/>
        <v>7.667731629392982E-2</v>
      </c>
      <c r="E165" s="143">
        <f t="shared" si="36"/>
        <v>0</v>
      </c>
      <c r="F165" s="143">
        <f t="shared" si="36"/>
        <v>4.1763341067285298E-2</v>
      </c>
      <c r="G165" s="143">
        <f t="shared" si="36"/>
        <v>2.2123893805310324E-3</v>
      </c>
      <c r="H165" s="143">
        <f t="shared" si="36"/>
        <v>7.1063776781265631E-2</v>
      </c>
    </row>
    <row r="166" spans="1:9" x14ac:dyDescent="0.2">
      <c r="A166" s="135">
        <f t="shared" si="34"/>
        <v>2023</v>
      </c>
      <c r="B166" s="143">
        <f t="shared" si="35"/>
        <v>8.0957078200898591E-2</v>
      </c>
      <c r="C166" s="143">
        <f t="shared" si="36"/>
        <v>1.4221115407300644E-2</v>
      </c>
      <c r="D166" s="143">
        <f t="shared" si="36"/>
        <v>-9.8911968348169843E-3</v>
      </c>
      <c r="E166" s="143">
        <f t="shared" si="36"/>
        <v>0</v>
      </c>
      <c r="F166" s="143">
        <f t="shared" si="36"/>
        <v>-6.2360801781737085E-2</v>
      </c>
      <c r="G166" s="143">
        <f t="shared" si="36"/>
        <v>-1.6004415011037443E-2</v>
      </c>
      <c r="H166" s="143">
        <f t="shared" si="36"/>
        <v>6.7279176600569812E-2</v>
      </c>
    </row>
    <row r="167" spans="1:9" x14ac:dyDescent="0.2">
      <c r="A167" s="135">
        <f t="shared" si="34"/>
        <v>2024</v>
      </c>
      <c r="B167" s="143">
        <f t="shared" si="35"/>
        <v>4.1336763685302369E-2</v>
      </c>
      <c r="C167" s="143">
        <f t="shared" si="36"/>
        <v>8.1416386663220042E-3</v>
      </c>
      <c r="D167" s="143">
        <f t="shared" si="36"/>
        <v>4.7952047952047883E-2</v>
      </c>
      <c r="E167" s="143">
        <f t="shared" si="36"/>
        <v>0</v>
      </c>
      <c r="F167" s="143">
        <f t="shared" si="36"/>
        <v>-1.6627078384798155E-2</v>
      </c>
      <c r="G167" s="143">
        <f t="shared" si="36"/>
        <v>-2.6360067302299672E-2</v>
      </c>
      <c r="H167" s="143">
        <f>H152/H151-1</f>
        <v>5.6499945515963823E-2</v>
      </c>
    </row>
    <row r="168" spans="1:9" x14ac:dyDescent="0.2">
      <c r="A168" s="234"/>
      <c r="B168" s="235"/>
      <c r="C168" s="235"/>
      <c r="D168" s="235"/>
      <c r="E168" s="235"/>
      <c r="F168" s="235"/>
      <c r="G168" s="235"/>
      <c r="H168" s="236"/>
    </row>
    <row r="169" spans="1:9" x14ac:dyDescent="0.2">
      <c r="A169" s="150" t="s">
        <v>54</v>
      </c>
      <c r="B169" s="151" cm="1">
        <f t="array" ref="B169:D169">'Rate Class Customer Model'!B40:D40</f>
        <v>1.0452131284093353</v>
      </c>
      <c r="C169" s="151">
        <v>1.0277529186240768</v>
      </c>
      <c r="D169" s="151">
        <v>1.0162924260893873</v>
      </c>
      <c r="E169" s="151">
        <f>'Rate Class Customer Model'!H40</f>
        <v>1</v>
      </c>
      <c r="F169" s="151" cm="1">
        <f t="array" ref="F169:H169">'Rate Class Customer Model'!E40:G40</f>
        <v>0.99029009232770204</v>
      </c>
      <c r="G169" s="151">
        <v>0.98477734023313457</v>
      </c>
      <c r="H169" s="151">
        <v>1.0602551689682886</v>
      </c>
      <c r="I169" s="128"/>
    </row>
    <row r="171" spans="1:9" x14ac:dyDescent="0.2">
      <c r="A171" s="128" t="s">
        <v>55</v>
      </c>
    </row>
    <row r="172" spans="1:9" ht="51" customHeight="1" x14ac:dyDescent="0.2">
      <c r="A172" s="152" t="s">
        <v>1</v>
      </c>
      <c r="B172" s="130" t="str" cm="1">
        <f t="array" ref="B172:H172">B157:H157</f>
        <v>Residential</v>
      </c>
      <c r="C172" s="130" t="str">
        <v>General Service &lt; 50 kW</v>
      </c>
      <c r="D172" s="130" t="str">
        <v>General Service &gt; 50 kW</v>
      </c>
      <c r="E172" s="130" t="str">
        <v>Embedded Distributor</v>
      </c>
      <c r="F172" s="130" t="str">
        <v>Unmetered Scattered Load</v>
      </c>
      <c r="G172" s="130" t="str">
        <v>Sentinel Lighting</v>
      </c>
      <c r="H172" s="130" t="str">
        <v xml:space="preserve">Street Lighting </v>
      </c>
      <c r="I172" s="153" t="s">
        <v>19</v>
      </c>
    </row>
    <row r="173" spans="1:9" x14ac:dyDescent="0.2">
      <c r="A173" s="228" t="s">
        <v>56</v>
      </c>
      <c r="B173" s="229"/>
      <c r="C173" s="229"/>
      <c r="D173" s="229"/>
      <c r="E173" s="229"/>
      <c r="F173" s="229"/>
      <c r="G173" s="229"/>
      <c r="H173" s="229"/>
      <c r="I173" s="230"/>
    </row>
    <row r="174" spans="1:9" x14ac:dyDescent="0.2">
      <c r="A174" s="132" t="s">
        <v>9</v>
      </c>
      <c r="B174" s="134" cm="1">
        <f t="array" ref="B174:D175">'Rate Class Customer Model'!B21:D22</f>
        <v>23655.786128724281</v>
      </c>
      <c r="C174" s="134">
        <v>1336.2500863644038</v>
      </c>
      <c r="D174" s="134">
        <v>88.84089624731395</v>
      </c>
      <c r="E174" s="134" cm="1">
        <f t="array" ref="E174:E175">'Rate Class Customer Model'!H21:H22</f>
        <v>1</v>
      </c>
      <c r="F174" s="134" cm="1">
        <f t="array" ref="F174:H175">'Rate Class Customer Model'!E21:G22</f>
        <v>68.330016370611446</v>
      </c>
      <c r="G174" s="134">
        <v>142.46445522039346</v>
      </c>
      <c r="H174" s="134">
        <v>5139.8519953660216</v>
      </c>
      <c r="I174" s="147">
        <f>SUM(B174:H174)</f>
        <v>30432.523578293029</v>
      </c>
    </row>
    <row r="175" spans="1:9" x14ac:dyDescent="0.2">
      <c r="A175" s="132" t="s">
        <v>10</v>
      </c>
      <c r="B175" s="134">
        <v>24725.338224586067</v>
      </c>
      <c r="C175" s="134">
        <v>1373.3349262726908</v>
      </c>
      <c r="D175" s="134">
        <v>90.28832998313824</v>
      </c>
      <c r="E175" s="134">
        <v>1</v>
      </c>
      <c r="F175" s="134">
        <v>67.666538220406196</v>
      </c>
      <c r="G175" s="134">
        <v>140.29576728970159</v>
      </c>
      <c r="H175" s="134">
        <v>5449.5546458187964</v>
      </c>
      <c r="I175" s="147">
        <f>SUM(B175:H175)</f>
        <v>31847.478432170799</v>
      </c>
    </row>
    <row r="177" spans="1:9" x14ac:dyDescent="0.2">
      <c r="A177" s="128" t="s">
        <v>57</v>
      </c>
    </row>
    <row r="178" spans="1:9" ht="50.4" customHeight="1" x14ac:dyDescent="0.2">
      <c r="A178" s="130" t="s">
        <v>1</v>
      </c>
      <c r="B178" s="130" t="str" cm="1">
        <f t="array" ref="B178:H178">B157:H157</f>
        <v>Residential</v>
      </c>
      <c r="C178" s="130" t="str">
        <v>General Service &lt; 50 kW</v>
      </c>
      <c r="D178" s="130" t="str">
        <v>General Service &gt; 50 kW</v>
      </c>
      <c r="E178" s="130" t="str">
        <v>Embedded Distributor</v>
      </c>
      <c r="F178" s="130" t="str">
        <v>Unmetered Scattered Load</v>
      </c>
      <c r="G178" s="130" t="str">
        <v>Sentinel Lighting</v>
      </c>
      <c r="H178" s="130" t="str">
        <v xml:space="preserve">Street Lighting </v>
      </c>
      <c r="I178" s="128"/>
    </row>
    <row r="179" spans="1:9" x14ac:dyDescent="0.2">
      <c r="A179" s="228" t="s">
        <v>58</v>
      </c>
      <c r="B179" s="229"/>
      <c r="C179" s="229"/>
      <c r="D179" s="229"/>
      <c r="E179" s="229"/>
      <c r="F179" s="229"/>
      <c r="G179" s="229"/>
      <c r="H179" s="230"/>
    </row>
    <row r="180" spans="1:9" x14ac:dyDescent="0.2">
      <c r="A180" s="135">
        <v>2025</v>
      </c>
      <c r="B180" s="134" cm="1">
        <f t="array" ref="B180:D180">'Rate Class Energy Model'!H20:J20</f>
        <v>9555.2953416547007</v>
      </c>
      <c r="C180" s="134">
        <v>36664.764373798229</v>
      </c>
      <c r="D180" s="134">
        <v>752231.93822688283</v>
      </c>
      <c r="E180" s="134">
        <f>'Rate Class Energy Model'!N20</f>
        <v>976590.05000000016</v>
      </c>
      <c r="F180" s="134" cm="1">
        <f t="array" ref="F180:H180">'Rate Class Energy Model'!K20:M20</f>
        <v>6163.130434782609</v>
      </c>
      <c r="G180" s="134">
        <v>649.67557603686635</v>
      </c>
      <c r="H180" s="134">
        <v>204.31544737249237</v>
      </c>
    </row>
    <row r="182" spans="1:9" x14ac:dyDescent="0.2">
      <c r="A182" s="128" t="s">
        <v>59</v>
      </c>
    </row>
    <row r="183" spans="1:9" ht="45" customHeight="1" x14ac:dyDescent="0.2">
      <c r="A183" s="130" t="s">
        <v>1</v>
      </c>
      <c r="B183" s="130" t="str" cm="1">
        <f t="array" ref="B183:H183">_xlfn.ANCHORARRAY(B178)</f>
        <v>Residential</v>
      </c>
      <c r="C183" s="130" t="str">
        <v>General Service &lt; 50 kW</v>
      </c>
      <c r="D183" s="130" t="str">
        <v>General Service &gt; 50 kW</v>
      </c>
      <c r="E183" s="130" t="str">
        <v>Embedded Distributor</v>
      </c>
      <c r="F183" s="130" t="str">
        <v>Unmetered Scattered Load</v>
      </c>
      <c r="G183" s="130" t="str">
        <v>Sentinel Lighting</v>
      </c>
      <c r="H183" s="130" t="str">
        <v xml:space="preserve">Street Lighting </v>
      </c>
      <c r="I183" s="128"/>
    </row>
    <row r="184" spans="1:9" x14ac:dyDescent="0.2">
      <c r="A184" s="228" t="s">
        <v>60</v>
      </c>
      <c r="B184" s="229"/>
      <c r="C184" s="229"/>
      <c r="D184" s="229"/>
      <c r="E184" s="229"/>
      <c r="F184" s="229"/>
      <c r="G184" s="229"/>
      <c r="H184" s="230"/>
    </row>
    <row r="185" spans="1:9" x14ac:dyDescent="0.2">
      <c r="A185" s="132" t="s">
        <v>9</v>
      </c>
      <c r="B185" s="134" cm="1">
        <f t="array" ref="B185:D186">'Rate Class Energy Model'!H21:J22</f>
        <v>9555.2953416547007</v>
      </c>
      <c r="C185" s="134">
        <v>36664.764373798229</v>
      </c>
      <c r="D185" s="134">
        <v>752231.93822688283</v>
      </c>
      <c r="E185" s="134" cm="1">
        <f t="array" ref="E185:E186">'Rate Class Energy Model'!N21:N22</f>
        <v>976590.05000000016</v>
      </c>
      <c r="F185" s="134" cm="1">
        <f t="array" ref="F185:H186">'Rate Class Energy Model'!K21:M22</f>
        <v>6163.130434782609</v>
      </c>
      <c r="G185" s="134">
        <v>649.67557603686635</v>
      </c>
      <c r="H185" s="134">
        <v>204.31544737249237</v>
      </c>
    </row>
    <row r="186" spans="1:9" x14ac:dyDescent="0.2">
      <c r="A186" s="132" t="s">
        <v>10</v>
      </c>
      <c r="B186" s="134">
        <v>9555.2953416547007</v>
      </c>
      <c r="C186" s="134">
        <v>36664.764373798229</v>
      </c>
      <c r="D186" s="134">
        <v>752231.93822688283</v>
      </c>
      <c r="E186" s="134">
        <v>976590.05000000016</v>
      </c>
      <c r="F186" s="134">
        <v>6163.130434782609</v>
      </c>
      <c r="G186" s="134">
        <v>649.67557603686635</v>
      </c>
      <c r="H186" s="134">
        <v>204.31544737249237</v>
      </c>
    </row>
    <row r="188" spans="1:9" x14ac:dyDescent="0.2">
      <c r="A188" s="128" t="s">
        <v>61</v>
      </c>
    </row>
    <row r="189" spans="1:9" ht="47.4" customHeight="1" x14ac:dyDescent="0.2">
      <c r="A189" s="130" t="s">
        <v>1</v>
      </c>
      <c r="B189" s="130" t="str" cm="1">
        <f t="array" ref="B189:H189">_xlfn.ANCHORARRAY(B183)</f>
        <v>Residential</v>
      </c>
      <c r="C189" s="130" t="str">
        <v>General Service &lt; 50 kW</v>
      </c>
      <c r="D189" s="130" t="str">
        <v>General Service &gt; 50 kW</v>
      </c>
      <c r="E189" s="130" t="str">
        <v>Embedded Distributor</v>
      </c>
      <c r="F189" s="130" t="str">
        <v>Unmetered Scattered Load</v>
      </c>
      <c r="G189" s="130" t="str">
        <v>Sentinel Lighting</v>
      </c>
      <c r="H189" s="130" t="str">
        <v xml:space="preserve">Street Lighting </v>
      </c>
      <c r="I189" s="128"/>
    </row>
    <row r="190" spans="1:9" x14ac:dyDescent="0.2">
      <c r="A190" s="228" t="s">
        <v>62</v>
      </c>
      <c r="B190" s="229"/>
      <c r="C190" s="229"/>
      <c r="D190" s="229"/>
      <c r="E190" s="229"/>
      <c r="F190" s="229"/>
      <c r="G190" s="229"/>
      <c r="H190" s="230"/>
    </row>
    <row r="191" spans="1:9" x14ac:dyDescent="0.2">
      <c r="A191" s="132" t="s">
        <v>9</v>
      </c>
      <c r="B191" s="154">
        <f>B185*B174/1000000</f>
        <v>226.03802299897899</v>
      </c>
      <c r="C191" s="154">
        <f t="shared" ref="C191:H192" si="37">C185*C174/1000000</f>
        <v>48.993294561018402</v>
      </c>
      <c r="D191" s="154">
        <f t="shared" si="37"/>
        <v>66.828959577930377</v>
      </c>
      <c r="E191" s="154">
        <f t="shared" si="37"/>
        <v>0.97659005000000021</v>
      </c>
      <c r="F191" s="154">
        <f t="shared" si="37"/>
        <v>0.42112680350290932</v>
      </c>
      <c r="G191" s="154">
        <f t="shared" si="37"/>
        <v>9.2555677010087475E-2</v>
      </c>
      <c r="H191" s="154">
        <f t="shared" si="37"/>
        <v>1.0501511598616062</v>
      </c>
    </row>
    <row r="192" spans="1:9" x14ac:dyDescent="0.2">
      <c r="A192" s="132" t="s">
        <v>10</v>
      </c>
      <c r="B192" s="154">
        <f>B186*B175/1000000</f>
        <v>236.25790915822412</v>
      </c>
      <c r="C192" s="154">
        <f t="shared" si="37"/>
        <v>50.35300147809577</v>
      </c>
      <c r="D192" s="154">
        <f t="shared" si="37"/>
        <v>67.917765462484468</v>
      </c>
      <c r="E192" s="154">
        <f t="shared" si="37"/>
        <v>0.97659005000000021</v>
      </c>
      <c r="F192" s="154">
        <f t="shared" si="37"/>
        <v>0.41703770112256605</v>
      </c>
      <c r="G192" s="154">
        <f t="shared" si="37"/>
        <v>9.1146733429471036E-2</v>
      </c>
      <c r="H192" s="154">
        <f t="shared" si="37"/>
        <v>1.1134281954413117</v>
      </c>
    </row>
    <row r="194" spans="1:9" x14ac:dyDescent="0.2">
      <c r="A194" s="128" t="s">
        <v>63</v>
      </c>
    </row>
    <row r="195" spans="1:9" ht="42.6" customHeight="1" x14ac:dyDescent="0.2">
      <c r="A195" s="130" t="str" cm="1">
        <f t="array" ref="A195:G195">B189:H189</f>
        <v>Residential</v>
      </c>
      <c r="B195" s="130" t="str">
        <v>General Service &lt; 50 kW</v>
      </c>
      <c r="C195" s="130" t="str">
        <v>General Service &gt; 50 kW</v>
      </c>
      <c r="D195" s="130" t="str">
        <v>Embedded Distributor</v>
      </c>
      <c r="E195" s="130" t="str">
        <v>Unmetered Scattered Load</v>
      </c>
      <c r="F195" s="130" t="str">
        <v>Sentinel Lighting</v>
      </c>
      <c r="G195" s="130" t="str">
        <v xml:space="preserve">Street Lighting </v>
      </c>
    </row>
    <row r="196" spans="1:9" x14ac:dyDescent="0.2">
      <c r="A196" s="228" t="s">
        <v>64</v>
      </c>
      <c r="B196" s="229"/>
      <c r="C196" s="229"/>
      <c r="D196" s="229"/>
      <c r="E196" s="229"/>
      <c r="F196" s="229"/>
      <c r="G196" s="230"/>
    </row>
    <row r="197" spans="1:9" x14ac:dyDescent="0.2">
      <c r="A197" s="155">
        <v>0.82499999999999996</v>
      </c>
      <c r="B197" s="155">
        <v>0.82499999999999996</v>
      </c>
      <c r="C197" s="155">
        <v>0.65</v>
      </c>
      <c r="D197" s="155">
        <f>'Rate Class Energy Model'!N39</f>
        <v>0</v>
      </c>
      <c r="E197" s="155" cm="1">
        <f t="array" ref="E197:G197">'Rate Class Energy Model'!K39:M39</f>
        <v>0</v>
      </c>
      <c r="F197" s="155">
        <v>0</v>
      </c>
      <c r="G197" s="155">
        <v>0</v>
      </c>
    </row>
    <row r="199" spans="1:9" x14ac:dyDescent="0.2">
      <c r="A199" s="128" t="s">
        <v>65</v>
      </c>
    </row>
    <row r="200" spans="1:9" ht="47.4" customHeight="1" x14ac:dyDescent="0.2">
      <c r="A200" s="130" t="s">
        <v>1</v>
      </c>
      <c r="B200" s="130" t="str" cm="1">
        <f t="array" ref="B200:H200">_xlfn.ANCHORARRAY(A195)</f>
        <v>Residential</v>
      </c>
      <c r="C200" s="130" t="str">
        <v>General Service &lt; 50 kW</v>
      </c>
      <c r="D200" s="130" t="str">
        <v>General Service &gt; 50 kW</v>
      </c>
      <c r="E200" s="130" t="str">
        <v>Embedded Distributor</v>
      </c>
      <c r="F200" s="130" t="str">
        <v>Unmetered Scattered Load</v>
      </c>
      <c r="G200" s="130" t="str">
        <v>Sentinel Lighting</v>
      </c>
      <c r="H200" s="130" t="str">
        <v xml:space="preserve">Street Lighting </v>
      </c>
      <c r="I200" s="130" t="s">
        <v>19</v>
      </c>
    </row>
    <row r="201" spans="1:9" x14ac:dyDescent="0.2">
      <c r="A201" s="228" t="s">
        <v>66</v>
      </c>
      <c r="B201" s="229"/>
      <c r="C201" s="229"/>
      <c r="D201" s="229"/>
      <c r="E201" s="229"/>
      <c r="F201" s="229"/>
      <c r="G201" s="229"/>
      <c r="H201" s="229"/>
      <c r="I201" s="230"/>
    </row>
    <row r="202" spans="1:9" x14ac:dyDescent="0.2">
      <c r="A202" s="132" t="s">
        <v>9</v>
      </c>
      <c r="B202" s="156">
        <f>B191</f>
        <v>226.03802299897899</v>
      </c>
      <c r="C202" s="156">
        <f t="shared" ref="C202:H203" si="38">C191</f>
        <v>48.993294561018402</v>
      </c>
      <c r="D202" s="156">
        <f t="shared" si="38"/>
        <v>66.828959577930377</v>
      </c>
      <c r="E202" s="156">
        <f t="shared" si="38"/>
        <v>0.97659005000000021</v>
      </c>
      <c r="F202" s="156">
        <f t="shared" si="38"/>
        <v>0.42112680350290932</v>
      </c>
      <c r="G202" s="156">
        <f t="shared" si="38"/>
        <v>9.2555677010087475E-2</v>
      </c>
      <c r="H202" s="156">
        <f t="shared" si="38"/>
        <v>1.0501511598616062</v>
      </c>
      <c r="I202" s="156">
        <f>SUM(B202:H202)</f>
        <v>344.40070082830238</v>
      </c>
    </row>
    <row r="203" spans="1:9" x14ac:dyDescent="0.2">
      <c r="A203" s="132" t="s">
        <v>10</v>
      </c>
      <c r="B203" s="156">
        <f>B192</f>
        <v>236.25790915822412</v>
      </c>
      <c r="C203" s="156">
        <f t="shared" si="38"/>
        <v>50.35300147809577</v>
      </c>
      <c r="D203" s="156">
        <f t="shared" si="38"/>
        <v>67.917765462484468</v>
      </c>
      <c r="E203" s="156">
        <f t="shared" si="38"/>
        <v>0.97659005000000021</v>
      </c>
      <c r="F203" s="156">
        <f t="shared" si="38"/>
        <v>0.41703770112256605</v>
      </c>
      <c r="G203" s="156">
        <f t="shared" si="38"/>
        <v>9.1146733429471036E-2</v>
      </c>
      <c r="H203" s="156">
        <f t="shared" si="38"/>
        <v>1.1134281954413117</v>
      </c>
      <c r="I203" s="156">
        <f t="shared" ref="I203" si="39">SUM(B203:H203)</f>
        <v>357.12687877879773</v>
      </c>
    </row>
    <row r="204" spans="1:9" x14ac:dyDescent="0.2">
      <c r="A204" s="228" t="s">
        <v>67</v>
      </c>
      <c r="B204" s="229"/>
      <c r="C204" s="229"/>
      <c r="D204" s="229"/>
      <c r="E204" s="229"/>
      <c r="F204" s="229"/>
      <c r="G204" s="229"/>
      <c r="H204" s="229"/>
      <c r="I204" s="230"/>
    </row>
    <row r="205" spans="1:9" x14ac:dyDescent="0.2">
      <c r="A205" s="132" t="s">
        <v>9</v>
      </c>
      <c r="B205" s="145" cm="1">
        <f t="array" ref="B205:D206">'Rate Class Energy Model'!H46:J47/1000000</f>
        <v>-4.3118399606148143</v>
      </c>
      <c r="C205" s="145">
        <v>-0.93458278606217393</v>
      </c>
      <c r="D205" s="145">
        <v>-1.0043966162021094</v>
      </c>
      <c r="E205" s="145" cm="1">
        <f t="array" ref="E205:E206">'Rate Class Energy Model'!N46:N47</f>
        <v>0</v>
      </c>
      <c r="F205" s="145" cm="1">
        <f t="array" ref="F205:H206">'Rate Class Energy Model'!K46:M47</f>
        <v>0</v>
      </c>
      <c r="G205" s="145">
        <v>0</v>
      </c>
      <c r="H205" s="145">
        <v>0</v>
      </c>
      <c r="I205" s="156">
        <f t="shared" ref="I205:I209" si="40">SUM(B205:H205)</f>
        <v>-6.2508193628790982</v>
      </c>
    </row>
    <row r="206" spans="1:9" x14ac:dyDescent="0.2">
      <c r="A206" s="132" t="s">
        <v>10</v>
      </c>
      <c r="B206" s="145">
        <v>-4.8239307454345735</v>
      </c>
      <c r="C206" s="145">
        <v>-1.0281111553917408</v>
      </c>
      <c r="D206" s="145">
        <v>-1.0925907138386577</v>
      </c>
      <c r="E206" s="145">
        <v>0</v>
      </c>
      <c r="F206" s="145">
        <v>0</v>
      </c>
      <c r="G206" s="145">
        <v>0</v>
      </c>
      <c r="H206" s="145">
        <v>0</v>
      </c>
      <c r="I206" s="156">
        <f t="shared" si="40"/>
        <v>-6.9446326146649726</v>
      </c>
    </row>
    <row r="207" spans="1:9" x14ac:dyDescent="0.2">
      <c r="A207" s="228" t="s">
        <v>68</v>
      </c>
      <c r="B207" s="229"/>
      <c r="C207" s="229"/>
      <c r="D207" s="229"/>
      <c r="E207" s="229"/>
      <c r="F207" s="229"/>
      <c r="G207" s="229"/>
      <c r="H207" s="229"/>
      <c r="I207" s="230"/>
    </row>
    <row r="208" spans="1:9" x14ac:dyDescent="0.2">
      <c r="A208" s="132" t="s">
        <v>9</v>
      </c>
      <c r="B208" s="141">
        <f>B202+B205</f>
        <v>221.72618303836418</v>
      </c>
      <c r="C208" s="141">
        <f t="shared" ref="C208:H209" si="41">C202+C205</f>
        <v>48.05871177495623</v>
      </c>
      <c r="D208" s="141">
        <f t="shared" si="41"/>
        <v>65.824562961728262</v>
      </c>
      <c r="E208" s="141">
        <f t="shared" si="41"/>
        <v>0.97659005000000021</v>
      </c>
      <c r="F208" s="141">
        <f t="shared" si="41"/>
        <v>0.42112680350290932</v>
      </c>
      <c r="G208" s="141">
        <f t="shared" si="41"/>
        <v>9.2555677010087475E-2</v>
      </c>
      <c r="H208" s="141">
        <f t="shared" si="41"/>
        <v>1.0501511598616062</v>
      </c>
      <c r="I208" s="156">
        <f t="shared" si="40"/>
        <v>338.14988146542328</v>
      </c>
    </row>
    <row r="209" spans="1:10" x14ac:dyDescent="0.2">
      <c r="A209" s="132" t="s">
        <v>10</v>
      </c>
      <c r="B209" s="141">
        <f>B203+B206</f>
        <v>231.43397841278954</v>
      </c>
      <c r="C209" s="141">
        <f t="shared" si="41"/>
        <v>49.324890322704029</v>
      </c>
      <c r="D209" s="141">
        <f t="shared" si="41"/>
        <v>66.825174748645807</v>
      </c>
      <c r="E209" s="141">
        <f t="shared" si="41"/>
        <v>0.97659005000000021</v>
      </c>
      <c r="F209" s="141">
        <f t="shared" si="41"/>
        <v>0.41703770112256605</v>
      </c>
      <c r="G209" s="141">
        <f t="shared" si="41"/>
        <v>9.1146733429471036E-2</v>
      </c>
      <c r="H209" s="141">
        <f t="shared" si="41"/>
        <v>1.1134281954413117</v>
      </c>
      <c r="I209" s="156">
        <f t="shared" si="40"/>
        <v>350.18224616413278</v>
      </c>
      <c r="J209" s="157"/>
    </row>
    <row r="211" spans="1:10" x14ac:dyDescent="0.2">
      <c r="A211" s="128" t="s">
        <v>69</v>
      </c>
    </row>
    <row r="212" spans="1:10" ht="41.4" customHeight="1" x14ac:dyDescent="0.2">
      <c r="A212" s="130" t="s">
        <v>1</v>
      </c>
      <c r="B212" s="158" t="s">
        <v>14</v>
      </c>
      <c r="C212" s="130" t="s">
        <v>70</v>
      </c>
      <c r="D212" s="130" t="s">
        <v>17</v>
      </c>
      <c r="E212" s="130" t="s">
        <v>71</v>
      </c>
      <c r="F212" s="128"/>
      <c r="G212" s="128"/>
    </row>
    <row r="213" spans="1:10" x14ac:dyDescent="0.2">
      <c r="A213" s="132">
        <v>2016</v>
      </c>
      <c r="B213" s="159" cm="1">
        <f t="array" ref="B213:B222">'Rate Class Load Model'!B16:B25</f>
        <v>2.5939287821188711E-3</v>
      </c>
      <c r="C213" s="159" cm="1">
        <f t="array" ref="C213:C222">'Rate Class Load Model'!E16:E25</f>
        <v>2.5287449402958072E-3</v>
      </c>
      <c r="D213" s="159" cm="1">
        <f t="array" ref="D213:E222">'Rate Class Load Model'!C16:D25</f>
        <v>2.8569539810717119E-3</v>
      </c>
      <c r="E213" s="159">
        <v>3.0237209245814857E-3</v>
      </c>
    </row>
    <row r="214" spans="1:10" x14ac:dyDescent="0.2">
      <c r="A214" s="132">
        <v>2017</v>
      </c>
      <c r="B214" s="159">
        <v>2.5865384308202013E-3</v>
      </c>
      <c r="C214" s="159">
        <v>2.4812237661599799E-3</v>
      </c>
      <c r="D214" s="159">
        <v>2.8402594378730524E-3</v>
      </c>
      <c r="E214" s="159">
        <v>3.054280229179876E-3</v>
      </c>
    </row>
    <row r="215" spans="1:10" x14ac:dyDescent="0.2">
      <c r="A215" s="132">
        <v>2018</v>
      </c>
      <c r="B215" s="159">
        <v>2.5780784481763807E-3</v>
      </c>
      <c r="C215" s="159">
        <v>2.5765264151834484E-3</v>
      </c>
      <c r="D215" s="159">
        <v>2.7968877922281855E-3</v>
      </c>
      <c r="E215" s="159">
        <v>3.035969472903079E-3</v>
      </c>
    </row>
    <row r="216" spans="1:10" x14ac:dyDescent="0.2">
      <c r="A216" s="132">
        <v>2019</v>
      </c>
      <c r="B216" s="159">
        <v>2.5216915966228192E-3</v>
      </c>
      <c r="C216" s="159">
        <v>2.3676147743842547E-3</v>
      </c>
      <c r="D216" s="159">
        <v>2.84148086065633E-3</v>
      </c>
      <c r="E216" s="159">
        <v>3.0331831135238761E-3</v>
      </c>
    </row>
    <row r="217" spans="1:10" x14ac:dyDescent="0.2">
      <c r="A217" s="132">
        <v>2020</v>
      </c>
      <c r="B217" s="159">
        <v>2.5672230810519707E-3</v>
      </c>
      <c r="C217" s="159">
        <v>2.4982243946280558E-3</v>
      </c>
      <c r="D217" s="159">
        <v>2.9212668236647588E-3</v>
      </c>
      <c r="E217" s="159">
        <v>3.0229017245077829E-3</v>
      </c>
    </row>
    <row r="218" spans="1:10" x14ac:dyDescent="0.2">
      <c r="A218" s="132">
        <v>2021</v>
      </c>
      <c r="B218" s="159">
        <v>2.7180140077208933E-3</v>
      </c>
      <c r="C218" s="159">
        <v>2.592040681590677E-3</v>
      </c>
      <c r="D218" s="159">
        <v>2.9732017360296304E-3</v>
      </c>
      <c r="E218" s="159">
        <v>3.0352752042228405E-3</v>
      </c>
    </row>
    <row r="219" spans="1:10" x14ac:dyDescent="0.2">
      <c r="A219" s="132">
        <v>2022</v>
      </c>
      <c r="B219" s="159">
        <v>2.7911951445405811E-3</v>
      </c>
      <c r="C219" s="159">
        <v>2.6293599678234745E-3</v>
      </c>
      <c r="D219" s="159">
        <v>3.0225109348312358E-3</v>
      </c>
      <c r="E219" s="159">
        <v>3.0450185368460195E-3</v>
      </c>
    </row>
    <row r="220" spans="1:10" x14ac:dyDescent="0.2">
      <c r="A220" s="132">
        <v>2023</v>
      </c>
      <c r="B220" s="159">
        <v>2.9279650997894343E-3</v>
      </c>
      <c r="C220" s="159">
        <v>2.6246843806109585E-3</v>
      </c>
      <c r="D220" s="159">
        <v>3.0374793242130224E-3</v>
      </c>
      <c r="E220" s="159">
        <v>3.0519299723567555E-3</v>
      </c>
    </row>
    <row r="221" spans="1:10" x14ac:dyDescent="0.2">
      <c r="A221" s="132">
        <v>2024</v>
      </c>
      <c r="B221" s="159">
        <v>2.8624418701633219E-3</v>
      </c>
      <c r="C221" s="159">
        <v>3.1201801338875384E-3</v>
      </c>
      <c r="D221" s="159">
        <v>3.3700884618443178E-3</v>
      </c>
      <c r="E221" s="159">
        <v>3.0315460554034591E-3</v>
      </c>
    </row>
    <row r="222" spans="1:10" x14ac:dyDescent="0.2">
      <c r="A222" s="132">
        <v>2025</v>
      </c>
      <c r="B222" s="159">
        <v>2.6853823269966048E-3</v>
      </c>
      <c r="C222" s="159">
        <v>2.9516047151870936E-3</v>
      </c>
      <c r="D222" s="159">
        <v>3.1383104364035653E-3</v>
      </c>
      <c r="E222" s="159">
        <v>3.0398146467240047E-3</v>
      </c>
      <c r="G222" s="160"/>
    </row>
    <row r="223" spans="1:10" x14ac:dyDescent="0.2">
      <c r="A223" s="132"/>
      <c r="B223" s="132"/>
      <c r="C223" s="132"/>
      <c r="D223" s="132"/>
      <c r="E223" s="132"/>
    </row>
    <row r="224" spans="1:10" x14ac:dyDescent="0.2">
      <c r="A224" s="150" t="s">
        <v>72</v>
      </c>
      <c r="B224" s="143">
        <f>'Rate Class Load Model'!B29</f>
        <v>2.6832458788001077E-3</v>
      </c>
      <c r="C224" s="143">
        <f>'Rate Class Load Model'!E29</f>
        <v>2.6370204169751292E-3</v>
      </c>
      <c r="D224" s="143" cm="1">
        <f t="array" ref="D224:E224">'Rate Class Load Model'!C29:D29</f>
        <v>2.9798439788815806E-3</v>
      </c>
      <c r="E224" s="143">
        <v>3.0373639880249179E-3</v>
      </c>
    </row>
    <row r="226" spans="1:16" x14ac:dyDescent="0.2">
      <c r="A226" s="128" t="s">
        <v>73</v>
      </c>
    </row>
    <row r="227" spans="1:16" ht="42" customHeight="1" x14ac:dyDescent="0.2">
      <c r="A227" s="130" t="s">
        <v>1</v>
      </c>
      <c r="B227" s="130" t="e" cm="1">
        <f t="array" ref="B227">_xlfn.ANCHORARRAY(B212)</f>
        <v>#REF!</v>
      </c>
      <c r="C227" s="130"/>
      <c r="D227" s="130"/>
      <c r="E227" s="130"/>
      <c r="F227" s="130" t="s">
        <v>74</v>
      </c>
      <c r="G227" s="128"/>
    </row>
    <row r="228" spans="1:16" x14ac:dyDescent="0.2">
      <c r="A228" s="132" t="s">
        <v>75</v>
      </c>
      <c r="B228" s="134" cm="1">
        <f t="array" ref="B228:B229">'Rate Class Load Model'!B12:B13</f>
        <v>176623.48729087558</v>
      </c>
      <c r="C228" s="134" cm="1">
        <f t="array" ref="C228:C229">'Rate Class Load Model'!E12:E13</f>
        <v>2575.2879008647628</v>
      </c>
      <c r="D228" s="134" cm="1">
        <f t="array" ref="D228:E229">'Rate Class Load Model'!C12:D13</f>
        <v>295</v>
      </c>
      <c r="E228" s="134">
        <v>3189.6913149462416</v>
      </c>
      <c r="F228" s="134">
        <f>SUM(B228:E228)</f>
        <v>182683.46650668659</v>
      </c>
      <c r="K228" s="160"/>
    </row>
    <row r="229" spans="1:16" x14ac:dyDescent="0.2">
      <c r="A229" s="132" t="s">
        <v>76</v>
      </c>
      <c r="B229" s="134">
        <v>179308.37474440088</v>
      </c>
      <c r="C229" s="134">
        <v>2575.2879008647628</v>
      </c>
      <c r="D229" s="134">
        <v>295</v>
      </c>
      <c r="E229" s="134">
        <v>3381.88670408501</v>
      </c>
      <c r="F229" s="134">
        <f>SUM(B229:E229)</f>
        <v>185560.54934935065</v>
      </c>
      <c r="K229" s="160"/>
    </row>
    <row r="231" spans="1:16" x14ac:dyDescent="0.2">
      <c r="A231" s="128" t="s">
        <v>77</v>
      </c>
    </row>
    <row r="232" spans="1:16" s="161" customFormat="1" ht="20.399999999999999" x14ac:dyDescent="0.2">
      <c r="A232" s="209"/>
      <c r="B232" s="210" t="s">
        <v>78</v>
      </c>
      <c r="C232" s="210" t="str" cm="1">
        <f t="array" ref="C232:L232">'Load Forecast Summary'!B3:K3</f>
        <v xml:space="preserve">2016 Actual </v>
      </c>
      <c r="D232" s="210" t="str">
        <v xml:space="preserve">2017 Actual </v>
      </c>
      <c r="E232" s="210" t="str">
        <v xml:space="preserve">2018 Actual </v>
      </c>
      <c r="F232" s="210" t="str">
        <v xml:space="preserve">2019 Actual </v>
      </c>
      <c r="G232" s="210" t="str">
        <v xml:space="preserve">2020 Actual </v>
      </c>
      <c r="H232" s="210" t="str">
        <v xml:space="preserve">2021 Actual </v>
      </c>
      <c r="I232" s="210" t="str">
        <v xml:space="preserve">2022 Actual </v>
      </c>
      <c r="J232" s="210" t="str">
        <v>2023 Actual</v>
      </c>
      <c r="K232" s="210" t="str">
        <v>2024 Actual</v>
      </c>
      <c r="L232" s="210" t="str">
        <v>2025 Actual</v>
      </c>
      <c r="M232" s="210" t="s">
        <v>79</v>
      </c>
      <c r="N232" s="210" t="s">
        <v>80</v>
      </c>
      <c r="O232" s="210" t="s">
        <v>81</v>
      </c>
      <c r="P232" s="210" t="s">
        <v>82</v>
      </c>
    </row>
    <row r="233" spans="1:16" x14ac:dyDescent="0.2">
      <c r="A233" s="150" t="s">
        <v>83</v>
      </c>
      <c r="B233" s="132"/>
      <c r="C233" s="134" cm="1">
        <f t="array" ref="C233:L233">'Load Forecast Summary'!B4:K4</f>
        <v>259382036</v>
      </c>
      <c r="D233" s="134">
        <v>256769434.55879995</v>
      </c>
      <c r="E233" s="134">
        <v>278813235.74599999</v>
      </c>
      <c r="F233" s="134">
        <v>280581536.88999999</v>
      </c>
      <c r="G233" s="134">
        <v>291404251.64599001</v>
      </c>
      <c r="H233" s="134">
        <v>295240254.13</v>
      </c>
      <c r="I233" s="162">
        <v>299934504.296</v>
      </c>
      <c r="J233" s="134">
        <v>303103174.95799994</v>
      </c>
      <c r="K233" s="162">
        <v>324696009.72000003</v>
      </c>
      <c r="L233" s="134">
        <v>349049038.17999995</v>
      </c>
      <c r="M233" s="134"/>
      <c r="N233" s="134"/>
      <c r="O233" s="134"/>
      <c r="P233" s="134"/>
    </row>
    <row r="234" spans="1:16" x14ac:dyDescent="0.2">
      <c r="A234" s="150" t="s">
        <v>84</v>
      </c>
      <c r="B234" s="134">
        <v>320664140</v>
      </c>
      <c r="C234" s="134" cm="1">
        <f t="array" ref="C234:N234">'Load Forecast Summary'!B5:M5</f>
        <v>262328706.65662685</v>
      </c>
      <c r="D234" s="134">
        <v>256761569.05551386</v>
      </c>
      <c r="E234" s="134">
        <v>278488834.05253017</v>
      </c>
      <c r="F234" s="134">
        <v>281617875.12627798</v>
      </c>
      <c r="G234" s="134">
        <v>288446343.72079241</v>
      </c>
      <c r="H234" s="134">
        <v>290224914.6949873</v>
      </c>
      <c r="I234" s="162">
        <v>299300057.07384056</v>
      </c>
      <c r="J234" s="134">
        <v>307229578.2575382</v>
      </c>
      <c r="K234" s="162">
        <v>327259418.04849619</v>
      </c>
      <c r="L234" s="134">
        <v>347316179.43818456</v>
      </c>
      <c r="M234" s="134">
        <v>356159168.01785558</v>
      </c>
      <c r="N234" s="134">
        <v>368832355.95986581</v>
      </c>
      <c r="O234" s="134">
        <f>N234-B234</f>
        <v>48168215.959865808</v>
      </c>
      <c r="P234" s="211">
        <f>O234/B234</f>
        <v>0.15021391528178302</v>
      </c>
    </row>
    <row r="235" spans="1:16" x14ac:dyDescent="0.2">
      <c r="A235" s="150" t="s">
        <v>44</v>
      </c>
      <c r="B235" s="134"/>
      <c r="C235" s="143"/>
      <c r="D235" s="143"/>
      <c r="E235" s="143"/>
      <c r="F235" s="143"/>
      <c r="G235" s="143"/>
      <c r="H235" s="143"/>
      <c r="I235" s="163"/>
      <c r="J235" s="143"/>
      <c r="K235" s="163"/>
      <c r="L235" s="143"/>
      <c r="M235" s="134"/>
      <c r="N235" s="134"/>
      <c r="O235" s="134"/>
      <c r="P235" s="212"/>
    </row>
    <row r="236" spans="1:16" x14ac:dyDescent="0.2">
      <c r="A236" s="150"/>
      <c r="B236" s="134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213"/>
    </row>
    <row r="237" spans="1:16" x14ac:dyDescent="0.2">
      <c r="A237" s="150" t="s">
        <v>85</v>
      </c>
      <c r="B237" s="134">
        <f>B274</f>
        <v>302070456.01919532</v>
      </c>
      <c r="C237" s="134" cm="1">
        <f t="array" ref="C237:N237">'Load Forecast Summary'!B10:M10</f>
        <v>244038338.72</v>
      </c>
      <c r="D237" s="134">
        <v>243192565.15000001</v>
      </c>
      <c r="E237" s="134">
        <v>264471273.78</v>
      </c>
      <c r="F237" s="134">
        <v>271021306.09999996</v>
      </c>
      <c r="G237" s="134">
        <v>276838133.86999995</v>
      </c>
      <c r="H237" s="134">
        <v>279283302.84000003</v>
      </c>
      <c r="I237" s="162">
        <v>284467924.55449116</v>
      </c>
      <c r="J237" s="134">
        <v>286827135.92999995</v>
      </c>
      <c r="K237" s="162">
        <v>308438101.85000002</v>
      </c>
      <c r="L237" s="134">
        <v>332174437.55999994</v>
      </c>
      <c r="M237" s="134">
        <v>338149881.46542329</v>
      </c>
      <c r="N237" s="134">
        <v>350182246.16413277</v>
      </c>
      <c r="O237" s="134">
        <f>N237-B237</f>
        <v>48111790.144937456</v>
      </c>
      <c r="P237" s="211">
        <f>O237/B237</f>
        <v>0.15927340521470976</v>
      </c>
    </row>
    <row r="238" spans="1:16" x14ac:dyDescent="0.2">
      <c r="A238" s="150"/>
      <c r="B238" s="132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213"/>
    </row>
    <row r="239" spans="1:16" x14ac:dyDescent="0.2">
      <c r="A239" s="150" t="s">
        <v>86</v>
      </c>
      <c r="B239" s="132"/>
      <c r="C239" s="164"/>
      <c r="D239" s="164"/>
      <c r="E239" s="164"/>
      <c r="F239" s="164"/>
      <c r="G239" s="164"/>
      <c r="H239" s="164"/>
      <c r="I239" s="165"/>
      <c r="J239" s="164"/>
      <c r="K239" s="165"/>
      <c r="L239" s="164"/>
      <c r="M239" s="164"/>
      <c r="N239" s="164"/>
      <c r="O239" s="164"/>
      <c r="P239" s="212"/>
    </row>
    <row r="240" spans="1:16" x14ac:dyDescent="0.2">
      <c r="A240" s="150" t="s">
        <v>12</v>
      </c>
      <c r="B240" s="132"/>
      <c r="C240" s="150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213"/>
    </row>
    <row r="241" spans="1:16" x14ac:dyDescent="0.2">
      <c r="A241" s="150" t="s">
        <v>87</v>
      </c>
      <c r="B241" s="134">
        <v>20736</v>
      </c>
      <c r="C241" s="134" cm="1">
        <f t="array" ref="C241:N242">'Load Forecast Summary'!B14:M15</f>
        <v>15201.583333333334</v>
      </c>
      <c r="D241" s="134">
        <v>15631.666666666666</v>
      </c>
      <c r="E241" s="134">
        <v>16490.666666666668</v>
      </c>
      <c r="F241" s="134">
        <v>17294.333333333332</v>
      </c>
      <c r="G241" s="134">
        <v>17582.833333333332</v>
      </c>
      <c r="H241" s="134">
        <v>18253.333333333332</v>
      </c>
      <c r="I241" s="162">
        <v>18754.666666666668</v>
      </c>
      <c r="J241" s="134">
        <v>20106.333333333332</v>
      </c>
      <c r="K241" s="162">
        <v>21734.083333333332</v>
      </c>
      <c r="L241" s="134">
        <v>22632.5</v>
      </c>
      <c r="M241" s="134">
        <v>23655.786128724281</v>
      </c>
      <c r="N241" s="134">
        <v>24725.338224586067</v>
      </c>
      <c r="O241" s="134">
        <f>N241-B241</f>
        <v>3989.3382245860666</v>
      </c>
      <c r="P241" s="211">
        <f>O241/B241</f>
        <v>0.19238706715789289</v>
      </c>
    </row>
    <row r="242" spans="1:16" x14ac:dyDescent="0.2">
      <c r="A242" s="150" t="s">
        <v>88</v>
      </c>
      <c r="B242" s="134">
        <v>196515749.97726756</v>
      </c>
      <c r="C242" s="134">
        <v>150135916.50999999</v>
      </c>
      <c r="D242" s="134">
        <v>145250460.83000001</v>
      </c>
      <c r="E242" s="134">
        <v>160853753.41</v>
      </c>
      <c r="F242" s="134">
        <v>161284519.66999996</v>
      </c>
      <c r="G242" s="134">
        <v>174957599.51999998</v>
      </c>
      <c r="H242" s="134">
        <v>178499709.20000005</v>
      </c>
      <c r="I242" s="162">
        <v>181843662.79904294</v>
      </c>
      <c r="J242" s="134">
        <v>184116037.12</v>
      </c>
      <c r="K242" s="162">
        <v>198216443.85999998</v>
      </c>
      <c r="L242" s="134">
        <v>216260221.81999999</v>
      </c>
      <c r="M242" s="134">
        <v>221726183.0383642</v>
      </c>
      <c r="N242" s="134">
        <v>231433978.41278955</v>
      </c>
      <c r="O242" s="134">
        <f>N242-B242</f>
        <v>34918228.43552199</v>
      </c>
      <c r="P242" s="211">
        <f>O242/B242</f>
        <v>0.17768666602835265</v>
      </c>
    </row>
    <row r="243" spans="1:16" x14ac:dyDescent="0.2">
      <c r="A243" s="150"/>
      <c r="B243" s="134"/>
      <c r="C243" s="134"/>
      <c r="D243" s="134"/>
      <c r="E243" s="134"/>
      <c r="F243" s="134"/>
      <c r="G243" s="134"/>
      <c r="H243" s="134"/>
      <c r="I243" s="162"/>
      <c r="J243" s="134"/>
      <c r="K243" s="162"/>
      <c r="L243" s="134"/>
      <c r="M243" s="134"/>
      <c r="N243" s="134"/>
      <c r="O243" s="134"/>
      <c r="P243" s="212"/>
    </row>
    <row r="244" spans="1:16" x14ac:dyDescent="0.2">
      <c r="A244" s="150" t="s">
        <v>13</v>
      </c>
      <c r="B244" s="134"/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213"/>
    </row>
    <row r="245" spans="1:16" x14ac:dyDescent="0.2">
      <c r="A245" s="150" t="s">
        <v>87</v>
      </c>
      <c r="B245" s="134">
        <v>1314</v>
      </c>
      <c r="C245" s="134" cm="1">
        <f t="array" ref="C245:N246">'Load Forecast Summary'!B18:M19</f>
        <v>1016.25</v>
      </c>
      <c r="D245" s="134">
        <v>1030.3333333333333</v>
      </c>
      <c r="E245" s="134">
        <v>1082</v>
      </c>
      <c r="F245" s="134">
        <v>1121.0833333333333</v>
      </c>
      <c r="G245" s="134">
        <v>1153.9166666666667</v>
      </c>
      <c r="H245" s="134">
        <v>1191.25</v>
      </c>
      <c r="I245" s="162">
        <v>1246.1666666666667</v>
      </c>
      <c r="J245" s="134">
        <v>1271.5833333333333</v>
      </c>
      <c r="K245" s="162">
        <v>1289.6666666666667</v>
      </c>
      <c r="L245" s="134">
        <v>1300.1666666666667</v>
      </c>
      <c r="M245" s="134">
        <v>1336.2500863644038</v>
      </c>
      <c r="N245" s="134">
        <v>1373.3349262726908</v>
      </c>
      <c r="O245" s="134">
        <f>N245-B245</f>
        <v>59.334926272690836</v>
      </c>
      <c r="P245" s="211">
        <f>O245/B245</f>
        <v>4.5155956067496832E-2</v>
      </c>
    </row>
    <row r="246" spans="1:16" x14ac:dyDescent="0.2">
      <c r="A246" s="150" t="s">
        <v>88</v>
      </c>
      <c r="B246" s="134">
        <v>43471713.172288813</v>
      </c>
      <c r="C246" s="134">
        <v>33558136.5</v>
      </c>
      <c r="D246" s="134">
        <v>32775442.000000004</v>
      </c>
      <c r="E246" s="134">
        <v>36037382.24000001</v>
      </c>
      <c r="F246" s="134">
        <v>42480662.969999991</v>
      </c>
      <c r="G246" s="134">
        <v>39873537.010000005</v>
      </c>
      <c r="H246" s="134">
        <v>40487960.670000002</v>
      </c>
      <c r="I246" s="162">
        <v>43953859.175448269</v>
      </c>
      <c r="J246" s="134">
        <v>44829085.220000006</v>
      </c>
      <c r="K246" s="162">
        <v>51768404.240000002</v>
      </c>
      <c r="L246" s="134">
        <v>47670304.479999997</v>
      </c>
      <c r="M246" s="134">
        <v>48058711.774956226</v>
      </c>
      <c r="N246" s="134">
        <v>49324890.322704032</v>
      </c>
      <c r="O246" s="134">
        <f>N246-B246</f>
        <v>5853177.1504152194</v>
      </c>
      <c r="P246" s="211">
        <f>O246/B246</f>
        <v>0.13464335134936312</v>
      </c>
    </row>
    <row r="247" spans="1:16" x14ac:dyDescent="0.2">
      <c r="A247" s="150"/>
      <c r="B247" s="134"/>
      <c r="C247" s="150"/>
      <c r="D247" s="150"/>
      <c r="E247" s="150"/>
      <c r="F247" s="150"/>
      <c r="G247" s="150"/>
      <c r="H247" s="150"/>
      <c r="I247" s="150"/>
      <c r="J247" s="150"/>
      <c r="K247" s="150"/>
      <c r="L247" s="150"/>
      <c r="M247" s="150"/>
      <c r="N247" s="150"/>
      <c r="O247" s="150"/>
      <c r="P247" s="213"/>
    </row>
    <row r="248" spans="1:16" x14ac:dyDescent="0.2">
      <c r="A248" s="150" t="s">
        <v>14</v>
      </c>
      <c r="B248" s="134"/>
      <c r="C248" s="164"/>
      <c r="D248" s="164"/>
      <c r="E248" s="164"/>
      <c r="F248" s="164"/>
      <c r="G248" s="164"/>
      <c r="H248" s="164"/>
      <c r="I248" s="165"/>
      <c r="J248" s="164"/>
      <c r="K248" s="165"/>
      <c r="L248" s="164"/>
      <c r="M248" s="164"/>
      <c r="N248" s="164"/>
      <c r="O248" s="164"/>
      <c r="P248" s="212"/>
    </row>
    <row r="249" spans="1:16" x14ac:dyDescent="0.2">
      <c r="A249" s="150" t="s">
        <v>87</v>
      </c>
      <c r="B249" s="134">
        <v>87</v>
      </c>
      <c r="C249" s="134" cm="1">
        <f t="array" ref="C249:N251">'Load Forecast Summary'!B22:M24</f>
        <v>75.583333333333329</v>
      </c>
      <c r="D249" s="134">
        <v>86.666666666666671</v>
      </c>
      <c r="E249" s="134">
        <v>91</v>
      </c>
      <c r="F249" s="134">
        <v>85.083333333333329</v>
      </c>
      <c r="G249" s="134">
        <v>80.083333333333329</v>
      </c>
      <c r="H249" s="134">
        <v>77.75</v>
      </c>
      <c r="I249" s="162">
        <v>78.25</v>
      </c>
      <c r="J249" s="134">
        <v>84.25</v>
      </c>
      <c r="K249" s="162">
        <v>83.416666666666671</v>
      </c>
      <c r="L249" s="134">
        <v>87.416666666666671</v>
      </c>
      <c r="M249" s="134">
        <v>88.84089624731395</v>
      </c>
      <c r="N249" s="134">
        <v>90.28832998313824</v>
      </c>
      <c r="O249" s="134">
        <f>N249-B249</f>
        <v>3.2883299831382402</v>
      </c>
      <c r="P249" s="211">
        <f>O249/B249</f>
        <v>3.7796896357910809E-2</v>
      </c>
    </row>
    <row r="250" spans="1:16" x14ac:dyDescent="0.2">
      <c r="A250" s="150" t="s">
        <v>88</v>
      </c>
      <c r="B250" s="134">
        <v>59688867.208894171</v>
      </c>
      <c r="C250" s="134">
        <v>58286974.199999996</v>
      </c>
      <c r="D250" s="134">
        <v>63107664.68999999</v>
      </c>
      <c r="E250" s="134">
        <v>65404828.979999997</v>
      </c>
      <c r="F250" s="134">
        <v>65090124.510000005</v>
      </c>
      <c r="G250" s="134">
        <v>59834546.959999993</v>
      </c>
      <c r="H250" s="134">
        <v>58095870.570000008</v>
      </c>
      <c r="I250" s="162">
        <v>56383556.809999987</v>
      </c>
      <c r="J250" s="134">
        <v>55566830.360000007</v>
      </c>
      <c r="K250" s="162">
        <v>56073428.660000011</v>
      </c>
      <c r="L250" s="134">
        <v>65757608.600000009</v>
      </c>
      <c r="M250" s="134">
        <v>65824562.961728267</v>
      </c>
      <c r="N250" s="134">
        <v>66825174.748645805</v>
      </c>
      <c r="O250" s="134">
        <f>N250-B250</f>
        <v>7136307.539751634</v>
      </c>
      <c r="P250" s="211">
        <f>O250/B250</f>
        <v>0.11955843482129715</v>
      </c>
    </row>
    <row r="251" spans="1:16" x14ac:dyDescent="0.2">
      <c r="A251" s="150" t="s">
        <v>89</v>
      </c>
      <c r="B251" s="134">
        <v>156831.78746154223</v>
      </c>
      <c r="C251" s="134">
        <v>151192.26000000004</v>
      </c>
      <c r="D251" s="134">
        <v>163230.39999999999</v>
      </c>
      <c r="E251" s="134">
        <v>168618.77999999997</v>
      </c>
      <c r="F251" s="134">
        <v>164137.22</v>
      </c>
      <c r="G251" s="134">
        <v>153608.63</v>
      </c>
      <c r="H251" s="134">
        <v>157905.39000000001</v>
      </c>
      <c r="I251" s="162">
        <v>157377.50999999998</v>
      </c>
      <c r="J251" s="134">
        <v>162697.74</v>
      </c>
      <c r="K251" s="162">
        <v>160506.93000000005</v>
      </c>
      <c r="L251" s="134">
        <v>176584.31999999998</v>
      </c>
      <c r="M251" s="134">
        <v>176623.48729087558</v>
      </c>
      <c r="N251" s="134">
        <v>179308.37474440088</v>
      </c>
      <c r="O251" s="134">
        <f>N251-B251</f>
        <v>22476.587282858643</v>
      </c>
      <c r="P251" s="211">
        <f>O251/B251</f>
        <v>0.14331652815198753</v>
      </c>
    </row>
    <row r="252" spans="1:16" x14ac:dyDescent="0.2">
      <c r="A252" s="150"/>
      <c r="B252" s="134"/>
      <c r="C252" s="150"/>
      <c r="D252" s="150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213"/>
    </row>
    <row r="253" spans="1:16" x14ac:dyDescent="0.2">
      <c r="A253" s="150" t="s">
        <v>70</v>
      </c>
      <c r="B253" s="134"/>
      <c r="C253" s="164"/>
      <c r="D253" s="164"/>
      <c r="E253" s="164"/>
      <c r="F253" s="164"/>
      <c r="G253" s="164"/>
      <c r="H253" s="164"/>
      <c r="I253" s="165"/>
      <c r="J253" s="164"/>
      <c r="K253" s="165"/>
      <c r="L253" s="164"/>
      <c r="M253" s="164"/>
      <c r="N253" s="164"/>
      <c r="O253" s="164"/>
      <c r="P253" s="212"/>
    </row>
    <row r="254" spans="1:16" x14ac:dyDescent="0.2">
      <c r="A254" s="150" t="s">
        <v>87</v>
      </c>
      <c r="B254" s="134">
        <v>1</v>
      </c>
      <c r="C254" s="134" cm="1">
        <f t="array" ref="C254:N256">'Load Forecast Summary'!B41:M43</f>
        <v>1</v>
      </c>
      <c r="D254" s="134">
        <v>1</v>
      </c>
      <c r="E254" s="134">
        <v>1</v>
      </c>
      <c r="F254" s="134">
        <v>1</v>
      </c>
      <c r="G254" s="134">
        <v>1</v>
      </c>
      <c r="H254" s="134">
        <v>1</v>
      </c>
      <c r="I254" s="162">
        <v>1</v>
      </c>
      <c r="J254" s="134">
        <v>1</v>
      </c>
      <c r="K254" s="162">
        <v>1</v>
      </c>
      <c r="L254" s="134">
        <v>1</v>
      </c>
      <c r="M254" s="134">
        <v>1</v>
      </c>
      <c r="N254" s="134">
        <v>1</v>
      </c>
      <c r="O254" s="134">
        <f>N254-B254</f>
        <v>0</v>
      </c>
      <c r="P254" s="211">
        <f>O254/B254</f>
        <v>0</v>
      </c>
    </row>
    <row r="255" spans="1:16" x14ac:dyDescent="0.2">
      <c r="A255" s="150" t="s">
        <v>88</v>
      </c>
      <c r="B255" s="134">
        <v>935588.9</v>
      </c>
      <c r="C255" s="134">
        <v>948375.6</v>
      </c>
      <c r="D255" s="134">
        <v>920352.3</v>
      </c>
      <c r="E255" s="134">
        <v>971889.89999999991</v>
      </c>
      <c r="F255" s="134">
        <v>922954.19999999984</v>
      </c>
      <c r="G255" s="134">
        <v>945311.40000000014</v>
      </c>
      <c r="H255" s="134">
        <v>910170.9</v>
      </c>
      <c r="I255" s="162">
        <v>935588.9</v>
      </c>
      <c r="J255" s="134">
        <v>902443.2</v>
      </c>
      <c r="K255" s="162">
        <v>949807.8</v>
      </c>
      <c r="L255" s="134">
        <v>976590.05000000016</v>
      </c>
      <c r="M255" s="134">
        <v>976590.05000000016</v>
      </c>
      <c r="N255" s="134">
        <v>976590.05000000016</v>
      </c>
      <c r="O255" s="134">
        <f>N255-B255</f>
        <v>41001.15000000014</v>
      </c>
      <c r="P255" s="211">
        <f>O255/B255</f>
        <v>4.3823895302734076E-2</v>
      </c>
    </row>
    <row r="256" spans="1:16" x14ac:dyDescent="0.2">
      <c r="A256" s="150" t="s">
        <v>89</v>
      </c>
      <c r="B256" s="134">
        <v>2361.3585976193021</v>
      </c>
      <c r="C256" s="134">
        <v>2398.2000000000003</v>
      </c>
      <c r="D256" s="134">
        <v>2283.6</v>
      </c>
      <c r="E256" s="134">
        <v>2504.1</v>
      </c>
      <c r="F256" s="134">
        <v>2185.1999999999998</v>
      </c>
      <c r="G256" s="134">
        <v>2361.6000000000004</v>
      </c>
      <c r="H256" s="134">
        <v>2359.1999999999998</v>
      </c>
      <c r="I256" s="162">
        <v>2460</v>
      </c>
      <c r="J256" s="134">
        <v>2368.6285714285714</v>
      </c>
      <c r="K256" s="162">
        <v>2963.5714285714284</v>
      </c>
      <c r="L256" s="134">
        <v>2882.5077963847998</v>
      </c>
      <c r="M256" s="134">
        <v>2575.2879008647628</v>
      </c>
      <c r="N256" s="134">
        <v>2575.2879008647628</v>
      </c>
      <c r="O256" s="134">
        <f>N256-B256</f>
        <v>213.92930324546069</v>
      </c>
      <c r="P256" s="211">
        <f>O256/B256</f>
        <v>9.0595855903098349E-2</v>
      </c>
    </row>
    <row r="257" spans="1:16" x14ac:dyDescent="0.2">
      <c r="A257" s="150"/>
      <c r="B257" s="134"/>
      <c r="C257" s="150"/>
      <c r="D257" s="150"/>
      <c r="E257" s="150"/>
      <c r="F257" s="150"/>
      <c r="G257" s="150"/>
      <c r="H257" s="150"/>
      <c r="I257" s="150"/>
      <c r="J257" s="150"/>
      <c r="K257" s="150"/>
      <c r="L257" s="150"/>
      <c r="M257" s="150"/>
      <c r="N257" s="150"/>
      <c r="O257" s="150"/>
      <c r="P257" s="213"/>
    </row>
    <row r="258" spans="1:16" x14ac:dyDescent="0.2">
      <c r="A258" s="150" t="s">
        <v>90</v>
      </c>
      <c r="B258" s="134"/>
      <c r="D258" s="164"/>
      <c r="E258" s="164"/>
      <c r="F258" s="164"/>
      <c r="G258" s="164"/>
      <c r="H258" s="164"/>
      <c r="I258" s="165"/>
      <c r="J258" s="164"/>
      <c r="K258" s="165"/>
      <c r="L258" s="164"/>
      <c r="M258" s="164"/>
      <c r="N258" s="164"/>
      <c r="O258" s="164"/>
      <c r="P258" s="212"/>
    </row>
    <row r="259" spans="1:16" x14ac:dyDescent="0.2">
      <c r="A259" s="150" t="s">
        <v>91</v>
      </c>
      <c r="B259" s="134">
        <v>75</v>
      </c>
      <c r="C259" s="164" cm="1">
        <f t="array" ref="C259:N260">'Load Forecast Summary'!B27:M28</f>
        <v>75.333333333333329</v>
      </c>
      <c r="D259" s="134">
        <v>73.5</v>
      </c>
      <c r="E259" s="134">
        <v>74</v>
      </c>
      <c r="F259" s="134">
        <v>74.5</v>
      </c>
      <c r="G259" s="134">
        <v>73.166666666666671</v>
      </c>
      <c r="H259" s="134">
        <v>71</v>
      </c>
      <c r="I259" s="162">
        <v>71.833333333333329</v>
      </c>
      <c r="J259" s="134">
        <v>74.833333333333329</v>
      </c>
      <c r="K259" s="162">
        <v>70.166666666666671</v>
      </c>
      <c r="L259" s="134">
        <v>69</v>
      </c>
      <c r="M259" s="134">
        <v>68.330016370611446</v>
      </c>
      <c r="N259" s="134">
        <v>67.666538220406196</v>
      </c>
      <c r="O259" s="134">
        <f>N259-B259</f>
        <v>-7.3334617795938044</v>
      </c>
      <c r="P259" s="211">
        <f>O259/B259</f>
        <v>-9.7779490394584057E-2</v>
      </c>
    </row>
    <row r="260" spans="1:16" x14ac:dyDescent="0.2">
      <c r="A260" s="150" t="s">
        <v>88</v>
      </c>
      <c r="B260" s="134">
        <v>466609.34307314234</v>
      </c>
      <c r="C260" s="134">
        <v>461652</v>
      </c>
      <c r="D260" s="134">
        <v>460196</v>
      </c>
      <c r="E260" s="134">
        <v>482913.99999999994</v>
      </c>
      <c r="F260" s="134">
        <v>485587.00000000012</v>
      </c>
      <c r="G260" s="134">
        <v>439968</v>
      </c>
      <c r="H260" s="134">
        <v>439248</v>
      </c>
      <c r="I260" s="162">
        <v>447888</v>
      </c>
      <c r="J260" s="134">
        <v>447887.99999999988</v>
      </c>
      <c r="K260" s="162">
        <v>402486.00000000006</v>
      </c>
      <c r="L260" s="134">
        <v>425256</v>
      </c>
      <c r="M260" s="134">
        <v>421126.80350290932</v>
      </c>
      <c r="N260" s="134">
        <v>417037.70112256607</v>
      </c>
      <c r="O260" s="134">
        <f>N260-B260</f>
        <v>-49571.641950576275</v>
      </c>
      <c r="P260" s="211">
        <f>O260/B260</f>
        <v>-0.10623799691641789</v>
      </c>
    </row>
    <row r="261" spans="1:16" x14ac:dyDescent="0.2">
      <c r="A261" s="150"/>
      <c r="B261" s="134"/>
      <c r="C261" s="150"/>
      <c r="D261" s="150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213"/>
    </row>
    <row r="262" spans="1:16" x14ac:dyDescent="0.2">
      <c r="A262" s="150" t="s">
        <v>17</v>
      </c>
      <c r="B262" s="134"/>
      <c r="C262" s="164"/>
      <c r="D262" s="164"/>
      <c r="E262" s="164"/>
      <c r="F262" s="164"/>
      <c r="G262" s="164"/>
      <c r="H262" s="164"/>
      <c r="I262" s="165"/>
      <c r="J262" s="164"/>
      <c r="K262" s="165"/>
      <c r="L262" s="164"/>
      <c r="M262" s="164"/>
      <c r="N262" s="164"/>
      <c r="O262" s="164"/>
      <c r="P262" s="212"/>
    </row>
    <row r="263" spans="1:16" x14ac:dyDescent="0.2">
      <c r="A263" s="150" t="s">
        <v>91</v>
      </c>
      <c r="B263" s="134">
        <v>149</v>
      </c>
      <c r="C263" s="134" cm="1">
        <f t="array" ref="C263:N265">'Load Forecast Summary'!B31:M33</f>
        <v>166.08333333333334</v>
      </c>
      <c r="D263" s="134">
        <v>161.83333333333334</v>
      </c>
      <c r="E263" s="134">
        <v>161.5</v>
      </c>
      <c r="F263" s="134">
        <v>159.91666666666666</v>
      </c>
      <c r="G263" s="134">
        <v>155.08333333333334</v>
      </c>
      <c r="H263" s="134">
        <v>152.75</v>
      </c>
      <c r="I263" s="162">
        <v>150.66666666666666</v>
      </c>
      <c r="J263" s="134">
        <v>151</v>
      </c>
      <c r="K263" s="162">
        <v>148.58333333333334</v>
      </c>
      <c r="L263" s="134">
        <v>144.66666666666666</v>
      </c>
      <c r="M263" s="134">
        <v>142.46445522039346</v>
      </c>
      <c r="N263" s="134">
        <v>140.29576728970159</v>
      </c>
      <c r="O263" s="134">
        <f>N263-B263</f>
        <v>-8.7042327102984132</v>
      </c>
      <c r="P263" s="211">
        <f>O263/B263</f>
        <v>-5.8417669196633645E-2</v>
      </c>
    </row>
    <row r="264" spans="1:16" x14ac:dyDescent="0.2">
      <c r="A264" s="150" t="s">
        <v>88</v>
      </c>
      <c r="B264" s="134">
        <v>96591.330334792976</v>
      </c>
      <c r="C264" s="134">
        <v>103242.3</v>
      </c>
      <c r="D264" s="134">
        <v>103849.14000000003</v>
      </c>
      <c r="E264" s="134">
        <v>105459.54</v>
      </c>
      <c r="F264" s="134">
        <v>103804.5</v>
      </c>
      <c r="G264" s="134">
        <v>100969.37999999999</v>
      </c>
      <c r="H264" s="134">
        <v>99205.680000000008</v>
      </c>
      <c r="I264" s="162">
        <v>97587.239999999947</v>
      </c>
      <c r="J264" s="134">
        <v>97106.340000000011</v>
      </c>
      <c r="K264" s="162">
        <v>87522.479999999981</v>
      </c>
      <c r="L264" s="134">
        <v>93986.4</v>
      </c>
      <c r="M264" s="134">
        <v>92555.677010087471</v>
      </c>
      <c r="N264" s="134">
        <v>91146.733429471031</v>
      </c>
      <c r="O264" s="134">
        <f>N264-B264</f>
        <v>-5444.5969053219451</v>
      </c>
      <c r="P264" s="211">
        <f>O264/B264</f>
        <v>-5.636734566601944E-2</v>
      </c>
    </row>
    <row r="265" spans="1:16" x14ac:dyDescent="0.2">
      <c r="A265" s="150" t="s">
        <v>89</v>
      </c>
      <c r="B265" s="134">
        <v>267.22612586800165</v>
      </c>
      <c r="C265" s="134">
        <v>294.95850000000002</v>
      </c>
      <c r="D265" s="134">
        <v>294.95850000000002</v>
      </c>
      <c r="E265" s="134">
        <v>294.95850000000002</v>
      </c>
      <c r="F265" s="134">
        <v>294.95850000000002</v>
      </c>
      <c r="G265" s="134">
        <v>294.95850000000002</v>
      </c>
      <c r="H265" s="134">
        <v>294.95850000000002</v>
      </c>
      <c r="I265" s="162">
        <v>294.95850000000002</v>
      </c>
      <c r="J265" s="134">
        <v>294.95850000000002</v>
      </c>
      <c r="K265" s="162">
        <v>294.95850000000002</v>
      </c>
      <c r="L265" s="134">
        <v>294.95850000000002</v>
      </c>
      <c r="M265" s="134">
        <v>295</v>
      </c>
      <c r="N265" s="134">
        <v>295</v>
      </c>
      <c r="O265" s="134">
        <f>N265-B265</f>
        <v>27.773874131998355</v>
      </c>
      <c r="P265" s="211">
        <f>O265/B265</f>
        <v>0.10393397741999773</v>
      </c>
    </row>
    <row r="266" spans="1:16" x14ac:dyDescent="0.2">
      <c r="A266" s="150"/>
      <c r="B266" s="134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213"/>
    </row>
    <row r="267" spans="1:16" x14ac:dyDescent="0.2">
      <c r="A267" s="150" t="s">
        <v>71</v>
      </c>
      <c r="B267" s="134"/>
      <c r="C267" s="164"/>
      <c r="D267" s="164"/>
      <c r="E267" s="164"/>
      <c r="F267" s="164"/>
      <c r="G267" s="164"/>
      <c r="H267" s="164"/>
      <c r="I267" s="165"/>
      <c r="J267" s="164"/>
      <c r="K267" s="165"/>
      <c r="L267" s="164"/>
      <c r="M267" s="164"/>
      <c r="N267" s="164"/>
      <c r="O267" s="164"/>
      <c r="P267" s="212"/>
    </row>
    <row r="268" spans="1:16" x14ac:dyDescent="0.2">
      <c r="A268" s="150" t="s">
        <v>91</v>
      </c>
      <c r="B268" s="134">
        <v>4460</v>
      </c>
      <c r="C268" s="134" cm="1">
        <f t="array" ref="C268:N270">'Load Forecast Summary'!B36:M38</f>
        <v>2863.1666666666665</v>
      </c>
      <c r="D268" s="134">
        <v>2973.25</v>
      </c>
      <c r="E268" s="134">
        <v>3097.25</v>
      </c>
      <c r="F268" s="134">
        <v>3306.75</v>
      </c>
      <c r="G268" s="134">
        <v>3414.4166666666665</v>
      </c>
      <c r="H268" s="134">
        <v>3596.5833333333335</v>
      </c>
      <c r="I268" s="162">
        <v>4014</v>
      </c>
      <c r="J268" s="134">
        <v>4299.25</v>
      </c>
      <c r="K268" s="162">
        <v>4588.5</v>
      </c>
      <c r="L268" s="134">
        <v>4847.75</v>
      </c>
      <c r="M268" s="134">
        <v>5139.8519953660216</v>
      </c>
      <c r="N268" s="134">
        <v>5449.5546458187964</v>
      </c>
      <c r="O268" s="134">
        <f>N268-B268</f>
        <v>989.55464581879642</v>
      </c>
      <c r="P268" s="211">
        <f>O268/B268</f>
        <v>0.22187323897282432</v>
      </c>
    </row>
    <row r="269" spans="1:16" x14ac:dyDescent="0.2">
      <c r="A269" s="150" t="s">
        <v>88</v>
      </c>
      <c r="B269" s="134">
        <v>895336.08733680099</v>
      </c>
      <c r="C269" s="134">
        <v>544041.61</v>
      </c>
      <c r="D269" s="134">
        <v>574600.18999999983</v>
      </c>
      <c r="E269" s="134">
        <v>615045.71</v>
      </c>
      <c r="F269" s="134">
        <v>653653.25</v>
      </c>
      <c r="G269" s="134">
        <v>686201.6</v>
      </c>
      <c r="H269" s="134">
        <v>751137.82</v>
      </c>
      <c r="I269" s="162">
        <v>805781.62999999977</v>
      </c>
      <c r="J269" s="134">
        <v>867745.69</v>
      </c>
      <c r="K269" s="162">
        <v>940008.81</v>
      </c>
      <c r="L269" s="134">
        <v>990470.21</v>
      </c>
      <c r="M269" s="134">
        <v>1050151.1598616063</v>
      </c>
      <c r="N269" s="134">
        <v>1113428.1954413117</v>
      </c>
      <c r="O269" s="134">
        <f>N269-B269</f>
        <v>218092.1081045107</v>
      </c>
      <c r="P269" s="211">
        <f>O269/B269</f>
        <v>0.2435868621728752</v>
      </c>
    </row>
    <row r="270" spans="1:16" x14ac:dyDescent="0.2">
      <c r="A270" s="150" t="s">
        <v>89</v>
      </c>
      <c r="B270" s="134">
        <v>2673.8182477554205</v>
      </c>
      <c r="C270" s="134">
        <v>1645.03</v>
      </c>
      <c r="D270" s="134">
        <v>1754.9899999999998</v>
      </c>
      <c r="E270" s="134">
        <v>1867.2599999999998</v>
      </c>
      <c r="F270" s="134">
        <v>1982.6500000000005</v>
      </c>
      <c r="G270" s="134">
        <v>2074.3199999999997</v>
      </c>
      <c r="H270" s="134">
        <v>2279.9099999999989</v>
      </c>
      <c r="I270" s="162">
        <v>2453.62</v>
      </c>
      <c r="J270" s="134">
        <v>2648.2990796943936</v>
      </c>
      <c r="K270" s="162">
        <v>2849.68</v>
      </c>
      <c r="L270" s="134">
        <v>3010.8458515018006</v>
      </c>
      <c r="M270" s="134">
        <v>3189.6913149462416</v>
      </c>
      <c r="N270" s="134">
        <v>3381.88670408501</v>
      </c>
      <c r="O270" s="134">
        <f>N270-B270</f>
        <v>708.06845632958948</v>
      </c>
      <c r="P270" s="211">
        <f>O270/B270</f>
        <v>0.26481547761295626</v>
      </c>
    </row>
    <row r="271" spans="1:16" x14ac:dyDescent="0.2">
      <c r="A271" s="150"/>
      <c r="B271" s="132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213"/>
    </row>
    <row r="272" spans="1:16" x14ac:dyDescent="0.2">
      <c r="A272" s="150" t="s">
        <v>74</v>
      </c>
      <c r="B272" s="132"/>
      <c r="C272" s="164"/>
      <c r="D272" s="164"/>
      <c r="E272" s="164"/>
      <c r="F272" s="164"/>
      <c r="G272" s="164"/>
      <c r="H272" s="164"/>
      <c r="I272" s="165"/>
      <c r="J272" s="164"/>
      <c r="K272" s="165"/>
      <c r="L272" s="164"/>
      <c r="M272" s="164"/>
      <c r="N272" s="164"/>
      <c r="O272" s="164"/>
      <c r="P272" s="212"/>
    </row>
    <row r="273" spans="1:16" x14ac:dyDescent="0.2">
      <c r="A273" s="150" t="s">
        <v>92</v>
      </c>
      <c r="B273" s="147">
        <f>B268+B263+B259+B254+B249+B245+B241</f>
        <v>26822</v>
      </c>
      <c r="C273" s="147">
        <f>C268+C263+C259+C254+C249+C245+C241</f>
        <v>19399</v>
      </c>
      <c r="D273" s="147">
        <f>D268+D263+D259+D254+D249+D245+D241</f>
        <v>19958.25</v>
      </c>
      <c r="E273" s="147">
        <f t="shared" ref="E273:N273" si="42">E268+E263+E259+E254+E249+E245+E241</f>
        <v>20997.416666666668</v>
      </c>
      <c r="F273" s="147">
        <f t="shared" si="42"/>
        <v>22042.666666666664</v>
      </c>
      <c r="G273" s="147">
        <f t="shared" si="42"/>
        <v>22460.5</v>
      </c>
      <c r="H273" s="147">
        <f t="shared" si="42"/>
        <v>23343.666666666664</v>
      </c>
      <c r="I273" s="147">
        <f t="shared" si="42"/>
        <v>24316.583333333336</v>
      </c>
      <c r="J273" s="147">
        <f t="shared" si="42"/>
        <v>25988.25</v>
      </c>
      <c r="K273" s="147">
        <f t="shared" si="42"/>
        <v>27915.416666666664</v>
      </c>
      <c r="L273" s="147">
        <f t="shared" si="42"/>
        <v>29082.5</v>
      </c>
      <c r="M273" s="147">
        <f t="shared" si="42"/>
        <v>30432.523578293025</v>
      </c>
      <c r="N273" s="147">
        <f t="shared" si="42"/>
        <v>31847.478432170799</v>
      </c>
      <c r="O273" s="147">
        <f>O268+O263+O259+O254+O249+O245+O241</f>
        <v>5025.4784321708003</v>
      </c>
      <c r="P273" s="211">
        <f>O273/B273</f>
        <v>0.18736404564054882</v>
      </c>
    </row>
    <row r="274" spans="1:16" x14ac:dyDescent="0.2">
      <c r="A274" s="150" t="s">
        <v>88</v>
      </c>
      <c r="B274" s="147">
        <f>B269+B264+B260+B255+B250+B246+B242</f>
        <v>302070456.01919532</v>
      </c>
      <c r="C274" s="147">
        <f>C269+C264+C260+C255+C250+C246+C242</f>
        <v>244038338.71999997</v>
      </c>
      <c r="D274" s="147">
        <f t="shared" ref="D274:N274" si="43">D269+D264+D260+D255+D250+D246+D242</f>
        <v>243192565.15000001</v>
      </c>
      <c r="E274" s="147">
        <f t="shared" si="43"/>
        <v>264471273.78</v>
      </c>
      <c r="F274" s="147">
        <f t="shared" si="43"/>
        <v>271021306.09999996</v>
      </c>
      <c r="G274" s="147">
        <f t="shared" si="43"/>
        <v>276838133.87</v>
      </c>
      <c r="H274" s="147">
        <f t="shared" si="43"/>
        <v>279283302.84000003</v>
      </c>
      <c r="I274" s="147">
        <f t="shared" si="43"/>
        <v>284467924.55449116</v>
      </c>
      <c r="J274" s="147">
        <f t="shared" si="43"/>
        <v>286827135.93000001</v>
      </c>
      <c r="K274" s="147">
        <f t="shared" si="43"/>
        <v>308438101.85000002</v>
      </c>
      <c r="L274" s="147">
        <f t="shared" si="43"/>
        <v>332174437.56</v>
      </c>
      <c r="M274" s="147">
        <f t="shared" si="43"/>
        <v>338149881.46542329</v>
      </c>
      <c r="N274" s="147">
        <f t="shared" si="43"/>
        <v>350182246.16413271</v>
      </c>
      <c r="O274" s="147">
        <f>O269+O264+O260+O255+O250+O246+O242</f>
        <v>48111790.144937456</v>
      </c>
      <c r="P274" s="211">
        <f>O274/B274</f>
        <v>0.15927340521470976</v>
      </c>
    </row>
    <row r="275" spans="1:16" x14ac:dyDescent="0.2">
      <c r="A275" s="150" t="s">
        <v>93</v>
      </c>
      <c r="B275" s="147">
        <f>B270+B265+B256+B251</f>
        <v>162134.19043278496</v>
      </c>
      <c r="C275" s="147">
        <f>C270+C265+C256+C251</f>
        <v>155530.44850000003</v>
      </c>
      <c r="D275" s="147">
        <f>D270+D265+D256+D251</f>
        <v>167563.9485</v>
      </c>
      <c r="E275" s="147">
        <f t="shared" ref="E275:N275" si="44">E270+E265+E256+E251</f>
        <v>173285.09849999996</v>
      </c>
      <c r="F275" s="147">
        <f t="shared" si="44"/>
        <v>168600.02850000001</v>
      </c>
      <c r="G275" s="147">
        <f t="shared" si="44"/>
        <v>158339.5085</v>
      </c>
      <c r="H275" s="147">
        <f t="shared" si="44"/>
        <v>162839.45850000001</v>
      </c>
      <c r="I275" s="147">
        <f t="shared" si="44"/>
        <v>162586.08849999998</v>
      </c>
      <c r="J275" s="147">
        <f t="shared" si="44"/>
        <v>168009.62615112297</v>
      </c>
      <c r="K275" s="147">
        <f t="shared" si="44"/>
        <v>166615.13992857147</v>
      </c>
      <c r="L275" s="147">
        <f t="shared" si="44"/>
        <v>182772.63214788659</v>
      </c>
      <c r="M275" s="147">
        <f t="shared" si="44"/>
        <v>182683.46650668659</v>
      </c>
      <c r="N275" s="147">
        <f t="shared" si="44"/>
        <v>185560.54934935065</v>
      </c>
      <c r="O275" s="147">
        <f t="shared" ref="O275" si="45">O270+O265+O256+O251</f>
        <v>23426.358916565692</v>
      </c>
      <c r="P275" s="211">
        <f>O275/B275</f>
        <v>0.14448746963261536</v>
      </c>
    </row>
    <row r="278" spans="1:16" x14ac:dyDescent="0.2">
      <c r="A278" s="150" t="s">
        <v>94</v>
      </c>
      <c r="B278" s="132"/>
      <c r="C278" s="132"/>
    </row>
    <row r="279" spans="1:16" ht="21" customHeight="1" x14ac:dyDescent="0.2">
      <c r="A279" s="152" t="s">
        <v>1</v>
      </c>
      <c r="B279" s="130" t="s">
        <v>95</v>
      </c>
      <c r="C279" s="130" t="s">
        <v>96</v>
      </c>
    </row>
    <row r="280" spans="1:16" x14ac:dyDescent="0.2">
      <c r="A280" s="132">
        <v>2023</v>
      </c>
      <c r="B280" s="132"/>
      <c r="C280" s="132"/>
    </row>
    <row r="281" spans="1:16" x14ac:dyDescent="0.2">
      <c r="A281" s="132">
        <v>2024</v>
      </c>
      <c r="B281" s="132"/>
      <c r="C281" s="132"/>
    </row>
    <row r="282" spans="1:16" x14ac:dyDescent="0.2">
      <c r="A282" s="132">
        <v>2025</v>
      </c>
      <c r="B282" s="132"/>
      <c r="C282" s="132"/>
    </row>
    <row r="283" spans="1:16" x14ac:dyDescent="0.2">
      <c r="A283" s="132" t="s">
        <v>72</v>
      </c>
      <c r="B283" s="132"/>
      <c r="C283" s="132"/>
    </row>
    <row r="285" spans="1:16" x14ac:dyDescent="0.2">
      <c r="A285" s="128" t="s">
        <v>97</v>
      </c>
    </row>
    <row r="286" spans="1:16" x14ac:dyDescent="0.2">
      <c r="A286" s="152"/>
      <c r="B286" s="152"/>
      <c r="C286" s="231" t="s">
        <v>98</v>
      </c>
      <c r="D286" s="231"/>
      <c r="E286" s="231"/>
    </row>
    <row r="287" spans="1:16" x14ac:dyDescent="0.2">
      <c r="A287" s="152" t="s">
        <v>99</v>
      </c>
      <c r="B287" s="152" t="s">
        <v>100</v>
      </c>
      <c r="C287" s="152" t="s">
        <v>101</v>
      </c>
      <c r="D287" s="152" t="s">
        <v>102</v>
      </c>
      <c r="E287" s="152" t="s">
        <v>103</v>
      </c>
    </row>
    <row r="288" spans="1:16" x14ac:dyDescent="0.2">
      <c r="A288" s="132">
        <v>1</v>
      </c>
      <c r="B288" s="132" t="s">
        <v>12</v>
      </c>
      <c r="C288" s="134">
        <f>B241</f>
        <v>20736</v>
      </c>
      <c r="D288" s="134">
        <f>B242</f>
        <v>196515749.97726756</v>
      </c>
      <c r="E288" s="134"/>
    </row>
    <row r="289" spans="1:26" x14ac:dyDescent="0.2">
      <c r="A289" s="132">
        <v>2</v>
      </c>
      <c r="B289" s="132" t="s">
        <v>13</v>
      </c>
      <c r="C289" s="134">
        <f>B245</f>
        <v>1314</v>
      </c>
      <c r="D289" s="134">
        <f>B246</f>
        <v>43471713.172288813</v>
      </c>
      <c r="E289" s="134"/>
    </row>
    <row r="290" spans="1:26" x14ac:dyDescent="0.2">
      <c r="A290" s="132">
        <v>3</v>
      </c>
      <c r="B290" s="132" t="s">
        <v>14</v>
      </c>
      <c r="C290" s="134">
        <f>B249</f>
        <v>87</v>
      </c>
      <c r="D290" s="134">
        <f>B250</f>
        <v>59688867.208894171</v>
      </c>
      <c r="E290" s="134">
        <f>B251</f>
        <v>156831.78746154223</v>
      </c>
    </row>
    <row r="291" spans="1:26" x14ac:dyDescent="0.2">
      <c r="A291" s="132">
        <v>4</v>
      </c>
      <c r="B291" s="132" t="s">
        <v>15</v>
      </c>
      <c r="C291" s="134">
        <f>B254</f>
        <v>1</v>
      </c>
      <c r="D291" s="134">
        <f>B255</f>
        <v>935588.9</v>
      </c>
      <c r="E291" s="134">
        <f>B256</f>
        <v>2361.3585976193021</v>
      </c>
    </row>
    <row r="292" spans="1:26" x14ac:dyDescent="0.2">
      <c r="A292" s="132">
        <v>5</v>
      </c>
      <c r="B292" s="132" t="s">
        <v>16</v>
      </c>
      <c r="C292" s="134">
        <f>B259</f>
        <v>75</v>
      </c>
      <c r="D292" s="134">
        <f>B260</f>
        <v>466609.34307314234</v>
      </c>
      <c r="E292" s="134"/>
    </row>
    <row r="293" spans="1:26" x14ac:dyDescent="0.2">
      <c r="A293" s="132">
        <v>6</v>
      </c>
      <c r="B293" s="132" t="s">
        <v>17</v>
      </c>
      <c r="C293" s="134">
        <f>B263</f>
        <v>149</v>
      </c>
      <c r="D293" s="134">
        <f>B264</f>
        <v>96591.330334792976</v>
      </c>
      <c r="E293" s="134">
        <f>B265</f>
        <v>267.22612586800165</v>
      </c>
    </row>
    <row r="294" spans="1:26" x14ac:dyDescent="0.2">
      <c r="A294" s="132">
        <v>7</v>
      </c>
      <c r="B294" s="132" t="s">
        <v>18</v>
      </c>
      <c r="C294" s="134">
        <v>4460.1153969840689</v>
      </c>
      <c r="D294" s="134">
        <f>B269</f>
        <v>895336.08733680099</v>
      </c>
      <c r="E294" s="134">
        <f>B270</f>
        <v>2673.8182477554205</v>
      </c>
    </row>
    <row r="295" spans="1:26" x14ac:dyDescent="0.2">
      <c r="A295" s="132">
        <v>8</v>
      </c>
      <c r="B295" s="132" t="s">
        <v>74</v>
      </c>
      <c r="C295" s="134">
        <f>SUM(C288:C294)</f>
        <v>26822.115396984067</v>
      </c>
      <c r="D295" s="134">
        <f>SUM(D288:D294)</f>
        <v>302070456.0191952</v>
      </c>
      <c r="E295" s="134">
        <f>SUM(E288:E294)</f>
        <v>162134.19043278496</v>
      </c>
    </row>
    <row r="297" spans="1:26" x14ac:dyDescent="0.2">
      <c r="A297" s="128" t="s">
        <v>104</v>
      </c>
      <c r="K297" s="128" t="s">
        <v>105</v>
      </c>
    </row>
    <row r="298" spans="1:26" x14ac:dyDescent="0.2">
      <c r="A298" s="225"/>
      <c r="B298" s="226"/>
      <c r="C298" s="227" t="s">
        <v>101</v>
      </c>
      <c r="D298" s="227"/>
      <c r="E298" s="227"/>
      <c r="F298" s="227" t="s">
        <v>106</v>
      </c>
      <c r="G298" s="227"/>
      <c r="H298" s="227"/>
      <c r="I298" s="227"/>
      <c r="K298" s="225"/>
      <c r="L298" s="226"/>
      <c r="M298" s="227" t="s">
        <v>101</v>
      </c>
      <c r="N298" s="227"/>
      <c r="O298" s="227"/>
      <c r="P298" s="227" t="s">
        <v>106</v>
      </c>
      <c r="Q298" s="227"/>
      <c r="R298" s="227"/>
      <c r="S298" s="227"/>
    </row>
    <row r="299" spans="1:26" ht="20.399999999999999" x14ac:dyDescent="0.2">
      <c r="A299" s="130" t="s">
        <v>99</v>
      </c>
      <c r="B299" s="130" t="s">
        <v>100</v>
      </c>
      <c r="C299" s="130" t="s">
        <v>107</v>
      </c>
      <c r="D299" s="130" t="s">
        <v>108</v>
      </c>
      <c r="E299" s="130" t="s">
        <v>109</v>
      </c>
      <c r="F299" s="130" t="s">
        <v>107</v>
      </c>
      <c r="G299" s="130" t="s">
        <v>108</v>
      </c>
      <c r="H299" s="130" t="s">
        <v>110</v>
      </c>
      <c r="I299" s="130" t="s">
        <v>81</v>
      </c>
      <c r="K299" s="130" t="s">
        <v>99</v>
      </c>
      <c r="L299" s="130" t="s">
        <v>100</v>
      </c>
      <c r="M299" s="130" t="s">
        <v>107</v>
      </c>
      <c r="N299" s="130" t="s">
        <v>108</v>
      </c>
      <c r="O299" s="130" t="s">
        <v>109</v>
      </c>
      <c r="P299" s="130" t="s">
        <v>107</v>
      </c>
      <c r="Q299" s="166" t="s">
        <v>111</v>
      </c>
      <c r="R299" s="130" t="s">
        <v>110</v>
      </c>
      <c r="S299" s="130" t="s">
        <v>81</v>
      </c>
      <c r="V299" s="126"/>
      <c r="W299" s="167" t="s">
        <v>112</v>
      </c>
      <c r="X299" s="167"/>
      <c r="Y299" s="167" t="s">
        <v>113</v>
      </c>
      <c r="Z299" s="126"/>
    </row>
    <row r="300" spans="1:26" x14ac:dyDescent="0.2">
      <c r="A300" s="132">
        <v>1</v>
      </c>
      <c r="B300" s="132" t="s">
        <v>12</v>
      </c>
      <c r="C300" s="134" cm="1">
        <f t="array" ref="C300:C306">M300:M306</f>
        <v>20736</v>
      </c>
      <c r="D300" s="147" cm="1">
        <f t="array" ref="D300:D302">TRANSPOSE('Rate Class Customer Model'!B19:D19)</f>
        <v>21734.083333333332</v>
      </c>
      <c r="E300" s="147">
        <f>D300-C300</f>
        <v>998.08333333333212</v>
      </c>
      <c r="F300" s="134">
        <f>D288</f>
        <v>196515749.97726756</v>
      </c>
      <c r="G300" s="147" cm="1">
        <f t="array" ref="G300:G301">TRANSPOSE('Rate Class Energy Model'!H11:I11)</f>
        <v>198216443.85999998</v>
      </c>
      <c r="H300" s="168" t="s">
        <v>102</v>
      </c>
      <c r="I300" s="147">
        <f>G300-F300</f>
        <v>1700693.8827324212</v>
      </c>
      <c r="J300" s="169">
        <f>I300/F300</f>
        <v>8.6542370417086317E-3</v>
      </c>
      <c r="K300" s="132">
        <v>1</v>
      </c>
      <c r="L300" s="132" t="s">
        <v>12</v>
      </c>
      <c r="M300" s="134" cm="1">
        <f t="array" ref="M300:M306">C288:C294</f>
        <v>20736</v>
      </c>
      <c r="N300" s="147">
        <f>D300</f>
        <v>21734.083333333332</v>
      </c>
      <c r="O300" s="147">
        <f>N300-M300</f>
        <v>998.08333333333212</v>
      </c>
      <c r="P300" s="134">
        <f>F300</f>
        <v>196515749.97726756</v>
      </c>
      <c r="Q300" s="147">
        <f>G300*'Power Purchased Model'!$T$160</f>
        <v>202418632.469832</v>
      </c>
      <c r="R300" s="168" t="s">
        <v>102</v>
      </c>
      <c r="S300" s="147">
        <f>Q300-P300</f>
        <v>5902882.4925644398</v>
      </c>
      <c r="T300" s="169">
        <f>S300/P300</f>
        <v>3.003770686699295E-2</v>
      </c>
      <c r="V300" s="126">
        <v>2023</v>
      </c>
      <c r="W300" s="127" cm="1">
        <f t="array" ref="W300:W302">'Power Purchased Model'!H159:H161</f>
        <v>3222.6</v>
      </c>
      <c r="X300" s="170"/>
      <c r="Y300" s="127" cm="1">
        <f t="array" ref="Y300:Y302">'Power Purchased Model'!I159:I161</f>
        <v>349.1</v>
      </c>
      <c r="Z300" s="170"/>
    </row>
    <row r="301" spans="1:26" x14ac:dyDescent="0.2">
      <c r="A301" s="132">
        <v>2</v>
      </c>
      <c r="B301" s="132" t="s">
        <v>13</v>
      </c>
      <c r="C301" s="134">
        <v>1314</v>
      </c>
      <c r="D301" s="147">
        <v>1289.6666666666667</v>
      </c>
      <c r="E301" s="147">
        <f t="shared" ref="E301:E306" si="46">D301-C301</f>
        <v>-24.333333333333258</v>
      </c>
      <c r="F301" s="134">
        <f>D289</f>
        <v>43471713.172288813</v>
      </c>
      <c r="G301" s="147">
        <v>51768404.240000002</v>
      </c>
      <c r="H301" s="168" t="s">
        <v>102</v>
      </c>
      <c r="I301" s="147">
        <f t="shared" ref="I301:I306" si="47">G301-F301</f>
        <v>8296691.0677111894</v>
      </c>
      <c r="J301" s="169">
        <f t="shared" ref="J301:J329" si="48">I301/F301</f>
        <v>0.19085263639897088</v>
      </c>
      <c r="K301" s="132">
        <v>2</v>
      </c>
      <c r="L301" s="132" t="s">
        <v>13</v>
      </c>
      <c r="M301" s="134">
        <v>1314</v>
      </c>
      <c r="N301" s="147">
        <f t="shared" ref="N301:N306" si="49">D301</f>
        <v>1289.6666666666667</v>
      </c>
      <c r="O301" s="147">
        <f t="shared" ref="O301:O306" si="50">N301-M301</f>
        <v>-24.333333333333258</v>
      </c>
      <c r="P301" s="134">
        <f t="shared" ref="P301:P306" si="51">F301</f>
        <v>43471713.172288813</v>
      </c>
      <c r="Q301" s="147">
        <f>G301*'Power Purchased Model'!$T$160</f>
        <v>52865894.409888007</v>
      </c>
      <c r="R301" s="168" t="s">
        <v>102</v>
      </c>
      <c r="S301" s="147">
        <f t="shared" ref="S301:S306" si="52">Q301-P301</f>
        <v>9394181.237599194</v>
      </c>
      <c r="T301" s="169">
        <f t="shared" ref="T301:T341" si="53">S301/P301</f>
        <v>0.21609871229062916</v>
      </c>
      <c r="V301" s="126">
        <v>2024</v>
      </c>
      <c r="W301" s="127">
        <v>3111.6000000000004</v>
      </c>
      <c r="X301" s="170">
        <f>(W301-W300)/W300</f>
        <v>-3.4444237572146576E-2</v>
      </c>
      <c r="Y301" s="127">
        <v>389.6</v>
      </c>
      <c r="Z301" s="170">
        <f>(Y301-Y300)/Y300</f>
        <v>0.1160126038384417</v>
      </c>
    </row>
    <row r="302" spans="1:26" x14ac:dyDescent="0.2">
      <c r="A302" s="132">
        <v>3</v>
      </c>
      <c r="B302" s="132" t="s">
        <v>14</v>
      </c>
      <c r="C302" s="134">
        <v>87</v>
      </c>
      <c r="D302" s="147">
        <v>83.416666666666671</v>
      </c>
      <c r="E302" s="147">
        <f>D302-C302</f>
        <v>-3.5833333333333286</v>
      </c>
      <c r="F302" s="134">
        <f>E290</f>
        <v>156831.78746154223</v>
      </c>
      <c r="G302" s="147">
        <f>'Rate Class Load Model'!B10</f>
        <v>160506.93000000005</v>
      </c>
      <c r="H302" s="168" t="s">
        <v>103</v>
      </c>
      <c r="I302" s="147">
        <f t="shared" si="47"/>
        <v>3675.1425384578179</v>
      </c>
      <c r="J302" s="169">
        <f t="shared" si="48"/>
        <v>2.3433658430750362E-2</v>
      </c>
      <c r="K302" s="132">
        <v>3</v>
      </c>
      <c r="L302" s="132" t="s">
        <v>14</v>
      </c>
      <c r="M302" s="134">
        <v>87</v>
      </c>
      <c r="N302" s="147">
        <f t="shared" si="49"/>
        <v>83.416666666666671</v>
      </c>
      <c r="O302" s="147">
        <f t="shared" si="50"/>
        <v>-3.5833333333333286</v>
      </c>
      <c r="P302" s="134">
        <f t="shared" si="51"/>
        <v>156831.78746154223</v>
      </c>
      <c r="Q302" s="147">
        <f>G302</f>
        <v>160506.93000000005</v>
      </c>
      <c r="R302" s="168" t="s">
        <v>103</v>
      </c>
      <c r="S302" s="147">
        <f t="shared" si="52"/>
        <v>3675.1425384578179</v>
      </c>
      <c r="T302" s="169">
        <f t="shared" si="53"/>
        <v>2.3433658430750362E-2</v>
      </c>
      <c r="V302" s="126">
        <v>2025</v>
      </c>
      <c r="W302" s="127">
        <v>3682.2</v>
      </c>
      <c r="X302" s="170">
        <f>(W302-W301)/W301</f>
        <v>0.18337832626301562</v>
      </c>
      <c r="Y302" s="127">
        <v>453.7</v>
      </c>
      <c r="Z302" s="170">
        <f>(Y302-Y301)/Y301</f>
        <v>0.16452772073921962</v>
      </c>
    </row>
    <row r="303" spans="1:26" x14ac:dyDescent="0.2">
      <c r="A303" s="132">
        <v>4</v>
      </c>
      <c r="B303" s="132" t="s">
        <v>15</v>
      </c>
      <c r="C303" s="134">
        <v>1</v>
      </c>
      <c r="D303" s="147">
        <f>'Rate Class Customer Model'!H19</f>
        <v>1</v>
      </c>
      <c r="E303" s="147">
        <f>D303-C303</f>
        <v>0</v>
      </c>
      <c r="F303" s="134">
        <f>E291</f>
        <v>2361.3585976193021</v>
      </c>
      <c r="G303" s="147">
        <f>'Rate Class Load Model'!E10</f>
        <v>2963.5714285714284</v>
      </c>
      <c r="H303" s="168" t="s">
        <v>103</v>
      </c>
      <c r="I303" s="201">
        <f>G303-F303</f>
        <v>602.2128309521263</v>
      </c>
      <c r="J303" s="169">
        <f>I303/F303</f>
        <v>0.25502811456052088</v>
      </c>
      <c r="K303" s="132">
        <v>4</v>
      </c>
      <c r="L303" s="132" t="s">
        <v>15</v>
      </c>
      <c r="M303" s="134">
        <v>1</v>
      </c>
      <c r="N303" s="147">
        <f t="shared" si="49"/>
        <v>1</v>
      </c>
      <c r="O303" s="147">
        <f t="shared" si="50"/>
        <v>0</v>
      </c>
      <c r="P303" s="134">
        <f t="shared" si="51"/>
        <v>2361.3585976193021</v>
      </c>
      <c r="Q303" s="147">
        <f>G303</f>
        <v>2963.5714285714284</v>
      </c>
      <c r="R303" s="168" t="s">
        <v>103</v>
      </c>
      <c r="S303" s="201">
        <f t="shared" si="52"/>
        <v>602.2128309521263</v>
      </c>
      <c r="T303" s="169">
        <f t="shared" si="53"/>
        <v>0.25502811456052088</v>
      </c>
      <c r="V303" s="126">
        <v>2026</v>
      </c>
      <c r="W303" s="202">
        <v>3488.29</v>
      </c>
      <c r="X303" s="170">
        <f>(W303-W302)/W302</f>
        <v>-5.2661452392591346E-2</v>
      </c>
      <c r="Y303" s="202">
        <v>435.7</v>
      </c>
      <c r="Z303" s="170">
        <f>(Y303-Y302)/Y302</f>
        <v>-3.9673793255455149E-2</v>
      </c>
    </row>
    <row r="304" spans="1:26" x14ac:dyDescent="0.2">
      <c r="A304" s="132">
        <v>5</v>
      </c>
      <c r="B304" s="132" t="s">
        <v>16</v>
      </c>
      <c r="C304" s="134">
        <v>75</v>
      </c>
      <c r="D304" s="147" cm="1">
        <f t="array" ref="D304:D306">TRANSPOSE('Rate Class Customer Model'!E19:G19)</f>
        <v>70.166666666666671</v>
      </c>
      <c r="E304" s="147">
        <f t="shared" si="46"/>
        <v>-4.8333333333333286</v>
      </c>
      <c r="F304" s="134">
        <f>D292</f>
        <v>466609.34307314234</v>
      </c>
      <c r="G304" s="147">
        <f>'Rate Class Energy Model'!K11</f>
        <v>402486.00000000006</v>
      </c>
      <c r="H304" s="168" t="s">
        <v>102</v>
      </c>
      <c r="I304" s="147">
        <f t="shared" si="47"/>
        <v>-64123.343073142285</v>
      </c>
      <c r="J304" s="169">
        <f t="shared" si="48"/>
        <v>-0.13742404438543523</v>
      </c>
      <c r="K304" s="132">
        <v>5</v>
      </c>
      <c r="L304" s="132" t="s">
        <v>16</v>
      </c>
      <c r="M304" s="134">
        <v>75</v>
      </c>
      <c r="N304" s="147">
        <f t="shared" si="49"/>
        <v>70.166666666666671</v>
      </c>
      <c r="O304" s="147">
        <f t="shared" si="50"/>
        <v>-4.8333333333333286</v>
      </c>
      <c r="P304" s="134">
        <f t="shared" si="51"/>
        <v>466609.34307314234</v>
      </c>
      <c r="Q304" s="147">
        <f>G304*'Power Purchased Model'!$T$160</f>
        <v>411018.70320000011</v>
      </c>
      <c r="R304" s="168" t="s">
        <v>102</v>
      </c>
      <c r="S304" s="147">
        <f t="shared" si="52"/>
        <v>-55590.639873142238</v>
      </c>
      <c r="T304" s="169">
        <f t="shared" si="53"/>
        <v>-0.11913743412640636</v>
      </c>
    </row>
    <row r="305" spans="1:20" x14ac:dyDescent="0.2">
      <c r="A305" s="132">
        <v>6</v>
      </c>
      <c r="B305" s="132" t="s">
        <v>17</v>
      </c>
      <c r="C305" s="134">
        <v>149</v>
      </c>
      <c r="D305" s="147">
        <v>148.58333333333334</v>
      </c>
      <c r="E305" s="147">
        <f t="shared" si="46"/>
        <v>-0.41666666666665719</v>
      </c>
      <c r="F305" s="134">
        <f>E293</f>
        <v>267.22612586800165</v>
      </c>
      <c r="G305" s="147">
        <f>'Rate Class Load Model'!C10</f>
        <v>294.95850000000002</v>
      </c>
      <c r="H305" s="168" t="s">
        <v>103</v>
      </c>
      <c r="I305" s="147">
        <f t="shared" si="47"/>
        <v>27.73237413199837</v>
      </c>
      <c r="J305" s="169">
        <f>I305/F305</f>
        <v>0.10377867823334379</v>
      </c>
      <c r="K305" s="132">
        <v>6</v>
      </c>
      <c r="L305" s="132" t="s">
        <v>17</v>
      </c>
      <c r="M305" s="134">
        <v>149</v>
      </c>
      <c r="N305" s="147">
        <f t="shared" si="49"/>
        <v>148.58333333333334</v>
      </c>
      <c r="O305" s="147">
        <f t="shared" si="50"/>
        <v>-0.41666666666665719</v>
      </c>
      <c r="P305" s="134">
        <f t="shared" si="51"/>
        <v>267.22612586800165</v>
      </c>
      <c r="Q305" s="147">
        <f>G305</f>
        <v>294.95850000000002</v>
      </c>
      <c r="R305" s="168" t="s">
        <v>103</v>
      </c>
      <c r="S305" s="147">
        <f t="shared" si="52"/>
        <v>27.73237413199837</v>
      </c>
      <c r="T305" s="169">
        <f t="shared" si="53"/>
        <v>0.10377867823334379</v>
      </c>
    </row>
    <row r="306" spans="1:20" x14ac:dyDescent="0.2">
      <c r="A306" s="132">
        <v>7</v>
      </c>
      <c r="B306" s="132" t="s">
        <v>18</v>
      </c>
      <c r="C306" s="134">
        <v>4460.1153969840689</v>
      </c>
      <c r="D306" s="147">
        <v>4588.5</v>
      </c>
      <c r="E306" s="147">
        <f t="shared" si="46"/>
        <v>128.38460301593113</v>
      </c>
      <c r="F306" s="134">
        <f>E294</f>
        <v>2673.8182477554205</v>
      </c>
      <c r="G306" s="147">
        <f>'Rate Class Load Model'!D10</f>
        <v>2849.68</v>
      </c>
      <c r="H306" s="168" t="s">
        <v>103</v>
      </c>
      <c r="I306" s="147">
        <f t="shared" si="47"/>
        <v>175.86175224457929</v>
      </c>
      <c r="J306" s="169">
        <f>I306/F306</f>
        <v>6.5771767543365847E-2</v>
      </c>
      <c r="K306" s="132">
        <v>7</v>
      </c>
      <c r="L306" s="132" t="s">
        <v>18</v>
      </c>
      <c r="M306" s="134">
        <v>4460.1153969840689</v>
      </c>
      <c r="N306" s="147">
        <f t="shared" si="49"/>
        <v>4588.5</v>
      </c>
      <c r="O306" s="147">
        <f t="shared" si="50"/>
        <v>128.38460301593113</v>
      </c>
      <c r="P306" s="134">
        <f t="shared" si="51"/>
        <v>2673.8182477554205</v>
      </c>
      <c r="Q306" s="147">
        <f>G306</f>
        <v>2849.68</v>
      </c>
      <c r="R306" s="168" t="s">
        <v>103</v>
      </c>
      <c r="S306" s="147">
        <f t="shared" si="52"/>
        <v>175.86175224457929</v>
      </c>
      <c r="T306" s="169">
        <f t="shared" si="53"/>
        <v>6.5771767543365847E-2</v>
      </c>
    </row>
    <row r="307" spans="1:20" x14ac:dyDescent="0.2">
      <c r="A307" s="152">
        <v>8</v>
      </c>
      <c r="B307" s="152" t="s">
        <v>74</v>
      </c>
      <c r="C307" s="171">
        <f>SUM(C300:C306)</f>
        <v>26822.115396984067</v>
      </c>
      <c r="D307" s="171">
        <f>SUM(D300:D306)</f>
        <v>27915.416666666668</v>
      </c>
      <c r="E307" s="171">
        <f>SUM(E300:E306)</f>
        <v>1093.3012696825967</v>
      </c>
      <c r="F307" s="171"/>
      <c r="G307" s="171"/>
      <c r="H307" s="171"/>
      <c r="I307" s="171"/>
      <c r="J307" s="169"/>
      <c r="K307" s="152">
        <v>8</v>
      </c>
      <c r="L307" s="152" t="s">
        <v>74</v>
      </c>
      <c r="M307" s="171">
        <f>SUM(M300:M306)</f>
        <v>26822.115396984067</v>
      </c>
      <c r="N307" s="171">
        <f>SUM(N300:N306)</f>
        <v>27915.416666666668</v>
      </c>
      <c r="O307" s="171">
        <f>SUM(O300:O306)</f>
        <v>1093.3012696825967</v>
      </c>
      <c r="P307" s="171"/>
      <c r="Q307" s="171"/>
      <c r="R307" s="171"/>
      <c r="S307" s="171"/>
      <c r="T307" s="169"/>
    </row>
    <row r="308" spans="1:20" x14ac:dyDescent="0.2">
      <c r="J308" s="169"/>
      <c r="T308" s="169"/>
    </row>
    <row r="309" spans="1:20" x14ac:dyDescent="0.2">
      <c r="A309" s="128" t="s">
        <v>114</v>
      </c>
      <c r="J309" s="169"/>
      <c r="K309" s="128" t="s">
        <v>115</v>
      </c>
      <c r="T309" s="169"/>
    </row>
    <row r="310" spans="1:20" x14ac:dyDescent="0.2">
      <c r="A310" s="225"/>
      <c r="B310" s="226"/>
      <c r="C310" s="227" t="s">
        <v>101</v>
      </c>
      <c r="D310" s="227"/>
      <c r="E310" s="227"/>
      <c r="F310" s="227" t="s">
        <v>106</v>
      </c>
      <c r="G310" s="227"/>
      <c r="H310" s="227"/>
      <c r="I310" s="227"/>
      <c r="J310" s="169"/>
      <c r="K310" s="225"/>
      <c r="L310" s="226"/>
      <c r="M310" s="227" t="s">
        <v>101</v>
      </c>
      <c r="N310" s="227"/>
      <c r="O310" s="227"/>
      <c r="P310" s="227" t="s">
        <v>106</v>
      </c>
      <c r="Q310" s="227"/>
      <c r="R310" s="227"/>
      <c r="S310" s="227"/>
      <c r="T310" s="169"/>
    </row>
    <row r="311" spans="1:20" x14ac:dyDescent="0.2">
      <c r="A311" s="130" t="s">
        <v>99</v>
      </c>
      <c r="B311" s="130" t="s">
        <v>100</v>
      </c>
      <c r="C311" s="130" t="s">
        <v>108</v>
      </c>
      <c r="D311" s="130" t="s">
        <v>116</v>
      </c>
      <c r="E311" s="130" t="s">
        <v>109</v>
      </c>
      <c r="F311" s="130" t="str">
        <f>C311</f>
        <v>2024 Actual</v>
      </c>
      <c r="G311" s="130" t="str">
        <f>D311</f>
        <v>2025 Actual</v>
      </c>
      <c r="H311" s="130" t="s">
        <v>110</v>
      </c>
      <c r="I311" s="130" t="s">
        <v>81</v>
      </c>
      <c r="J311" s="169"/>
      <c r="K311" s="130" t="s">
        <v>99</v>
      </c>
      <c r="L311" s="130" t="s">
        <v>100</v>
      </c>
      <c r="M311" s="130" t="s">
        <v>108</v>
      </c>
      <c r="N311" s="130" t="s">
        <v>116</v>
      </c>
      <c r="O311" s="130" t="s">
        <v>109</v>
      </c>
      <c r="P311" s="130" t="str">
        <f>Q299</f>
        <v>2024 Normal</v>
      </c>
      <c r="Q311" s="130" t="s">
        <v>117</v>
      </c>
      <c r="R311" s="130" t="s">
        <v>110</v>
      </c>
      <c r="S311" s="130" t="s">
        <v>81</v>
      </c>
      <c r="T311" s="169"/>
    </row>
    <row r="312" spans="1:20" x14ac:dyDescent="0.2">
      <c r="A312" s="132">
        <v>1</v>
      </c>
      <c r="B312" s="132" t="s">
        <v>12</v>
      </c>
      <c r="C312" s="134">
        <f>D300</f>
        <v>21734.083333333332</v>
      </c>
      <c r="D312" s="147" cm="1">
        <f t="array" ref="D312:D314">TRANSPOSE('Rate Class Customer Model'!B20:D20)</f>
        <v>22632.5</v>
      </c>
      <c r="E312" s="147">
        <f>D312-C312</f>
        <v>898.41666666666788</v>
      </c>
      <c r="F312" s="134">
        <f>G300</f>
        <v>198216443.85999998</v>
      </c>
      <c r="G312" s="147">
        <f>'Rate Class Energy Model'!H12</f>
        <v>216260221.81999999</v>
      </c>
      <c r="H312" s="168" t="s">
        <v>102</v>
      </c>
      <c r="I312" s="147">
        <f>G312-F312</f>
        <v>18043777.960000008</v>
      </c>
      <c r="J312" s="169">
        <f t="shared" si="48"/>
        <v>9.1030681454179987E-2</v>
      </c>
      <c r="K312" s="132">
        <v>1</v>
      </c>
      <c r="L312" s="132" t="s">
        <v>12</v>
      </c>
      <c r="M312" s="134">
        <f>N300</f>
        <v>21734.083333333332</v>
      </c>
      <c r="N312" s="147">
        <f>D312</f>
        <v>22632.5</v>
      </c>
      <c r="O312" s="147">
        <f>N312-M312</f>
        <v>898.41666666666788</v>
      </c>
      <c r="P312" s="134">
        <f>Q300</f>
        <v>202418632.469832</v>
      </c>
      <c r="Q312" s="147">
        <f>G312*'Power Purchased Model'!$T$161</f>
        <v>214210074.91714638</v>
      </c>
      <c r="R312" s="168" t="s">
        <v>102</v>
      </c>
      <c r="S312" s="147">
        <f>Q312-P312</f>
        <v>11791442.447314382</v>
      </c>
      <c r="T312" s="169">
        <f t="shared" si="53"/>
        <v>5.8252752246371144E-2</v>
      </c>
    </row>
    <row r="313" spans="1:20" x14ac:dyDescent="0.2">
      <c r="A313" s="132">
        <v>2</v>
      </c>
      <c r="B313" s="132" t="s">
        <v>13</v>
      </c>
      <c r="C313" s="134">
        <f t="shared" ref="C313:C318" si="54">D301</f>
        <v>1289.6666666666667</v>
      </c>
      <c r="D313" s="147">
        <v>1300.1666666666667</v>
      </c>
      <c r="E313" s="147">
        <f t="shared" ref="E313:E318" si="55">D313-C313</f>
        <v>10.5</v>
      </c>
      <c r="F313" s="134">
        <f t="shared" ref="F313:F318" si="56">G301</f>
        <v>51768404.240000002</v>
      </c>
      <c r="G313" s="147">
        <f>'Rate Class Energy Model'!I12</f>
        <v>47670304.479999997</v>
      </c>
      <c r="H313" s="168" t="s">
        <v>102</v>
      </c>
      <c r="I313" s="147">
        <f t="shared" ref="I313:I318" si="57">G313-F313</f>
        <v>-4098099.7600000054</v>
      </c>
      <c r="J313" s="169">
        <f t="shared" si="48"/>
        <v>-7.9162180487563072E-2</v>
      </c>
      <c r="K313" s="132">
        <v>2</v>
      </c>
      <c r="L313" s="132" t="s">
        <v>13</v>
      </c>
      <c r="M313" s="134">
        <f t="shared" ref="M313:M318" si="58">N301</f>
        <v>1289.6666666666667</v>
      </c>
      <c r="N313" s="147">
        <f t="shared" ref="N313:N318" si="59">D313</f>
        <v>1300.1666666666667</v>
      </c>
      <c r="O313" s="147">
        <f t="shared" ref="O313:O316" si="60">N313-M313</f>
        <v>10.5</v>
      </c>
      <c r="P313" s="134">
        <f t="shared" ref="P313:P318" si="61">Q301</f>
        <v>52865894.409888007</v>
      </c>
      <c r="Q313" s="147">
        <f>G313*'Power Purchased Model'!$T$161</f>
        <v>47218389.993529595</v>
      </c>
      <c r="R313" s="168" t="s">
        <v>102</v>
      </c>
      <c r="S313" s="147">
        <f t="shared" ref="S313:S318" si="62">Q313-P313</f>
        <v>-5647504.4163584113</v>
      </c>
      <c r="T313" s="169">
        <f t="shared" si="53"/>
        <v>-0.10682699081134066</v>
      </c>
    </row>
    <row r="314" spans="1:20" x14ac:dyDescent="0.2">
      <c r="A314" s="132">
        <v>3</v>
      </c>
      <c r="B314" s="132" t="s">
        <v>14</v>
      </c>
      <c r="C314" s="134">
        <f>D302</f>
        <v>83.416666666666671</v>
      </c>
      <c r="D314" s="147">
        <v>87.416666666666671</v>
      </c>
      <c r="E314" s="147">
        <f t="shared" si="55"/>
        <v>4</v>
      </c>
      <c r="F314" s="134">
        <f t="shared" si="56"/>
        <v>160506.93000000005</v>
      </c>
      <c r="G314" s="147">
        <f>'Rate Class Load Model'!B11</f>
        <v>176584.31999999998</v>
      </c>
      <c r="H314" s="168" t="s">
        <v>103</v>
      </c>
      <c r="I314" s="147">
        <f t="shared" si="57"/>
        <v>16077.389999999927</v>
      </c>
      <c r="J314" s="169">
        <f t="shared" si="48"/>
        <v>0.10016632926690407</v>
      </c>
      <c r="K314" s="132">
        <v>3</v>
      </c>
      <c r="L314" s="132" t="s">
        <v>14</v>
      </c>
      <c r="M314" s="134">
        <f t="shared" si="58"/>
        <v>83.416666666666671</v>
      </c>
      <c r="N314" s="147">
        <f t="shared" si="59"/>
        <v>87.416666666666671</v>
      </c>
      <c r="O314" s="147">
        <f t="shared" si="60"/>
        <v>4</v>
      </c>
      <c r="P314" s="134">
        <f t="shared" si="61"/>
        <v>160506.93000000005</v>
      </c>
      <c r="Q314" s="147">
        <f>G314</f>
        <v>176584.31999999998</v>
      </c>
      <c r="R314" s="168" t="s">
        <v>103</v>
      </c>
      <c r="S314" s="147">
        <f t="shared" si="62"/>
        <v>16077.389999999927</v>
      </c>
      <c r="T314" s="169">
        <f t="shared" si="53"/>
        <v>0.10016632926690407</v>
      </c>
    </row>
    <row r="315" spans="1:20" x14ac:dyDescent="0.2">
      <c r="A315" s="132">
        <v>4</v>
      </c>
      <c r="B315" s="132" t="s">
        <v>15</v>
      </c>
      <c r="C315" s="134">
        <f>D303</f>
        <v>1</v>
      </c>
      <c r="D315" s="147">
        <f>'Rate Class Customer Model'!H20</f>
        <v>1</v>
      </c>
      <c r="E315" s="147">
        <f t="shared" si="55"/>
        <v>0</v>
      </c>
      <c r="F315" s="134">
        <f t="shared" si="56"/>
        <v>2963.5714285714284</v>
      </c>
      <c r="G315" s="147">
        <f>'Rate Class Load Model'!E11</f>
        <v>2882.5077963847998</v>
      </c>
      <c r="H315" s="168" t="s">
        <v>103</v>
      </c>
      <c r="I315" s="147">
        <f t="shared" si="57"/>
        <v>-81.063632186628638</v>
      </c>
      <c r="J315" s="169">
        <f t="shared" si="48"/>
        <v>-2.7353358655406147E-2</v>
      </c>
      <c r="K315" s="132">
        <v>4</v>
      </c>
      <c r="L315" s="132" t="s">
        <v>15</v>
      </c>
      <c r="M315" s="134">
        <f t="shared" si="58"/>
        <v>1</v>
      </c>
      <c r="N315" s="147">
        <f t="shared" si="59"/>
        <v>1</v>
      </c>
      <c r="O315" s="147">
        <f t="shared" si="60"/>
        <v>0</v>
      </c>
      <c r="P315" s="134">
        <f t="shared" si="61"/>
        <v>2963.5714285714284</v>
      </c>
      <c r="Q315" s="147">
        <f>G315</f>
        <v>2882.5077963847998</v>
      </c>
      <c r="R315" s="168" t="s">
        <v>103</v>
      </c>
      <c r="S315" s="147">
        <f t="shared" si="62"/>
        <v>-81.063632186628638</v>
      </c>
      <c r="T315" s="169">
        <f t="shared" si="53"/>
        <v>-2.7353358655406147E-2</v>
      </c>
    </row>
    <row r="316" spans="1:20" x14ac:dyDescent="0.2">
      <c r="A316" s="132">
        <v>5</v>
      </c>
      <c r="B316" s="132" t="s">
        <v>16</v>
      </c>
      <c r="C316" s="134">
        <f t="shared" si="54"/>
        <v>70.166666666666671</v>
      </c>
      <c r="D316" s="147" cm="1">
        <f t="array" ref="D316:D318">TRANSPOSE('Rate Class Customer Model'!E20:G20)</f>
        <v>69</v>
      </c>
      <c r="E316" s="147">
        <f t="shared" si="55"/>
        <v>-1.1666666666666714</v>
      </c>
      <c r="F316" s="134">
        <f t="shared" si="56"/>
        <v>402486.00000000006</v>
      </c>
      <c r="G316" s="147">
        <f>'Rate Class Energy Model'!K12</f>
        <v>425256</v>
      </c>
      <c r="H316" s="168" t="s">
        <v>102</v>
      </c>
      <c r="I316" s="147">
        <f t="shared" si="57"/>
        <v>22769.999999999942</v>
      </c>
      <c r="J316" s="169">
        <f t="shared" si="48"/>
        <v>5.6573396341735957E-2</v>
      </c>
      <c r="K316" s="132">
        <v>5</v>
      </c>
      <c r="L316" s="132" t="s">
        <v>16</v>
      </c>
      <c r="M316" s="134">
        <f t="shared" si="58"/>
        <v>70.166666666666671</v>
      </c>
      <c r="N316" s="147">
        <f t="shared" si="59"/>
        <v>69</v>
      </c>
      <c r="O316" s="147">
        <f t="shared" si="60"/>
        <v>-1.1666666666666714</v>
      </c>
      <c r="P316" s="134">
        <f t="shared" si="61"/>
        <v>411018.70320000011</v>
      </c>
      <c r="Q316" s="147">
        <f>G316*'Power Purchased Model'!T161</f>
        <v>421224.57311999996</v>
      </c>
      <c r="R316" s="168" t="s">
        <v>102</v>
      </c>
      <c r="S316" s="147">
        <f t="shared" si="62"/>
        <v>10205.869919999852</v>
      </c>
      <c r="T316" s="169">
        <f t="shared" si="53"/>
        <v>2.4830670333349077E-2</v>
      </c>
    </row>
    <row r="317" spans="1:20" x14ac:dyDescent="0.2">
      <c r="A317" s="132">
        <v>6</v>
      </c>
      <c r="B317" s="132" t="s">
        <v>17</v>
      </c>
      <c r="C317" s="134">
        <f t="shared" si="54"/>
        <v>148.58333333333334</v>
      </c>
      <c r="D317" s="147">
        <v>144.66666666666666</v>
      </c>
      <c r="E317" s="147">
        <f t="shared" si="55"/>
        <v>-3.9166666666666856</v>
      </c>
      <c r="F317" s="134">
        <f t="shared" si="56"/>
        <v>294.95850000000002</v>
      </c>
      <c r="G317" s="147">
        <f>'Rate Class Load Model'!C11</f>
        <v>294.95850000000002</v>
      </c>
      <c r="H317" s="168" t="s">
        <v>103</v>
      </c>
      <c r="I317" s="147">
        <f t="shared" si="57"/>
        <v>0</v>
      </c>
      <c r="J317" s="169">
        <f t="shared" si="48"/>
        <v>0</v>
      </c>
      <c r="K317" s="132">
        <v>6</v>
      </c>
      <c r="L317" s="132" t="s">
        <v>17</v>
      </c>
      <c r="M317" s="134">
        <f t="shared" si="58"/>
        <v>148.58333333333334</v>
      </c>
      <c r="N317" s="147">
        <f t="shared" si="59"/>
        <v>144.66666666666666</v>
      </c>
      <c r="O317" s="147">
        <f>N317-M317</f>
        <v>-3.9166666666666856</v>
      </c>
      <c r="P317" s="134">
        <f t="shared" si="61"/>
        <v>294.95850000000002</v>
      </c>
      <c r="Q317" s="147">
        <f>G317</f>
        <v>294.95850000000002</v>
      </c>
      <c r="R317" s="168" t="s">
        <v>103</v>
      </c>
      <c r="S317" s="147">
        <f t="shared" si="62"/>
        <v>0</v>
      </c>
      <c r="T317" s="169">
        <f t="shared" si="53"/>
        <v>0</v>
      </c>
    </row>
    <row r="318" spans="1:20" x14ac:dyDescent="0.2">
      <c r="A318" s="132">
        <v>7</v>
      </c>
      <c r="B318" s="132" t="s">
        <v>18</v>
      </c>
      <c r="C318" s="134">
        <f t="shared" si="54"/>
        <v>4588.5</v>
      </c>
      <c r="D318" s="147">
        <v>4847.75</v>
      </c>
      <c r="E318" s="147">
        <f t="shared" si="55"/>
        <v>259.25</v>
      </c>
      <c r="F318" s="134">
        <f t="shared" si="56"/>
        <v>2849.68</v>
      </c>
      <c r="G318" s="147">
        <f>'Rate Class Load Model'!D11</f>
        <v>3010.8458515018006</v>
      </c>
      <c r="H318" s="168" t="s">
        <v>103</v>
      </c>
      <c r="I318" s="147">
        <f t="shared" si="57"/>
        <v>161.16585150180072</v>
      </c>
      <c r="J318" s="169">
        <f t="shared" si="48"/>
        <v>5.6555771701314088E-2</v>
      </c>
      <c r="K318" s="132">
        <v>7</v>
      </c>
      <c r="L318" s="132" t="s">
        <v>18</v>
      </c>
      <c r="M318" s="134">
        <f t="shared" si="58"/>
        <v>4588.5</v>
      </c>
      <c r="N318" s="147">
        <f t="shared" si="59"/>
        <v>4847.75</v>
      </c>
      <c r="O318" s="147">
        <f>N318-M318</f>
        <v>259.25</v>
      </c>
      <c r="P318" s="134">
        <f t="shared" si="61"/>
        <v>2849.68</v>
      </c>
      <c r="Q318" s="147">
        <f>G318</f>
        <v>3010.8458515018006</v>
      </c>
      <c r="R318" s="168" t="s">
        <v>103</v>
      </c>
      <c r="S318" s="147">
        <f t="shared" si="62"/>
        <v>161.16585150180072</v>
      </c>
      <c r="T318" s="169">
        <f t="shared" si="53"/>
        <v>5.6555771701314088E-2</v>
      </c>
    </row>
    <row r="319" spans="1:20" x14ac:dyDescent="0.2">
      <c r="A319" s="152">
        <v>8</v>
      </c>
      <c r="B319" s="152" t="s">
        <v>74</v>
      </c>
      <c r="C319" s="171">
        <f>SUM(C312:C318)</f>
        <v>27915.416666666668</v>
      </c>
      <c r="D319" s="171">
        <f>SUM(D312:D318)</f>
        <v>29082.500000000004</v>
      </c>
      <c r="E319" s="171">
        <f>SUM(E312:E318)</f>
        <v>1167.0833333333346</v>
      </c>
      <c r="F319" s="171"/>
      <c r="G319" s="171"/>
      <c r="H319" s="171"/>
      <c r="I319" s="171"/>
      <c r="J319" s="169"/>
      <c r="K319" s="152">
        <v>8</v>
      </c>
      <c r="L319" s="152" t="s">
        <v>74</v>
      </c>
      <c r="M319" s="171">
        <f>SUM(M312:M318)</f>
        <v>27915.416666666668</v>
      </c>
      <c r="N319" s="171">
        <f>SUM(N312:N318)</f>
        <v>29082.500000000004</v>
      </c>
      <c r="O319" s="171">
        <f>SUM(O312:O318)</f>
        <v>1167.0833333333346</v>
      </c>
      <c r="P319" s="171"/>
      <c r="Q319" s="171"/>
      <c r="R319" s="171"/>
      <c r="S319" s="171"/>
      <c r="T319" s="169"/>
    </row>
    <row r="320" spans="1:20" x14ac:dyDescent="0.2">
      <c r="J320" s="169"/>
      <c r="T320" s="169"/>
    </row>
    <row r="321" spans="1:20" x14ac:dyDescent="0.2">
      <c r="A321" s="128" t="s">
        <v>118</v>
      </c>
      <c r="J321" s="169"/>
      <c r="K321" s="128" t="s">
        <v>119</v>
      </c>
      <c r="T321" s="169"/>
    </row>
    <row r="322" spans="1:20" x14ac:dyDescent="0.2">
      <c r="A322" s="225"/>
      <c r="B322" s="226"/>
      <c r="C322" s="227" t="s">
        <v>101</v>
      </c>
      <c r="D322" s="227"/>
      <c r="E322" s="227"/>
      <c r="F322" s="227" t="s">
        <v>106</v>
      </c>
      <c r="G322" s="227"/>
      <c r="H322" s="227"/>
      <c r="I322" s="227"/>
      <c r="J322" s="169"/>
      <c r="K322" s="225"/>
      <c r="L322" s="226"/>
      <c r="M322" s="227" t="s">
        <v>101</v>
      </c>
      <c r="N322" s="227"/>
      <c r="O322" s="227"/>
      <c r="P322" s="227" t="s">
        <v>106</v>
      </c>
      <c r="Q322" s="227"/>
      <c r="R322" s="227"/>
      <c r="S322" s="227"/>
      <c r="T322" s="169"/>
    </row>
    <row r="323" spans="1:20" x14ac:dyDescent="0.2">
      <c r="A323" s="130" t="s">
        <v>99</v>
      </c>
      <c r="B323" s="130" t="s">
        <v>100</v>
      </c>
      <c r="C323" s="130" t="s">
        <v>116</v>
      </c>
      <c r="D323" s="130" t="s">
        <v>120</v>
      </c>
      <c r="E323" s="130" t="s">
        <v>109</v>
      </c>
      <c r="F323" s="130" t="str">
        <f>C323</f>
        <v>2025 Actual</v>
      </c>
      <c r="G323" s="130" t="str">
        <f>D323</f>
        <v>2026 Normal</v>
      </c>
      <c r="H323" s="130" t="s">
        <v>110</v>
      </c>
      <c r="I323" s="130" t="s">
        <v>81</v>
      </c>
      <c r="J323" s="169"/>
      <c r="K323" s="130" t="s">
        <v>99</v>
      </c>
      <c r="L323" s="130" t="s">
        <v>100</v>
      </c>
      <c r="M323" s="130" t="str">
        <f>N311</f>
        <v>2025 Actual</v>
      </c>
      <c r="N323" s="130" t="s">
        <v>120</v>
      </c>
      <c r="O323" s="130" t="s">
        <v>109</v>
      </c>
      <c r="P323" s="130" t="str">
        <f>Q311</f>
        <v>2025 Normal</v>
      </c>
      <c r="Q323" s="130" t="s">
        <v>120</v>
      </c>
      <c r="R323" s="130" t="s">
        <v>110</v>
      </c>
      <c r="S323" s="130" t="s">
        <v>81</v>
      </c>
      <c r="T323" s="169"/>
    </row>
    <row r="324" spans="1:20" x14ac:dyDescent="0.2">
      <c r="A324" s="132">
        <v>1</v>
      </c>
      <c r="B324" s="132" t="s">
        <v>12</v>
      </c>
      <c r="C324" s="134">
        <f>D312</f>
        <v>22632.5</v>
      </c>
      <c r="D324" s="147">
        <f>M241</f>
        <v>23655.786128724281</v>
      </c>
      <c r="E324" s="147">
        <f>D324-C324</f>
        <v>1023.2861287242813</v>
      </c>
      <c r="F324" s="134">
        <f>G312</f>
        <v>216260221.81999999</v>
      </c>
      <c r="G324" s="147">
        <f>M242</f>
        <v>221726183.0383642</v>
      </c>
      <c r="H324" s="168" t="s">
        <v>102</v>
      </c>
      <c r="I324" s="147">
        <f>G324-F324</f>
        <v>5465961.2183642089</v>
      </c>
      <c r="J324" s="169">
        <f>I324/F324</f>
        <v>2.5274926532322231E-2</v>
      </c>
      <c r="K324" s="132">
        <v>1</v>
      </c>
      <c r="L324" s="132" t="s">
        <v>12</v>
      </c>
      <c r="M324" s="134">
        <f>N312</f>
        <v>22632.5</v>
      </c>
      <c r="N324" s="147">
        <f>D324</f>
        <v>23655.786128724281</v>
      </c>
      <c r="O324" s="147">
        <f>N324-M324</f>
        <v>1023.2861287242813</v>
      </c>
      <c r="P324" s="134">
        <f>Q312</f>
        <v>214210074.91714638</v>
      </c>
      <c r="Q324" s="147">
        <f>G324</f>
        <v>221726183.0383642</v>
      </c>
      <c r="R324" s="168" t="s">
        <v>102</v>
      </c>
      <c r="S324" s="147">
        <f>Q324-P324</f>
        <v>7516108.1212178171</v>
      </c>
      <c r="T324" s="169">
        <f t="shared" si="53"/>
        <v>3.5087556568592526E-2</v>
      </c>
    </row>
    <row r="325" spans="1:20" x14ac:dyDescent="0.2">
      <c r="A325" s="132">
        <v>2</v>
      </c>
      <c r="B325" s="132" t="s">
        <v>13</v>
      </c>
      <c r="C325" s="134">
        <f t="shared" ref="C325:C330" si="63">D313</f>
        <v>1300.1666666666667</v>
      </c>
      <c r="D325" s="147">
        <f>M245</f>
        <v>1336.2500863644038</v>
      </c>
      <c r="E325" s="147">
        <f t="shared" ref="E325:E330" si="64">D325-C325</f>
        <v>36.083419697737099</v>
      </c>
      <c r="F325" s="134">
        <f t="shared" ref="F325:F330" si="65">G313</f>
        <v>47670304.479999997</v>
      </c>
      <c r="G325" s="147">
        <f>M246</f>
        <v>48058711.774956226</v>
      </c>
      <c r="H325" s="168" t="s">
        <v>102</v>
      </c>
      <c r="I325" s="147">
        <f t="shared" ref="I325:I330" si="66">G325-F325</f>
        <v>388407.29495622963</v>
      </c>
      <c r="J325" s="169">
        <f>I325/F325</f>
        <v>8.1477829687281594E-3</v>
      </c>
      <c r="K325" s="132">
        <v>2</v>
      </c>
      <c r="L325" s="132" t="s">
        <v>13</v>
      </c>
      <c r="M325" s="134">
        <f t="shared" ref="M325:M330" si="67">N313</f>
        <v>1300.1666666666667</v>
      </c>
      <c r="N325" s="147">
        <f t="shared" ref="N325:N330" si="68">D325</f>
        <v>1336.2500863644038</v>
      </c>
      <c r="O325" s="147">
        <f t="shared" ref="O325:O328" si="69">N325-M325</f>
        <v>36.083419697737099</v>
      </c>
      <c r="P325" s="134">
        <f t="shared" ref="P325:P330" si="70">Q313</f>
        <v>47218389.993529595</v>
      </c>
      <c r="Q325" s="147">
        <f t="shared" ref="Q325:Q330" si="71">G325</f>
        <v>48058711.774956226</v>
      </c>
      <c r="R325" s="168" t="s">
        <v>102</v>
      </c>
      <c r="S325" s="147">
        <f t="shared" ref="S325:S330" si="72">Q325-P325</f>
        <v>840321.78142663091</v>
      </c>
      <c r="T325" s="169">
        <f t="shared" si="53"/>
        <v>1.7796493729281777E-2</v>
      </c>
    </row>
    <row r="326" spans="1:20" x14ac:dyDescent="0.2">
      <c r="A326" s="132">
        <v>3</v>
      </c>
      <c r="B326" s="132" t="s">
        <v>14</v>
      </c>
      <c r="C326" s="134">
        <f t="shared" si="63"/>
        <v>87.416666666666671</v>
      </c>
      <c r="D326" s="147">
        <f>M249</f>
        <v>88.84089624731395</v>
      </c>
      <c r="E326" s="147">
        <f t="shared" si="64"/>
        <v>1.4242295806472782</v>
      </c>
      <c r="F326" s="134">
        <f t="shared" si="65"/>
        <v>176584.31999999998</v>
      </c>
      <c r="G326" s="147">
        <f>M251</f>
        <v>176623.48729087558</v>
      </c>
      <c r="H326" s="168" t="s">
        <v>103</v>
      </c>
      <c r="I326" s="147">
        <f t="shared" si="66"/>
        <v>39.167290875600884</v>
      </c>
      <c r="J326" s="169">
        <f t="shared" si="48"/>
        <v>2.2180503272091706E-4</v>
      </c>
      <c r="K326" s="132">
        <v>3</v>
      </c>
      <c r="L326" s="132" t="s">
        <v>14</v>
      </c>
      <c r="M326" s="134">
        <f t="shared" si="67"/>
        <v>87.416666666666671</v>
      </c>
      <c r="N326" s="147">
        <f t="shared" si="68"/>
        <v>88.84089624731395</v>
      </c>
      <c r="O326" s="147">
        <f t="shared" si="69"/>
        <v>1.4242295806472782</v>
      </c>
      <c r="P326" s="134">
        <f t="shared" si="70"/>
        <v>176584.31999999998</v>
      </c>
      <c r="Q326" s="147">
        <f t="shared" si="71"/>
        <v>176623.48729087558</v>
      </c>
      <c r="R326" s="168" t="s">
        <v>103</v>
      </c>
      <c r="S326" s="147">
        <f t="shared" si="72"/>
        <v>39.167290875600884</v>
      </c>
      <c r="T326" s="169">
        <f t="shared" si="53"/>
        <v>2.2180503272091706E-4</v>
      </c>
    </row>
    <row r="327" spans="1:20" x14ac:dyDescent="0.2">
      <c r="A327" s="132">
        <v>4</v>
      </c>
      <c r="B327" s="132" t="s">
        <v>15</v>
      </c>
      <c r="C327" s="134">
        <f t="shared" si="63"/>
        <v>1</v>
      </c>
      <c r="D327" s="147">
        <f>M254</f>
        <v>1</v>
      </c>
      <c r="E327" s="147">
        <f t="shared" si="64"/>
        <v>0</v>
      </c>
      <c r="F327" s="134">
        <f t="shared" si="65"/>
        <v>2882.5077963847998</v>
      </c>
      <c r="G327" s="147">
        <f>M256</f>
        <v>2575.2879008647628</v>
      </c>
      <c r="H327" s="168" t="s">
        <v>103</v>
      </c>
      <c r="I327" s="147">
        <f t="shared" si="66"/>
        <v>-307.21989552003697</v>
      </c>
      <c r="J327" s="169">
        <f t="shared" si="48"/>
        <v>-0.10658076828286389</v>
      </c>
      <c r="K327" s="132">
        <v>4</v>
      </c>
      <c r="L327" s="132" t="s">
        <v>15</v>
      </c>
      <c r="M327" s="134">
        <f t="shared" si="67"/>
        <v>1</v>
      </c>
      <c r="N327" s="147">
        <f t="shared" si="68"/>
        <v>1</v>
      </c>
      <c r="O327" s="147">
        <f t="shared" si="69"/>
        <v>0</v>
      </c>
      <c r="P327" s="134">
        <f t="shared" si="70"/>
        <v>2882.5077963847998</v>
      </c>
      <c r="Q327" s="147">
        <f t="shared" si="71"/>
        <v>2575.2879008647628</v>
      </c>
      <c r="R327" s="168" t="s">
        <v>103</v>
      </c>
      <c r="S327" s="147">
        <f t="shared" si="72"/>
        <v>-307.21989552003697</v>
      </c>
      <c r="T327" s="169">
        <f t="shared" si="53"/>
        <v>-0.10658076828286389</v>
      </c>
    </row>
    <row r="328" spans="1:20" x14ac:dyDescent="0.2">
      <c r="A328" s="132">
        <v>5</v>
      </c>
      <c r="B328" s="132" t="s">
        <v>16</v>
      </c>
      <c r="C328" s="134">
        <f t="shared" si="63"/>
        <v>69</v>
      </c>
      <c r="D328" s="147">
        <f>M259</f>
        <v>68.330016370611446</v>
      </c>
      <c r="E328" s="147">
        <f t="shared" si="64"/>
        <v>-0.66998362938855394</v>
      </c>
      <c r="F328" s="134">
        <f t="shared" si="65"/>
        <v>425256</v>
      </c>
      <c r="G328" s="147">
        <f>M260</f>
        <v>421126.80350290932</v>
      </c>
      <c r="H328" s="168" t="s">
        <v>102</v>
      </c>
      <c r="I328" s="147">
        <f t="shared" si="66"/>
        <v>-4129.1964970906847</v>
      </c>
      <c r="J328" s="169">
        <f t="shared" si="48"/>
        <v>-9.709907672297827E-3</v>
      </c>
      <c r="K328" s="132">
        <v>5</v>
      </c>
      <c r="L328" s="132" t="s">
        <v>16</v>
      </c>
      <c r="M328" s="134">
        <f t="shared" si="67"/>
        <v>69</v>
      </c>
      <c r="N328" s="147">
        <f t="shared" si="68"/>
        <v>68.330016370611446</v>
      </c>
      <c r="O328" s="147">
        <f t="shared" si="69"/>
        <v>-0.66998362938855394</v>
      </c>
      <c r="P328" s="134">
        <f t="shared" si="70"/>
        <v>421224.57311999996</v>
      </c>
      <c r="Q328" s="147">
        <f t="shared" si="71"/>
        <v>421126.80350290932</v>
      </c>
      <c r="R328" s="168" t="s">
        <v>102</v>
      </c>
      <c r="S328" s="147">
        <f t="shared" si="72"/>
        <v>-97.769617090641987</v>
      </c>
      <c r="T328" s="169">
        <f t="shared" si="53"/>
        <v>-2.3210805667500558E-4</v>
      </c>
    </row>
    <row r="329" spans="1:20" x14ac:dyDescent="0.2">
      <c r="A329" s="132">
        <v>6</v>
      </c>
      <c r="B329" s="132" t="s">
        <v>17</v>
      </c>
      <c r="C329" s="134">
        <f t="shared" si="63"/>
        <v>144.66666666666666</v>
      </c>
      <c r="D329" s="147">
        <f>M263</f>
        <v>142.46445522039346</v>
      </c>
      <c r="E329" s="147">
        <f t="shared" si="64"/>
        <v>-2.2022114462731963</v>
      </c>
      <c r="F329" s="134">
        <f t="shared" si="65"/>
        <v>294.95850000000002</v>
      </c>
      <c r="G329" s="147">
        <f>M265</f>
        <v>295</v>
      </c>
      <c r="H329" s="168" t="s">
        <v>103</v>
      </c>
      <c r="I329" s="147">
        <f t="shared" si="66"/>
        <v>4.1499999999984993E-2</v>
      </c>
      <c r="J329" s="169">
        <f t="shared" si="48"/>
        <v>1.4069775917624001E-4</v>
      </c>
      <c r="K329" s="132">
        <v>6</v>
      </c>
      <c r="L329" s="132" t="s">
        <v>17</v>
      </c>
      <c r="M329" s="134">
        <f t="shared" si="67"/>
        <v>144.66666666666666</v>
      </c>
      <c r="N329" s="147">
        <f t="shared" si="68"/>
        <v>142.46445522039346</v>
      </c>
      <c r="O329" s="147">
        <f>N329-M329</f>
        <v>-2.2022114462731963</v>
      </c>
      <c r="P329" s="134">
        <f t="shared" si="70"/>
        <v>294.95850000000002</v>
      </c>
      <c r="Q329" s="147">
        <f t="shared" si="71"/>
        <v>295</v>
      </c>
      <c r="R329" s="168" t="s">
        <v>103</v>
      </c>
      <c r="S329" s="147">
        <f t="shared" si="72"/>
        <v>4.1499999999984993E-2</v>
      </c>
      <c r="T329" s="169">
        <f t="shared" si="53"/>
        <v>1.4069775917624001E-4</v>
      </c>
    </row>
    <row r="330" spans="1:20" x14ac:dyDescent="0.2">
      <c r="A330" s="132">
        <v>7</v>
      </c>
      <c r="B330" s="132" t="s">
        <v>18</v>
      </c>
      <c r="C330" s="134">
        <f t="shared" si="63"/>
        <v>4847.75</v>
      </c>
      <c r="D330" s="147">
        <f>M268</f>
        <v>5139.8519953660216</v>
      </c>
      <c r="E330" s="147">
        <f t="shared" si="64"/>
        <v>292.10199536602158</v>
      </c>
      <c r="F330" s="134">
        <f t="shared" si="65"/>
        <v>3010.8458515018006</v>
      </c>
      <c r="G330" s="147">
        <f>M270</f>
        <v>3189.6913149462416</v>
      </c>
      <c r="H330" s="168" t="s">
        <v>103</v>
      </c>
      <c r="I330" s="147">
        <f t="shared" si="66"/>
        <v>178.84546344444107</v>
      </c>
      <c r="J330" s="169">
        <f>I330/F330</f>
        <v>5.9400405156987197E-2</v>
      </c>
      <c r="K330" s="132">
        <v>7</v>
      </c>
      <c r="L330" s="132" t="s">
        <v>18</v>
      </c>
      <c r="M330" s="134">
        <f t="shared" si="67"/>
        <v>4847.75</v>
      </c>
      <c r="N330" s="147">
        <f t="shared" si="68"/>
        <v>5139.8519953660216</v>
      </c>
      <c r="O330" s="147">
        <f>N330-M330</f>
        <v>292.10199536602158</v>
      </c>
      <c r="P330" s="134">
        <f t="shared" si="70"/>
        <v>3010.8458515018006</v>
      </c>
      <c r="Q330" s="147">
        <f t="shared" si="71"/>
        <v>3189.6913149462416</v>
      </c>
      <c r="R330" s="168" t="s">
        <v>103</v>
      </c>
      <c r="S330" s="147">
        <f t="shared" si="72"/>
        <v>178.84546344444107</v>
      </c>
      <c r="T330" s="169">
        <f t="shared" si="53"/>
        <v>5.9400405156987197E-2</v>
      </c>
    </row>
    <row r="331" spans="1:20" x14ac:dyDescent="0.2">
      <c r="A331" s="152">
        <v>8</v>
      </c>
      <c r="B331" s="152" t="s">
        <v>74</v>
      </c>
      <c r="C331" s="171">
        <f>SUM(C324:C330)</f>
        <v>29082.500000000004</v>
      </c>
      <c r="D331" s="171">
        <f>SUM(D324:D330)</f>
        <v>30432.523578293029</v>
      </c>
      <c r="E331" s="171">
        <f>SUM(E324:E330)</f>
        <v>1350.0235782930256</v>
      </c>
      <c r="F331" s="171"/>
      <c r="G331" s="171"/>
      <c r="H331" s="171"/>
      <c r="I331" s="171"/>
      <c r="J331" s="169"/>
      <c r="K331" s="152">
        <v>8</v>
      </c>
      <c r="L331" s="152" t="s">
        <v>74</v>
      </c>
      <c r="M331" s="171">
        <f>SUM(M324:M330)</f>
        <v>29082.500000000004</v>
      </c>
      <c r="N331" s="171">
        <f>SUM(N324:N330)</f>
        <v>30432.523578293029</v>
      </c>
      <c r="O331" s="171">
        <f>SUM(O324:O330)</f>
        <v>1350.0235782930256</v>
      </c>
      <c r="P331" s="171"/>
      <c r="Q331" s="171"/>
      <c r="R331" s="171"/>
      <c r="S331" s="171"/>
      <c r="T331" s="169"/>
    </row>
    <row r="332" spans="1:20" x14ac:dyDescent="0.2">
      <c r="T332" s="169"/>
    </row>
    <row r="333" spans="1:20" x14ac:dyDescent="0.2">
      <c r="K333" s="128" t="s">
        <v>121</v>
      </c>
      <c r="T333" s="169"/>
    </row>
    <row r="334" spans="1:20" x14ac:dyDescent="0.2">
      <c r="K334" s="225"/>
      <c r="L334" s="226"/>
      <c r="M334" s="227" t="s">
        <v>101</v>
      </c>
      <c r="N334" s="227"/>
      <c r="O334" s="227"/>
      <c r="P334" s="227" t="s">
        <v>106</v>
      </c>
      <c r="Q334" s="227"/>
      <c r="R334" s="227"/>
      <c r="S334" s="227"/>
      <c r="T334" s="169"/>
    </row>
    <row r="335" spans="1:20" x14ac:dyDescent="0.2">
      <c r="K335" s="130" t="s">
        <v>99</v>
      </c>
      <c r="L335" s="130" t="s">
        <v>100</v>
      </c>
      <c r="M335" s="130" t="s">
        <v>120</v>
      </c>
      <c r="N335" s="130" t="s">
        <v>122</v>
      </c>
      <c r="O335" s="130" t="s">
        <v>109</v>
      </c>
      <c r="P335" s="130" t="str">
        <f>Q323</f>
        <v>2026 Normal</v>
      </c>
      <c r="Q335" s="130" t="s">
        <v>122</v>
      </c>
      <c r="R335" s="130" t="s">
        <v>110</v>
      </c>
      <c r="S335" s="130" t="s">
        <v>81</v>
      </c>
      <c r="T335" s="169"/>
    </row>
    <row r="336" spans="1:20" x14ac:dyDescent="0.2">
      <c r="K336" s="132">
        <v>1</v>
      </c>
      <c r="L336" s="132" t="s">
        <v>12</v>
      </c>
      <c r="M336" s="134">
        <f>N324</f>
        <v>23655.786128724281</v>
      </c>
      <c r="N336" s="147">
        <f>N241</f>
        <v>24725.338224586067</v>
      </c>
      <c r="O336" s="147">
        <f>N336-M336</f>
        <v>1069.5520958617853</v>
      </c>
      <c r="P336" s="134">
        <f>Q324</f>
        <v>221726183.0383642</v>
      </c>
      <c r="Q336" s="147">
        <f>N242</f>
        <v>231433978.41278955</v>
      </c>
      <c r="R336" s="168" t="s">
        <v>102</v>
      </c>
      <c r="S336" s="147">
        <f>Q336-P336</f>
        <v>9707795.3744253516</v>
      </c>
      <c r="T336" s="169">
        <f t="shared" si="53"/>
        <v>4.3782810137247795E-2</v>
      </c>
    </row>
    <row r="337" spans="11:20" x14ac:dyDescent="0.2">
      <c r="K337" s="132">
        <v>2</v>
      </c>
      <c r="L337" s="132" t="s">
        <v>13</v>
      </c>
      <c r="M337" s="134">
        <f t="shared" ref="M337:M342" si="73">N325</f>
        <v>1336.2500863644038</v>
      </c>
      <c r="N337" s="147">
        <f>N245</f>
        <v>1373.3349262726908</v>
      </c>
      <c r="O337" s="147">
        <f t="shared" ref="O337:O340" si="74">N337-M337</f>
        <v>37.084839908286995</v>
      </c>
      <c r="P337" s="134">
        <f t="shared" ref="P337:P342" si="75">Q325</f>
        <v>48058711.774956226</v>
      </c>
      <c r="Q337" s="147">
        <f>N246</f>
        <v>49324890.322704032</v>
      </c>
      <c r="R337" s="168" t="s">
        <v>102</v>
      </c>
      <c r="S337" s="147">
        <f t="shared" ref="S337:S342" si="76">Q337-P337</f>
        <v>1266178.5477478057</v>
      </c>
      <c r="T337" s="169">
        <f t="shared" si="53"/>
        <v>2.6346493715372982E-2</v>
      </c>
    </row>
    <row r="338" spans="11:20" x14ac:dyDescent="0.2">
      <c r="K338" s="132">
        <v>3</v>
      </c>
      <c r="L338" s="132" t="s">
        <v>14</v>
      </c>
      <c r="M338" s="134">
        <f t="shared" si="73"/>
        <v>88.84089624731395</v>
      </c>
      <c r="N338" s="147">
        <f>N249</f>
        <v>90.28832998313824</v>
      </c>
      <c r="O338" s="147">
        <f t="shared" si="74"/>
        <v>1.4474337358242906</v>
      </c>
      <c r="P338" s="134">
        <f t="shared" si="75"/>
        <v>176623.48729087558</v>
      </c>
      <c r="Q338" s="147">
        <f>N251</f>
        <v>179308.37474440088</v>
      </c>
      <c r="R338" s="168" t="s">
        <v>103</v>
      </c>
      <c r="S338" s="147">
        <f t="shared" si="76"/>
        <v>2684.887453525298</v>
      </c>
      <c r="T338" s="169">
        <f t="shared" si="53"/>
        <v>1.5201191498974554E-2</v>
      </c>
    </row>
    <row r="339" spans="11:20" x14ac:dyDescent="0.2">
      <c r="K339" s="132">
        <v>4</v>
      </c>
      <c r="L339" s="132" t="s">
        <v>15</v>
      </c>
      <c r="M339" s="134">
        <f t="shared" si="73"/>
        <v>1</v>
      </c>
      <c r="N339" s="147">
        <f>N254</f>
        <v>1</v>
      </c>
      <c r="O339" s="147">
        <f t="shared" si="74"/>
        <v>0</v>
      </c>
      <c r="P339" s="134">
        <f t="shared" si="75"/>
        <v>2575.2879008647628</v>
      </c>
      <c r="Q339" s="147">
        <f>N256</f>
        <v>2575.2879008647628</v>
      </c>
      <c r="R339" s="168" t="s">
        <v>103</v>
      </c>
      <c r="S339" s="147">
        <f t="shared" si="76"/>
        <v>0</v>
      </c>
      <c r="T339" s="169">
        <f t="shared" si="53"/>
        <v>0</v>
      </c>
    </row>
    <row r="340" spans="11:20" x14ac:dyDescent="0.2">
      <c r="K340" s="132">
        <v>5</v>
      </c>
      <c r="L340" s="132" t="s">
        <v>16</v>
      </c>
      <c r="M340" s="134">
        <f t="shared" si="73"/>
        <v>68.330016370611446</v>
      </c>
      <c r="N340" s="147">
        <f>N259</f>
        <v>67.666538220406196</v>
      </c>
      <c r="O340" s="147">
        <f t="shared" si="74"/>
        <v>-0.66347815020525047</v>
      </c>
      <c r="P340" s="134">
        <f t="shared" si="75"/>
        <v>421126.80350290932</v>
      </c>
      <c r="Q340" s="147">
        <f>N260</f>
        <v>417037.70112256607</v>
      </c>
      <c r="R340" s="168" t="s">
        <v>102</v>
      </c>
      <c r="S340" s="147">
        <f t="shared" si="76"/>
        <v>-4089.1023803432472</v>
      </c>
      <c r="T340" s="169">
        <f t="shared" si="53"/>
        <v>-9.7099076722980369E-3</v>
      </c>
    </row>
    <row r="341" spans="11:20" x14ac:dyDescent="0.2">
      <c r="K341" s="132">
        <v>6</v>
      </c>
      <c r="L341" s="132" t="s">
        <v>17</v>
      </c>
      <c r="M341" s="134">
        <f t="shared" si="73"/>
        <v>142.46445522039346</v>
      </c>
      <c r="N341" s="147">
        <f>N263</f>
        <v>140.29576728970159</v>
      </c>
      <c r="O341" s="147">
        <f>N341-M341</f>
        <v>-2.168687930691874</v>
      </c>
      <c r="P341" s="134">
        <f t="shared" si="75"/>
        <v>295</v>
      </c>
      <c r="Q341" s="147">
        <f>N265</f>
        <v>295</v>
      </c>
      <c r="R341" s="168" t="s">
        <v>103</v>
      </c>
      <c r="S341" s="147">
        <f t="shared" si="76"/>
        <v>0</v>
      </c>
      <c r="T341" s="169">
        <f t="shared" si="53"/>
        <v>0</v>
      </c>
    </row>
    <row r="342" spans="11:20" x14ac:dyDescent="0.2">
      <c r="K342" s="132">
        <v>7</v>
      </c>
      <c r="L342" s="132" t="s">
        <v>18</v>
      </c>
      <c r="M342" s="134">
        <f t="shared" si="73"/>
        <v>5139.8519953660216</v>
      </c>
      <c r="N342" s="147">
        <f>N268</f>
        <v>5449.5546458187964</v>
      </c>
      <c r="O342" s="147">
        <f>N342-M342</f>
        <v>309.70265045277483</v>
      </c>
      <c r="P342" s="134">
        <f t="shared" si="75"/>
        <v>3189.6913149462416</v>
      </c>
      <c r="Q342" s="147">
        <f>N270</f>
        <v>3381.88670408501</v>
      </c>
      <c r="R342" s="168" t="s">
        <v>103</v>
      </c>
      <c r="S342" s="147">
        <f t="shared" si="76"/>
        <v>192.19538913876841</v>
      </c>
      <c r="T342" s="169">
        <f t="shared" ref="T342" si="77">S342/P342</f>
        <v>6.0255168968288593E-2</v>
      </c>
    </row>
    <row r="343" spans="11:20" x14ac:dyDescent="0.2">
      <c r="K343" s="152">
        <v>8</v>
      </c>
      <c r="L343" s="152" t="s">
        <v>74</v>
      </c>
      <c r="M343" s="171">
        <f>SUM(M336:M342)</f>
        <v>30432.523578293029</v>
      </c>
      <c r="N343" s="171">
        <f>SUM(N336:N342)</f>
        <v>31847.478432170799</v>
      </c>
      <c r="O343" s="171">
        <f>SUM(O336:O342)</f>
        <v>1414.9548538777742</v>
      </c>
      <c r="P343" s="171"/>
      <c r="Q343" s="171"/>
      <c r="R343" s="171"/>
      <c r="S343" s="171"/>
    </row>
  </sheetData>
  <mergeCells count="46">
    <mergeCell ref="K334:L334"/>
    <mergeCell ref="M334:O334"/>
    <mergeCell ref="P334:S334"/>
    <mergeCell ref="K322:L322"/>
    <mergeCell ref="M322:O322"/>
    <mergeCell ref="P322:S322"/>
    <mergeCell ref="A322:B322"/>
    <mergeCell ref="C322:E322"/>
    <mergeCell ref="F322:I322"/>
    <mergeCell ref="A98:B98"/>
    <mergeCell ref="A3:G3"/>
    <mergeCell ref="A22:I22"/>
    <mergeCell ref="A33:I33"/>
    <mergeCell ref="A34:I34"/>
    <mergeCell ref="A36:I36"/>
    <mergeCell ref="A52:I52"/>
    <mergeCell ref="A68:H68"/>
    <mergeCell ref="A69:H69"/>
    <mergeCell ref="A80:H80"/>
    <mergeCell ref="A81:H81"/>
    <mergeCell ref="A82:H82"/>
    <mergeCell ref="A207:I207"/>
    <mergeCell ref="A105:B105"/>
    <mergeCell ref="A142:I142"/>
    <mergeCell ref="A158:H158"/>
    <mergeCell ref="A168:H168"/>
    <mergeCell ref="A173:I173"/>
    <mergeCell ref="A179:H179"/>
    <mergeCell ref="A184:H184"/>
    <mergeCell ref="A190:H190"/>
    <mergeCell ref="A196:G196"/>
    <mergeCell ref="A201:I201"/>
    <mergeCell ref="A204:I204"/>
    <mergeCell ref="C286:E286"/>
    <mergeCell ref="A298:B298"/>
    <mergeCell ref="C298:E298"/>
    <mergeCell ref="F298:I298"/>
    <mergeCell ref="K298:L298"/>
    <mergeCell ref="P298:S298"/>
    <mergeCell ref="A310:B310"/>
    <mergeCell ref="C310:E310"/>
    <mergeCell ref="F310:I310"/>
    <mergeCell ref="K310:L310"/>
    <mergeCell ref="M310:O310"/>
    <mergeCell ref="P310:S310"/>
    <mergeCell ref="M298:O298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96AF-C035-4C8C-A8D1-A57E5B3DA071}">
  <sheetPr codeName="Sheet4">
    <tabColor rgb="FFFFFF00"/>
  </sheetPr>
  <dimension ref="A1:AE152"/>
  <sheetViews>
    <sheetView showGridLines="0" zoomScale="90" zoomScaleNormal="90" workbookViewId="0">
      <selection activeCell="B9" sqref="B9"/>
    </sheetView>
  </sheetViews>
  <sheetFormatPr defaultRowHeight="13.2" x14ac:dyDescent="0.25"/>
  <cols>
    <col min="1" max="3" width="14.5546875" style="47" customWidth="1"/>
    <col min="4" max="6" width="14.5546875" style="50" customWidth="1"/>
    <col min="7" max="8" width="14.5546875" style="47" customWidth="1"/>
    <col min="9" max="18" width="14" style="47" customWidth="1"/>
    <col min="19" max="19" width="14.5546875" style="48" bestFit="1" customWidth="1"/>
    <col min="20" max="20" width="12.109375" style="48" bestFit="1" customWidth="1"/>
    <col min="21" max="30" width="14" style="47" customWidth="1"/>
    <col min="31" max="32" width="13.33203125" style="47" customWidth="1"/>
    <col min="33" max="257" width="9.109375" style="47"/>
    <col min="258" max="258" width="31" style="47" customWidth="1"/>
    <col min="259" max="259" width="18.5546875" style="47" customWidth="1"/>
    <col min="260" max="260" width="3.6640625" style="47" customWidth="1"/>
    <col min="261" max="261" width="18.6640625" style="47" customWidth="1"/>
    <col min="262" max="270" width="14" style="47" customWidth="1"/>
    <col min="271" max="271" width="13" style="47" bestFit="1" customWidth="1"/>
    <col min="272" max="272" width="14.5546875" style="47" bestFit="1" customWidth="1"/>
    <col min="273" max="273" width="12.109375" style="47" bestFit="1" customWidth="1"/>
    <col min="274" max="284" width="14" style="47" customWidth="1"/>
    <col min="285" max="288" width="13.33203125" style="47" customWidth="1"/>
    <col min="289" max="513" width="9.109375" style="47"/>
    <col min="514" max="514" width="31" style="47" customWidth="1"/>
    <col min="515" max="515" width="18.5546875" style="47" customWidth="1"/>
    <col min="516" max="516" width="3.6640625" style="47" customWidth="1"/>
    <col min="517" max="517" width="18.6640625" style="47" customWidth="1"/>
    <col min="518" max="526" width="14" style="47" customWidth="1"/>
    <col min="527" max="527" width="13" style="47" bestFit="1" customWidth="1"/>
    <col min="528" max="528" width="14.5546875" style="47" bestFit="1" customWidth="1"/>
    <col min="529" max="529" width="12.109375" style="47" bestFit="1" customWidth="1"/>
    <col min="530" max="540" width="14" style="47" customWidth="1"/>
    <col min="541" max="544" width="13.33203125" style="47" customWidth="1"/>
    <col min="545" max="769" width="9.109375" style="47"/>
    <col min="770" max="770" width="31" style="47" customWidth="1"/>
    <col min="771" max="771" width="18.5546875" style="47" customWidth="1"/>
    <col min="772" max="772" width="3.6640625" style="47" customWidth="1"/>
    <col min="773" max="773" width="18.6640625" style="47" customWidth="1"/>
    <col min="774" max="782" width="14" style="47" customWidth="1"/>
    <col min="783" max="783" width="13" style="47" bestFit="1" customWidth="1"/>
    <col min="784" max="784" width="14.5546875" style="47" bestFit="1" customWidth="1"/>
    <col min="785" max="785" width="12.109375" style="47" bestFit="1" customWidth="1"/>
    <col min="786" max="796" width="14" style="47" customWidth="1"/>
    <col min="797" max="800" width="13.33203125" style="47" customWidth="1"/>
    <col min="801" max="1025" width="9.109375" style="47"/>
    <col min="1026" max="1026" width="31" style="47" customWidth="1"/>
    <col min="1027" max="1027" width="18.5546875" style="47" customWidth="1"/>
    <col min="1028" max="1028" width="3.6640625" style="47" customWidth="1"/>
    <col min="1029" max="1029" width="18.6640625" style="47" customWidth="1"/>
    <col min="1030" max="1038" width="14" style="47" customWidth="1"/>
    <col min="1039" max="1039" width="13" style="47" bestFit="1" customWidth="1"/>
    <col min="1040" max="1040" width="14.5546875" style="47" bestFit="1" customWidth="1"/>
    <col min="1041" max="1041" width="12.109375" style="47" bestFit="1" customWidth="1"/>
    <col min="1042" max="1052" width="14" style="47" customWidth="1"/>
    <col min="1053" max="1056" width="13.33203125" style="47" customWidth="1"/>
    <col min="1057" max="1281" width="9.109375" style="47"/>
    <col min="1282" max="1282" width="31" style="47" customWidth="1"/>
    <col min="1283" max="1283" width="18.5546875" style="47" customWidth="1"/>
    <col min="1284" max="1284" width="3.6640625" style="47" customWidth="1"/>
    <col min="1285" max="1285" width="18.6640625" style="47" customWidth="1"/>
    <col min="1286" max="1294" width="14" style="47" customWidth="1"/>
    <col min="1295" max="1295" width="13" style="47" bestFit="1" customWidth="1"/>
    <col min="1296" max="1296" width="14.5546875" style="47" bestFit="1" customWidth="1"/>
    <col min="1297" max="1297" width="12.109375" style="47" bestFit="1" customWidth="1"/>
    <col min="1298" max="1308" width="14" style="47" customWidth="1"/>
    <col min="1309" max="1312" width="13.33203125" style="47" customWidth="1"/>
    <col min="1313" max="1537" width="9.109375" style="47"/>
    <col min="1538" max="1538" width="31" style="47" customWidth="1"/>
    <col min="1539" max="1539" width="18.5546875" style="47" customWidth="1"/>
    <col min="1540" max="1540" width="3.6640625" style="47" customWidth="1"/>
    <col min="1541" max="1541" width="18.6640625" style="47" customWidth="1"/>
    <col min="1542" max="1550" width="14" style="47" customWidth="1"/>
    <col min="1551" max="1551" width="13" style="47" bestFit="1" customWidth="1"/>
    <col min="1552" max="1552" width="14.5546875" style="47" bestFit="1" customWidth="1"/>
    <col min="1553" max="1553" width="12.109375" style="47" bestFit="1" customWidth="1"/>
    <col min="1554" max="1564" width="14" style="47" customWidth="1"/>
    <col min="1565" max="1568" width="13.33203125" style="47" customWidth="1"/>
    <col min="1569" max="1793" width="9.109375" style="47"/>
    <col min="1794" max="1794" width="31" style="47" customWidth="1"/>
    <col min="1795" max="1795" width="18.5546875" style="47" customWidth="1"/>
    <col min="1796" max="1796" width="3.6640625" style="47" customWidth="1"/>
    <col min="1797" max="1797" width="18.6640625" style="47" customWidth="1"/>
    <col min="1798" max="1806" width="14" style="47" customWidth="1"/>
    <col min="1807" max="1807" width="13" style="47" bestFit="1" customWidth="1"/>
    <col min="1808" max="1808" width="14.5546875" style="47" bestFit="1" customWidth="1"/>
    <col min="1809" max="1809" width="12.109375" style="47" bestFit="1" customWidth="1"/>
    <col min="1810" max="1820" width="14" style="47" customWidth="1"/>
    <col min="1821" max="1824" width="13.33203125" style="47" customWidth="1"/>
    <col min="1825" max="2049" width="9.109375" style="47"/>
    <col min="2050" max="2050" width="31" style="47" customWidth="1"/>
    <col min="2051" max="2051" width="18.5546875" style="47" customWidth="1"/>
    <col min="2052" max="2052" width="3.6640625" style="47" customWidth="1"/>
    <col min="2053" max="2053" width="18.6640625" style="47" customWidth="1"/>
    <col min="2054" max="2062" width="14" style="47" customWidth="1"/>
    <col min="2063" max="2063" width="13" style="47" bestFit="1" customWidth="1"/>
    <col min="2064" max="2064" width="14.5546875" style="47" bestFit="1" customWidth="1"/>
    <col min="2065" max="2065" width="12.109375" style="47" bestFit="1" customWidth="1"/>
    <col min="2066" max="2076" width="14" style="47" customWidth="1"/>
    <col min="2077" max="2080" width="13.33203125" style="47" customWidth="1"/>
    <col min="2081" max="2305" width="9.109375" style="47"/>
    <col min="2306" max="2306" width="31" style="47" customWidth="1"/>
    <col min="2307" max="2307" width="18.5546875" style="47" customWidth="1"/>
    <col min="2308" max="2308" width="3.6640625" style="47" customWidth="1"/>
    <col min="2309" max="2309" width="18.6640625" style="47" customWidth="1"/>
    <col min="2310" max="2318" width="14" style="47" customWidth="1"/>
    <col min="2319" max="2319" width="13" style="47" bestFit="1" customWidth="1"/>
    <col min="2320" max="2320" width="14.5546875" style="47" bestFit="1" customWidth="1"/>
    <col min="2321" max="2321" width="12.109375" style="47" bestFit="1" customWidth="1"/>
    <col min="2322" max="2332" width="14" style="47" customWidth="1"/>
    <col min="2333" max="2336" width="13.33203125" style="47" customWidth="1"/>
    <col min="2337" max="2561" width="9.109375" style="47"/>
    <col min="2562" max="2562" width="31" style="47" customWidth="1"/>
    <col min="2563" max="2563" width="18.5546875" style="47" customWidth="1"/>
    <col min="2564" max="2564" width="3.6640625" style="47" customWidth="1"/>
    <col min="2565" max="2565" width="18.6640625" style="47" customWidth="1"/>
    <col min="2566" max="2574" width="14" style="47" customWidth="1"/>
    <col min="2575" max="2575" width="13" style="47" bestFit="1" customWidth="1"/>
    <col min="2576" max="2576" width="14.5546875" style="47" bestFit="1" customWidth="1"/>
    <col min="2577" max="2577" width="12.109375" style="47" bestFit="1" customWidth="1"/>
    <col min="2578" max="2588" width="14" style="47" customWidth="1"/>
    <col min="2589" max="2592" width="13.33203125" style="47" customWidth="1"/>
    <col min="2593" max="2817" width="9.109375" style="47"/>
    <col min="2818" max="2818" width="31" style="47" customWidth="1"/>
    <col min="2819" max="2819" width="18.5546875" style="47" customWidth="1"/>
    <col min="2820" max="2820" width="3.6640625" style="47" customWidth="1"/>
    <col min="2821" max="2821" width="18.6640625" style="47" customWidth="1"/>
    <col min="2822" max="2830" width="14" style="47" customWidth="1"/>
    <col min="2831" max="2831" width="13" style="47" bestFit="1" customWidth="1"/>
    <col min="2832" max="2832" width="14.5546875" style="47" bestFit="1" customWidth="1"/>
    <col min="2833" max="2833" width="12.109375" style="47" bestFit="1" customWidth="1"/>
    <col min="2834" max="2844" width="14" style="47" customWidth="1"/>
    <col min="2845" max="2848" width="13.33203125" style="47" customWidth="1"/>
    <col min="2849" max="3073" width="9.109375" style="47"/>
    <col min="3074" max="3074" width="31" style="47" customWidth="1"/>
    <col min="3075" max="3075" width="18.5546875" style="47" customWidth="1"/>
    <col min="3076" max="3076" width="3.6640625" style="47" customWidth="1"/>
    <col min="3077" max="3077" width="18.6640625" style="47" customWidth="1"/>
    <col min="3078" max="3086" width="14" style="47" customWidth="1"/>
    <col min="3087" max="3087" width="13" style="47" bestFit="1" customWidth="1"/>
    <col min="3088" max="3088" width="14.5546875" style="47" bestFit="1" customWidth="1"/>
    <col min="3089" max="3089" width="12.109375" style="47" bestFit="1" customWidth="1"/>
    <col min="3090" max="3100" width="14" style="47" customWidth="1"/>
    <col min="3101" max="3104" width="13.33203125" style="47" customWidth="1"/>
    <col min="3105" max="3329" width="9.109375" style="47"/>
    <col min="3330" max="3330" width="31" style="47" customWidth="1"/>
    <col min="3331" max="3331" width="18.5546875" style="47" customWidth="1"/>
    <col min="3332" max="3332" width="3.6640625" style="47" customWidth="1"/>
    <col min="3333" max="3333" width="18.6640625" style="47" customWidth="1"/>
    <col min="3334" max="3342" width="14" style="47" customWidth="1"/>
    <col min="3343" max="3343" width="13" style="47" bestFit="1" customWidth="1"/>
    <col min="3344" max="3344" width="14.5546875" style="47" bestFit="1" customWidth="1"/>
    <col min="3345" max="3345" width="12.109375" style="47" bestFit="1" customWidth="1"/>
    <col min="3346" max="3356" width="14" style="47" customWidth="1"/>
    <col min="3357" max="3360" width="13.33203125" style="47" customWidth="1"/>
    <col min="3361" max="3585" width="9.109375" style="47"/>
    <col min="3586" max="3586" width="31" style="47" customWidth="1"/>
    <col min="3587" max="3587" width="18.5546875" style="47" customWidth="1"/>
    <col min="3588" max="3588" width="3.6640625" style="47" customWidth="1"/>
    <col min="3589" max="3589" width="18.6640625" style="47" customWidth="1"/>
    <col min="3590" max="3598" width="14" style="47" customWidth="1"/>
    <col min="3599" max="3599" width="13" style="47" bestFit="1" customWidth="1"/>
    <col min="3600" max="3600" width="14.5546875" style="47" bestFit="1" customWidth="1"/>
    <col min="3601" max="3601" width="12.109375" style="47" bestFit="1" customWidth="1"/>
    <col min="3602" max="3612" width="14" style="47" customWidth="1"/>
    <col min="3613" max="3616" width="13.33203125" style="47" customWidth="1"/>
    <col min="3617" max="3841" width="9.109375" style="47"/>
    <col min="3842" max="3842" width="31" style="47" customWidth="1"/>
    <col min="3843" max="3843" width="18.5546875" style="47" customWidth="1"/>
    <col min="3844" max="3844" width="3.6640625" style="47" customWidth="1"/>
    <col min="3845" max="3845" width="18.6640625" style="47" customWidth="1"/>
    <col min="3846" max="3854" width="14" style="47" customWidth="1"/>
    <col min="3855" max="3855" width="13" style="47" bestFit="1" customWidth="1"/>
    <col min="3856" max="3856" width="14.5546875" style="47" bestFit="1" customWidth="1"/>
    <col min="3857" max="3857" width="12.109375" style="47" bestFit="1" customWidth="1"/>
    <col min="3858" max="3868" width="14" style="47" customWidth="1"/>
    <col min="3869" max="3872" width="13.33203125" style="47" customWidth="1"/>
    <col min="3873" max="4097" width="9.109375" style="47"/>
    <col min="4098" max="4098" width="31" style="47" customWidth="1"/>
    <col min="4099" max="4099" width="18.5546875" style="47" customWidth="1"/>
    <col min="4100" max="4100" width="3.6640625" style="47" customWidth="1"/>
    <col min="4101" max="4101" width="18.6640625" style="47" customWidth="1"/>
    <col min="4102" max="4110" width="14" style="47" customWidth="1"/>
    <col min="4111" max="4111" width="13" style="47" bestFit="1" customWidth="1"/>
    <col min="4112" max="4112" width="14.5546875" style="47" bestFit="1" customWidth="1"/>
    <col min="4113" max="4113" width="12.109375" style="47" bestFit="1" customWidth="1"/>
    <col min="4114" max="4124" width="14" style="47" customWidth="1"/>
    <col min="4125" max="4128" width="13.33203125" style="47" customWidth="1"/>
    <col min="4129" max="4353" width="9.109375" style="47"/>
    <col min="4354" max="4354" width="31" style="47" customWidth="1"/>
    <col min="4355" max="4355" width="18.5546875" style="47" customWidth="1"/>
    <col min="4356" max="4356" width="3.6640625" style="47" customWidth="1"/>
    <col min="4357" max="4357" width="18.6640625" style="47" customWidth="1"/>
    <col min="4358" max="4366" width="14" style="47" customWidth="1"/>
    <col min="4367" max="4367" width="13" style="47" bestFit="1" customWidth="1"/>
    <col min="4368" max="4368" width="14.5546875" style="47" bestFit="1" customWidth="1"/>
    <col min="4369" max="4369" width="12.109375" style="47" bestFit="1" customWidth="1"/>
    <col min="4370" max="4380" width="14" style="47" customWidth="1"/>
    <col min="4381" max="4384" width="13.33203125" style="47" customWidth="1"/>
    <col min="4385" max="4609" width="9.109375" style="47"/>
    <col min="4610" max="4610" width="31" style="47" customWidth="1"/>
    <col min="4611" max="4611" width="18.5546875" style="47" customWidth="1"/>
    <col min="4612" max="4612" width="3.6640625" style="47" customWidth="1"/>
    <col min="4613" max="4613" width="18.6640625" style="47" customWidth="1"/>
    <col min="4614" max="4622" width="14" style="47" customWidth="1"/>
    <col min="4623" max="4623" width="13" style="47" bestFit="1" customWidth="1"/>
    <col min="4624" max="4624" width="14.5546875" style="47" bestFit="1" customWidth="1"/>
    <col min="4625" max="4625" width="12.109375" style="47" bestFit="1" customWidth="1"/>
    <col min="4626" max="4636" width="14" style="47" customWidth="1"/>
    <col min="4637" max="4640" width="13.33203125" style="47" customWidth="1"/>
    <col min="4641" max="4865" width="9.109375" style="47"/>
    <col min="4866" max="4866" width="31" style="47" customWidth="1"/>
    <col min="4867" max="4867" width="18.5546875" style="47" customWidth="1"/>
    <col min="4868" max="4868" width="3.6640625" style="47" customWidth="1"/>
    <col min="4869" max="4869" width="18.6640625" style="47" customWidth="1"/>
    <col min="4870" max="4878" width="14" style="47" customWidth="1"/>
    <col min="4879" max="4879" width="13" style="47" bestFit="1" customWidth="1"/>
    <col min="4880" max="4880" width="14.5546875" style="47" bestFit="1" customWidth="1"/>
    <col min="4881" max="4881" width="12.109375" style="47" bestFit="1" customWidth="1"/>
    <col min="4882" max="4892" width="14" style="47" customWidth="1"/>
    <col min="4893" max="4896" width="13.33203125" style="47" customWidth="1"/>
    <col min="4897" max="5121" width="9.109375" style="47"/>
    <col min="5122" max="5122" width="31" style="47" customWidth="1"/>
    <col min="5123" max="5123" width="18.5546875" style="47" customWidth="1"/>
    <col min="5124" max="5124" width="3.6640625" style="47" customWidth="1"/>
    <col min="5125" max="5125" width="18.6640625" style="47" customWidth="1"/>
    <col min="5126" max="5134" width="14" style="47" customWidth="1"/>
    <col min="5135" max="5135" width="13" style="47" bestFit="1" customWidth="1"/>
    <col min="5136" max="5136" width="14.5546875" style="47" bestFit="1" customWidth="1"/>
    <col min="5137" max="5137" width="12.109375" style="47" bestFit="1" customWidth="1"/>
    <col min="5138" max="5148" width="14" style="47" customWidth="1"/>
    <col min="5149" max="5152" width="13.33203125" style="47" customWidth="1"/>
    <col min="5153" max="5377" width="9.109375" style="47"/>
    <col min="5378" max="5378" width="31" style="47" customWidth="1"/>
    <col min="5379" max="5379" width="18.5546875" style="47" customWidth="1"/>
    <col min="5380" max="5380" width="3.6640625" style="47" customWidth="1"/>
    <col min="5381" max="5381" width="18.6640625" style="47" customWidth="1"/>
    <col min="5382" max="5390" width="14" style="47" customWidth="1"/>
    <col min="5391" max="5391" width="13" style="47" bestFit="1" customWidth="1"/>
    <col min="5392" max="5392" width="14.5546875" style="47" bestFit="1" customWidth="1"/>
    <col min="5393" max="5393" width="12.109375" style="47" bestFit="1" customWidth="1"/>
    <col min="5394" max="5404" width="14" style="47" customWidth="1"/>
    <col min="5405" max="5408" width="13.33203125" style="47" customWidth="1"/>
    <col min="5409" max="5633" width="9.109375" style="47"/>
    <col min="5634" max="5634" width="31" style="47" customWidth="1"/>
    <col min="5635" max="5635" width="18.5546875" style="47" customWidth="1"/>
    <col min="5636" max="5636" width="3.6640625" style="47" customWidth="1"/>
    <col min="5637" max="5637" width="18.6640625" style="47" customWidth="1"/>
    <col min="5638" max="5646" width="14" style="47" customWidth="1"/>
    <col min="5647" max="5647" width="13" style="47" bestFit="1" customWidth="1"/>
    <col min="5648" max="5648" width="14.5546875" style="47" bestFit="1" customWidth="1"/>
    <col min="5649" max="5649" width="12.109375" style="47" bestFit="1" customWidth="1"/>
    <col min="5650" max="5660" width="14" style="47" customWidth="1"/>
    <col min="5661" max="5664" width="13.33203125" style="47" customWidth="1"/>
    <col min="5665" max="5889" width="9.109375" style="47"/>
    <col min="5890" max="5890" width="31" style="47" customWidth="1"/>
    <col min="5891" max="5891" width="18.5546875" style="47" customWidth="1"/>
    <col min="5892" max="5892" width="3.6640625" style="47" customWidth="1"/>
    <col min="5893" max="5893" width="18.6640625" style="47" customWidth="1"/>
    <col min="5894" max="5902" width="14" style="47" customWidth="1"/>
    <col min="5903" max="5903" width="13" style="47" bestFit="1" customWidth="1"/>
    <col min="5904" max="5904" width="14.5546875" style="47" bestFit="1" customWidth="1"/>
    <col min="5905" max="5905" width="12.109375" style="47" bestFit="1" customWidth="1"/>
    <col min="5906" max="5916" width="14" style="47" customWidth="1"/>
    <col min="5917" max="5920" width="13.33203125" style="47" customWidth="1"/>
    <col min="5921" max="6145" width="9.109375" style="47"/>
    <col min="6146" max="6146" width="31" style="47" customWidth="1"/>
    <col min="6147" max="6147" width="18.5546875" style="47" customWidth="1"/>
    <col min="6148" max="6148" width="3.6640625" style="47" customWidth="1"/>
    <col min="6149" max="6149" width="18.6640625" style="47" customWidth="1"/>
    <col min="6150" max="6158" width="14" style="47" customWidth="1"/>
    <col min="6159" max="6159" width="13" style="47" bestFit="1" customWidth="1"/>
    <col min="6160" max="6160" width="14.5546875" style="47" bestFit="1" customWidth="1"/>
    <col min="6161" max="6161" width="12.109375" style="47" bestFit="1" customWidth="1"/>
    <col min="6162" max="6172" width="14" style="47" customWidth="1"/>
    <col min="6173" max="6176" width="13.33203125" style="47" customWidth="1"/>
    <col min="6177" max="6401" width="9.109375" style="47"/>
    <col min="6402" max="6402" width="31" style="47" customWidth="1"/>
    <col min="6403" max="6403" width="18.5546875" style="47" customWidth="1"/>
    <col min="6404" max="6404" width="3.6640625" style="47" customWidth="1"/>
    <col min="6405" max="6405" width="18.6640625" style="47" customWidth="1"/>
    <col min="6406" max="6414" width="14" style="47" customWidth="1"/>
    <col min="6415" max="6415" width="13" style="47" bestFit="1" customWidth="1"/>
    <col min="6416" max="6416" width="14.5546875" style="47" bestFit="1" customWidth="1"/>
    <col min="6417" max="6417" width="12.109375" style="47" bestFit="1" customWidth="1"/>
    <col min="6418" max="6428" width="14" style="47" customWidth="1"/>
    <col min="6429" max="6432" width="13.33203125" style="47" customWidth="1"/>
    <col min="6433" max="6657" width="9.109375" style="47"/>
    <col min="6658" max="6658" width="31" style="47" customWidth="1"/>
    <col min="6659" max="6659" width="18.5546875" style="47" customWidth="1"/>
    <col min="6660" max="6660" width="3.6640625" style="47" customWidth="1"/>
    <col min="6661" max="6661" width="18.6640625" style="47" customWidth="1"/>
    <col min="6662" max="6670" width="14" style="47" customWidth="1"/>
    <col min="6671" max="6671" width="13" style="47" bestFit="1" customWidth="1"/>
    <col min="6672" max="6672" width="14.5546875" style="47" bestFit="1" customWidth="1"/>
    <col min="6673" max="6673" width="12.109375" style="47" bestFit="1" customWidth="1"/>
    <col min="6674" max="6684" width="14" style="47" customWidth="1"/>
    <col min="6685" max="6688" width="13.33203125" style="47" customWidth="1"/>
    <col min="6689" max="6913" width="9.109375" style="47"/>
    <col min="6914" max="6914" width="31" style="47" customWidth="1"/>
    <col min="6915" max="6915" width="18.5546875" style="47" customWidth="1"/>
    <col min="6916" max="6916" width="3.6640625" style="47" customWidth="1"/>
    <col min="6917" max="6917" width="18.6640625" style="47" customWidth="1"/>
    <col min="6918" max="6926" width="14" style="47" customWidth="1"/>
    <col min="6927" max="6927" width="13" style="47" bestFit="1" customWidth="1"/>
    <col min="6928" max="6928" width="14.5546875" style="47" bestFit="1" customWidth="1"/>
    <col min="6929" max="6929" width="12.109375" style="47" bestFit="1" customWidth="1"/>
    <col min="6930" max="6940" width="14" style="47" customWidth="1"/>
    <col min="6941" max="6944" width="13.33203125" style="47" customWidth="1"/>
    <col min="6945" max="7169" width="9.109375" style="47"/>
    <col min="7170" max="7170" width="31" style="47" customWidth="1"/>
    <col min="7171" max="7171" width="18.5546875" style="47" customWidth="1"/>
    <col min="7172" max="7172" width="3.6640625" style="47" customWidth="1"/>
    <col min="7173" max="7173" width="18.6640625" style="47" customWidth="1"/>
    <col min="7174" max="7182" width="14" style="47" customWidth="1"/>
    <col min="7183" max="7183" width="13" style="47" bestFit="1" customWidth="1"/>
    <col min="7184" max="7184" width="14.5546875" style="47" bestFit="1" customWidth="1"/>
    <col min="7185" max="7185" width="12.109375" style="47" bestFit="1" customWidth="1"/>
    <col min="7186" max="7196" width="14" style="47" customWidth="1"/>
    <col min="7197" max="7200" width="13.33203125" style="47" customWidth="1"/>
    <col min="7201" max="7425" width="9.109375" style="47"/>
    <col min="7426" max="7426" width="31" style="47" customWidth="1"/>
    <col min="7427" max="7427" width="18.5546875" style="47" customWidth="1"/>
    <col min="7428" max="7428" width="3.6640625" style="47" customWidth="1"/>
    <col min="7429" max="7429" width="18.6640625" style="47" customWidth="1"/>
    <col min="7430" max="7438" width="14" style="47" customWidth="1"/>
    <col min="7439" max="7439" width="13" style="47" bestFit="1" customWidth="1"/>
    <col min="7440" max="7440" width="14.5546875" style="47" bestFit="1" customWidth="1"/>
    <col min="7441" max="7441" width="12.109375" style="47" bestFit="1" customWidth="1"/>
    <col min="7442" max="7452" width="14" style="47" customWidth="1"/>
    <col min="7453" max="7456" width="13.33203125" style="47" customWidth="1"/>
    <col min="7457" max="7681" width="9.109375" style="47"/>
    <col min="7682" max="7682" width="31" style="47" customWidth="1"/>
    <col min="7683" max="7683" width="18.5546875" style="47" customWidth="1"/>
    <col min="7684" max="7684" width="3.6640625" style="47" customWidth="1"/>
    <col min="7685" max="7685" width="18.6640625" style="47" customWidth="1"/>
    <col min="7686" max="7694" width="14" style="47" customWidth="1"/>
    <col min="7695" max="7695" width="13" style="47" bestFit="1" customWidth="1"/>
    <col min="7696" max="7696" width="14.5546875" style="47" bestFit="1" customWidth="1"/>
    <col min="7697" max="7697" width="12.109375" style="47" bestFit="1" customWidth="1"/>
    <col min="7698" max="7708" width="14" style="47" customWidth="1"/>
    <col min="7709" max="7712" width="13.33203125" style="47" customWidth="1"/>
    <col min="7713" max="7937" width="9.109375" style="47"/>
    <col min="7938" max="7938" width="31" style="47" customWidth="1"/>
    <col min="7939" max="7939" width="18.5546875" style="47" customWidth="1"/>
    <col min="7940" max="7940" width="3.6640625" style="47" customWidth="1"/>
    <col min="7941" max="7941" width="18.6640625" style="47" customWidth="1"/>
    <col min="7942" max="7950" width="14" style="47" customWidth="1"/>
    <col min="7951" max="7951" width="13" style="47" bestFit="1" customWidth="1"/>
    <col min="7952" max="7952" width="14.5546875" style="47" bestFit="1" customWidth="1"/>
    <col min="7953" max="7953" width="12.109375" style="47" bestFit="1" customWidth="1"/>
    <col min="7954" max="7964" width="14" style="47" customWidth="1"/>
    <col min="7965" max="7968" width="13.33203125" style="47" customWidth="1"/>
    <col min="7969" max="8193" width="9.109375" style="47"/>
    <col min="8194" max="8194" width="31" style="47" customWidth="1"/>
    <col min="8195" max="8195" width="18.5546875" style="47" customWidth="1"/>
    <col min="8196" max="8196" width="3.6640625" style="47" customWidth="1"/>
    <col min="8197" max="8197" width="18.6640625" style="47" customWidth="1"/>
    <col min="8198" max="8206" width="14" style="47" customWidth="1"/>
    <col min="8207" max="8207" width="13" style="47" bestFit="1" customWidth="1"/>
    <col min="8208" max="8208" width="14.5546875" style="47" bestFit="1" customWidth="1"/>
    <col min="8209" max="8209" width="12.109375" style="47" bestFit="1" customWidth="1"/>
    <col min="8210" max="8220" width="14" style="47" customWidth="1"/>
    <col min="8221" max="8224" width="13.33203125" style="47" customWidth="1"/>
    <col min="8225" max="8449" width="9.109375" style="47"/>
    <col min="8450" max="8450" width="31" style="47" customWidth="1"/>
    <col min="8451" max="8451" width="18.5546875" style="47" customWidth="1"/>
    <col min="8452" max="8452" width="3.6640625" style="47" customWidth="1"/>
    <col min="8453" max="8453" width="18.6640625" style="47" customWidth="1"/>
    <col min="8454" max="8462" width="14" style="47" customWidth="1"/>
    <col min="8463" max="8463" width="13" style="47" bestFit="1" customWidth="1"/>
    <col min="8464" max="8464" width="14.5546875" style="47" bestFit="1" customWidth="1"/>
    <col min="8465" max="8465" width="12.109375" style="47" bestFit="1" customWidth="1"/>
    <col min="8466" max="8476" width="14" style="47" customWidth="1"/>
    <col min="8477" max="8480" width="13.33203125" style="47" customWidth="1"/>
    <col min="8481" max="8705" width="9.109375" style="47"/>
    <col min="8706" max="8706" width="31" style="47" customWidth="1"/>
    <col min="8707" max="8707" width="18.5546875" style="47" customWidth="1"/>
    <col min="8708" max="8708" width="3.6640625" style="47" customWidth="1"/>
    <col min="8709" max="8709" width="18.6640625" style="47" customWidth="1"/>
    <col min="8710" max="8718" width="14" style="47" customWidth="1"/>
    <col min="8719" max="8719" width="13" style="47" bestFit="1" customWidth="1"/>
    <col min="8720" max="8720" width="14.5546875" style="47" bestFit="1" customWidth="1"/>
    <col min="8721" max="8721" width="12.109375" style="47" bestFit="1" customWidth="1"/>
    <col min="8722" max="8732" width="14" style="47" customWidth="1"/>
    <col min="8733" max="8736" width="13.33203125" style="47" customWidth="1"/>
    <col min="8737" max="8961" width="9.109375" style="47"/>
    <col min="8962" max="8962" width="31" style="47" customWidth="1"/>
    <col min="8963" max="8963" width="18.5546875" style="47" customWidth="1"/>
    <col min="8964" max="8964" width="3.6640625" style="47" customWidth="1"/>
    <col min="8965" max="8965" width="18.6640625" style="47" customWidth="1"/>
    <col min="8966" max="8974" width="14" style="47" customWidth="1"/>
    <col min="8975" max="8975" width="13" style="47" bestFit="1" customWidth="1"/>
    <col min="8976" max="8976" width="14.5546875" style="47" bestFit="1" customWidth="1"/>
    <col min="8977" max="8977" width="12.109375" style="47" bestFit="1" customWidth="1"/>
    <col min="8978" max="8988" width="14" style="47" customWidth="1"/>
    <col min="8989" max="8992" width="13.33203125" style="47" customWidth="1"/>
    <col min="8993" max="9217" width="9.109375" style="47"/>
    <col min="9218" max="9218" width="31" style="47" customWidth="1"/>
    <col min="9219" max="9219" width="18.5546875" style="47" customWidth="1"/>
    <col min="9220" max="9220" width="3.6640625" style="47" customWidth="1"/>
    <col min="9221" max="9221" width="18.6640625" style="47" customWidth="1"/>
    <col min="9222" max="9230" width="14" style="47" customWidth="1"/>
    <col min="9231" max="9231" width="13" style="47" bestFit="1" customWidth="1"/>
    <col min="9232" max="9232" width="14.5546875" style="47" bestFit="1" customWidth="1"/>
    <col min="9233" max="9233" width="12.109375" style="47" bestFit="1" customWidth="1"/>
    <col min="9234" max="9244" width="14" style="47" customWidth="1"/>
    <col min="9245" max="9248" width="13.33203125" style="47" customWidth="1"/>
    <col min="9249" max="9473" width="9.109375" style="47"/>
    <col min="9474" max="9474" width="31" style="47" customWidth="1"/>
    <col min="9475" max="9475" width="18.5546875" style="47" customWidth="1"/>
    <col min="9476" max="9476" width="3.6640625" style="47" customWidth="1"/>
    <col min="9477" max="9477" width="18.6640625" style="47" customWidth="1"/>
    <col min="9478" max="9486" width="14" style="47" customWidth="1"/>
    <col min="9487" max="9487" width="13" style="47" bestFit="1" customWidth="1"/>
    <col min="9488" max="9488" width="14.5546875" style="47" bestFit="1" customWidth="1"/>
    <col min="9489" max="9489" width="12.109375" style="47" bestFit="1" customWidth="1"/>
    <col min="9490" max="9500" width="14" style="47" customWidth="1"/>
    <col min="9501" max="9504" width="13.33203125" style="47" customWidth="1"/>
    <col min="9505" max="9729" width="9.109375" style="47"/>
    <col min="9730" max="9730" width="31" style="47" customWidth="1"/>
    <col min="9731" max="9731" width="18.5546875" style="47" customWidth="1"/>
    <col min="9732" max="9732" width="3.6640625" style="47" customWidth="1"/>
    <col min="9733" max="9733" width="18.6640625" style="47" customWidth="1"/>
    <col min="9734" max="9742" width="14" style="47" customWidth="1"/>
    <col min="9743" max="9743" width="13" style="47" bestFit="1" customWidth="1"/>
    <col min="9744" max="9744" width="14.5546875" style="47" bestFit="1" customWidth="1"/>
    <col min="9745" max="9745" width="12.109375" style="47" bestFit="1" customWidth="1"/>
    <col min="9746" max="9756" width="14" style="47" customWidth="1"/>
    <col min="9757" max="9760" width="13.33203125" style="47" customWidth="1"/>
    <col min="9761" max="9985" width="9.109375" style="47"/>
    <col min="9986" max="9986" width="31" style="47" customWidth="1"/>
    <col min="9987" max="9987" width="18.5546875" style="47" customWidth="1"/>
    <col min="9988" max="9988" width="3.6640625" style="47" customWidth="1"/>
    <col min="9989" max="9989" width="18.6640625" style="47" customWidth="1"/>
    <col min="9990" max="9998" width="14" style="47" customWidth="1"/>
    <col min="9999" max="9999" width="13" style="47" bestFit="1" customWidth="1"/>
    <col min="10000" max="10000" width="14.5546875" style="47" bestFit="1" customWidth="1"/>
    <col min="10001" max="10001" width="12.109375" style="47" bestFit="1" customWidth="1"/>
    <col min="10002" max="10012" width="14" style="47" customWidth="1"/>
    <col min="10013" max="10016" width="13.33203125" style="47" customWidth="1"/>
    <col min="10017" max="10241" width="9.109375" style="47"/>
    <col min="10242" max="10242" width="31" style="47" customWidth="1"/>
    <col min="10243" max="10243" width="18.5546875" style="47" customWidth="1"/>
    <col min="10244" max="10244" width="3.6640625" style="47" customWidth="1"/>
    <col min="10245" max="10245" width="18.6640625" style="47" customWidth="1"/>
    <col min="10246" max="10254" width="14" style="47" customWidth="1"/>
    <col min="10255" max="10255" width="13" style="47" bestFit="1" customWidth="1"/>
    <col min="10256" max="10256" width="14.5546875" style="47" bestFit="1" customWidth="1"/>
    <col min="10257" max="10257" width="12.109375" style="47" bestFit="1" customWidth="1"/>
    <col min="10258" max="10268" width="14" style="47" customWidth="1"/>
    <col min="10269" max="10272" width="13.33203125" style="47" customWidth="1"/>
    <col min="10273" max="10497" width="9.109375" style="47"/>
    <col min="10498" max="10498" width="31" style="47" customWidth="1"/>
    <col min="10499" max="10499" width="18.5546875" style="47" customWidth="1"/>
    <col min="10500" max="10500" width="3.6640625" style="47" customWidth="1"/>
    <col min="10501" max="10501" width="18.6640625" style="47" customWidth="1"/>
    <col min="10502" max="10510" width="14" style="47" customWidth="1"/>
    <col min="10511" max="10511" width="13" style="47" bestFit="1" customWidth="1"/>
    <col min="10512" max="10512" width="14.5546875" style="47" bestFit="1" customWidth="1"/>
    <col min="10513" max="10513" width="12.109375" style="47" bestFit="1" customWidth="1"/>
    <col min="10514" max="10524" width="14" style="47" customWidth="1"/>
    <col min="10525" max="10528" width="13.33203125" style="47" customWidth="1"/>
    <col min="10529" max="10753" width="9.109375" style="47"/>
    <col min="10754" max="10754" width="31" style="47" customWidth="1"/>
    <col min="10755" max="10755" width="18.5546875" style="47" customWidth="1"/>
    <col min="10756" max="10756" width="3.6640625" style="47" customWidth="1"/>
    <col min="10757" max="10757" width="18.6640625" style="47" customWidth="1"/>
    <col min="10758" max="10766" width="14" style="47" customWidth="1"/>
    <col min="10767" max="10767" width="13" style="47" bestFit="1" customWidth="1"/>
    <col min="10768" max="10768" width="14.5546875" style="47" bestFit="1" customWidth="1"/>
    <col min="10769" max="10769" width="12.109375" style="47" bestFit="1" customWidth="1"/>
    <col min="10770" max="10780" width="14" style="47" customWidth="1"/>
    <col min="10781" max="10784" width="13.33203125" style="47" customWidth="1"/>
    <col min="10785" max="11009" width="9.109375" style="47"/>
    <col min="11010" max="11010" width="31" style="47" customWidth="1"/>
    <col min="11011" max="11011" width="18.5546875" style="47" customWidth="1"/>
    <col min="11012" max="11012" width="3.6640625" style="47" customWidth="1"/>
    <col min="11013" max="11013" width="18.6640625" style="47" customWidth="1"/>
    <col min="11014" max="11022" width="14" style="47" customWidth="1"/>
    <col min="11023" max="11023" width="13" style="47" bestFit="1" customWidth="1"/>
    <col min="11024" max="11024" width="14.5546875" style="47" bestFit="1" customWidth="1"/>
    <col min="11025" max="11025" width="12.109375" style="47" bestFit="1" customWidth="1"/>
    <col min="11026" max="11036" width="14" style="47" customWidth="1"/>
    <col min="11037" max="11040" width="13.33203125" style="47" customWidth="1"/>
    <col min="11041" max="11265" width="9.109375" style="47"/>
    <col min="11266" max="11266" width="31" style="47" customWidth="1"/>
    <col min="11267" max="11267" width="18.5546875" style="47" customWidth="1"/>
    <col min="11268" max="11268" width="3.6640625" style="47" customWidth="1"/>
    <col min="11269" max="11269" width="18.6640625" style="47" customWidth="1"/>
    <col min="11270" max="11278" width="14" style="47" customWidth="1"/>
    <col min="11279" max="11279" width="13" style="47" bestFit="1" customWidth="1"/>
    <col min="11280" max="11280" width="14.5546875" style="47" bestFit="1" customWidth="1"/>
    <col min="11281" max="11281" width="12.109375" style="47" bestFit="1" customWidth="1"/>
    <col min="11282" max="11292" width="14" style="47" customWidth="1"/>
    <col min="11293" max="11296" width="13.33203125" style="47" customWidth="1"/>
    <col min="11297" max="11521" width="9.109375" style="47"/>
    <col min="11522" max="11522" width="31" style="47" customWidth="1"/>
    <col min="11523" max="11523" width="18.5546875" style="47" customWidth="1"/>
    <col min="11524" max="11524" width="3.6640625" style="47" customWidth="1"/>
    <col min="11525" max="11525" width="18.6640625" style="47" customWidth="1"/>
    <col min="11526" max="11534" width="14" style="47" customWidth="1"/>
    <col min="11535" max="11535" width="13" style="47" bestFit="1" customWidth="1"/>
    <col min="11536" max="11536" width="14.5546875" style="47" bestFit="1" customWidth="1"/>
    <col min="11537" max="11537" width="12.109375" style="47" bestFit="1" customWidth="1"/>
    <col min="11538" max="11548" width="14" style="47" customWidth="1"/>
    <col min="11549" max="11552" width="13.33203125" style="47" customWidth="1"/>
    <col min="11553" max="11777" width="9.109375" style="47"/>
    <col min="11778" max="11778" width="31" style="47" customWidth="1"/>
    <col min="11779" max="11779" width="18.5546875" style="47" customWidth="1"/>
    <col min="11780" max="11780" width="3.6640625" style="47" customWidth="1"/>
    <col min="11781" max="11781" width="18.6640625" style="47" customWidth="1"/>
    <col min="11782" max="11790" width="14" style="47" customWidth="1"/>
    <col min="11791" max="11791" width="13" style="47" bestFit="1" customWidth="1"/>
    <col min="11792" max="11792" width="14.5546875" style="47" bestFit="1" customWidth="1"/>
    <col min="11793" max="11793" width="12.109375" style="47" bestFit="1" customWidth="1"/>
    <col min="11794" max="11804" width="14" style="47" customWidth="1"/>
    <col min="11805" max="11808" width="13.33203125" style="47" customWidth="1"/>
    <col min="11809" max="12033" width="9.109375" style="47"/>
    <col min="12034" max="12034" width="31" style="47" customWidth="1"/>
    <col min="12035" max="12035" width="18.5546875" style="47" customWidth="1"/>
    <col min="12036" max="12036" width="3.6640625" style="47" customWidth="1"/>
    <col min="12037" max="12037" width="18.6640625" style="47" customWidth="1"/>
    <col min="12038" max="12046" width="14" style="47" customWidth="1"/>
    <col min="12047" max="12047" width="13" style="47" bestFit="1" customWidth="1"/>
    <col min="12048" max="12048" width="14.5546875" style="47" bestFit="1" customWidth="1"/>
    <col min="12049" max="12049" width="12.109375" style="47" bestFit="1" customWidth="1"/>
    <col min="12050" max="12060" width="14" style="47" customWidth="1"/>
    <col min="12061" max="12064" width="13.33203125" style="47" customWidth="1"/>
    <col min="12065" max="12289" width="9.109375" style="47"/>
    <col min="12290" max="12290" width="31" style="47" customWidth="1"/>
    <col min="12291" max="12291" width="18.5546875" style="47" customWidth="1"/>
    <col min="12292" max="12292" width="3.6640625" style="47" customWidth="1"/>
    <col min="12293" max="12293" width="18.6640625" style="47" customWidth="1"/>
    <col min="12294" max="12302" width="14" style="47" customWidth="1"/>
    <col min="12303" max="12303" width="13" style="47" bestFit="1" customWidth="1"/>
    <col min="12304" max="12304" width="14.5546875" style="47" bestFit="1" customWidth="1"/>
    <col min="12305" max="12305" width="12.109375" style="47" bestFit="1" customWidth="1"/>
    <col min="12306" max="12316" width="14" style="47" customWidth="1"/>
    <col min="12317" max="12320" width="13.33203125" style="47" customWidth="1"/>
    <col min="12321" max="12545" width="9.109375" style="47"/>
    <col min="12546" max="12546" width="31" style="47" customWidth="1"/>
    <col min="12547" max="12547" width="18.5546875" style="47" customWidth="1"/>
    <col min="12548" max="12548" width="3.6640625" style="47" customWidth="1"/>
    <col min="12549" max="12549" width="18.6640625" style="47" customWidth="1"/>
    <col min="12550" max="12558" width="14" style="47" customWidth="1"/>
    <col min="12559" max="12559" width="13" style="47" bestFit="1" customWidth="1"/>
    <col min="12560" max="12560" width="14.5546875" style="47" bestFit="1" customWidth="1"/>
    <col min="12561" max="12561" width="12.109375" style="47" bestFit="1" customWidth="1"/>
    <col min="12562" max="12572" width="14" style="47" customWidth="1"/>
    <col min="12573" max="12576" width="13.33203125" style="47" customWidth="1"/>
    <col min="12577" max="12801" width="9.109375" style="47"/>
    <col min="12802" max="12802" width="31" style="47" customWidth="1"/>
    <col min="12803" max="12803" width="18.5546875" style="47" customWidth="1"/>
    <col min="12804" max="12804" width="3.6640625" style="47" customWidth="1"/>
    <col min="12805" max="12805" width="18.6640625" style="47" customWidth="1"/>
    <col min="12806" max="12814" width="14" style="47" customWidth="1"/>
    <col min="12815" max="12815" width="13" style="47" bestFit="1" customWidth="1"/>
    <col min="12816" max="12816" width="14.5546875" style="47" bestFit="1" customWidth="1"/>
    <col min="12817" max="12817" width="12.109375" style="47" bestFit="1" customWidth="1"/>
    <col min="12818" max="12828" width="14" style="47" customWidth="1"/>
    <col min="12829" max="12832" width="13.33203125" style="47" customWidth="1"/>
    <col min="12833" max="13057" width="9.109375" style="47"/>
    <col min="13058" max="13058" width="31" style="47" customWidth="1"/>
    <col min="13059" max="13059" width="18.5546875" style="47" customWidth="1"/>
    <col min="13060" max="13060" width="3.6640625" style="47" customWidth="1"/>
    <col min="13061" max="13061" width="18.6640625" style="47" customWidth="1"/>
    <col min="13062" max="13070" width="14" style="47" customWidth="1"/>
    <col min="13071" max="13071" width="13" style="47" bestFit="1" customWidth="1"/>
    <col min="13072" max="13072" width="14.5546875" style="47" bestFit="1" customWidth="1"/>
    <col min="13073" max="13073" width="12.109375" style="47" bestFit="1" customWidth="1"/>
    <col min="13074" max="13084" width="14" style="47" customWidth="1"/>
    <col min="13085" max="13088" width="13.33203125" style="47" customWidth="1"/>
    <col min="13089" max="13313" width="9.109375" style="47"/>
    <col min="13314" max="13314" width="31" style="47" customWidth="1"/>
    <col min="13315" max="13315" width="18.5546875" style="47" customWidth="1"/>
    <col min="13316" max="13316" width="3.6640625" style="47" customWidth="1"/>
    <col min="13317" max="13317" width="18.6640625" style="47" customWidth="1"/>
    <col min="13318" max="13326" width="14" style="47" customWidth="1"/>
    <col min="13327" max="13327" width="13" style="47" bestFit="1" customWidth="1"/>
    <col min="13328" max="13328" width="14.5546875" style="47" bestFit="1" customWidth="1"/>
    <col min="13329" max="13329" width="12.109375" style="47" bestFit="1" customWidth="1"/>
    <col min="13330" max="13340" width="14" style="47" customWidth="1"/>
    <col min="13341" max="13344" width="13.33203125" style="47" customWidth="1"/>
    <col min="13345" max="13569" width="9.109375" style="47"/>
    <col min="13570" max="13570" width="31" style="47" customWidth="1"/>
    <col min="13571" max="13571" width="18.5546875" style="47" customWidth="1"/>
    <col min="13572" max="13572" width="3.6640625" style="47" customWidth="1"/>
    <col min="13573" max="13573" width="18.6640625" style="47" customWidth="1"/>
    <col min="13574" max="13582" width="14" style="47" customWidth="1"/>
    <col min="13583" max="13583" width="13" style="47" bestFit="1" customWidth="1"/>
    <col min="13584" max="13584" width="14.5546875" style="47" bestFit="1" customWidth="1"/>
    <col min="13585" max="13585" width="12.109375" style="47" bestFit="1" customWidth="1"/>
    <col min="13586" max="13596" width="14" style="47" customWidth="1"/>
    <col min="13597" max="13600" width="13.33203125" style="47" customWidth="1"/>
    <col min="13601" max="13825" width="9.109375" style="47"/>
    <col min="13826" max="13826" width="31" style="47" customWidth="1"/>
    <col min="13827" max="13827" width="18.5546875" style="47" customWidth="1"/>
    <col min="13828" max="13828" width="3.6640625" style="47" customWidth="1"/>
    <col min="13829" max="13829" width="18.6640625" style="47" customWidth="1"/>
    <col min="13830" max="13838" width="14" style="47" customWidth="1"/>
    <col min="13839" max="13839" width="13" style="47" bestFit="1" customWidth="1"/>
    <col min="13840" max="13840" width="14.5546875" style="47" bestFit="1" customWidth="1"/>
    <col min="13841" max="13841" width="12.109375" style="47" bestFit="1" customWidth="1"/>
    <col min="13842" max="13852" width="14" style="47" customWidth="1"/>
    <col min="13853" max="13856" width="13.33203125" style="47" customWidth="1"/>
    <col min="13857" max="14081" width="9.109375" style="47"/>
    <col min="14082" max="14082" width="31" style="47" customWidth="1"/>
    <col min="14083" max="14083" width="18.5546875" style="47" customWidth="1"/>
    <col min="14084" max="14084" width="3.6640625" style="47" customWidth="1"/>
    <col min="14085" max="14085" width="18.6640625" style="47" customWidth="1"/>
    <col min="14086" max="14094" width="14" style="47" customWidth="1"/>
    <col min="14095" max="14095" width="13" style="47" bestFit="1" customWidth="1"/>
    <col min="14096" max="14096" width="14.5546875" style="47" bestFit="1" customWidth="1"/>
    <col min="14097" max="14097" width="12.109375" style="47" bestFit="1" customWidth="1"/>
    <col min="14098" max="14108" width="14" style="47" customWidth="1"/>
    <col min="14109" max="14112" width="13.33203125" style="47" customWidth="1"/>
    <col min="14113" max="14337" width="9.109375" style="47"/>
    <col min="14338" max="14338" width="31" style="47" customWidth="1"/>
    <col min="14339" max="14339" width="18.5546875" style="47" customWidth="1"/>
    <col min="14340" max="14340" width="3.6640625" style="47" customWidth="1"/>
    <col min="14341" max="14341" width="18.6640625" style="47" customWidth="1"/>
    <col min="14342" max="14350" width="14" style="47" customWidth="1"/>
    <col min="14351" max="14351" width="13" style="47" bestFit="1" customWidth="1"/>
    <col min="14352" max="14352" width="14.5546875" style="47" bestFit="1" customWidth="1"/>
    <col min="14353" max="14353" width="12.109375" style="47" bestFit="1" customWidth="1"/>
    <col min="14354" max="14364" width="14" style="47" customWidth="1"/>
    <col min="14365" max="14368" width="13.33203125" style="47" customWidth="1"/>
    <col min="14369" max="14593" width="9.109375" style="47"/>
    <col min="14594" max="14594" width="31" style="47" customWidth="1"/>
    <col min="14595" max="14595" width="18.5546875" style="47" customWidth="1"/>
    <col min="14596" max="14596" width="3.6640625" style="47" customWidth="1"/>
    <col min="14597" max="14597" width="18.6640625" style="47" customWidth="1"/>
    <col min="14598" max="14606" width="14" style="47" customWidth="1"/>
    <col min="14607" max="14607" width="13" style="47" bestFit="1" customWidth="1"/>
    <col min="14608" max="14608" width="14.5546875" style="47" bestFit="1" customWidth="1"/>
    <col min="14609" max="14609" width="12.109375" style="47" bestFit="1" customWidth="1"/>
    <col min="14610" max="14620" width="14" style="47" customWidth="1"/>
    <col min="14621" max="14624" width="13.33203125" style="47" customWidth="1"/>
    <col min="14625" max="14849" width="9.109375" style="47"/>
    <col min="14850" max="14850" width="31" style="47" customWidth="1"/>
    <col min="14851" max="14851" width="18.5546875" style="47" customWidth="1"/>
    <col min="14852" max="14852" width="3.6640625" style="47" customWidth="1"/>
    <col min="14853" max="14853" width="18.6640625" style="47" customWidth="1"/>
    <col min="14854" max="14862" width="14" style="47" customWidth="1"/>
    <col min="14863" max="14863" width="13" style="47" bestFit="1" customWidth="1"/>
    <col min="14864" max="14864" width="14.5546875" style="47" bestFit="1" customWidth="1"/>
    <col min="14865" max="14865" width="12.109375" style="47" bestFit="1" customWidth="1"/>
    <col min="14866" max="14876" width="14" style="47" customWidth="1"/>
    <col min="14877" max="14880" width="13.33203125" style="47" customWidth="1"/>
    <col min="14881" max="15105" width="9.109375" style="47"/>
    <col min="15106" max="15106" width="31" style="47" customWidth="1"/>
    <col min="15107" max="15107" width="18.5546875" style="47" customWidth="1"/>
    <col min="15108" max="15108" width="3.6640625" style="47" customWidth="1"/>
    <col min="15109" max="15109" width="18.6640625" style="47" customWidth="1"/>
    <col min="15110" max="15118" width="14" style="47" customWidth="1"/>
    <col min="15119" max="15119" width="13" style="47" bestFit="1" customWidth="1"/>
    <col min="15120" max="15120" width="14.5546875" style="47" bestFit="1" customWidth="1"/>
    <col min="15121" max="15121" width="12.109375" style="47" bestFit="1" customWidth="1"/>
    <col min="15122" max="15132" width="14" style="47" customWidth="1"/>
    <col min="15133" max="15136" width="13.33203125" style="47" customWidth="1"/>
    <col min="15137" max="15361" width="9.109375" style="47"/>
    <col min="15362" max="15362" width="31" style="47" customWidth="1"/>
    <col min="15363" max="15363" width="18.5546875" style="47" customWidth="1"/>
    <col min="15364" max="15364" width="3.6640625" style="47" customWidth="1"/>
    <col min="15365" max="15365" width="18.6640625" style="47" customWidth="1"/>
    <col min="15366" max="15374" width="14" style="47" customWidth="1"/>
    <col min="15375" max="15375" width="13" style="47" bestFit="1" customWidth="1"/>
    <col min="15376" max="15376" width="14.5546875" style="47" bestFit="1" customWidth="1"/>
    <col min="15377" max="15377" width="12.109375" style="47" bestFit="1" customWidth="1"/>
    <col min="15378" max="15388" width="14" style="47" customWidth="1"/>
    <col min="15389" max="15392" width="13.33203125" style="47" customWidth="1"/>
    <col min="15393" max="15617" width="9.109375" style="47"/>
    <col min="15618" max="15618" width="31" style="47" customWidth="1"/>
    <col min="15619" max="15619" width="18.5546875" style="47" customWidth="1"/>
    <col min="15620" max="15620" width="3.6640625" style="47" customWidth="1"/>
    <col min="15621" max="15621" width="18.6640625" style="47" customWidth="1"/>
    <col min="15622" max="15630" width="14" style="47" customWidth="1"/>
    <col min="15631" max="15631" width="13" style="47" bestFit="1" customWidth="1"/>
    <col min="15632" max="15632" width="14.5546875" style="47" bestFit="1" customWidth="1"/>
    <col min="15633" max="15633" width="12.109375" style="47" bestFit="1" customWidth="1"/>
    <col min="15634" max="15644" width="14" style="47" customWidth="1"/>
    <col min="15645" max="15648" width="13.33203125" style="47" customWidth="1"/>
    <col min="15649" max="15873" width="9.109375" style="47"/>
    <col min="15874" max="15874" width="31" style="47" customWidth="1"/>
    <col min="15875" max="15875" width="18.5546875" style="47" customWidth="1"/>
    <col min="15876" max="15876" width="3.6640625" style="47" customWidth="1"/>
    <col min="15877" max="15877" width="18.6640625" style="47" customWidth="1"/>
    <col min="15878" max="15886" width="14" style="47" customWidth="1"/>
    <col min="15887" max="15887" width="13" style="47" bestFit="1" customWidth="1"/>
    <col min="15888" max="15888" width="14.5546875" style="47" bestFit="1" customWidth="1"/>
    <col min="15889" max="15889" width="12.109375" style="47" bestFit="1" customWidth="1"/>
    <col min="15890" max="15900" width="14" style="47" customWidth="1"/>
    <col min="15901" max="15904" width="13.33203125" style="47" customWidth="1"/>
    <col min="15905" max="16129" width="9.109375" style="47"/>
    <col min="16130" max="16130" width="31" style="47" customWidth="1"/>
    <col min="16131" max="16131" width="18.5546875" style="47" customWidth="1"/>
    <col min="16132" max="16132" width="3.6640625" style="47" customWidth="1"/>
    <col min="16133" max="16133" width="18.6640625" style="47" customWidth="1"/>
    <col min="16134" max="16142" width="14" style="47" customWidth="1"/>
    <col min="16143" max="16143" width="13" style="47" bestFit="1" customWidth="1"/>
    <col min="16144" max="16144" width="14.5546875" style="47" bestFit="1" customWidth="1"/>
    <col min="16145" max="16145" width="12.109375" style="47" bestFit="1" customWidth="1"/>
    <col min="16146" max="16156" width="14" style="47" customWidth="1"/>
    <col min="16157" max="16160" width="13.33203125" style="47" customWidth="1"/>
    <col min="16161" max="16384" width="9.109375" style="47"/>
  </cols>
  <sheetData>
    <row r="1" spans="1:27" x14ac:dyDescent="0.25">
      <c r="D1" s="47"/>
      <c r="E1" s="47"/>
      <c r="F1" s="47"/>
    </row>
    <row r="2" spans="1:27" x14ac:dyDescent="0.25">
      <c r="D2" s="103"/>
      <c r="E2" s="47"/>
      <c r="F2" s="47"/>
      <c r="H2" s="103"/>
      <c r="W2"/>
      <c r="X2"/>
      <c r="Y2"/>
      <c r="Z2"/>
      <c r="AA2"/>
    </row>
    <row r="3" spans="1:27" s="49" customFormat="1" ht="15.75" customHeight="1" x14ac:dyDescent="0.25">
      <c r="A3" s="238" t="s">
        <v>123</v>
      </c>
      <c r="B3" s="238"/>
      <c r="C3" s="238"/>
      <c r="D3" s="238"/>
      <c r="E3" s="238"/>
      <c r="F3" s="238"/>
      <c r="G3" s="238"/>
      <c r="H3" s="238"/>
      <c r="I3" s="111"/>
      <c r="J3"/>
      <c r="K3"/>
      <c r="L3"/>
      <c r="M3"/>
      <c r="N3"/>
      <c r="O3"/>
      <c r="P3"/>
      <c r="Q3"/>
      <c r="R3"/>
    </row>
    <row r="4" spans="1:27" ht="44.25" customHeight="1" x14ac:dyDescent="0.25">
      <c r="A4" s="172" t="s">
        <v>124</v>
      </c>
      <c r="B4" s="172" t="s">
        <v>12</v>
      </c>
      <c r="C4" s="172" t="s">
        <v>13</v>
      </c>
      <c r="D4" s="172" t="s">
        <v>125</v>
      </c>
      <c r="E4" s="172" t="s">
        <v>16</v>
      </c>
      <c r="F4" s="172" t="s">
        <v>17</v>
      </c>
      <c r="G4" s="172" t="s">
        <v>18</v>
      </c>
      <c r="H4" s="172" t="s">
        <v>15</v>
      </c>
      <c r="J4"/>
      <c r="K4"/>
      <c r="L4"/>
      <c r="M4"/>
      <c r="N4"/>
      <c r="O4"/>
      <c r="P4"/>
      <c r="Q4"/>
      <c r="R4"/>
      <c r="S4"/>
      <c r="T4"/>
    </row>
    <row r="5" spans="1:27" x14ac:dyDescent="0.25">
      <c r="A5" s="173">
        <v>2016</v>
      </c>
      <c r="B5" s="174">
        <f>AVERAGE($G$24:$G$35)</f>
        <v>15201.583333333334</v>
      </c>
      <c r="C5" s="174">
        <f>AVERAGE($I$24:$I$35)</f>
        <v>1016.25</v>
      </c>
      <c r="D5" s="174">
        <f>AVERAGE($L$24:$L$35)</f>
        <v>75.583333333333329</v>
      </c>
      <c r="E5" s="174">
        <f>AVERAGE($O$24:$O$35)</f>
        <v>75.333333333333329</v>
      </c>
      <c r="F5" s="174">
        <f>AVERAGE($R$24:$R$35)</f>
        <v>166.08333333333334</v>
      </c>
      <c r="G5" s="175">
        <f>AVERAGE($U$24:$U$35)</f>
        <v>2863.1666666666665</v>
      </c>
      <c r="H5" s="174">
        <f>AVERAGE($X$24:$X$35)</f>
        <v>1</v>
      </c>
      <c r="I5" s="110"/>
      <c r="J5" s="105"/>
      <c r="K5"/>
      <c r="L5"/>
      <c r="M5"/>
      <c r="N5"/>
      <c r="O5"/>
      <c r="P5"/>
      <c r="Q5"/>
      <c r="R5"/>
      <c r="S5"/>
      <c r="T5"/>
    </row>
    <row r="6" spans="1:27" x14ac:dyDescent="0.25">
      <c r="A6" s="173">
        <v>2017</v>
      </c>
      <c r="B6" s="174">
        <f>AVERAGE($G$36:$G$47)</f>
        <v>15631.666666666666</v>
      </c>
      <c r="C6" s="174">
        <f>AVERAGE($I$36:$I$47)</f>
        <v>1030.3333333333333</v>
      </c>
      <c r="D6" s="174">
        <f>AVERAGE($L$36:$L$47)</f>
        <v>86.666666666666671</v>
      </c>
      <c r="E6" s="174">
        <f>AVERAGE($O$36:$O$47)</f>
        <v>73.5</v>
      </c>
      <c r="F6" s="174">
        <f>AVERAGE($R$36:$R$47)</f>
        <v>161.83333333333334</v>
      </c>
      <c r="G6" s="174">
        <f>AVERAGE($U$36:$U$47)</f>
        <v>2973.25</v>
      </c>
      <c r="H6" s="174">
        <f>AVERAGE($X$36:$X$47)</f>
        <v>1</v>
      </c>
      <c r="I6" s="110"/>
      <c r="J6" s="36"/>
      <c r="K6"/>
      <c r="L6"/>
      <c r="M6"/>
      <c r="N6"/>
      <c r="O6"/>
      <c r="P6"/>
      <c r="Q6"/>
      <c r="R6"/>
      <c r="S6"/>
      <c r="T6"/>
    </row>
    <row r="7" spans="1:27" x14ac:dyDescent="0.25">
      <c r="A7" s="173">
        <v>2018</v>
      </c>
      <c r="B7" s="174">
        <f>AVERAGE($G$48:$G$59)</f>
        <v>16490.666666666668</v>
      </c>
      <c r="C7" s="174">
        <f>AVERAGE($I$48:$I$59)</f>
        <v>1082</v>
      </c>
      <c r="D7" s="174">
        <f>AVERAGE($L$48:$L$59)</f>
        <v>91</v>
      </c>
      <c r="E7" s="174">
        <f>AVERAGE($O$48:$O$59)</f>
        <v>74</v>
      </c>
      <c r="F7" s="174">
        <f>AVERAGE($R$48:$R$59)</f>
        <v>161.5</v>
      </c>
      <c r="G7" s="174">
        <f>AVERAGE($U$48:$U$59)</f>
        <v>3097.25</v>
      </c>
      <c r="H7" s="174">
        <f>AVERAGE($X$48:$X$59)</f>
        <v>1</v>
      </c>
      <c r="I7" s="110"/>
      <c r="J7"/>
      <c r="K7"/>
      <c r="L7"/>
      <c r="M7"/>
      <c r="N7"/>
      <c r="O7"/>
      <c r="P7"/>
      <c r="Q7"/>
      <c r="R7"/>
      <c r="S7"/>
      <c r="T7"/>
    </row>
    <row r="8" spans="1:27" x14ac:dyDescent="0.25">
      <c r="A8" s="173">
        <v>2019</v>
      </c>
      <c r="B8" s="174">
        <f>AVERAGE($G$60:$G$71)</f>
        <v>17294.333333333332</v>
      </c>
      <c r="C8" s="174">
        <f>AVERAGE($I$60:$I$71)</f>
        <v>1121.0833333333333</v>
      </c>
      <c r="D8" s="174">
        <f>AVERAGE($L$60:$L$71)</f>
        <v>85.083333333333329</v>
      </c>
      <c r="E8" s="174">
        <f>AVERAGE($O$60:$O$71)</f>
        <v>74.5</v>
      </c>
      <c r="F8" s="174">
        <f>AVERAGE($R$60:$R$71)</f>
        <v>159.91666666666666</v>
      </c>
      <c r="G8" s="174">
        <f>AVERAGE($U$60:$U$71)</f>
        <v>3306.75</v>
      </c>
      <c r="H8" s="174">
        <f>AVERAGE($X$60:$X$71)</f>
        <v>1</v>
      </c>
      <c r="I8" s="110"/>
      <c r="J8"/>
      <c r="K8"/>
      <c r="L8"/>
      <c r="M8"/>
      <c r="N8"/>
      <c r="O8"/>
      <c r="P8"/>
      <c r="Q8"/>
      <c r="R8"/>
      <c r="S8"/>
      <c r="T8"/>
    </row>
    <row r="9" spans="1:27" x14ac:dyDescent="0.25">
      <c r="A9" s="173">
        <v>2020</v>
      </c>
      <c r="B9" s="174">
        <f>AVERAGE($G$72:$G$83)</f>
        <v>17582.833333333332</v>
      </c>
      <c r="C9" s="174">
        <f>AVERAGE($I$72:$I$83)</f>
        <v>1153.9166666666667</v>
      </c>
      <c r="D9" s="174">
        <f>AVERAGE($L$72:$L$83)</f>
        <v>80.083333333333329</v>
      </c>
      <c r="E9" s="174">
        <f>AVERAGE($O$72:$O$83)</f>
        <v>73.166666666666671</v>
      </c>
      <c r="F9" s="174">
        <f>AVERAGE($R$72:$R$83)</f>
        <v>155.08333333333334</v>
      </c>
      <c r="G9" s="174">
        <f>AVERAGE($U$72:$U$83)</f>
        <v>3414.4166666666665</v>
      </c>
      <c r="H9" s="174">
        <f>AVERAGE($X$72:$X$83)</f>
        <v>1</v>
      </c>
      <c r="I9" s="110"/>
      <c r="J9"/>
      <c r="K9"/>
      <c r="L9"/>
      <c r="M9"/>
      <c r="N9"/>
      <c r="O9"/>
      <c r="P9"/>
      <c r="Q9"/>
      <c r="R9"/>
      <c r="S9"/>
      <c r="T9"/>
    </row>
    <row r="10" spans="1:27" x14ac:dyDescent="0.25">
      <c r="A10" s="173">
        <v>2021</v>
      </c>
      <c r="B10" s="174">
        <f>AVERAGE($G$84:$G$95)</f>
        <v>18253.333333333332</v>
      </c>
      <c r="C10" s="174">
        <f>AVERAGE($I$84:$I$95)</f>
        <v>1191.25</v>
      </c>
      <c r="D10" s="174">
        <f>AVERAGE($L$84:$L$95)</f>
        <v>77.75</v>
      </c>
      <c r="E10" s="174">
        <f>AVERAGE($O$84:$O$95)</f>
        <v>71</v>
      </c>
      <c r="F10" s="174">
        <f>AVERAGE($R$84:$R$95)</f>
        <v>152.75</v>
      </c>
      <c r="G10" s="174">
        <f>AVERAGE($U$84:$U$95)</f>
        <v>3596.5833333333335</v>
      </c>
      <c r="H10" s="174">
        <f>AVERAGE($X$84:$X$95)</f>
        <v>1</v>
      </c>
      <c r="I10" s="110"/>
      <c r="J10"/>
      <c r="K10"/>
      <c r="L10"/>
      <c r="M10"/>
      <c r="N10"/>
      <c r="O10"/>
      <c r="P10"/>
      <c r="Q10"/>
      <c r="R10"/>
      <c r="S10"/>
      <c r="T10"/>
    </row>
    <row r="11" spans="1:27" x14ac:dyDescent="0.25">
      <c r="A11" s="173">
        <v>2022</v>
      </c>
      <c r="B11" s="174">
        <f>AVERAGE($G$96:$G$107)</f>
        <v>18754.666666666668</v>
      </c>
      <c r="C11" s="174">
        <f>AVERAGE($I$96:$I$107)</f>
        <v>1246.1666666666667</v>
      </c>
      <c r="D11" s="174">
        <f>AVERAGE($L$96:$L$107)</f>
        <v>78.25</v>
      </c>
      <c r="E11" s="174">
        <f>AVERAGE($O$96:$O$107)</f>
        <v>71.833333333333329</v>
      </c>
      <c r="F11" s="174">
        <f>AVERAGE($R$96:$R$107)</f>
        <v>150.66666666666666</v>
      </c>
      <c r="G11" s="174">
        <f>AVERAGE($U$96:$U$107)</f>
        <v>4014</v>
      </c>
      <c r="H11" s="174">
        <f>AVERAGE($X$96:$X$107)</f>
        <v>1</v>
      </c>
      <c r="I11" s="110"/>
      <c r="J11"/>
      <c r="K11"/>
      <c r="L11"/>
      <c r="M11"/>
      <c r="N11"/>
      <c r="O11"/>
      <c r="P11"/>
      <c r="Q11"/>
      <c r="R11"/>
      <c r="S11"/>
      <c r="T11"/>
    </row>
    <row r="12" spans="1:27" x14ac:dyDescent="0.25">
      <c r="A12" s="173">
        <v>2023</v>
      </c>
      <c r="B12" s="174">
        <f>AVERAGE($G$108:$G$119)</f>
        <v>20106.333333333332</v>
      </c>
      <c r="C12" s="174">
        <f>AVERAGE($I$108:$I$119)</f>
        <v>1271.5833333333333</v>
      </c>
      <c r="D12" s="174">
        <f>AVERAGE($L$108:$L$119)</f>
        <v>84.25</v>
      </c>
      <c r="E12" s="174">
        <f>AVERAGE($O$108:$O$119)</f>
        <v>74.833333333333329</v>
      </c>
      <c r="F12" s="174">
        <f>AVERAGE($R$108:$R$119)</f>
        <v>151</v>
      </c>
      <c r="G12" s="174">
        <f>AVERAGE($U$108:$U$119)</f>
        <v>4299.25</v>
      </c>
      <c r="H12" s="174">
        <f>AVERAGE($X$108:$X$119)</f>
        <v>1</v>
      </c>
      <c r="I12" s="110"/>
      <c r="J12" s="36" t="s">
        <v>126</v>
      </c>
      <c r="K12"/>
      <c r="L12"/>
      <c r="M12"/>
      <c r="N12"/>
      <c r="O12"/>
      <c r="P12"/>
      <c r="Q12"/>
      <c r="R12"/>
      <c r="S12"/>
      <c r="T12"/>
    </row>
    <row r="13" spans="1:27" x14ac:dyDescent="0.25">
      <c r="A13" s="173">
        <v>2024</v>
      </c>
      <c r="B13" s="174">
        <f>AVERAGE($G$120:$G$131)</f>
        <v>21734.083333333332</v>
      </c>
      <c r="C13" s="174">
        <f>AVERAGE($I$120:$I$131)</f>
        <v>1289.6666666666667</v>
      </c>
      <c r="D13" s="174">
        <f>AVERAGE($L$120:$L$131)</f>
        <v>83.416666666666671</v>
      </c>
      <c r="E13" s="174">
        <f>AVERAGE($O$120:$O$131)</f>
        <v>70.166666666666671</v>
      </c>
      <c r="F13" s="174">
        <f>AVERAGE($R$120:$R$131)</f>
        <v>148.58333333333334</v>
      </c>
      <c r="G13" s="174">
        <f>AVERAGE($U$120:$U$131)</f>
        <v>4588.5</v>
      </c>
      <c r="H13" s="174">
        <f>AVERAGE($X$120:$X$131)</f>
        <v>1</v>
      </c>
      <c r="I13" s="110"/>
      <c r="J13"/>
      <c r="K13"/>
      <c r="L13"/>
      <c r="M13"/>
      <c r="N13"/>
      <c r="O13"/>
      <c r="P13"/>
      <c r="Q13"/>
      <c r="R13"/>
      <c r="S13"/>
      <c r="T13"/>
    </row>
    <row r="14" spans="1:27" x14ac:dyDescent="0.25">
      <c r="A14" s="173">
        <v>2025</v>
      </c>
      <c r="B14" s="174">
        <f>AVERAGE($G$132:$G$143)</f>
        <v>22632.5</v>
      </c>
      <c r="C14" s="174">
        <f>AVERAGE($I$132:$I$143)</f>
        <v>1300.1666666666667</v>
      </c>
      <c r="D14" s="174">
        <f>AVERAGE($L$132:$L$143)</f>
        <v>87.416666666666671</v>
      </c>
      <c r="E14" s="174">
        <f>AVERAGE($O$132:$O$143)</f>
        <v>69</v>
      </c>
      <c r="F14" s="174">
        <f>AVERAGE($R$132:$R$143)</f>
        <v>144.66666666666666</v>
      </c>
      <c r="G14" s="174">
        <f>AVERAGE($U$132:$U$143)</f>
        <v>4847.75</v>
      </c>
      <c r="H14" s="174">
        <f>AVERAGE($X$132:$X$143)</f>
        <v>1</v>
      </c>
      <c r="I14" s="105"/>
      <c r="K14"/>
      <c r="L14"/>
      <c r="M14"/>
      <c r="N14"/>
      <c r="O14"/>
      <c r="P14"/>
      <c r="Q14"/>
      <c r="R14"/>
      <c r="S14"/>
      <c r="T14"/>
    </row>
    <row r="15" spans="1:27" x14ac:dyDescent="0.25">
      <c r="A15"/>
      <c r="B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x14ac:dyDescent="0.25">
      <c r="A16"/>
      <c r="B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30" x14ac:dyDescent="0.25">
      <c r="A17"/>
      <c r="B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30" x14ac:dyDescent="0.25">
      <c r="A18"/>
      <c r="B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30" x14ac:dyDescent="0.25">
      <c r="D19" s="104"/>
      <c r="E19" s="104"/>
    </row>
    <row r="20" spans="1:30" ht="15" customHeight="1" x14ac:dyDescent="0.25">
      <c r="A20" s="242" t="s">
        <v>127</v>
      </c>
      <c r="B20" s="242"/>
      <c r="C20" s="51"/>
      <c r="D20" s="242" t="s">
        <v>128</v>
      </c>
      <c r="E20" s="242"/>
      <c r="F20" s="239" t="s">
        <v>129</v>
      </c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1"/>
      <c r="AB20"/>
      <c r="AC20"/>
      <c r="AD20"/>
    </row>
    <row r="21" spans="1:30" ht="20.399999999999999" x14ac:dyDescent="0.25">
      <c r="A21" s="81"/>
      <c r="B21" s="81"/>
      <c r="C21" s="52"/>
      <c r="D21" s="82" t="s">
        <v>130</v>
      </c>
      <c r="E21" s="83" t="s">
        <v>131</v>
      </c>
      <c r="F21" s="244" t="str">
        <f>B4</f>
        <v>Residential</v>
      </c>
      <c r="G21" s="245"/>
      <c r="H21" s="243" t="str">
        <f>C4</f>
        <v>General Service &lt; 50 kW</v>
      </c>
      <c r="I21" s="245"/>
      <c r="J21" s="243" t="str">
        <f>D4</f>
        <v>General Service &gt;= 50 kW</v>
      </c>
      <c r="K21" s="244"/>
      <c r="L21" s="245"/>
      <c r="M21" s="243" t="str">
        <f>E4</f>
        <v>Unmetered Scattered Load</v>
      </c>
      <c r="N21" s="244"/>
      <c r="O21" s="245"/>
      <c r="P21" s="243" t="str">
        <f>F4</f>
        <v>Sentinel Lighting</v>
      </c>
      <c r="Q21" s="244"/>
      <c r="R21" s="245"/>
      <c r="S21" s="243" t="str">
        <f>G4</f>
        <v xml:space="preserve">Street Lighting </v>
      </c>
      <c r="T21" s="244"/>
      <c r="U21" s="245"/>
      <c r="V21" s="243" t="str">
        <f>H4</f>
        <v>Embedded Distributor</v>
      </c>
      <c r="W21" s="244"/>
      <c r="X21" s="245"/>
      <c r="Y21" s="243"/>
      <c r="Z21" s="244"/>
      <c r="AA21" s="245"/>
      <c r="AB21"/>
      <c r="AC21"/>
      <c r="AD21"/>
    </row>
    <row r="22" spans="1:30" ht="31.2" thickBot="1" x14ac:dyDescent="0.3">
      <c r="A22" s="176"/>
      <c r="B22" s="176"/>
      <c r="C22" s="53"/>
      <c r="D22" s="84"/>
      <c r="E22" s="85"/>
      <c r="F22" s="86" t="s">
        <v>102</v>
      </c>
      <c r="G22" s="87" t="s">
        <v>132</v>
      </c>
      <c r="H22" s="84" t="s">
        <v>102</v>
      </c>
      <c r="I22" s="87" t="s">
        <v>132</v>
      </c>
      <c r="J22" s="84" t="s">
        <v>102</v>
      </c>
      <c r="K22" s="88" t="s">
        <v>103</v>
      </c>
      <c r="L22" s="87" t="s">
        <v>132</v>
      </c>
      <c r="M22" s="84" t="s">
        <v>102</v>
      </c>
      <c r="N22" s="88" t="s">
        <v>103</v>
      </c>
      <c r="O22" s="87" t="s">
        <v>132</v>
      </c>
      <c r="P22" s="84" t="s">
        <v>102</v>
      </c>
      <c r="Q22" s="88" t="s">
        <v>103</v>
      </c>
      <c r="R22" s="87" t="s">
        <v>132</v>
      </c>
      <c r="S22" s="84" t="s">
        <v>102</v>
      </c>
      <c r="T22" s="88" t="s">
        <v>103</v>
      </c>
      <c r="U22" s="87" t="s">
        <v>133</v>
      </c>
      <c r="V22" s="84" t="s">
        <v>102</v>
      </c>
      <c r="W22" s="88" t="s">
        <v>103</v>
      </c>
      <c r="X22" s="87" t="s">
        <v>132</v>
      </c>
      <c r="Y22" s="84" t="s">
        <v>102</v>
      </c>
      <c r="Z22" s="88" t="s">
        <v>103</v>
      </c>
      <c r="AA22" s="87" t="s">
        <v>132</v>
      </c>
      <c r="AB22"/>
      <c r="AC22"/>
      <c r="AD22"/>
    </row>
    <row r="23" spans="1:30" x14ac:dyDescent="0.25">
      <c r="A23" s="54" t="s">
        <v>1</v>
      </c>
      <c r="B23" s="54" t="s">
        <v>134</v>
      </c>
      <c r="C23" s="53"/>
      <c r="D23" s="55"/>
      <c r="E23" s="56"/>
      <c r="F23" s="57"/>
      <c r="G23" s="114"/>
      <c r="H23" s="59"/>
      <c r="I23" s="114"/>
      <c r="J23" s="59"/>
      <c r="K23" s="60"/>
      <c r="L23" s="115"/>
      <c r="M23" s="59"/>
      <c r="N23" s="60"/>
      <c r="O23" s="115"/>
      <c r="P23" s="59"/>
      <c r="Q23" s="60"/>
      <c r="R23" s="115"/>
      <c r="S23" s="61"/>
      <c r="T23" s="62"/>
      <c r="U23" s="56"/>
      <c r="V23" s="61"/>
      <c r="W23" s="63"/>
      <c r="X23" s="64"/>
      <c r="Y23" s="61"/>
      <c r="Z23" s="62"/>
      <c r="AA23" s="58"/>
      <c r="AB23"/>
      <c r="AC23"/>
      <c r="AD23"/>
    </row>
    <row r="24" spans="1:30" x14ac:dyDescent="0.25">
      <c r="A24" s="215">
        <v>2016</v>
      </c>
      <c r="B24" s="216" t="s">
        <v>135</v>
      </c>
      <c r="C24" s="91">
        <f>SUM(G24,I24,L24,X24)</f>
        <v>16198</v>
      </c>
      <c r="D24" s="89">
        <v>25159552</v>
      </c>
      <c r="E24" s="89"/>
      <c r="F24" s="89">
        <v>15031945.999999994</v>
      </c>
      <c r="G24" s="89">
        <v>15110</v>
      </c>
      <c r="H24" s="89">
        <v>3038307.5100000002</v>
      </c>
      <c r="I24" s="89">
        <v>1013</v>
      </c>
      <c r="J24" s="89">
        <v>5029708.919999999</v>
      </c>
      <c r="K24" s="89">
        <v>11858.98</v>
      </c>
      <c r="L24" s="89">
        <v>74</v>
      </c>
      <c r="M24" s="89">
        <v>38591</v>
      </c>
      <c r="N24" s="89">
        <v>0</v>
      </c>
      <c r="O24" s="89">
        <v>76</v>
      </c>
      <c r="P24" s="89">
        <v>9060.86</v>
      </c>
      <c r="Q24" s="89">
        <v>24.539055555555553</v>
      </c>
      <c r="R24" s="89">
        <v>166</v>
      </c>
      <c r="S24" s="89">
        <v>58440.27</v>
      </c>
      <c r="T24" s="89">
        <v>134.66</v>
      </c>
      <c r="U24" s="89">
        <v>2835</v>
      </c>
      <c r="V24" s="89">
        <v>92254.499999999971</v>
      </c>
      <c r="W24" s="89">
        <v>194.4</v>
      </c>
      <c r="X24" s="89">
        <v>1</v>
      </c>
      <c r="Y24" s="89"/>
      <c r="Z24" s="89"/>
      <c r="AA24" s="89"/>
      <c r="AB24"/>
      <c r="AC24" s="92"/>
      <c r="AD24"/>
    </row>
    <row r="25" spans="1:30" x14ac:dyDescent="0.25">
      <c r="A25" s="215">
        <v>2016</v>
      </c>
      <c r="B25" s="216" t="s">
        <v>136</v>
      </c>
      <c r="C25" s="91">
        <f t="shared" ref="C25:C88" si="0">SUM(G25,I25,L25,X25)</f>
        <v>16213</v>
      </c>
      <c r="D25" s="90">
        <v>23014941</v>
      </c>
      <c r="E25" s="90"/>
      <c r="F25" s="90">
        <v>13742387.869999995</v>
      </c>
      <c r="G25" s="90">
        <v>15125</v>
      </c>
      <c r="H25" s="90">
        <v>2827715.8700000006</v>
      </c>
      <c r="I25" s="90">
        <v>1013</v>
      </c>
      <c r="J25" s="90">
        <v>4750605.5200000005</v>
      </c>
      <c r="K25" s="90">
        <v>11679.230000000003</v>
      </c>
      <c r="L25" s="90">
        <v>74</v>
      </c>
      <c r="M25" s="90">
        <v>38591</v>
      </c>
      <c r="N25" s="90">
        <v>0</v>
      </c>
      <c r="O25" s="90">
        <v>76</v>
      </c>
      <c r="P25" s="90">
        <v>9035.66</v>
      </c>
      <c r="Q25" s="90">
        <v>24.729055555555554</v>
      </c>
      <c r="R25" s="90">
        <v>166</v>
      </c>
      <c r="S25" s="90">
        <v>54906.11</v>
      </c>
      <c r="T25" s="217">
        <v>135.86000000000001</v>
      </c>
      <c r="U25" s="90">
        <v>2845</v>
      </c>
      <c r="V25" s="90">
        <v>82077</v>
      </c>
      <c r="W25" s="90">
        <v>201.3</v>
      </c>
      <c r="X25" s="90">
        <v>1</v>
      </c>
      <c r="Y25" s="90"/>
      <c r="Z25" s="90"/>
      <c r="AA25" s="90"/>
      <c r="AB25"/>
      <c r="AC25" s="92"/>
      <c r="AD25"/>
    </row>
    <row r="26" spans="1:30" x14ac:dyDescent="0.25">
      <c r="A26" s="215">
        <v>2016</v>
      </c>
      <c r="B26" s="216" t="s">
        <v>137</v>
      </c>
      <c r="C26" s="91">
        <f t="shared" si="0"/>
        <v>16244</v>
      </c>
      <c r="D26" s="90">
        <v>21970551</v>
      </c>
      <c r="E26" s="90"/>
      <c r="F26" s="90">
        <v>12724183.240000002</v>
      </c>
      <c r="G26" s="90">
        <v>15151</v>
      </c>
      <c r="H26" s="90">
        <v>2719965.18</v>
      </c>
      <c r="I26" s="90">
        <v>1018</v>
      </c>
      <c r="J26" s="90">
        <v>4947024.84</v>
      </c>
      <c r="K26" s="90">
        <v>11803.470000000001</v>
      </c>
      <c r="L26" s="90">
        <v>74</v>
      </c>
      <c r="M26" s="90">
        <v>38591</v>
      </c>
      <c r="N26" s="90">
        <v>0</v>
      </c>
      <c r="O26" s="90">
        <v>76</v>
      </c>
      <c r="P26" s="90">
        <v>8871.26</v>
      </c>
      <c r="Q26" s="90">
        <v>24.733166666666669</v>
      </c>
      <c r="R26" s="90">
        <v>166</v>
      </c>
      <c r="S26" s="90">
        <v>58975.59</v>
      </c>
      <c r="T26" s="217">
        <v>135.9</v>
      </c>
      <c r="U26" s="90">
        <v>2846</v>
      </c>
      <c r="V26" s="90">
        <v>77005.199999999983</v>
      </c>
      <c r="W26" s="90">
        <v>171</v>
      </c>
      <c r="X26" s="90">
        <v>1</v>
      </c>
      <c r="Y26" s="90"/>
      <c r="Z26" s="90"/>
      <c r="AA26" s="90"/>
      <c r="AB26"/>
      <c r="AC26" s="92"/>
      <c r="AD26"/>
    </row>
    <row r="27" spans="1:30" x14ac:dyDescent="0.25">
      <c r="A27" s="215">
        <v>2016</v>
      </c>
      <c r="B27" s="216" t="s">
        <v>138</v>
      </c>
      <c r="C27" s="91">
        <f t="shared" si="0"/>
        <v>16250</v>
      </c>
      <c r="D27" s="90">
        <v>19763963</v>
      </c>
      <c r="E27" s="90"/>
      <c r="F27" s="90">
        <v>11375899.649999989</v>
      </c>
      <c r="G27" s="90">
        <v>15161</v>
      </c>
      <c r="H27" s="90">
        <v>2594881.7000000007</v>
      </c>
      <c r="I27" s="90">
        <v>1014</v>
      </c>
      <c r="J27" s="90">
        <v>4677929.51</v>
      </c>
      <c r="K27" s="90">
        <v>11989.26</v>
      </c>
      <c r="L27" s="90">
        <v>74</v>
      </c>
      <c r="M27" s="90">
        <v>38591</v>
      </c>
      <c r="N27" s="90">
        <v>0</v>
      </c>
      <c r="O27" s="90">
        <v>76</v>
      </c>
      <c r="P27" s="90">
        <v>8814.26</v>
      </c>
      <c r="Q27" s="90">
        <v>24.625444444444444</v>
      </c>
      <c r="R27" s="90">
        <v>167</v>
      </c>
      <c r="S27" s="90">
        <v>42839.79</v>
      </c>
      <c r="T27" s="217">
        <v>136.63</v>
      </c>
      <c r="U27" s="90">
        <v>2856</v>
      </c>
      <c r="V27" s="90">
        <v>68808.900000000009</v>
      </c>
      <c r="W27" s="90">
        <v>166.8</v>
      </c>
      <c r="X27" s="90">
        <v>1</v>
      </c>
      <c r="Y27" s="90"/>
      <c r="Z27" s="90"/>
      <c r="AA27" s="90"/>
      <c r="AB27"/>
      <c r="AC27" s="92"/>
      <c r="AD27"/>
    </row>
    <row r="28" spans="1:30" x14ac:dyDescent="0.25">
      <c r="A28" s="215">
        <v>2016</v>
      </c>
      <c r="B28" s="216" t="s">
        <v>139</v>
      </c>
      <c r="C28" s="91">
        <f t="shared" si="0"/>
        <v>16262</v>
      </c>
      <c r="D28" s="90">
        <v>18836973</v>
      </c>
      <c r="E28" s="90"/>
      <c r="F28" s="90">
        <v>10513778.359999998</v>
      </c>
      <c r="G28" s="90">
        <v>15167</v>
      </c>
      <c r="H28" s="90">
        <v>2635754.9899999993</v>
      </c>
      <c r="I28" s="90">
        <v>1020</v>
      </c>
      <c r="J28" s="90">
        <v>4551175.3400000008</v>
      </c>
      <c r="K28" s="90">
        <v>13001.91</v>
      </c>
      <c r="L28" s="90">
        <v>74</v>
      </c>
      <c r="M28" s="90">
        <v>38591</v>
      </c>
      <c r="N28" s="90">
        <v>0</v>
      </c>
      <c r="O28" s="90">
        <v>75</v>
      </c>
      <c r="P28" s="90">
        <v>8761.82</v>
      </c>
      <c r="Q28" s="90">
        <v>24.598999999999997</v>
      </c>
      <c r="R28" s="90">
        <v>167</v>
      </c>
      <c r="S28" s="90">
        <v>44746.55</v>
      </c>
      <c r="T28" s="217">
        <v>137.53</v>
      </c>
      <c r="U28" s="90">
        <v>2872</v>
      </c>
      <c r="V28" s="90">
        <v>68053.5</v>
      </c>
      <c r="W28" s="90">
        <v>212.7</v>
      </c>
      <c r="X28" s="90">
        <v>1</v>
      </c>
      <c r="Y28" s="90"/>
      <c r="Z28" s="90"/>
      <c r="AA28" s="90"/>
      <c r="AB28"/>
      <c r="AC28" s="92"/>
      <c r="AD28"/>
    </row>
    <row r="29" spans="1:30" x14ac:dyDescent="0.25">
      <c r="A29" s="215">
        <v>2016</v>
      </c>
      <c r="B29" s="216" t="s">
        <v>140</v>
      </c>
      <c r="C29" s="91">
        <f t="shared" si="0"/>
        <v>16270</v>
      </c>
      <c r="D29" s="90">
        <v>19211234</v>
      </c>
      <c r="E29" s="90"/>
      <c r="F29" s="90">
        <v>11183009.110000005</v>
      </c>
      <c r="G29" s="90">
        <v>15178</v>
      </c>
      <c r="H29" s="90">
        <v>2755147.6699999995</v>
      </c>
      <c r="I29" s="90">
        <v>1017</v>
      </c>
      <c r="J29" s="90">
        <v>4549813.5699999994</v>
      </c>
      <c r="K29" s="90">
        <v>12884.51</v>
      </c>
      <c r="L29" s="90">
        <v>74</v>
      </c>
      <c r="M29" s="90">
        <v>38591</v>
      </c>
      <c r="N29" s="90">
        <v>0</v>
      </c>
      <c r="O29" s="90">
        <v>75</v>
      </c>
      <c r="P29" s="90">
        <v>8742.2000000000007</v>
      </c>
      <c r="Q29" s="90">
        <v>24.724944444444443</v>
      </c>
      <c r="R29" s="90">
        <v>167</v>
      </c>
      <c r="S29" s="90">
        <v>43321.32</v>
      </c>
      <c r="T29" s="217">
        <v>137.53</v>
      </c>
      <c r="U29" s="90">
        <v>2872</v>
      </c>
      <c r="V29" s="90">
        <v>79915.200000000012</v>
      </c>
      <c r="W29" s="90">
        <v>217.2</v>
      </c>
      <c r="X29" s="90">
        <v>1</v>
      </c>
      <c r="Y29" s="90"/>
      <c r="Z29" s="90"/>
      <c r="AA29" s="90"/>
      <c r="AB29"/>
      <c r="AC29" s="92"/>
      <c r="AD29"/>
    </row>
    <row r="30" spans="1:30" x14ac:dyDescent="0.25">
      <c r="A30" s="215">
        <v>2016</v>
      </c>
      <c r="B30" s="216" t="s">
        <v>141</v>
      </c>
      <c r="C30" s="91">
        <f t="shared" si="0"/>
        <v>16282</v>
      </c>
      <c r="D30" s="90">
        <v>23404500</v>
      </c>
      <c r="E30" s="90"/>
      <c r="F30" s="90">
        <v>14200167.84</v>
      </c>
      <c r="G30" s="90">
        <v>15191</v>
      </c>
      <c r="H30" s="90">
        <v>3024140.71</v>
      </c>
      <c r="I30" s="90">
        <v>1016</v>
      </c>
      <c r="J30" s="90">
        <v>4781044.4300000006</v>
      </c>
      <c r="K30" s="90">
        <v>12508.000000000002</v>
      </c>
      <c r="L30" s="90">
        <v>74</v>
      </c>
      <c r="M30" s="90">
        <v>38351</v>
      </c>
      <c r="N30" s="90">
        <v>0</v>
      </c>
      <c r="O30" s="90">
        <v>75</v>
      </c>
      <c r="P30" s="90">
        <v>5753.18</v>
      </c>
      <c r="Q30" s="90">
        <v>24.75438888888889</v>
      </c>
      <c r="R30" s="90">
        <v>167</v>
      </c>
      <c r="S30" s="90">
        <v>31975.26</v>
      </c>
      <c r="T30" s="217">
        <v>137.53</v>
      </c>
      <c r="U30" s="90">
        <v>2872</v>
      </c>
      <c r="V30" s="90">
        <v>92374.8</v>
      </c>
      <c r="W30" s="90">
        <v>236.7</v>
      </c>
      <c r="X30" s="90">
        <v>1</v>
      </c>
      <c r="Y30" s="90"/>
      <c r="Z30" s="90"/>
      <c r="AA30" s="90"/>
      <c r="AB30"/>
      <c r="AC30" s="92"/>
      <c r="AD30"/>
    </row>
    <row r="31" spans="1:30" x14ac:dyDescent="0.25">
      <c r="A31" s="215">
        <v>2016</v>
      </c>
      <c r="B31" s="216" t="s">
        <v>142</v>
      </c>
      <c r="C31" s="91">
        <f t="shared" si="0"/>
        <v>16293</v>
      </c>
      <c r="D31" s="90">
        <v>24564804</v>
      </c>
      <c r="E31" s="90"/>
      <c r="F31" s="90">
        <v>14840247.090000009</v>
      </c>
      <c r="G31" s="90">
        <v>15202</v>
      </c>
      <c r="H31" s="90">
        <v>3034570.4</v>
      </c>
      <c r="I31" s="90">
        <v>1013</v>
      </c>
      <c r="J31" s="90">
        <v>5041185.580000001</v>
      </c>
      <c r="K31" s="90">
        <v>13500.620000000003</v>
      </c>
      <c r="L31" s="90">
        <v>77</v>
      </c>
      <c r="M31" s="90">
        <v>38351</v>
      </c>
      <c r="N31" s="90">
        <v>0</v>
      </c>
      <c r="O31" s="90">
        <v>75</v>
      </c>
      <c r="P31" s="90">
        <v>8780.06</v>
      </c>
      <c r="Q31" s="90">
        <v>24.634055555555555</v>
      </c>
      <c r="R31" s="90">
        <v>166</v>
      </c>
      <c r="S31" s="90">
        <v>31975.26</v>
      </c>
      <c r="T31" s="217">
        <v>137.53</v>
      </c>
      <c r="U31" s="90">
        <v>2872</v>
      </c>
      <c r="V31" s="90">
        <v>95967</v>
      </c>
      <c r="W31" s="90">
        <v>246.6</v>
      </c>
      <c r="X31" s="90">
        <v>1</v>
      </c>
      <c r="Y31" s="90"/>
      <c r="Z31" s="90"/>
      <c r="AA31" s="90"/>
      <c r="AB31"/>
      <c r="AC31" s="92"/>
      <c r="AD31"/>
    </row>
    <row r="32" spans="1:30" x14ac:dyDescent="0.25">
      <c r="A32" s="215">
        <v>2016</v>
      </c>
      <c r="B32" s="216" t="s">
        <v>143</v>
      </c>
      <c r="C32" s="91">
        <f t="shared" si="0"/>
        <v>16324</v>
      </c>
      <c r="D32" s="90">
        <v>19239594</v>
      </c>
      <c r="E32" s="90"/>
      <c r="F32" s="90">
        <v>10645034.670000002</v>
      </c>
      <c r="G32" s="90">
        <v>15234</v>
      </c>
      <c r="H32" s="90">
        <v>2630169.4800000009</v>
      </c>
      <c r="I32" s="90">
        <v>1011</v>
      </c>
      <c r="J32" s="90">
        <v>4755064.62</v>
      </c>
      <c r="K32" s="90">
        <v>13419.58</v>
      </c>
      <c r="L32" s="90">
        <v>78</v>
      </c>
      <c r="M32" s="90">
        <v>38351</v>
      </c>
      <c r="N32" s="90">
        <v>0</v>
      </c>
      <c r="O32" s="90">
        <v>75</v>
      </c>
      <c r="P32" s="90">
        <v>8856.6200000000008</v>
      </c>
      <c r="Q32" s="90">
        <v>24.62788888888889</v>
      </c>
      <c r="R32" s="90">
        <v>166</v>
      </c>
      <c r="S32" s="90">
        <v>30943.8</v>
      </c>
      <c r="T32" s="217">
        <v>137.53</v>
      </c>
      <c r="U32" s="90">
        <v>2872</v>
      </c>
      <c r="V32" s="90">
        <v>70155.599999999991</v>
      </c>
      <c r="W32" s="90">
        <v>222.6</v>
      </c>
      <c r="X32" s="90">
        <v>1</v>
      </c>
      <c r="Y32" s="90"/>
      <c r="Z32" s="90"/>
      <c r="AA32" s="90"/>
      <c r="AB32"/>
      <c r="AC32" s="92"/>
      <c r="AD32"/>
    </row>
    <row r="33" spans="1:30" x14ac:dyDescent="0.25">
      <c r="A33" s="215">
        <v>2016</v>
      </c>
      <c r="B33" s="216" t="s">
        <v>144</v>
      </c>
      <c r="C33" s="91">
        <f t="shared" si="0"/>
        <v>16371</v>
      </c>
      <c r="D33" s="90">
        <v>19360398</v>
      </c>
      <c r="E33" s="90"/>
      <c r="F33" s="90">
        <v>10289583.510000002</v>
      </c>
      <c r="G33" s="90">
        <v>15274</v>
      </c>
      <c r="H33" s="90">
        <v>2635130.6500000004</v>
      </c>
      <c r="I33" s="90">
        <v>1018</v>
      </c>
      <c r="J33" s="90">
        <v>5007648.9700000007</v>
      </c>
      <c r="K33" s="90">
        <v>13614.850000000006</v>
      </c>
      <c r="L33" s="90">
        <v>78</v>
      </c>
      <c r="M33" s="90">
        <v>38351</v>
      </c>
      <c r="N33" s="90">
        <v>0</v>
      </c>
      <c r="O33" s="90">
        <v>75</v>
      </c>
      <c r="P33" s="90">
        <v>8818.8799999999992</v>
      </c>
      <c r="Q33" s="90">
        <v>24.069388888888888</v>
      </c>
      <c r="R33" s="90">
        <v>165</v>
      </c>
      <c r="S33" s="90">
        <v>49028.73</v>
      </c>
      <c r="T33" s="217">
        <v>137.53</v>
      </c>
      <c r="U33" s="90">
        <v>2872</v>
      </c>
      <c r="V33" s="90">
        <v>64336.200000000004</v>
      </c>
      <c r="W33" s="90">
        <v>147</v>
      </c>
      <c r="X33" s="90">
        <v>1</v>
      </c>
      <c r="Y33" s="90"/>
      <c r="Z33" s="90"/>
      <c r="AA33" s="90"/>
      <c r="AB33"/>
      <c r="AC33" s="92"/>
      <c r="AD33"/>
    </row>
    <row r="34" spans="1:30" x14ac:dyDescent="0.25">
      <c r="A34" s="215">
        <v>2016</v>
      </c>
      <c r="B34" s="216" t="s">
        <v>145</v>
      </c>
      <c r="C34" s="91">
        <f t="shared" si="0"/>
        <v>16400</v>
      </c>
      <c r="D34" s="90">
        <v>20317470</v>
      </c>
      <c r="E34" s="90"/>
      <c r="F34" s="90">
        <v>11036734.359999996</v>
      </c>
      <c r="G34" s="90">
        <v>15300</v>
      </c>
      <c r="H34" s="90">
        <v>2663742.9100000011</v>
      </c>
      <c r="I34" s="90">
        <v>1021</v>
      </c>
      <c r="J34" s="90">
        <v>5099609.5299999993</v>
      </c>
      <c r="K34" s="90">
        <v>12683.34</v>
      </c>
      <c r="L34" s="90">
        <v>78</v>
      </c>
      <c r="M34" s="90">
        <v>38351</v>
      </c>
      <c r="N34" s="90">
        <v>0</v>
      </c>
      <c r="O34" s="90">
        <v>75</v>
      </c>
      <c r="P34" s="90">
        <v>8843.9</v>
      </c>
      <c r="Q34" s="90">
        <v>24.524055555555556</v>
      </c>
      <c r="R34" s="90">
        <v>165</v>
      </c>
      <c r="S34" s="90">
        <v>47547.9</v>
      </c>
      <c r="T34" s="217">
        <v>138.4</v>
      </c>
      <c r="U34" s="90">
        <v>2872</v>
      </c>
      <c r="V34" s="90">
        <v>69149.399999999994</v>
      </c>
      <c r="W34" s="90">
        <v>183.6</v>
      </c>
      <c r="X34" s="90">
        <v>1</v>
      </c>
      <c r="Y34" s="90"/>
      <c r="Z34" s="90"/>
      <c r="AA34" s="90"/>
      <c r="AB34"/>
      <c r="AC34" s="92"/>
      <c r="AD34"/>
    </row>
    <row r="35" spans="1:30" x14ac:dyDescent="0.25">
      <c r="A35" s="215">
        <v>2016</v>
      </c>
      <c r="B35" s="216" t="s">
        <v>146</v>
      </c>
      <c r="C35" s="91">
        <f t="shared" si="0"/>
        <v>16426</v>
      </c>
      <c r="D35" s="90">
        <v>24538056</v>
      </c>
      <c r="E35" s="90"/>
      <c r="F35" s="90">
        <v>14552944.810000001</v>
      </c>
      <c r="G35" s="90">
        <v>15326</v>
      </c>
      <c r="H35" s="90">
        <v>2998609.4299999997</v>
      </c>
      <c r="I35" s="90">
        <v>1021</v>
      </c>
      <c r="J35" s="90">
        <v>5096163.3699999992</v>
      </c>
      <c r="K35" s="90">
        <v>12248.510000000002</v>
      </c>
      <c r="L35" s="90">
        <v>78</v>
      </c>
      <c r="M35" s="90">
        <v>38351</v>
      </c>
      <c r="N35" s="90">
        <v>0</v>
      </c>
      <c r="O35" s="90">
        <v>75</v>
      </c>
      <c r="P35" s="90">
        <v>8903.6</v>
      </c>
      <c r="Q35" s="90">
        <v>24.398055555555555</v>
      </c>
      <c r="R35" s="90">
        <v>165</v>
      </c>
      <c r="S35" s="90">
        <v>49341.03</v>
      </c>
      <c r="T35" s="90">
        <v>138.4</v>
      </c>
      <c r="U35" s="90">
        <v>2872</v>
      </c>
      <c r="V35" s="90">
        <v>88278.300000000032</v>
      </c>
      <c r="W35" s="90">
        <v>198.3</v>
      </c>
      <c r="X35" s="90">
        <v>1</v>
      </c>
      <c r="Y35" s="90"/>
      <c r="Z35" s="90"/>
      <c r="AA35" s="90"/>
      <c r="AB35"/>
      <c r="AC35" s="92"/>
      <c r="AD35"/>
    </row>
    <row r="36" spans="1:30" x14ac:dyDescent="0.25">
      <c r="A36" s="215">
        <v>2017</v>
      </c>
      <c r="B36" s="216" t="s">
        <v>135</v>
      </c>
      <c r="C36" s="91">
        <f t="shared" si="0"/>
        <v>16479</v>
      </c>
      <c r="D36" s="89">
        <v>24383250.957844518</v>
      </c>
      <c r="E36" s="89"/>
      <c r="F36" s="89">
        <v>14422202.99116756</v>
      </c>
      <c r="G36" s="89">
        <v>15377</v>
      </c>
      <c r="H36" s="89">
        <v>2990693.9921972086</v>
      </c>
      <c r="I36" s="89">
        <v>1023</v>
      </c>
      <c r="J36" s="89">
        <v>5763362.0315616364</v>
      </c>
      <c r="K36" s="89">
        <v>12260.68502644076</v>
      </c>
      <c r="L36" s="89">
        <v>78</v>
      </c>
      <c r="M36" s="89">
        <v>38351</v>
      </c>
      <c r="N36" s="89">
        <v>0</v>
      </c>
      <c r="O36" s="89">
        <v>75</v>
      </c>
      <c r="P36" s="89">
        <v>8716.2485940148799</v>
      </c>
      <c r="Q36" s="89">
        <v>24.212654957002169</v>
      </c>
      <c r="R36" s="89">
        <v>165</v>
      </c>
      <c r="S36" s="89">
        <v>60091.979999999989</v>
      </c>
      <c r="T36" s="218">
        <v>139.52495117299691</v>
      </c>
      <c r="U36" s="89">
        <v>2884</v>
      </c>
      <c r="V36" s="89">
        <v>86172.6</v>
      </c>
      <c r="W36" s="89">
        <v>203.7</v>
      </c>
      <c r="X36" s="89">
        <v>1</v>
      </c>
      <c r="Y36" s="89"/>
      <c r="Z36" s="89"/>
      <c r="AA36" s="89"/>
      <c r="AB36"/>
      <c r="AC36" s="92"/>
      <c r="AD36"/>
    </row>
    <row r="37" spans="1:30" x14ac:dyDescent="0.25">
      <c r="A37" s="215">
        <v>2017</v>
      </c>
      <c r="B37" s="216" t="s">
        <v>136</v>
      </c>
      <c r="C37" s="91">
        <f t="shared" si="0"/>
        <v>16483</v>
      </c>
      <c r="D37" s="90">
        <v>21070773.226623036</v>
      </c>
      <c r="E37" s="90"/>
      <c r="F37" s="90">
        <v>12390958.416389994</v>
      </c>
      <c r="G37" s="90">
        <v>15382</v>
      </c>
      <c r="H37" s="90">
        <v>2622609.2877930985</v>
      </c>
      <c r="I37" s="90">
        <v>1022</v>
      </c>
      <c r="J37" s="90">
        <v>4996231.3587435009</v>
      </c>
      <c r="K37" s="90">
        <v>12583.575661218294</v>
      </c>
      <c r="L37" s="90">
        <v>78</v>
      </c>
      <c r="M37" s="90">
        <v>38351</v>
      </c>
      <c r="N37" s="90">
        <v>0</v>
      </c>
      <c r="O37" s="90">
        <v>75</v>
      </c>
      <c r="P37" s="90">
        <v>8655.4087020996485</v>
      </c>
      <c r="Q37" s="90">
        <v>24.043649301108381</v>
      </c>
      <c r="R37" s="90">
        <v>165</v>
      </c>
      <c r="S37" s="90">
        <v>54944.289999999994</v>
      </c>
      <c r="T37" s="217">
        <v>141.29925691045702</v>
      </c>
      <c r="U37" s="90">
        <v>2909</v>
      </c>
      <c r="V37" s="90">
        <v>74695.199999999997</v>
      </c>
      <c r="W37" s="90">
        <v>179.1</v>
      </c>
      <c r="X37" s="90">
        <v>1</v>
      </c>
      <c r="Y37" s="90"/>
      <c r="Z37" s="90"/>
      <c r="AA37" s="90"/>
      <c r="AB37"/>
      <c r="AC37" s="92"/>
      <c r="AD37"/>
    </row>
    <row r="38" spans="1:30" x14ac:dyDescent="0.25">
      <c r="A38" s="215">
        <v>2017</v>
      </c>
      <c r="B38" s="216" t="s">
        <v>137</v>
      </c>
      <c r="C38" s="91">
        <f t="shared" si="0"/>
        <v>16497</v>
      </c>
      <c r="D38" s="90">
        <v>23393184.032128658</v>
      </c>
      <c r="E38" s="90"/>
      <c r="F38" s="90">
        <v>13553555.28829693</v>
      </c>
      <c r="G38" s="90">
        <v>15396</v>
      </c>
      <c r="H38" s="90">
        <v>2778106.2489557224</v>
      </c>
      <c r="I38" s="90">
        <v>1015</v>
      </c>
      <c r="J38" s="90">
        <v>5937379.1444941051</v>
      </c>
      <c r="K38" s="90">
        <v>12437.760865149088</v>
      </c>
      <c r="L38" s="90">
        <v>85</v>
      </c>
      <c r="M38" s="90">
        <v>38351</v>
      </c>
      <c r="N38" s="90">
        <v>0</v>
      </c>
      <c r="O38" s="90">
        <v>74</v>
      </c>
      <c r="P38" s="90">
        <v>8655.6484652204963</v>
      </c>
      <c r="Q38" s="90">
        <v>24.044315333249834</v>
      </c>
      <c r="R38" s="90">
        <v>162</v>
      </c>
      <c r="S38" s="90">
        <v>60831.179999999993</v>
      </c>
      <c r="T38" s="217">
        <v>141.29925691045702</v>
      </c>
      <c r="U38" s="90">
        <v>2909</v>
      </c>
      <c r="V38" s="90">
        <v>81687.900000000009</v>
      </c>
      <c r="W38" s="90">
        <v>173.1</v>
      </c>
      <c r="X38" s="90">
        <v>1</v>
      </c>
      <c r="Y38" s="90"/>
      <c r="Z38" s="90"/>
      <c r="AA38" s="90"/>
      <c r="AB38"/>
      <c r="AC38" s="92"/>
      <c r="AD38"/>
    </row>
    <row r="39" spans="1:30" x14ac:dyDescent="0.25">
      <c r="A39" s="215">
        <v>2017</v>
      </c>
      <c r="B39" s="216" t="s">
        <v>138</v>
      </c>
      <c r="C39" s="91">
        <f t="shared" si="0"/>
        <v>16510</v>
      </c>
      <c r="D39" s="90">
        <v>18825985.160844527</v>
      </c>
      <c r="E39" s="90"/>
      <c r="F39" s="90">
        <v>10456572.338871771</v>
      </c>
      <c r="G39" s="90">
        <v>15409</v>
      </c>
      <c r="H39" s="90">
        <v>2351688.9829533743</v>
      </c>
      <c r="I39" s="90">
        <v>1015</v>
      </c>
      <c r="J39" s="90">
        <v>5151054.8740957389</v>
      </c>
      <c r="K39" s="90">
        <v>12952.481990203984</v>
      </c>
      <c r="L39" s="90">
        <v>85</v>
      </c>
      <c r="M39" s="90">
        <v>38350.71</v>
      </c>
      <c r="N39" s="90">
        <v>0</v>
      </c>
      <c r="O39" s="90">
        <v>74</v>
      </c>
      <c r="P39" s="90">
        <v>8620.3433456756011</v>
      </c>
      <c r="Q39" s="90">
        <v>23.946242100420836</v>
      </c>
      <c r="R39" s="90">
        <v>162</v>
      </c>
      <c r="S39" s="90">
        <v>44242.639999999985</v>
      </c>
      <c r="T39" s="217">
        <v>141.29925691045702</v>
      </c>
      <c r="U39" s="90">
        <v>2909</v>
      </c>
      <c r="V39" s="90">
        <v>64413.600000000013</v>
      </c>
      <c r="W39" s="90">
        <v>144</v>
      </c>
      <c r="X39" s="90">
        <v>1</v>
      </c>
      <c r="Y39" s="90"/>
      <c r="Z39" s="90"/>
      <c r="AA39" s="90"/>
      <c r="AB39"/>
      <c r="AC39" s="92"/>
      <c r="AD39"/>
    </row>
    <row r="40" spans="1:30" x14ac:dyDescent="0.25">
      <c r="A40" s="215">
        <v>2017</v>
      </c>
      <c r="B40" s="216" t="s">
        <v>139</v>
      </c>
      <c r="C40" s="91">
        <f t="shared" si="0"/>
        <v>16550</v>
      </c>
      <c r="D40" s="90">
        <v>18786333.0832728</v>
      </c>
      <c r="E40" s="90"/>
      <c r="F40" s="90">
        <v>10138957.824948942</v>
      </c>
      <c r="G40" s="90">
        <v>15441</v>
      </c>
      <c r="H40" s="90">
        <v>2466576.8282311414</v>
      </c>
      <c r="I40" s="90">
        <v>1023</v>
      </c>
      <c r="J40" s="90">
        <v>5260713.1591373039</v>
      </c>
      <c r="K40" s="90">
        <v>13751.885809033038</v>
      </c>
      <c r="L40" s="90">
        <v>85</v>
      </c>
      <c r="M40" s="90">
        <v>38349.29</v>
      </c>
      <c r="N40" s="90">
        <v>0</v>
      </c>
      <c r="O40" s="90">
        <v>73</v>
      </c>
      <c r="P40" s="90">
        <v>8621.482220499629</v>
      </c>
      <c r="Q40" s="90">
        <v>23.949405753092737</v>
      </c>
      <c r="R40" s="90">
        <v>162</v>
      </c>
      <c r="S40" s="90">
        <v>46088.489999999991</v>
      </c>
      <c r="T40" s="217">
        <v>141.67226436662759</v>
      </c>
      <c r="U40" s="90">
        <v>2916</v>
      </c>
      <c r="V40" s="90">
        <v>64924.800000000003</v>
      </c>
      <c r="W40" s="90">
        <v>145.80000000000001</v>
      </c>
      <c r="X40" s="90">
        <v>1</v>
      </c>
      <c r="Y40" s="90"/>
      <c r="Z40" s="90"/>
      <c r="AA40" s="90"/>
      <c r="AB40"/>
      <c r="AC40" s="92"/>
      <c r="AD40"/>
    </row>
    <row r="41" spans="1:30" x14ac:dyDescent="0.25">
      <c r="A41" s="215">
        <v>2017</v>
      </c>
      <c r="B41" s="216" t="s">
        <v>140</v>
      </c>
      <c r="C41" s="91">
        <f t="shared" si="0"/>
        <v>16589</v>
      </c>
      <c r="D41" s="90">
        <v>19567266.152046304</v>
      </c>
      <c r="E41" s="90"/>
      <c r="F41" s="90">
        <v>10696936.404772243</v>
      </c>
      <c r="G41" s="90">
        <v>15475</v>
      </c>
      <c r="H41" s="90">
        <v>2625063.8394255214</v>
      </c>
      <c r="I41" s="90">
        <v>1028</v>
      </c>
      <c r="J41" s="90">
        <v>5266980.5304279802</v>
      </c>
      <c r="K41" s="90">
        <v>13482.508313528235</v>
      </c>
      <c r="L41" s="90">
        <v>85</v>
      </c>
      <c r="M41" s="90">
        <v>38349</v>
      </c>
      <c r="N41" s="90">
        <v>0</v>
      </c>
      <c r="O41" s="90">
        <v>73</v>
      </c>
      <c r="P41" s="90">
        <v>8620.3433456756011</v>
      </c>
      <c r="Q41" s="90">
        <v>23.946242100420836</v>
      </c>
      <c r="R41" s="90">
        <v>161</v>
      </c>
      <c r="S41" s="90">
        <v>45568.829999999987</v>
      </c>
      <c r="T41" s="217">
        <v>145.83583408009926</v>
      </c>
      <c r="U41" s="90">
        <v>2985</v>
      </c>
      <c r="V41" s="90">
        <v>72950.10000000002</v>
      </c>
      <c r="W41" s="90">
        <v>223.2</v>
      </c>
      <c r="X41" s="90">
        <v>1</v>
      </c>
      <c r="Y41" s="90"/>
      <c r="Z41" s="90"/>
      <c r="AA41" s="90"/>
      <c r="AB41"/>
      <c r="AC41" s="92"/>
      <c r="AD41"/>
    </row>
    <row r="42" spans="1:30" x14ac:dyDescent="0.25">
      <c r="A42" s="215">
        <v>2017</v>
      </c>
      <c r="B42" s="216" t="s">
        <v>141</v>
      </c>
      <c r="C42" s="91">
        <f t="shared" si="0"/>
        <v>16719</v>
      </c>
      <c r="D42" s="90">
        <v>22381676.491002649</v>
      </c>
      <c r="E42" s="90"/>
      <c r="F42" s="90">
        <v>12709627.034476332</v>
      </c>
      <c r="G42" s="90">
        <v>15592</v>
      </c>
      <c r="H42" s="90">
        <v>2869105.7045522947</v>
      </c>
      <c r="I42" s="90">
        <v>1037</v>
      </c>
      <c r="J42" s="90">
        <v>4995705.1812290959</v>
      </c>
      <c r="K42" s="90">
        <v>14267.898216348718</v>
      </c>
      <c r="L42" s="90">
        <v>89</v>
      </c>
      <c r="M42" s="90">
        <v>38349</v>
      </c>
      <c r="N42" s="90">
        <v>0</v>
      </c>
      <c r="O42" s="90">
        <v>73</v>
      </c>
      <c r="P42" s="90">
        <v>8625.857897455111</v>
      </c>
      <c r="Q42" s="90">
        <v>23.961560839674263</v>
      </c>
      <c r="R42" s="90">
        <v>161</v>
      </c>
      <c r="S42" s="90">
        <v>34622.259999999995</v>
      </c>
      <c r="T42" s="217">
        <v>145.83583408009926</v>
      </c>
      <c r="U42" s="90">
        <v>2985</v>
      </c>
      <c r="V42" s="90">
        <v>84888.6</v>
      </c>
      <c r="W42" s="90">
        <v>209.7</v>
      </c>
      <c r="X42" s="90">
        <v>1</v>
      </c>
      <c r="Y42" s="90"/>
      <c r="Z42" s="90"/>
      <c r="AA42" s="90"/>
      <c r="AB42"/>
      <c r="AC42" s="92"/>
      <c r="AD42"/>
    </row>
    <row r="43" spans="1:30" x14ac:dyDescent="0.25">
      <c r="A43" s="215">
        <v>2017</v>
      </c>
      <c r="B43" s="216" t="s">
        <v>142</v>
      </c>
      <c r="C43" s="91">
        <f t="shared" si="0"/>
        <v>16775</v>
      </c>
      <c r="D43" s="90">
        <v>21132315.915526163</v>
      </c>
      <c r="E43" s="90"/>
      <c r="F43" s="90">
        <v>11762478.962795964</v>
      </c>
      <c r="G43" s="90">
        <v>15641</v>
      </c>
      <c r="H43" s="90">
        <v>2839333.4155785316</v>
      </c>
      <c r="I43" s="90">
        <v>1044</v>
      </c>
      <c r="J43" s="90">
        <v>5083995.0929487264</v>
      </c>
      <c r="K43" s="90">
        <v>14124.866183601216</v>
      </c>
      <c r="L43" s="90">
        <v>89</v>
      </c>
      <c r="M43" s="90">
        <v>38349</v>
      </c>
      <c r="N43" s="90">
        <v>0</v>
      </c>
      <c r="O43" s="90">
        <v>73</v>
      </c>
      <c r="P43" s="90">
        <v>8636.9469417943383</v>
      </c>
      <c r="Q43" s="90">
        <v>23.992364826216477</v>
      </c>
      <c r="R43" s="90">
        <v>161</v>
      </c>
      <c r="S43" s="90">
        <v>34859.409999999989</v>
      </c>
      <c r="T43" s="217">
        <v>151.14867000988028</v>
      </c>
      <c r="U43" s="90">
        <v>3025</v>
      </c>
      <c r="V43" s="90">
        <v>78034.500000000015</v>
      </c>
      <c r="W43" s="90">
        <v>200.7</v>
      </c>
      <c r="X43" s="90">
        <v>1</v>
      </c>
      <c r="Y43" s="90"/>
      <c r="Z43" s="90"/>
      <c r="AA43" s="90"/>
      <c r="AB43"/>
      <c r="AC43" s="92"/>
      <c r="AD43"/>
    </row>
    <row r="44" spans="1:30" x14ac:dyDescent="0.25">
      <c r="A44" s="215">
        <v>2017</v>
      </c>
      <c r="B44" s="216" t="s">
        <v>143</v>
      </c>
      <c r="C44" s="91">
        <f t="shared" si="0"/>
        <v>16851</v>
      </c>
      <c r="D44" s="90">
        <v>19954544.032724753</v>
      </c>
      <c r="E44" s="90"/>
      <c r="F44" s="90">
        <v>10889986.618889587</v>
      </c>
      <c r="G44" s="90">
        <v>15721</v>
      </c>
      <c r="H44" s="90">
        <v>2671400.6103903125</v>
      </c>
      <c r="I44" s="90">
        <v>1039</v>
      </c>
      <c r="J44" s="90">
        <v>4968722.66006843</v>
      </c>
      <c r="K44" s="90">
        <v>14529.367859248679</v>
      </c>
      <c r="L44" s="90">
        <v>90</v>
      </c>
      <c r="M44" s="90">
        <v>38349</v>
      </c>
      <c r="N44" s="90">
        <v>0</v>
      </c>
      <c r="O44" s="90">
        <v>73</v>
      </c>
      <c r="P44" s="90">
        <v>8620.3433456756011</v>
      </c>
      <c r="Q44" s="90">
        <v>23.946242100420836</v>
      </c>
      <c r="R44" s="90">
        <v>161</v>
      </c>
      <c r="S44" s="90">
        <v>33771.819999999992</v>
      </c>
      <c r="T44" s="217">
        <v>151.14867000988028</v>
      </c>
      <c r="U44" s="90">
        <v>3025</v>
      </c>
      <c r="V44" s="90">
        <v>74783.699999999983</v>
      </c>
      <c r="W44" s="90">
        <v>243.6</v>
      </c>
      <c r="X44" s="90">
        <v>1</v>
      </c>
      <c r="Y44" s="90"/>
      <c r="Z44" s="90"/>
      <c r="AA44" s="90"/>
      <c r="AB44"/>
      <c r="AC44" s="92"/>
      <c r="AD44"/>
    </row>
    <row r="45" spans="1:30" x14ac:dyDescent="0.25">
      <c r="A45" s="215">
        <v>2017</v>
      </c>
      <c r="B45" s="216" t="s">
        <v>144</v>
      </c>
      <c r="C45" s="91">
        <f t="shared" si="0"/>
        <v>17087</v>
      </c>
      <c r="D45" s="90">
        <v>19246234.531076949</v>
      </c>
      <c r="E45" s="90"/>
      <c r="F45" s="90">
        <v>10147906.506676266</v>
      </c>
      <c r="G45" s="90">
        <v>15953</v>
      </c>
      <c r="H45" s="90">
        <v>2711094.5659744758</v>
      </c>
      <c r="I45" s="90">
        <v>1041</v>
      </c>
      <c r="J45" s="90">
        <v>5025410.4370248578</v>
      </c>
      <c r="K45" s="90">
        <v>15500.171880802589</v>
      </c>
      <c r="L45" s="90">
        <v>92</v>
      </c>
      <c r="M45" s="90">
        <v>38349</v>
      </c>
      <c r="N45" s="90">
        <v>0</v>
      </c>
      <c r="O45" s="90">
        <v>73</v>
      </c>
      <c r="P45" s="90">
        <v>8796.5692394990238</v>
      </c>
      <c r="Q45" s="90">
        <v>24.435775724389032</v>
      </c>
      <c r="R45" s="90">
        <v>161</v>
      </c>
      <c r="S45" s="90">
        <v>53743.459999999992</v>
      </c>
      <c r="T45" s="217">
        <v>151.97533518301506</v>
      </c>
      <c r="U45" s="90">
        <v>3044</v>
      </c>
      <c r="V45" s="90">
        <v>65995.8</v>
      </c>
      <c r="W45" s="90">
        <v>144.9</v>
      </c>
      <c r="X45" s="90">
        <v>1</v>
      </c>
      <c r="Y45" s="90"/>
      <c r="Z45" s="90"/>
      <c r="AA45" s="90"/>
      <c r="AB45"/>
      <c r="AC45" s="92"/>
      <c r="AD45"/>
    </row>
    <row r="46" spans="1:30" x14ac:dyDescent="0.25">
      <c r="A46" s="215">
        <v>2017</v>
      </c>
      <c r="B46" s="216" t="s">
        <v>145</v>
      </c>
      <c r="C46" s="91">
        <f t="shared" si="0"/>
        <v>17227</v>
      </c>
      <c r="D46" s="90">
        <v>21849761.600563686</v>
      </c>
      <c r="E46" s="90"/>
      <c r="F46" s="90">
        <v>12250314.936079456</v>
      </c>
      <c r="G46" s="90">
        <v>16090</v>
      </c>
      <c r="H46" s="90">
        <v>2767658.6105470387</v>
      </c>
      <c r="I46" s="90">
        <v>1043</v>
      </c>
      <c r="J46" s="90">
        <v>5253231.8832665998</v>
      </c>
      <c r="K46" s="90">
        <v>14215.866548196887</v>
      </c>
      <c r="L46" s="90">
        <v>93</v>
      </c>
      <c r="M46" s="90">
        <v>38349</v>
      </c>
      <c r="N46" s="90">
        <v>0</v>
      </c>
      <c r="O46" s="90">
        <v>73</v>
      </c>
      <c r="P46" s="90">
        <v>8653.0710116713781</v>
      </c>
      <c r="Q46" s="90">
        <v>24.037155487729208</v>
      </c>
      <c r="R46" s="90">
        <v>161</v>
      </c>
      <c r="S46" s="90">
        <v>52009.799999999988</v>
      </c>
      <c r="T46" s="217">
        <v>151.97533518301506</v>
      </c>
      <c r="U46" s="90">
        <v>3044</v>
      </c>
      <c r="V46" s="90">
        <v>76188.299999999988</v>
      </c>
      <c r="W46" s="90">
        <v>192.6</v>
      </c>
      <c r="X46" s="90">
        <v>1</v>
      </c>
      <c r="Y46" s="90"/>
      <c r="Z46" s="90"/>
      <c r="AA46" s="90"/>
      <c r="AB46"/>
      <c r="AC46" s="92"/>
      <c r="AD46"/>
    </row>
    <row r="47" spans="1:30" x14ac:dyDescent="0.25">
      <c r="A47" s="215">
        <v>2017</v>
      </c>
      <c r="B47" s="216" t="s">
        <v>146</v>
      </c>
      <c r="C47" s="91">
        <f t="shared" si="0"/>
        <v>17229</v>
      </c>
      <c r="D47" s="90">
        <v>26178109.375145946</v>
      </c>
      <c r="E47" s="90"/>
      <c r="F47" s="90">
        <v>15830963.506634967</v>
      </c>
      <c r="G47" s="90">
        <v>16103</v>
      </c>
      <c r="H47" s="90">
        <v>3082109.9134012838</v>
      </c>
      <c r="I47" s="90">
        <v>1034</v>
      </c>
      <c r="J47" s="90">
        <v>5404878.3370020138</v>
      </c>
      <c r="K47" s="90">
        <v>13123.3316462285</v>
      </c>
      <c r="L47" s="90">
        <v>91</v>
      </c>
      <c r="M47" s="90">
        <v>38349</v>
      </c>
      <c r="N47" s="90">
        <v>0</v>
      </c>
      <c r="O47" s="90">
        <v>73</v>
      </c>
      <c r="P47" s="90">
        <v>8626.8768907187132</v>
      </c>
      <c r="Q47" s="90">
        <v>23.964391476275434</v>
      </c>
      <c r="R47" s="90">
        <v>160</v>
      </c>
      <c r="S47" s="90">
        <v>53826.029999999984</v>
      </c>
      <c r="T47" s="90">
        <v>151.97533518301506</v>
      </c>
      <c r="U47" s="90">
        <v>3044</v>
      </c>
      <c r="V47" s="90">
        <v>95617.200000000012</v>
      </c>
      <c r="W47" s="90">
        <v>223.2</v>
      </c>
      <c r="X47" s="90">
        <v>1</v>
      </c>
      <c r="Y47" s="90"/>
      <c r="Z47" s="90"/>
      <c r="AA47" s="90"/>
      <c r="AB47"/>
      <c r="AC47" s="92"/>
      <c r="AD47"/>
    </row>
    <row r="48" spans="1:30" x14ac:dyDescent="0.25">
      <c r="A48" s="215">
        <v>2018</v>
      </c>
      <c r="B48" s="216" t="s">
        <v>135</v>
      </c>
      <c r="C48" s="91">
        <f t="shared" si="0"/>
        <v>17402</v>
      </c>
      <c r="D48" s="89">
        <v>27156877.702999998</v>
      </c>
      <c r="E48" s="89"/>
      <c r="F48" s="89">
        <v>16388385.936435128</v>
      </c>
      <c r="G48" s="89">
        <v>16261</v>
      </c>
      <c r="H48" s="89">
        <v>3043348.7433252195</v>
      </c>
      <c r="I48" s="89">
        <v>1049</v>
      </c>
      <c r="J48" s="89">
        <v>6034685.6540326467</v>
      </c>
      <c r="K48" s="89">
        <v>12645.41174840074</v>
      </c>
      <c r="L48" s="89">
        <v>91</v>
      </c>
      <c r="M48" s="89">
        <v>40675.050156161458</v>
      </c>
      <c r="N48" s="89">
        <v>0</v>
      </c>
      <c r="O48" s="89">
        <v>73</v>
      </c>
      <c r="P48" s="89">
        <v>8675.659999999998</v>
      </c>
      <c r="Q48" s="89">
        <v>24.097972395859106</v>
      </c>
      <c r="R48" s="89">
        <v>158</v>
      </c>
      <c r="S48" s="89">
        <v>66225.429999999993</v>
      </c>
      <c r="T48" s="218">
        <v>153.8523051694938</v>
      </c>
      <c r="U48" s="89">
        <v>3044</v>
      </c>
      <c r="V48" s="89">
        <v>95373.60000000002</v>
      </c>
      <c r="W48" s="89">
        <v>216.9</v>
      </c>
      <c r="X48" s="89">
        <v>1</v>
      </c>
      <c r="Y48" s="89"/>
      <c r="Z48" s="89"/>
      <c r="AA48" s="89"/>
      <c r="AB48"/>
      <c r="AC48" s="92"/>
      <c r="AD48"/>
    </row>
    <row r="49" spans="1:30" x14ac:dyDescent="0.25">
      <c r="A49" s="215">
        <v>2018</v>
      </c>
      <c r="B49" s="216" t="s">
        <v>136</v>
      </c>
      <c r="C49" s="91">
        <f t="shared" si="0"/>
        <v>17449</v>
      </c>
      <c r="D49" s="90">
        <v>22662310.571999997</v>
      </c>
      <c r="E49" s="90"/>
      <c r="F49" s="90">
        <v>13379153.818138581</v>
      </c>
      <c r="G49" s="90">
        <v>16295</v>
      </c>
      <c r="H49" s="90">
        <v>2765927.7480102838</v>
      </c>
      <c r="I49" s="90">
        <v>1063</v>
      </c>
      <c r="J49" s="90">
        <v>5332099.121412768</v>
      </c>
      <c r="K49" s="90">
        <v>17111.0297273783</v>
      </c>
      <c r="L49" s="90">
        <v>90</v>
      </c>
      <c r="M49" s="90">
        <v>40675.050156161458</v>
      </c>
      <c r="N49" s="90">
        <v>0</v>
      </c>
      <c r="O49" s="90">
        <v>73</v>
      </c>
      <c r="P49" s="90">
        <v>8810.66</v>
      </c>
      <c r="Q49" s="90">
        <v>24.472955541053938</v>
      </c>
      <c r="R49" s="90">
        <v>158</v>
      </c>
      <c r="S49" s="90">
        <v>60073.219999999994</v>
      </c>
      <c r="T49" s="217">
        <v>153.8523051694938</v>
      </c>
      <c r="U49" s="90">
        <v>3069</v>
      </c>
      <c r="V49" s="90">
        <v>79207.199999999968</v>
      </c>
      <c r="W49" s="90">
        <v>183.9</v>
      </c>
      <c r="X49" s="90">
        <v>1</v>
      </c>
      <c r="Y49" s="90"/>
      <c r="Z49" s="90"/>
      <c r="AA49" s="90"/>
      <c r="AB49"/>
      <c r="AC49" s="92"/>
      <c r="AD49"/>
    </row>
    <row r="50" spans="1:30" x14ac:dyDescent="0.25">
      <c r="A50" s="215">
        <v>2018</v>
      </c>
      <c r="B50" s="216" t="s">
        <v>137</v>
      </c>
      <c r="C50" s="91">
        <f t="shared" si="0"/>
        <v>17480</v>
      </c>
      <c r="D50" s="90">
        <v>23534615.378000002</v>
      </c>
      <c r="E50" s="90"/>
      <c r="F50" s="90">
        <v>13650252.750150304</v>
      </c>
      <c r="G50" s="90">
        <v>16323</v>
      </c>
      <c r="H50" s="90">
        <v>2938681.1558320941</v>
      </c>
      <c r="I50" s="90">
        <v>1066</v>
      </c>
      <c r="J50" s="90">
        <v>5808404.6857040403</v>
      </c>
      <c r="K50" s="90">
        <v>13159.20102538295</v>
      </c>
      <c r="L50" s="90">
        <v>90</v>
      </c>
      <c r="M50" s="90">
        <v>40675.050156161458</v>
      </c>
      <c r="N50" s="90">
        <v>0</v>
      </c>
      <c r="O50" s="90">
        <v>73</v>
      </c>
      <c r="P50" s="90">
        <v>8815.2199999999993</v>
      </c>
      <c r="Q50" s="90">
        <v>24.485621638402744</v>
      </c>
      <c r="R50" s="90">
        <v>160</v>
      </c>
      <c r="S50" s="90">
        <v>66509.63</v>
      </c>
      <c r="T50" s="217">
        <v>153.8523051694938</v>
      </c>
      <c r="U50" s="90">
        <v>3079</v>
      </c>
      <c r="V50" s="90">
        <v>81331.799999999988</v>
      </c>
      <c r="W50" s="90">
        <v>165</v>
      </c>
      <c r="X50" s="90">
        <v>1</v>
      </c>
      <c r="Y50" s="90"/>
      <c r="Z50" s="90"/>
      <c r="AA50" s="90"/>
      <c r="AB50"/>
      <c r="AC50" s="92"/>
      <c r="AD50"/>
    </row>
    <row r="51" spans="1:30" x14ac:dyDescent="0.25">
      <c r="A51" s="215">
        <v>2018</v>
      </c>
      <c r="B51" s="216" t="s">
        <v>138</v>
      </c>
      <c r="C51" s="91">
        <f t="shared" si="0"/>
        <v>17527</v>
      </c>
      <c r="D51" s="90">
        <v>21736721.348000001</v>
      </c>
      <c r="E51" s="90"/>
      <c r="F51" s="90">
        <v>12548080.829442222</v>
      </c>
      <c r="G51" s="90">
        <v>16361</v>
      </c>
      <c r="H51" s="90">
        <v>2785336.9320663013</v>
      </c>
      <c r="I51" s="90">
        <v>1075</v>
      </c>
      <c r="J51" s="90">
        <v>5270751.7756077256</v>
      </c>
      <c r="K51" s="90">
        <v>13853.591242336201</v>
      </c>
      <c r="L51" s="90">
        <v>90</v>
      </c>
      <c r="M51" s="90">
        <v>40685.964293847108</v>
      </c>
      <c r="N51" s="90">
        <v>0</v>
      </c>
      <c r="O51" s="90">
        <v>73</v>
      </c>
      <c r="P51" s="90">
        <v>8810.659999999998</v>
      </c>
      <c r="Q51" s="90">
        <v>24.472955541053935</v>
      </c>
      <c r="R51" s="90">
        <v>161</v>
      </c>
      <c r="S51" s="90">
        <v>48273.119999999995</v>
      </c>
      <c r="T51" s="217">
        <v>161.28138874700934</v>
      </c>
      <c r="U51" s="90">
        <v>3079</v>
      </c>
      <c r="V51" s="90">
        <v>76112.100000000006</v>
      </c>
      <c r="W51" s="90">
        <v>185.4</v>
      </c>
      <c r="X51" s="90">
        <v>1</v>
      </c>
      <c r="Y51" s="90"/>
      <c r="Z51" s="90"/>
      <c r="AA51" s="90"/>
      <c r="AB51"/>
      <c r="AC51" s="92"/>
      <c r="AD51"/>
    </row>
    <row r="52" spans="1:30" x14ac:dyDescent="0.25">
      <c r="A52" s="215">
        <v>2018</v>
      </c>
      <c r="B52" s="216" t="s">
        <v>139</v>
      </c>
      <c r="C52" s="91">
        <f t="shared" si="0"/>
        <v>17556</v>
      </c>
      <c r="D52" s="90">
        <v>19774022.555</v>
      </c>
      <c r="E52" s="90"/>
      <c r="F52" s="90">
        <v>10597782.562830482</v>
      </c>
      <c r="G52" s="90">
        <v>16387</v>
      </c>
      <c r="H52" s="90">
        <v>2750574.1458489061</v>
      </c>
      <c r="I52" s="90">
        <v>1076</v>
      </c>
      <c r="J52" s="90">
        <v>5483028.091701136</v>
      </c>
      <c r="K52" s="90">
        <v>12489.428161435664</v>
      </c>
      <c r="L52" s="90">
        <v>92</v>
      </c>
      <c r="M52" s="90">
        <v>40759.59494867098</v>
      </c>
      <c r="N52" s="90">
        <v>0</v>
      </c>
      <c r="O52" s="90">
        <v>73</v>
      </c>
      <c r="P52" s="90">
        <v>8811.7999999999993</v>
      </c>
      <c r="Q52" s="90">
        <v>24.476122065391142</v>
      </c>
      <c r="R52" s="90">
        <v>163</v>
      </c>
      <c r="S52" s="90">
        <v>49882.22</v>
      </c>
      <c r="T52" s="217">
        <v>153.8523051694938</v>
      </c>
      <c r="U52" s="90">
        <v>3079</v>
      </c>
      <c r="V52" s="90">
        <v>70274.39999999998</v>
      </c>
      <c r="W52" s="90">
        <v>216.3</v>
      </c>
      <c r="X52" s="90">
        <v>1</v>
      </c>
      <c r="Y52" s="90"/>
      <c r="Z52" s="90"/>
      <c r="AA52" s="90"/>
      <c r="AB52"/>
      <c r="AC52" s="92"/>
      <c r="AD52"/>
    </row>
    <row r="53" spans="1:30" x14ac:dyDescent="0.25">
      <c r="A53" s="215">
        <v>2018</v>
      </c>
      <c r="B53" s="216" t="s">
        <v>140</v>
      </c>
      <c r="C53" s="91">
        <f t="shared" si="0"/>
        <v>17628</v>
      </c>
      <c r="D53" s="90">
        <v>21054153.723000001</v>
      </c>
      <c r="E53" s="90"/>
      <c r="F53" s="90">
        <v>11693203.236396383</v>
      </c>
      <c r="G53" s="90">
        <v>16453</v>
      </c>
      <c r="H53" s="90">
        <v>2843463.0524121174</v>
      </c>
      <c r="I53" s="90">
        <v>1082</v>
      </c>
      <c r="J53" s="90">
        <v>5374456.3640892301</v>
      </c>
      <c r="K53" s="90">
        <v>16269.899990711197</v>
      </c>
      <c r="L53" s="90">
        <v>92</v>
      </c>
      <c r="M53" s="90">
        <v>40770.509086356629</v>
      </c>
      <c r="N53" s="90">
        <v>0</v>
      </c>
      <c r="O53" s="90">
        <v>73</v>
      </c>
      <c r="P53" s="90">
        <v>8808.5400000000009</v>
      </c>
      <c r="Q53" s="90">
        <v>24.467066916847919</v>
      </c>
      <c r="R53" s="90">
        <v>163</v>
      </c>
      <c r="S53" s="90">
        <v>48273.119999999995</v>
      </c>
      <c r="T53" s="217">
        <v>160.72922712976157</v>
      </c>
      <c r="U53" s="90">
        <v>3079</v>
      </c>
      <c r="V53" s="90">
        <v>77570.700000000026</v>
      </c>
      <c r="W53" s="90">
        <v>250.5</v>
      </c>
      <c r="X53" s="90">
        <v>1</v>
      </c>
      <c r="Y53" s="90"/>
      <c r="Z53" s="90"/>
      <c r="AA53" s="90"/>
      <c r="AB53"/>
      <c r="AC53" s="92"/>
      <c r="AD53"/>
    </row>
    <row r="54" spans="1:30" x14ac:dyDescent="0.25">
      <c r="A54" s="215">
        <v>2018</v>
      </c>
      <c r="B54" s="216" t="s">
        <v>141</v>
      </c>
      <c r="C54" s="91">
        <f t="shared" si="0"/>
        <v>17635</v>
      </c>
      <c r="D54" s="90">
        <v>26045488.691000003</v>
      </c>
      <c r="E54" s="90"/>
      <c r="F54" s="90">
        <v>15488922.61470633</v>
      </c>
      <c r="G54" s="90">
        <v>16461</v>
      </c>
      <c r="H54" s="90">
        <v>3292976.8897492923</v>
      </c>
      <c r="I54" s="90">
        <v>1082</v>
      </c>
      <c r="J54" s="90">
        <v>5439736.4406986078</v>
      </c>
      <c r="K54" s="90">
        <v>14213.647661771034</v>
      </c>
      <c r="L54" s="90">
        <v>91</v>
      </c>
      <c r="M54" s="90">
        <v>40770.509086356629</v>
      </c>
      <c r="N54" s="90">
        <v>0</v>
      </c>
      <c r="O54" s="90">
        <v>76</v>
      </c>
      <c r="P54" s="90">
        <v>8815.06</v>
      </c>
      <c r="Q54" s="90">
        <v>24.485177213934364</v>
      </c>
      <c r="R54" s="90">
        <v>163</v>
      </c>
      <c r="S54" s="90">
        <v>35630.159999999996</v>
      </c>
      <c r="T54" s="217">
        <v>153.8523051694938</v>
      </c>
      <c r="U54" s="90">
        <v>3079</v>
      </c>
      <c r="V54" s="90">
        <v>94350.299999999974</v>
      </c>
      <c r="W54" s="90">
        <v>255.3</v>
      </c>
      <c r="X54" s="90">
        <v>1</v>
      </c>
      <c r="Y54" s="90"/>
      <c r="Z54" s="90"/>
      <c r="AA54" s="90"/>
      <c r="AB54"/>
      <c r="AC54" s="92"/>
      <c r="AD54"/>
    </row>
    <row r="55" spans="1:30" x14ac:dyDescent="0.25">
      <c r="A55" s="215">
        <v>2018</v>
      </c>
      <c r="B55" s="216" t="s">
        <v>142</v>
      </c>
      <c r="C55" s="91">
        <f t="shared" si="0"/>
        <v>17692</v>
      </c>
      <c r="D55" s="90">
        <v>25645894.579999998</v>
      </c>
      <c r="E55" s="90"/>
      <c r="F55" s="90">
        <v>15061276.291714642</v>
      </c>
      <c r="G55" s="90">
        <v>16511</v>
      </c>
      <c r="H55" s="90">
        <v>3272203.8904089252</v>
      </c>
      <c r="I55" s="90">
        <v>1089</v>
      </c>
      <c r="J55" s="90">
        <v>5639076.0799526852</v>
      </c>
      <c r="K55" s="90">
        <v>12290.399374357325</v>
      </c>
      <c r="L55" s="90">
        <v>91</v>
      </c>
      <c r="M55" s="90">
        <v>38893.150125851644</v>
      </c>
      <c r="N55" s="90">
        <v>0</v>
      </c>
      <c r="O55" s="90">
        <v>75</v>
      </c>
      <c r="P55" s="90">
        <v>8812.9399999999987</v>
      </c>
      <c r="Q55" s="90">
        <v>24.479288589728338</v>
      </c>
      <c r="R55" s="90">
        <v>163</v>
      </c>
      <c r="S55" s="90">
        <v>35630.159999999996</v>
      </c>
      <c r="T55" s="217">
        <v>153.8523051694938</v>
      </c>
      <c r="U55" s="90">
        <v>3079</v>
      </c>
      <c r="V55" s="90">
        <v>91221.299999999988</v>
      </c>
      <c r="W55" s="90">
        <v>242.4</v>
      </c>
      <c r="X55" s="90">
        <v>1</v>
      </c>
      <c r="Y55" s="90"/>
      <c r="Z55" s="90"/>
      <c r="AA55" s="90"/>
      <c r="AB55"/>
      <c r="AC55" s="92"/>
      <c r="AD55"/>
    </row>
    <row r="56" spans="1:30" x14ac:dyDescent="0.25">
      <c r="A56" s="215">
        <v>2018</v>
      </c>
      <c r="B56" s="216" t="s">
        <v>143</v>
      </c>
      <c r="C56" s="91">
        <f t="shared" si="0"/>
        <v>17722</v>
      </c>
      <c r="D56" s="90">
        <v>21607296.151000001</v>
      </c>
      <c r="E56" s="90"/>
      <c r="F56" s="90">
        <v>12009292.900925944</v>
      </c>
      <c r="G56" s="90">
        <v>16537</v>
      </c>
      <c r="H56" s="90">
        <v>2891871.0713528469</v>
      </c>
      <c r="I56" s="90">
        <v>1093</v>
      </c>
      <c r="J56" s="90">
        <v>5234425.4919362282</v>
      </c>
      <c r="K56" s="90">
        <v>13603.820564368039</v>
      </c>
      <c r="L56" s="90">
        <v>91</v>
      </c>
      <c r="M56" s="90">
        <v>39809.555855725266</v>
      </c>
      <c r="N56" s="90">
        <v>0</v>
      </c>
      <c r="O56" s="90">
        <v>75</v>
      </c>
      <c r="P56" s="90">
        <v>8788.9999999999982</v>
      </c>
      <c r="Q56" s="90">
        <v>24.41279157864712</v>
      </c>
      <c r="R56" s="90">
        <v>163</v>
      </c>
      <c r="S56" s="90">
        <v>35193.47</v>
      </c>
      <c r="T56" s="217">
        <v>153.14955402026936</v>
      </c>
      <c r="U56" s="90">
        <v>3079</v>
      </c>
      <c r="V56" s="90">
        <v>74371.200000000012</v>
      </c>
      <c r="W56" s="90">
        <v>250.8</v>
      </c>
      <c r="X56" s="90">
        <v>1</v>
      </c>
      <c r="Y56" s="90"/>
      <c r="Z56" s="90"/>
      <c r="AA56" s="90"/>
      <c r="AB56"/>
      <c r="AC56" s="92"/>
      <c r="AD56"/>
    </row>
    <row r="57" spans="1:30" x14ac:dyDescent="0.25">
      <c r="A57" s="215">
        <v>2018</v>
      </c>
      <c r="B57" s="216" t="s">
        <v>144</v>
      </c>
      <c r="C57" s="91">
        <f t="shared" si="0"/>
        <v>17815</v>
      </c>
      <c r="D57" s="90">
        <v>21087346.497000001</v>
      </c>
      <c r="E57" s="90"/>
      <c r="F57" s="90">
        <v>11556727.543098697</v>
      </c>
      <c r="G57" s="90">
        <v>16629</v>
      </c>
      <c r="H57" s="90">
        <v>2897153.6187278796</v>
      </c>
      <c r="I57" s="90">
        <v>1094</v>
      </c>
      <c r="J57" s="90">
        <v>5228966.513409649</v>
      </c>
      <c r="K57" s="90">
        <v>14186.5585255653</v>
      </c>
      <c r="L57" s="90">
        <v>91</v>
      </c>
      <c r="M57" s="90">
        <v>39733.188711569128</v>
      </c>
      <c r="N57" s="90">
        <v>0</v>
      </c>
      <c r="O57" s="90">
        <v>74</v>
      </c>
      <c r="P57" s="90">
        <v>8778.74</v>
      </c>
      <c r="Q57" s="90">
        <v>24.384292859612319</v>
      </c>
      <c r="R57" s="90">
        <v>162</v>
      </c>
      <c r="S57" s="90">
        <v>57139.409999999996</v>
      </c>
      <c r="T57" s="217">
        <v>161.28138874700934</v>
      </c>
      <c r="U57" s="90">
        <v>3153</v>
      </c>
      <c r="V57" s="90">
        <v>68327.099999999991</v>
      </c>
      <c r="W57" s="90">
        <v>156.6</v>
      </c>
      <c r="X57" s="90">
        <v>1</v>
      </c>
      <c r="Y57" s="90"/>
      <c r="Z57" s="90"/>
      <c r="AA57" s="90"/>
      <c r="AB57"/>
      <c r="AC57" s="92"/>
      <c r="AD57"/>
    </row>
    <row r="58" spans="1:30" x14ac:dyDescent="0.25">
      <c r="A58" s="215">
        <v>2018</v>
      </c>
      <c r="B58" s="216" t="s">
        <v>145</v>
      </c>
      <c r="C58" s="91">
        <f t="shared" si="0"/>
        <v>17906</v>
      </c>
      <c r="D58" s="90">
        <v>23149553.112999998</v>
      </c>
      <c r="E58" s="90"/>
      <c r="F58" s="90">
        <v>13258355.004961779</v>
      </c>
      <c r="G58" s="90">
        <v>16704</v>
      </c>
      <c r="H58" s="90">
        <v>3038797.62558673</v>
      </c>
      <c r="I58" s="90">
        <v>1108</v>
      </c>
      <c r="J58" s="90">
        <v>5411780.0102071417</v>
      </c>
      <c r="K58" s="90">
        <v>12692.044048523441</v>
      </c>
      <c r="L58" s="90">
        <v>93</v>
      </c>
      <c r="M58" s="90">
        <v>39733.188711569128</v>
      </c>
      <c r="N58" s="90">
        <v>0</v>
      </c>
      <c r="O58" s="90">
        <v>75</v>
      </c>
      <c r="P58" s="90">
        <v>8776.4599999999991</v>
      </c>
      <c r="Q58" s="90">
        <v>24.377959810937913</v>
      </c>
      <c r="R58" s="90">
        <v>162</v>
      </c>
      <c r="S58" s="90">
        <v>55224.969999999994</v>
      </c>
      <c r="T58" s="217">
        <v>153.8523051694938</v>
      </c>
      <c r="U58" s="90">
        <v>3153</v>
      </c>
      <c r="V58" s="90">
        <v>76557.000000000015</v>
      </c>
      <c r="W58" s="90">
        <v>186.3</v>
      </c>
      <c r="X58" s="90">
        <v>1</v>
      </c>
      <c r="Y58" s="90"/>
      <c r="Z58" s="90"/>
      <c r="AA58" s="90"/>
      <c r="AB58"/>
      <c r="AC58" s="92"/>
      <c r="AD58"/>
    </row>
    <row r="59" spans="1:30" x14ac:dyDescent="0.25">
      <c r="A59" s="215">
        <v>2018</v>
      </c>
      <c r="B59" s="216" t="s">
        <v>146</v>
      </c>
      <c r="C59" s="91">
        <f t="shared" si="0"/>
        <v>18164</v>
      </c>
      <c r="D59" s="90">
        <v>25358955.434999999</v>
      </c>
      <c r="E59" s="90"/>
      <c r="F59" s="90">
        <v>15222319.921199508</v>
      </c>
      <c r="G59" s="90">
        <v>16966</v>
      </c>
      <c r="H59" s="90">
        <v>3517047.3666794086</v>
      </c>
      <c r="I59" s="90">
        <v>1107</v>
      </c>
      <c r="J59" s="90">
        <v>5147418.751248139</v>
      </c>
      <c r="K59" s="90">
        <v>16103.747929769783</v>
      </c>
      <c r="L59" s="90">
        <v>90</v>
      </c>
      <c r="M59" s="90">
        <v>39733.188711569128</v>
      </c>
      <c r="N59" s="90">
        <v>0</v>
      </c>
      <c r="O59" s="90">
        <v>75</v>
      </c>
      <c r="P59" s="90">
        <v>8754.7999999999993</v>
      </c>
      <c r="Q59" s="90">
        <v>24.317795848531102</v>
      </c>
      <c r="R59" s="90">
        <v>162</v>
      </c>
      <c r="S59" s="90">
        <v>56990.799999999996</v>
      </c>
      <c r="T59" s="90">
        <v>153.8523051694938</v>
      </c>
      <c r="U59" s="90">
        <v>3195</v>
      </c>
      <c r="V59" s="90">
        <v>87193.200000000012</v>
      </c>
      <c r="W59" s="90">
        <v>194.7</v>
      </c>
      <c r="X59" s="90">
        <v>1</v>
      </c>
      <c r="Y59" s="90"/>
      <c r="Z59" s="90"/>
      <c r="AA59" s="90"/>
      <c r="AB59"/>
      <c r="AC59" s="92"/>
      <c r="AD59"/>
    </row>
    <row r="60" spans="1:30" x14ac:dyDescent="0.25">
      <c r="A60" s="215">
        <v>2019</v>
      </c>
      <c r="B60" s="216" t="s">
        <v>135</v>
      </c>
      <c r="C60" s="91">
        <f t="shared" si="0"/>
        <v>18298</v>
      </c>
      <c r="D60" s="89">
        <v>27894969.359999999</v>
      </c>
      <c r="E60" s="89"/>
      <c r="F60" s="89">
        <v>16891336.427068219</v>
      </c>
      <c r="G60" s="89">
        <v>17093</v>
      </c>
      <c r="H60" s="89">
        <v>4207573.046262186</v>
      </c>
      <c r="I60" s="89">
        <v>1112</v>
      </c>
      <c r="J60" s="89">
        <v>5723256.7299999995</v>
      </c>
      <c r="K60" s="89">
        <v>13068.476772748225</v>
      </c>
      <c r="L60" s="89">
        <v>92</v>
      </c>
      <c r="M60" s="89">
        <v>40954.727446905752</v>
      </c>
      <c r="N60" s="89">
        <v>0</v>
      </c>
      <c r="O60" s="89">
        <v>75</v>
      </c>
      <c r="P60" s="89">
        <v>8742.26</v>
      </c>
      <c r="Q60" s="89">
        <v>24.029166666666669</v>
      </c>
      <c r="R60" s="89">
        <v>162</v>
      </c>
      <c r="S60" s="89">
        <v>70406.760000000009</v>
      </c>
      <c r="T60" s="218">
        <v>160.35498019255971</v>
      </c>
      <c r="U60" s="89">
        <v>3195</v>
      </c>
      <c r="V60" s="89">
        <v>93737.7</v>
      </c>
      <c r="W60" s="89">
        <v>206.7</v>
      </c>
      <c r="X60" s="89">
        <v>1</v>
      </c>
      <c r="Y60" s="89"/>
      <c r="Z60" s="89"/>
      <c r="AA60" s="89"/>
      <c r="AB60"/>
      <c r="AC60" s="92"/>
      <c r="AD60"/>
    </row>
    <row r="61" spans="1:30" x14ac:dyDescent="0.25">
      <c r="A61" s="215">
        <v>2019</v>
      </c>
      <c r="B61" s="216" t="s">
        <v>136</v>
      </c>
      <c r="C61" s="91">
        <f t="shared" si="0"/>
        <v>18380</v>
      </c>
      <c r="D61" s="90">
        <v>24435650.726</v>
      </c>
      <c r="E61" s="90"/>
      <c r="F61" s="90">
        <v>14652737.645843703</v>
      </c>
      <c r="G61" s="90">
        <v>17173</v>
      </c>
      <c r="H61" s="90">
        <v>3780523.4033655385</v>
      </c>
      <c r="I61" s="90">
        <v>1114</v>
      </c>
      <c r="J61" s="90">
        <v>5104571.59</v>
      </c>
      <c r="K61" s="90">
        <v>13046.997620855267</v>
      </c>
      <c r="L61" s="90">
        <v>92</v>
      </c>
      <c r="M61" s="90">
        <v>40954.727446905752</v>
      </c>
      <c r="N61" s="90">
        <v>0</v>
      </c>
      <c r="O61" s="90">
        <v>75</v>
      </c>
      <c r="P61" s="90">
        <v>8742.26</v>
      </c>
      <c r="Q61" s="90">
        <v>24.029166666666669</v>
      </c>
      <c r="R61" s="90">
        <v>161</v>
      </c>
      <c r="S61" s="90">
        <v>64719.200000000012</v>
      </c>
      <c r="T61" s="217">
        <v>165.61120499056432</v>
      </c>
      <c r="U61" s="90">
        <v>3304</v>
      </c>
      <c r="V61" s="90">
        <v>80017.799999999988</v>
      </c>
      <c r="W61" s="90">
        <v>181.2</v>
      </c>
      <c r="X61" s="90">
        <v>1</v>
      </c>
      <c r="Y61" s="90"/>
      <c r="Z61" s="90"/>
      <c r="AA61" s="90"/>
      <c r="AB61"/>
      <c r="AC61" s="92"/>
      <c r="AD61"/>
    </row>
    <row r="62" spans="1:30" x14ac:dyDescent="0.25">
      <c r="A62" s="215">
        <v>2019</v>
      </c>
      <c r="B62" s="216" t="s">
        <v>137</v>
      </c>
      <c r="C62" s="91">
        <f t="shared" si="0"/>
        <v>18471</v>
      </c>
      <c r="D62" s="90">
        <v>25143357.008000001</v>
      </c>
      <c r="E62" s="90"/>
      <c r="F62" s="90">
        <v>14687602.25063845</v>
      </c>
      <c r="G62" s="90">
        <v>17271</v>
      </c>
      <c r="H62" s="90">
        <v>3880758.0873120399</v>
      </c>
      <c r="I62" s="90">
        <v>1115</v>
      </c>
      <c r="J62" s="90">
        <v>5566217.8599999985</v>
      </c>
      <c r="K62" s="90">
        <v>12097.348740239804</v>
      </c>
      <c r="L62" s="90">
        <v>84</v>
      </c>
      <c r="M62" s="90">
        <v>40954.727446905752</v>
      </c>
      <c r="N62" s="90">
        <v>0</v>
      </c>
      <c r="O62" s="90">
        <v>75</v>
      </c>
      <c r="P62" s="90">
        <v>8742.2599999999984</v>
      </c>
      <c r="Q62" s="90">
        <v>24.029166666666669</v>
      </c>
      <c r="R62" s="90">
        <v>161</v>
      </c>
      <c r="S62" s="90">
        <v>71653.400000000009</v>
      </c>
      <c r="T62" s="217">
        <v>165.61120499056432</v>
      </c>
      <c r="U62" s="90">
        <v>3304</v>
      </c>
      <c r="V62" s="90">
        <v>80993.39999999998</v>
      </c>
      <c r="W62" s="90">
        <v>166.2</v>
      </c>
      <c r="X62" s="90">
        <v>1</v>
      </c>
      <c r="Y62" s="90"/>
      <c r="Z62" s="90"/>
      <c r="AA62" s="90"/>
      <c r="AB62"/>
      <c r="AC62" s="92"/>
      <c r="AD62"/>
    </row>
    <row r="63" spans="1:30" x14ac:dyDescent="0.25">
      <c r="A63" s="215">
        <v>2019</v>
      </c>
      <c r="B63" s="216" t="s">
        <v>138</v>
      </c>
      <c r="C63" s="91">
        <f t="shared" si="0"/>
        <v>18480</v>
      </c>
      <c r="D63" s="90">
        <v>21419957.239</v>
      </c>
      <c r="E63" s="90"/>
      <c r="F63" s="90">
        <v>12139578.086767755</v>
      </c>
      <c r="G63" s="90">
        <v>17285</v>
      </c>
      <c r="H63" s="90">
        <v>3263020.6978628417</v>
      </c>
      <c r="I63" s="90">
        <v>1112</v>
      </c>
      <c r="J63" s="90">
        <v>5205271.41</v>
      </c>
      <c r="K63" s="90">
        <v>12817.516164477262</v>
      </c>
      <c r="L63" s="90">
        <v>82</v>
      </c>
      <c r="M63" s="90">
        <v>40954.727446905752</v>
      </c>
      <c r="N63" s="90">
        <v>0</v>
      </c>
      <c r="O63" s="90">
        <v>75</v>
      </c>
      <c r="P63" s="90">
        <v>8742.26</v>
      </c>
      <c r="Q63" s="90">
        <v>24.029166666666669</v>
      </c>
      <c r="R63" s="90">
        <v>161</v>
      </c>
      <c r="S63" s="90">
        <v>52006.500000000007</v>
      </c>
      <c r="T63" s="217">
        <v>165.61120499056432</v>
      </c>
      <c r="U63" s="90">
        <v>3304</v>
      </c>
      <c r="V63" s="90">
        <v>68968.2</v>
      </c>
      <c r="W63" s="90">
        <v>167.1</v>
      </c>
      <c r="X63" s="90">
        <v>1</v>
      </c>
      <c r="Y63" s="90"/>
      <c r="Z63" s="90"/>
      <c r="AA63" s="90"/>
      <c r="AB63"/>
      <c r="AC63" s="92"/>
      <c r="AD63"/>
    </row>
    <row r="64" spans="1:30" x14ac:dyDescent="0.25">
      <c r="A64" s="215">
        <v>2019</v>
      </c>
      <c r="B64" s="216" t="s">
        <v>139</v>
      </c>
      <c r="C64" s="91">
        <f t="shared" si="0"/>
        <v>18492</v>
      </c>
      <c r="D64" s="90">
        <v>20126479.741</v>
      </c>
      <c r="E64" s="90"/>
      <c r="F64" s="90">
        <v>10931012.367285296</v>
      </c>
      <c r="G64" s="90">
        <v>17299</v>
      </c>
      <c r="H64" s="90">
        <v>3181265.2266251137</v>
      </c>
      <c r="I64" s="90">
        <v>1108</v>
      </c>
      <c r="J64" s="90">
        <v>5230370.5699999994</v>
      </c>
      <c r="K64" s="90">
        <v>12902.040882952051</v>
      </c>
      <c r="L64" s="90">
        <v>84</v>
      </c>
      <c r="M64" s="90">
        <v>40818.747387648225</v>
      </c>
      <c r="N64" s="90">
        <v>0</v>
      </c>
      <c r="O64" s="90">
        <v>75</v>
      </c>
      <c r="P64" s="90">
        <v>8726.9600000000028</v>
      </c>
      <c r="Q64" s="90">
        <v>24.029166666666669</v>
      </c>
      <c r="R64" s="90">
        <v>161</v>
      </c>
      <c r="S64" s="90">
        <v>53740.050000000017</v>
      </c>
      <c r="T64" s="217">
        <v>165.61120499056432</v>
      </c>
      <c r="U64" s="90">
        <v>3304</v>
      </c>
      <c r="V64" s="90">
        <v>65946.000000000015</v>
      </c>
      <c r="W64" s="90">
        <v>138.30000000000001</v>
      </c>
      <c r="X64" s="90">
        <v>1</v>
      </c>
      <c r="Y64" s="90"/>
      <c r="Z64" s="90"/>
      <c r="AA64" s="90"/>
      <c r="AB64"/>
      <c r="AC64" s="92"/>
      <c r="AD64"/>
    </row>
    <row r="65" spans="1:30" x14ac:dyDescent="0.25">
      <c r="A65" s="215">
        <v>2019</v>
      </c>
      <c r="B65" s="216" t="s">
        <v>140</v>
      </c>
      <c r="C65" s="91">
        <f t="shared" si="0"/>
        <v>18504</v>
      </c>
      <c r="D65" s="90">
        <v>20273580.334999997</v>
      </c>
      <c r="E65" s="90"/>
      <c r="F65" s="90">
        <v>11117176.846313413</v>
      </c>
      <c r="G65" s="90">
        <v>17304</v>
      </c>
      <c r="H65" s="90">
        <v>3181212.3955378295</v>
      </c>
      <c r="I65" s="90">
        <v>1115</v>
      </c>
      <c r="J65" s="90">
        <v>5257238.4699999988</v>
      </c>
      <c r="K65" s="90">
        <v>12897.704998210955</v>
      </c>
      <c r="L65" s="90">
        <v>84</v>
      </c>
      <c r="M65" s="90">
        <v>40252.174740039125</v>
      </c>
      <c r="N65" s="90">
        <v>0</v>
      </c>
      <c r="O65" s="90">
        <v>75</v>
      </c>
      <c r="P65" s="90">
        <v>8708.0600000000013</v>
      </c>
      <c r="Q65" s="90">
        <v>24.029166666666669</v>
      </c>
      <c r="R65" s="90">
        <v>160</v>
      </c>
      <c r="S65" s="90">
        <v>52001.210000000006</v>
      </c>
      <c r="T65" s="217">
        <v>165.61120499056432</v>
      </c>
      <c r="U65" s="90">
        <v>3304</v>
      </c>
      <c r="V65" s="90">
        <v>71465.7</v>
      </c>
      <c r="W65" s="90">
        <v>199.5</v>
      </c>
      <c r="X65" s="90">
        <v>1</v>
      </c>
      <c r="Y65" s="90"/>
      <c r="Z65" s="90"/>
      <c r="AA65" s="90"/>
      <c r="AB65"/>
      <c r="AC65" s="92"/>
      <c r="AD65"/>
    </row>
    <row r="66" spans="1:30" x14ac:dyDescent="0.25">
      <c r="A66" s="215">
        <v>2019</v>
      </c>
      <c r="B66" s="216" t="s">
        <v>141</v>
      </c>
      <c r="C66" s="91">
        <f t="shared" si="0"/>
        <v>18534</v>
      </c>
      <c r="D66" s="90">
        <v>26858420.012999997</v>
      </c>
      <c r="E66" s="90"/>
      <c r="F66" s="90">
        <v>16221048.994180053</v>
      </c>
      <c r="G66" s="90">
        <v>17322</v>
      </c>
      <c r="H66" s="90">
        <v>3859563.8311683107</v>
      </c>
      <c r="I66" s="90">
        <v>1127</v>
      </c>
      <c r="J66" s="90">
        <v>5838157.5199999986</v>
      </c>
      <c r="K66" s="90">
        <v>15480.390265309738</v>
      </c>
      <c r="L66" s="90">
        <v>84</v>
      </c>
      <c r="M66" s="90">
        <v>40116.194680781606</v>
      </c>
      <c r="N66" s="90">
        <v>0</v>
      </c>
      <c r="O66" s="90">
        <v>74</v>
      </c>
      <c r="P66" s="90">
        <v>8649.9200000000019</v>
      </c>
      <c r="Q66" s="90">
        <v>24.029166666666669</v>
      </c>
      <c r="R66" s="90">
        <v>159</v>
      </c>
      <c r="S66" s="90">
        <v>38289.790000000008</v>
      </c>
      <c r="T66" s="217">
        <v>165.10965682281577</v>
      </c>
      <c r="U66" s="90">
        <v>3304</v>
      </c>
      <c r="V66" s="90">
        <v>95638.499999999971</v>
      </c>
      <c r="W66" s="90">
        <v>249</v>
      </c>
      <c r="X66" s="90">
        <v>1</v>
      </c>
      <c r="Y66" s="90"/>
      <c r="Z66" s="90"/>
      <c r="AA66" s="90"/>
      <c r="AB66"/>
      <c r="AC66" s="92"/>
      <c r="AD66"/>
    </row>
    <row r="67" spans="1:30" x14ac:dyDescent="0.25">
      <c r="A67" s="215">
        <v>2019</v>
      </c>
      <c r="B67" s="216" t="s">
        <v>142</v>
      </c>
      <c r="C67" s="91">
        <f t="shared" si="0"/>
        <v>18540</v>
      </c>
      <c r="D67" s="90">
        <v>23828311.434</v>
      </c>
      <c r="E67" s="90"/>
      <c r="F67" s="90">
        <v>13665505.744210795</v>
      </c>
      <c r="G67" s="90">
        <v>17327</v>
      </c>
      <c r="H67" s="90">
        <v>3688628.4664580524</v>
      </c>
      <c r="I67" s="90">
        <v>1128</v>
      </c>
      <c r="J67" s="90">
        <v>5567480.0300000003</v>
      </c>
      <c r="K67" s="90">
        <v>15066.8690268149</v>
      </c>
      <c r="L67" s="90">
        <v>84</v>
      </c>
      <c r="M67" s="90">
        <v>40116.194680781606</v>
      </c>
      <c r="N67" s="90">
        <v>0</v>
      </c>
      <c r="O67" s="90">
        <v>74</v>
      </c>
      <c r="P67" s="90">
        <v>8572.4000000000015</v>
      </c>
      <c r="Q67" s="90">
        <v>24.029166666666669</v>
      </c>
      <c r="R67" s="90">
        <v>159</v>
      </c>
      <c r="S67" s="90">
        <v>38423.630000000005</v>
      </c>
      <c r="T67" s="217">
        <v>165.61120499056432</v>
      </c>
      <c r="U67" s="90">
        <v>3310</v>
      </c>
      <c r="V67" s="90">
        <v>82108.199999999968</v>
      </c>
      <c r="W67" s="90">
        <v>220.2</v>
      </c>
      <c r="X67" s="90">
        <v>1</v>
      </c>
      <c r="Y67" s="90"/>
      <c r="Z67" s="90"/>
      <c r="AA67" s="90"/>
      <c r="AB67"/>
      <c r="AC67" s="92"/>
      <c r="AD67"/>
    </row>
    <row r="68" spans="1:30" x14ac:dyDescent="0.25">
      <c r="A68" s="215">
        <v>2019</v>
      </c>
      <c r="B68" s="216" t="s">
        <v>143</v>
      </c>
      <c r="C68" s="91">
        <f t="shared" si="0"/>
        <v>18551</v>
      </c>
      <c r="D68" s="90">
        <v>19656048.893999998</v>
      </c>
      <c r="E68" s="90"/>
      <c r="F68" s="90">
        <v>10400827.09320703</v>
      </c>
      <c r="G68" s="90">
        <v>17338</v>
      </c>
      <c r="H68" s="90">
        <v>3154011.0951038226</v>
      </c>
      <c r="I68" s="90">
        <v>1128</v>
      </c>
      <c r="J68" s="90">
        <v>5109088.7300000004</v>
      </c>
      <c r="K68" s="90">
        <v>14368.631366048572</v>
      </c>
      <c r="L68" s="90">
        <v>84</v>
      </c>
      <c r="M68" s="90">
        <v>40116.194680781606</v>
      </c>
      <c r="N68" s="90">
        <v>0</v>
      </c>
      <c r="O68" s="90">
        <v>74</v>
      </c>
      <c r="P68" s="90">
        <v>8571.2599999999984</v>
      </c>
      <c r="Q68" s="90">
        <v>24.029166666666669</v>
      </c>
      <c r="R68" s="90">
        <v>159</v>
      </c>
      <c r="S68" s="90">
        <v>37184.160000000011</v>
      </c>
      <c r="T68" s="217">
        <v>165.77170040424383</v>
      </c>
      <c r="U68" s="90">
        <v>3310</v>
      </c>
      <c r="V68" s="90">
        <v>61870.200000000004</v>
      </c>
      <c r="W68" s="90">
        <v>174.6</v>
      </c>
      <c r="X68" s="90">
        <v>1</v>
      </c>
      <c r="Y68" s="90"/>
      <c r="Z68" s="90"/>
      <c r="AA68" s="90"/>
      <c r="AB68"/>
      <c r="AC68" s="92"/>
      <c r="AD68"/>
    </row>
    <row r="69" spans="1:30" x14ac:dyDescent="0.25">
      <c r="A69" s="215">
        <v>2019</v>
      </c>
      <c r="B69" s="216" t="s">
        <v>144</v>
      </c>
      <c r="C69" s="91">
        <f t="shared" si="0"/>
        <v>18559</v>
      </c>
      <c r="D69" s="90">
        <v>20804823.366999999</v>
      </c>
      <c r="E69" s="90"/>
      <c r="F69" s="90">
        <v>11139572.217157541</v>
      </c>
      <c r="G69" s="90">
        <v>17347</v>
      </c>
      <c r="H69" s="90">
        <v>3177323.7770521804</v>
      </c>
      <c r="I69" s="90">
        <v>1127</v>
      </c>
      <c r="J69" s="90">
        <v>5380849.9800000004</v>
      </c>
      <c r="K69" s="90">
        <v>14847.190875659833</v>
      </c>
      <c r="L69" s="90">
        <v>84</v>
      </c>
      <c r="M69" s="90">
        <v>40116.194680781606</v>
      </c>
      <c r="N69" s="90">
        <v>0</v>
      </c>
      <c r="O69" s="90">
        <v>74</v>
      </c>
      <c r="P69" s="90">
        <v>8574.92</v>
      </c>
      <c r="Q69" s="90">
        <v>24.029166666666669</v>
      </c>
      <c r="R69" s="90">
        <v>159</v>
      </c>
      <c r="S69" s="90">
        <v>58916.240000000005</v>
      </c>
      <c r="T69" s="217">
        <v>165.77170040424383</v>
      </c>
      <c r="U69" s="90">
        <v>3310</v>
      </c>
      <c r="V69" s="90">
        <v>61303.5</v>
      </c>
      <c r="W69" s="90">
        <v>136.80000000000001</v>
      </c>
      <c r="X69" s="90">
        <v>1</v>
      </c>
      <c r="Y69" s="90"/>
      <c r="Z69" s="90"/>
      <c r="AA69" s="90"/>
      <c r="AB69"/>
      <c r="AC69" s="92"/>
      <c r="AD69"/>
    </row>
    <row r="70" spans="1:30" x14ac:dyDescent="0.25">
      <c r="A70" s="215">
        <v>2019</v>
      </c>
      <c r="B70" s="216" t="s">
        <v>145</v>
      </c>
      <c r="C70" s="91">
        <f t="shared" si="0"/>
        <v>18576</v>
      </c>
      <c r="D70" s="90">
        <v>23741040.090999998</v>
      </c>
      <c r="E70" s="90"/>
      <c r="F70" s="90">
        <v>13623296.071327399</v>
      </c>
      <c r="G70" s="90">
        <v>17364</v>
      </c>
      <c r="H70" s="90">
        <v>3446560.0694478005</v>
      </c>
      <c r="I70" s="90">
        <v>1127</v>
      </c>
      <c r="J70" s="90">
        <v>5448260.1999999993</v>
      </c>
      <c r="K70" s="90">
        <v>14582.832083131174</v>
      </c>
      <c r="L70" s="90">
        <v>84</v>
      </c>
      <c r="M70" s="90">
        <v>40116.194680781606</v>
      </c>
      <c r="N70" s="90">
        <v>0</v>
      </c>
      <c r="O70" s="90">
        <v>74</v>
      </c>
      <c r="P70" s="90">
        <v>8525.66</v>
      </c>
      <c r="Q70" s="90">
        <v>24.029166666666669</v>
      </c>
      <c r="R70" s="90">
        <v>159</v>
      </c>
      <c r="S70" s="90">
        <v>57148.610000000015</v>
      </c>
      <c r="T70" s="217">
        <v>165.77170040424383</v>
      </c>
      <c r="U70" s="90">
        <v>3412</v>
      </c>
      <c r="V70" s="90">
        <v>73416.900000000009</v>
      </c>
      <c r="W70" s="90">
        <v>164.4</v>
      </c>
      <c r="X70" s="90">
        <v>1</v>
      </c>
      <c r="Y70" s="90"/>
      <c r="Z70" s="90"/>
      <c r="AA70" s="90"/>
      <c r="AB70"/>
      <c r="AC70" s="92"/>
      <c r="AD70"/>
    </row>
    <row r="71" spans="1:30" x14ac:dyDescent="0.25">
      <c r="A71" s="215">
        <v>2019</v>
      </c>
      <c r="B71" s="216" t="s">
        <v>146</v>
      </c>
      <c r="C71" s="91">
        <f t="shared" si="0"/>
        <v>18633</v>
      </c>
      <c r="D71" s="90">
        <v>26398898.682</v>
      </c>
      <c r="E71" s="90"/>
      <c r="F71" s="90">
        <v>15814825.926000301</v>
      </c>
      <c r="G71" s="90">
        <v>17409</v>
      </c>
      <c r="H71" s="90">
        <v>3660222.8738042819</v>
      </c>
      <c r="I71" s="90">
        <v>1140</v>
      </c>
      <c r="J71" s="90">
        <v>5659361.419999999</v>
      </c>
      <c r="K71" s="90">
        <v>12961.221203552221</v>
      </c>
      <c r="L71" s="90">
        <v>83</v>
      </c>
      <c r="M71" s="90">
        <v>40116.194680781606</v>
      </c>
      <c r="N71" s="90">
        <v>0</v>
      </c>
      <c r="O71" s="90">
        <v>74</v>
      </c>
      <c r="P71" s="90">
        <v>8506.2800000000007</v>
      </c>
      <c r="Q71" s="90">
        <v>24.029166666666669</v>
      </c>
      <c r="R71" s="90">
        <v>158</v>
      </c>
      <c r="S71" s="90">
        <v>59163.700000000004</v>
      </c>
      <c r="T71" s="90">
        <v>166.20303182850759</v>
      </c>
      <c r="U71" s="90">
        <v>3320</v>
      </c>
      <c r="V71" s="90">
        <v>87488.1</v>
      </c>
      <c r="W71" s="90">
        <v>181.2</v>
      </c>
      <c r="X71" s="90">
        <v>1</v>
      </c>
      <c r="Y71" s="90"/>
      <c r="Z71" s="90"/>
      <c r="AA71" s="90"/>
      <c r="AB71"/>
      <c r="AC71" s="92"/>
      <c r="AD71"/>
    </row>
    <row r="72" spans="1:30" x14ac:dyDescent="0.25">
      <c r="A72" s="215">
        <v>2020</v>
      </c>
      <c r="B72" s="216" t="s">
        <v>135</v>
      </c>
      <c r="C72" s="91">
        <f t="shared" si="0"/>
        <v>18668</v>
      </c>
      <c r="D72" s="89">
        <v>26523401.686000001</v>
      </c>
      <c r="E72" s="89"/>
      <c r="F72" s="89">
        <v>15639139.076997533</v>
      </c>
      <c r="G72" s="89">
        <v>17443</v>
      </c>
      <c r="H72" s="89">
        <v>3691367.4581387886</v>
      </c>
      <c r="I72" s="89">
        <v>1140</v>
      </c>
      <c r="J72" s="89">
        <v>5622425.2311618403</v>
      </c>
      <c r="K72" s="89">
        <v>13070.594332174469</v>
      </c>
      <c r="L72" s="89">
        <v>84</v>
      </c>
      <c r="M72" s="89">
        <v>36694</v>
      </c>
      <c r="N72" s="89">
        <v>0</v>
      </c>
      <c r="O72" s="89">
        <v>74</v>
      </c>
      <c r="P72" s="89">
        <v>8509.4437558496138</v>
      </c>
      <c r="Q72" s="89">
        <v>23.63730162751461</v>
      </c>
      <c r="R72" s="89">
        <v>156</v>
      </c>
      <c r="S72" s="89">
        <v>72511.320000000007</v>
      </c>
      <c r="T72" s="218">
        <v>167.3222433031375</v>
      </c>
      <c r="U72" s="89">
        <v>3328</v>
      </c>
      <c r="V72" s="89">
        <v>85531.5</v>
      </c>
      <c r="W72" s="89">
        <v>180.3</v>
      </c>
      <c r="X72" s="89">
        <v>1</v>
      </c>
      <c r="Y72" s="89"/>
      <c r="Z72" s="89"/>
      <c r="AA72" s="89"/>
      <c r="AB72"/>
      <c r="AC72" s="92"/>
      <c r="AD72"/>
    </row>
    <row r="73" spans="1:30" x14ac:dyDescent="0.25">
      <c r="A73" s="215">
        <v>2020</v>
      </c>
      <c r="B73" s="216" t="s">
        <v>136</v>
      </c>
      <c r="C73" s="91">
        <f t="shared" si="0"/>
        <v>18678</v>
      </c>
      <c r="D73" s="90">
        <v>24898397.280999999</v>
      </c>
      <c r="E73" s="90"/>
      <c r="F73" s="90">
        <v>14621181.315026164</v>
      </c>
      <c r="G73" s="90">
        <v>17447</v>
      </c>
      <c r="H73" s="90">
        <v>3749420.2073591631</v>
      </c>
      <c r="I73" s="90">
        <v>1147</v>
      </c>
      <c r="J73" s="90">
        <v>5255955.927078506</v>
      </c>
      <c r="K73" s="90">
        <v>13207.62163985312</v>
      </c>
      <c r="L73" s="90">
        <v>83</v>
      </c>
      <c r="M73" s="90">
        <v>36694</v>
      </c>
      <c r="N73" s="90">
        <v>0</v>
      </c>
      <c r="O73" s="90">
        <v>74</v>
      </c>
      <c r="P73" s="90">
        <v>8504.6400392144969</v>
      </c>
      <c r="Q73" s="90">
        <v>23.623957993982827</v>
      </c>
      <c r="R73" s="90">
        <v>156</v>
      </c>
      <c r="S73" s="90">
        <v>68199.88</v>
      </c>
      <c r="T73" s="217">
        <v>169.33841685782048</v>
      </c>
      <c r="U73" s="90">
        <v>3328</v>
      </c>
      <c r="V73" s="90">
        <v>79345.800000000017</v>
      </c>
      <c r="W73" s="90">
        <v>174</v>
      </c>
      <c r="X73" s="90">
        <v>1</v>
      </c>
      <c r="Y73" s="90"/>
      <c r="Z73" s="90"/>
      <c r="AA73" s="90"/>
      <c r="AB73"/>
      <c r="AC73" s="92"/>
      <c r="AD73"/>
    </row>
    <row r="74" spans="1:30" x14ac:dyDescent="0.25">
      <c r="A74" s="215">
        <v>2020</v>
      </c>
      <c r="B74" s="216" t="s">
        <v>137</v>
      </c>
      <c r="C74" s="91">
        <f t="shared" si="0"/>
        <v>18695</v>
      </c>
      <c r="D74" s="90">
        <v>24574269.381999999</v>
      </c>
      <c r="E74" s="90"/>
      <c r="F74" s="90">
        <v>14387282.127787087</v>
      </c>
      <c r="G74" s="90">
        <v>17461</v>
      </c>
      <c r="H74" s="90">
        <v>3417063.959035771</v>
      </c>
      <c r="I74" s="90">
        <v>1150</v>
      </c>
      <c r="J74" s="90">
        <v>5229183.2547632968</v>
      </c>
      <c r="K74" s="90">
        <v>12865.404266524827</v>
      </c>
      <c r="L74" s="90">
        <v>83</v>
      </c>
      <c r="M74" s="90">
        <v>36694</v>
      </c>
      <c r="N74" s="90">
        <v>0</v>
      </c>
      <c r="O74" s="90">
        <v>74</v>
      </c>
      <c r="P74" s="90">
        <v>8520.4322576524482</v>
      </c>
      <c r="Q74" s="90">
        <v>23.667825189218576</v>
      </c>
      <c r="R74" s="90">
        <v>156</v>
      </c>
      <c r="S74" s="90">
        <v>72903.320000000007</v>
      </c>
      <c r="T74" s="217">
        <v>169.33841685782048</v>
      </c>
      <c r="U74" s="90">
        <v>3328</v>
      </c>
      <c r="V74" s="90">
        <v>77453.699999999983</v>
      </c>
      <c r="W74" s="90">
        <v>161.4</v>
      </c>
      <c r="X74" s="90">
        <v>1</v>
      </c>
      <c r="Y74" s="90"/>
      <c r="Z74" s="90"/>
      <c r="AA74" s="90"/>
      <c r="AB74"/>
      <c r="AC74" s="92"/>
      <c r="AD74"/>
    </row>
    <row r="75" spans="1:30" x14ac:dyDescent="0.25">
      <c r="A75" s="215">
        <v>2020</v>
      </c>
      <c r="B75" s="216" t="s">
        <v>138</v>
      </c>
      <c r="C75" s="91">
        <f t="shared" si="0"/>
        <v>18695</v>
      </c>
      <c r="D75" s="90">
        <v>21967925.707000002</v>
      </c>
      <c r="E75" s="90"/>
      <c r="F75" s="90">
        <v>13265200.04250267</v>
      </c>
      <c r="G75" s="90">
        <v>17461</v>
      </c>
      <c r="H75" s="90">
        <v>2811215.4768089927</v>
      </c>
      <c r="I75" s="90">
        <v>1150</v>
      </c>
      <c r="J75" s="90">
        <v>4519960.9946976639</v>
      </c>
      <c r="K75" s="90">
        <v>12887.6639142845</v>
      </c>
      <c r="L75" s="90">
        <v>83</v>
      </c>
      <c r="M75" s="90">
        <v>36694</v>
      </c>
      <c r="N75" s="90">
        <v>0</v>
      </c>
      <c r="O75" s="90">
        <v>74</v>
      </c>
      <c r="P75" s="90">
        <v>8504.8802250462522</v>
      </c>
      <c r="Q75" s="90">
        <v>23.624625175659418</v>
      </c>
      <c r="R75" s="90">
        <v>156</v>
      </c>
      <c r="S75" s="90">
        <v>52913.7</v>
      </c>
      <c r="T75" s="217">
        <v>169.33841685782048</v>
      </c>
      <c r="U75" s="90">
        <v>3328</v>
      </c>
      <c r="V75" s="90">
        <v>71087.400000000009</v>
      </c>
      <c r="W75" s="90">
        <v>159</v>
      </c>
      <c r="X75" s="90">
        <v>1</v>
      </c>
      <c r="Y75" s="90"/>
      <c r="Z75" s="90"/>
      <c r="AA75" s="90"/>
      <c r="AB75"/>
      <c r="AC75" s="92"/>
      <c r="AD75"/>
    </row>
    <row r="76" spans="1:30" x14ac:dyDescent="0.25">
      <c r="A76" s="215">
        <v>2020</v>
      </c>
      <c r="B76" s="216" t="s">
        <v>139</v>
      </c>
      <c r="C76" s="91">
        <f t="shared" si="0"/>
        <v>18714</v>
      </c>
      <c r="D76" s="90">
        <v>21748680.120000001</v>
      </c>
      <c r="E76" s="90"/>
      <c r="F76" s="90">
        <v>13184066.33688782</v>
      </c>
      <c r="G76" s="90">
        <v>17481</v>
      </c>
      <c r="H76" s="90">
        <v>2810646.1878258125</v>
      </c>
      <c r="I76" s="90">
        <v>1153</v>
      </c>
      <c r="J76" s="90">
        <v>4421624.0198953822</v>
      </c>
      <c r="K76" s="90">
        <v>10696.600921727493</v>
      </c>
      <c r="L76" s="90">
        <v>79</v>
      </c>
      <c r="M76" s="90">
        <v>36694</v>
      </c>
      <c r="N76" s="90">
        <v>0</v>
      </c>
      <c r="O76" s="90">
        <v>74</v>
      </c>
      <c r="P76" s="90">
        <v>8442.1316765000247</v>
      </c>
      <c r="Q76" s="90">
        <v>23.450323962650479</v>
      </c>
      <c r="R76" s="90">
        <v>156</v>
      </c>
      <c r="S76" s="90">
        <v>54677.49</v>
      </c>
      <c r="T76" s="217">
        <v>169.33841685782048</v>
      </c>
      <c r="U76" s="90">
        <v>3328</v>
      </c>
      <c r="V76" s="90">
        <v>72853.5</v>
      </c>
      <c r="W76" s="90">
        <v>232.5</v>
      </c>
      <c r="X76" s="90">
        <v>1</v>
      </c>
      <c r="Y76" s="90"/>
      <c r="Z76" s="90"/>
      <c r="AA76" s="90"/>
      <c r="AB76"/>
      <c r="AC76" s="92"/>
      <c r="AD76"/>
    </row>
    <row r="77" spans="1:30" x14ac:dyDescent="0.25">
      <c r="A77" s="215">
        <v>2020</v>
      </c>
      <c r="B77" s="216" t="s">
        <v>140</v>
      </c>
      <c r="C77" s="91">
        <f t="shared" si="0"/>
        <v>18752</v>
      </c>
      <c r="D77" s="90">
        <v>23703342.888</v>
      </c>
      <c r="E77" s="90"/>
      <c r="F77" s="90">
        <v>14487270.600410927</v>
      </c>
      <c r="G77" s="90">
        <v>17517</v>
      </c>
      <c r="H77" s="90">
        <v>3046252.6927683516</v>
      </c>
      <c r="I77" s="90">
        <v>1155</v>
      </c>
      <c r="J77" s="90">
        <v>4862153.1323125632</v>
      </c>
      <c r="K77" s="90">
        <v>12828.120344966446</v>
      </c>
      <c r="L77" s="90">
        <v>79</v>
      </c>
      <c r="M77" s="90">
        <v>36694</v>
      </c>
      <c r="N77" s="90">
        <v>0</v>
      </c>
      <c r="O77" s="90">
        <v>74</v>
      </c>
      <c r="P77" s="90">
        <v>8440.9907937991866</v>
      </c>
      <c r="Q77" s="90">
        <v>23.447154849686687</v>
      </c>
      <c r="R77" s="90">
        <v>155</v>
      </c>
      <c r="S77" s="90">
        <v>52913.7</v>
      </c>
      <c r="T77" s="217">
        <v>169.33841685782048</v>
      </c>
      <c r="U77" s="90">
        <v>3328</v>
      </c>
      <c r="V77" s="90">
        <v>83999.699999999983</v>
      </c>
      <c r="W77" s="90">
        <v>231</v>
      </c>
      <c r="X77" s="90">
        <v>1</v>
      </c>
      <c r="Y77" s="90"/>
      <c r="Z77" s="90"/>
      <c r="AA77" s="90"/>
      <c r="AB77"/>
      <c r="AC77" s="92"/>
      <c r="AD77"/>
    </row>
    <row r="78" spans="1:30" x14ac:dyDescent="0.25">
      <c r="A78" s="215">
        <v>2020</v>
      </c>
      <c r="B78" s="216" t="s">
        <v>141</v>
      </c>
      <c r="C78" s="91">
        <f t="shared" si="0"/>
        <v>18766</v>
      </c>
      <c r="D78" s="90">
        <v>29815954.280999999</v>
      </c>
      <c r="E78" s="90"/>
      <c r="F78" s="90">
        <v>19146321.806169357</v>
      </c>
      <c r="G78" s="90">
        <v>17529</v>
      </c>
      <c r="H78" s="90">
        <v>3840004.8097056677</v>
      </c>
      <c r="I78" s="90">
        <v>1157</v>
      </c>
      <c r="J78" s="90">
        <v>5227925.9896697672</v>
      </c>
      <c r="K78" s="90">
        <v>11371.269890414907</v>
      </c>
      <c r="L78" s="90">
        <v>79</v>
      </c>
      <c r="M78" s="90">
        <v>36694</v>
      </c>
      <c r="N78" s="90">
        <v>0</v>
      </c>
      <c r="O78" s="90">
        <v>74</v>
      </c>
      <c r="P78" s="90">
        <v>8434.6258692576539</v>
      </c>
      <c r="Q78" s="90">
        <v>23.429474535257068</v>
      </c>
      <c r="R78" s="90">
        <v>155</v>
      </c>
      <c r="S78" s="90">
        <v>39055.35</v>
      </c>
      <c r="T78" s="217">
        <v>169.33841685782048</v>
      </c>
      <c r="U78" s="90">
        <v>3328</v>
      </c>
      <c r="V78" s="90">
        <v>102486.3</v>
      </c>
      <c r="W78" s="90">
        <v>268.5</v>
      </c>
      <c r="X78" s="90">
        <v>1</v>
      </c>
      <c r="Y78" s="90"/>
      <c r="Z78" s="90"/>
      <c r="AA78" s="90"/>
      <c r="AB78"/>
      <c r="AC78" s="92"/>
      <c r="AD78"/>
    </row>
    <row r="79" spans="1:30" x14ac:dyDescent="0.25">
      <c r="A79" s="215">
        <v>2020</v>
      </c>
      <c r="B79" s="216" t="s">
        <v>142</v>
      </c>
      <c r="C79" s="91">
        <f t="shared" si="0"/>
        <v>18799</v>
      </c>
      <c r="D79" s="90">
        <v>26121737.241</v>
      </c>
      <c r="E79" s="90"/>
      <c r="F79" s="90">
        <v>16230751.358099891</v>
      </c>
      <c r="G79" s="90">
        <v>17563</v>
      </c>
      <c r="H79" s="90">
        <v>3539871.5784267257</v>
      </c>
      <c r="I79" s="90">
        <v>1157</v>
      </c>
      <c r="J79" s="90">
        <v>4959016.719920285</v>
      </c>
      <c r="K79" s="90">
        <v>12719.757770193235</v>
      </c>
      <c r="L79" s="90">
        <v>78</v>
      </c>
      <c r="M79" s="90">
        <v>36694</v>
      </c>
      <c r="N79" s="90">
        <v>0</v>
      </c>
      <c r="O79" s="90">
        <v>74</v>
      </c>
      <c r="P79" s="90">
        <v>8379.8634996173132</v>
      </c>
      <c r="Q79" s="90">
        <v>23.277357112994732</v>
      </c>
      <c r="R79" s="90">
        <v>155</v>
      </c>
      <c r="S79" s="90">
        <v>39055.35</v>
      </c>
      <c r="T79" s="217">
        <v>169.33841685782048</v>
      </c>
      <c r="U79" s="90">
        <v>3328</v>
      </c>
      <c r="V79" s="90">
        <v>89652</v>
      </c>
      <c r="W79" s="90">
        <v>253.8</v>
      </c>
      <c r="X79" s="90">
        <v>1</v>
      </c>
      <c r="Y79" s="90"/>
      <c r="Z79" s="90"/>
      <c r="AA79" s="90"/>
      <c r="AB79"/>
      <c r="AC79" s="92"/>
      <c r="AD79"/>
    </row>
    <row r="80" spans="1:30" x14ac:dyDescent="0.25">
      <c r="A80" s="215">
        <v>2020</v>
      </c>
      <c r="B80" s="216" t="s">
        <v>143</v>
      </c>
      <c r="C80" s="91">
        <f t="shared" si="0"/>
        <v>18824</v>
      </c>
      <c r="D80" s="90">
        <v>20682425.02699</v>
      </c>
      <c r="E80" s="90"/>
      <c r="F80" s="90">
        <v>11678531.741970228</v>
      </c>
      <c r="G80" s="90">
        <v>17583</v>
      </c>
      <c r="H80" s="90">
        <v>3123244.5769532872</v>
      </c>
      <c r="I80" s="90">
        <v>1162</v>
      </c>
      <c r="J80" s="90">
        <v>4813564.7873723647</v>
      </c>
      <c r="K80" s="90">
        <v>15398.131106533332</v>
      </c>
      <c r="L80" s="90">
        <v>78</v>
      </c>
      <c r="M80" s="90">
        <v>36604</v>
      </c>
      <c r="N80" s="90">
        <v>0</v>
      </c>
      <c r="O80" s="90">
        <v>71</v>
      </c>
      <c r="P80" s="90">
        <v>8370.2560663470758</v>
      </c>
      <c r="Q80" s="90">
        <v>23.250669845931156</v>
      </c>
      <c r="R80" s="90">
        <v>155</v>
      </c>
      <c r="S80" s="90">
        <v>40761.549999999996</v>
      </c>
      <c r="T80" s="217">
        <v>169.33841685782048</v>
      </c>
      <c r="U80" s="90">
        <v>3587</v>
      </c>
      <c r="V80" s="90">
        <v>66125.700000000012</v>
      </c>
      <c r="W80" s="90">
        <v>181.2</v>
      </c>
      <c r="X80" s="90">
        <v>1</v>
      </c>
      <c r="Y80" s="90"/>
      <c r="Z80" s="90"/>
      <c r="AA80" s="90"/>
      <c r="AB80"/>
      <c r="AC80" s="92"/>
      <c r="AD80"/>
    </row>
    <row r="81" spans="1:30" x14ac:dyDescent="0.25">
      <c r="A81" s="215">
        <v>2020</v>
      </c>
      <c r="B81" s="216" t="s">
        <v>144</v>
      </c>
      <c r="C81" s="91">
        <f t="shared" si="0"/>
        <v>18971</v>
      </c>
      <c r="D81" s="90">
        <v>21791036.214000002</v>
      </c>
      <c r="E81" s="90"/>
      <c r="F81" s="90">
        <v>12441980.152812891</v>
      </c>
      <c r="G81" s="90">
        <v>17736</v>
      </c>
      <c r="H81" s="90">
        <v>3231168.3016966945</v>
      </c>
      <c r="I81" s="90">
        <v>1156</v>
      </c>
      <c r="J81" s="90">
        <v>4995335.1247514971</v>
      </c>
      <c r="K81" s="90">
        <v>13241.208799305761</v>
      </c>
      <c r="L81" s="90">
        <v>78</v>
      </c>
      <c r="M81" s="90">
        <v>36604</v>
      </c>
      <c r="N81" s="90">
        <v>0</v>
      </c>
      <c r="O81" s="90">
        <v>72</v>
      </c>
      <c r="P81" s="90">
        <v>8308.64840050169</v>
      </c>
      <c r="Q81" s="90">
        <v>23.079537745886022</v>
      </c>
      <c r="R81" s="90">
        <v>155</v>
      </c>
      <c r="S81" s="90">
        <v>65103.349999999991</v>
      </c>
      <c r="T81" s="217">
        <v>184.0161603359123</v>
      </c>
      <c r="U81" s="90">
        <v>3587</v>
      </c>
      <c r="V81" s="90">
        <v>65244</v>
      </c>
      <c r="W81" s="90">
        <v>161.69999999999999</v>
      </c>
      <c r="X81" s="90">
        <v>1</v>
      </c>
      <c r="Y81" s="90"/>
      <c r="Z81" s="90"/>
      <c r="AA81" s="90"/>
      <c r="AB81"/>
      <c r="AC81" s="92"/>
      <c r="AD81"/>
    </row>
    <row r="82" spans="1:30" x14ac:dyDescent="0.25">
      <c r="A82" s="215">
        <v>2020</v>
      </c>
      <c r="B82" s="216" t="s">
        <v>145</v>
      </c>
      <c r="C82" s="91">
        <f t="shared" si="0"/>
        <v>18970</v>
      </c>
      <c r="D82" s="90">
        <v>22640626.522999998</v>
      </c>
      <c r="E82" s="90"/>
      <c r="F82" s="90">
        <v>13130636.363059942</v>
      </c>
      <c r="G82" s="90">
        <v>17736</v>
      </c>
      <c r="H82" s="90">
        <v>3142186.9186983313</v>
      </c>
      <c r="I82" s="90">
        <v>1155</v>
      </c>
      <c r="J82" s="90">
        <v>4977322.8813678827</v>
      </c>
      <c r="K82" s="90">
        <v>12941.079161395181</v>
      </c>
      <c r="L82" s="90">
        <v>78</v>
      </c>
      <c r="M82" s="90">
        <v>36604</v>
      </c>
      <c r="N82" s="90">
        <v>0</v>
      </c>
      <c r="O82" s="90">
        <v>72</v>
      </c>
      <c r="P82" s="90">
        <v>8304.0848696983267</v>
      </c>
      <c r="Q82" s="90">
        <v>23.066861294030822</v>
      </c>
      <c r="R82" s="90">
        <v>153</v>
      </c>
      <c r="S82" s="90">
        <v>63003.239999999991</v>
      </c>
      <c r="T82" s="217">
        <v>184.0161603359123</v>
      </c>
      <c r="U82" s="90">
        <v>3587</v>
      </c>
      <c r="V82" s="90">
        <v>68411.100000000006</v>
      </c>
      <c r="W82" s="90">
        <v>177.3</v>
      </c>
      <c r="X82" s="90">
        <v>1</v>
      </c>
      <c r="Y82" s="90"/>
      <c r="Z82" s="90"/>
      <c r="AA82" s="90"/>
      <c r="AB82"/>
      <c r="AC82" s="92"/>
      <c r="AD82"/>
    </row>
    <row r="83" spans="1:30" x14ac:dyDescent="0.25">
      <c r="A83" s="215">
        <v>2020</v>
      </c>
      <c r="B83" s="216" t="s">
        <v>146</v>
      </c>
      <c r="C83" s="91">
        <f t="shared" si="0"/>
        <v>19282</v>
      </c>
      <c r="D83" s="90">
        <v>26936455.295999996</v>
      </c>
      <c r="E83" s="90"/>
      <c r="F83" s="90">
        <v>16745238.598275494</v>
      </c>
      <c r="G83" s="90">
        <v>18037</v>
      </c>
      <c r="H83" s="90">
        <v>3471094.8425824223</v>
      </c>
      <c r="I83" s="90">
        <v>1165</v>
      </c>
      <c r="J83" s="90">
        <v>4950078.8970089499</v>
      </c>
      <c r="K83" s="90">
        <v>12381.177852626743</v>
      </c>
      <c r="L83" s="90">
        <v>79</v>
      </c>
      <c r="M83" s="90">
        <v>36604</v>
      </c>
      <c r="N83" s="90">
        <v>0</v>
      </c>
      <c r="O83" s="90">
        <v>71</v>
      </c>
      <c r="P83" s="90">
        <v>8249.3825465159207</v>
      </c>
      <c r="Q83" s="90">
        <v>22.91491066718762</v>
      </c>
      <c r="R83" s="90">
        <v>153</v>
      </c>
      <c r="S83" s="90">
        <v>65103.349999999991</v>
      </c>
      <c r="T83" s="90">
        <v>184.25810116247425</v>
      </c>
      <c r="U83" s="90">
        <v>3588</v>
      </c>
      <c r="V83" s="90">
        <v>83120.700000000012</v>
      </c>
      <c r="W83" s="90">
        <v>180.9</v>
      </c>
      <c r="X83" s="90">
        <v>1</v>
      </c>
      <c r="Y83" s="90"/>
      <c r="Z83" s="90"/>
      <c r="AA83" s="90"/>
      <c r="AB83"/>
      <c r="AC83" s="92"/>
      <c r="AD83"/>
    </row>
    <row r="84" spans="1:30" x14ac:dyDescent="0.25">
      <c r="A84" s="215">
        <v>2021</v>
      </c>
      <c r="B84" s="216" t="s">
        <v>135</v>
      </c>
      <c r="C84" s="91">
        <f t="shared" si="0"/>
        <v>19313</v>
      </c>
      <c r="D84" s="89">
        <v>27383194.68</v>
      </c>
      <c r="E84" s="89"/>
      <c r="F84" s="89">
        <v>17289139.820500553</v>
      </c>
      <c r="G84" s="89">
        <v>18067</v>
      </c>
      <c r="H84" s="89">
        <v>3446180.411161554</v>
      </c>
      <c r="I84" s="89">
        <v>1164</v>
      </c>
      <c r="J84" s="89">
        <v>4957896.8918266809</v>
      </c>
      <c r="K84" s="89">
        <v>12210.99634142367</v>
      </c>
      <c r="L84" s="89">
        <v>81</v>
      </c>
      <c r="M84" s="89">
        <v>36604</v>
      </c>
      <c r="N84" s="89">
        <v>0</v>
      </c>
      <c r="O84" s="89">
        <v>71</v>
      </c>
      <c r="P84" s="89">
        <v>8311.4430351460651</v>
      </c>
      <c r="Q84" s="89">
        <v>23.087230057746705</v>
      </c>
      <c r="R84" s="89">
        <v>153</v>
      </c>
      <c r="S84" s="89">
        <v>79257.08</v>
      </c>
      <c r="T84" s="218">
        <v>183.80835177933662</v>
      </c>
      <c r="U84" s="89">
        <v>3588</v>
      </c>
      <c r="V84" s="89">
        <v>83785.2</v>
      </c>
      <c r="W84" s="89">
        <v>189.6</v>
      </c>
      <c r="X84" s="89">
        <v>1</v>
      </c>
      <c r="Y84" s="89"/>
      <c r="Z84" s="89"/>
      <c r="AA84" s="89"/>
      <c r="AB84"/>
      <c r="AC84" s="92"/>
      <c r="AD84"/>
    </row>
    <row r="85" spans="1:30" x14ac:dyDescent="0.25">
      <c r="A85" s="215">
        <v>2021</v>
      </c>
      <c r="B85" s="216" t="s">
        <v>136</v>
      </c>
      <c r="C85" s="91">
        <f t="shared" si="0"/>
        <v>19329</v>
      </c>
      <c r="D85" s="90">
        <v>26118374.440000001</v>
      </c>
      <c r="E85" s="90"/>
      <c r="F85" s="90">
        <v>16234407.968466196</v>
      </c>
      <c r="G85" s="90">
        <v>18080</v>
      </c>
      <c r="H85" s="90">
        <v>3363990.8350862633</v>
      </c>
      <c r="I85" s="90">
        <v>1167</v>
      </c>
      <c r="J85" s="90">
        <v>4718838.3084033327</v>
      </c>
      <c r="K85" s="90">
        <v>12057.789820024309</v>
      </c>
      <c r="L85" s="90">
        <v>81</v>
      </c>
      <c r="M85" s="90">
        <v>36604</v>
      </c>
      <c r="N85" s="90">
        <v>0</v>
      </c>
      <c r="O85" s="90">
        <v>71</v>
      </c>
      <c r="P85" s="90">
        <v>8365.8224280661434</v>
      </c>
      <c r="Q85" s="90">
        <v>23.238283196105172</v>
      </c>
      <c r="R85" s="90">
        <v>153</v>
      </c>
      <c r="S85" s="90">
        <v>71587.040000000008</v>
      </c>
      <c r="T85" s="217">
        <v>183.80835177933662</v>
      </c>
      <c r="U85" s="90">
        <v>3588</v>
      </c>
      <c r="V85" s="90">
        <v>77469.000000000015</v>
      </c>
      <c r="W85" s="90">
        <v>194.4</v>
      </c>
      <c r="X85" s="90">
        <v>1</v>
      </c>
      <c r="Y85" s="90"/>
      <c r="Z85" s="90"/>
      <c r="AA85" s="90"/>
      <c r="AB85"/>
      <c r="AC85" s="92"/>
      <c r="AD85"/>
    </row>
    <row r="86" spans="1:30" x14ac:dyDescent="0.25">
      <c r="A86" s="215">
        <v>2021</v>
      </c>
      <c r="B86" s="216" t="s">
        <v>137</v>
      </c>
      <c r="C86" s="91">
        <f t="shared" si="0"/>
        <v>19350</v>
      </c>
      <c r="D86" s="90">
        <v>25209899.25</v>
      </c>
      <c r="E86" s="90"/>
      <c r="F86" s="90">
        <v>15041383.122092202</v>
      </c>
      <c r="G86" s="90">
        <v>18098</v>
      </c>
      <c r="H86" s="90">
        <v>3500916.6846757</v>
      </c>
      <c r="I86" s="90">
        <v>1174</v>
      </c>
      <c r="J86" s="90">
        <v>5041263.9658425273</v>
      </c>
      <c r="K86" s="90">
        <v>12304.636488469594</v>
      </c>
      <c r="L86" s="90">
        <v>77</v>
      </c>
      <c r="M86" s="90">
        <v>36604</v>
      </c>
      <c r="N86" s="90">
        <v>0</v>
      </c>
      <c r="O86" s="90">
        <v>71</v>
      </c>
      <c r="P86" s="90">
        <v>8374.4464727583145</v>
      </c>
      <c r="Q86" s="90">
        <v>23.262238759897706</v>
      </c>
      <c r="R86" s="90">
        <v>153</v>
      </c>
      <c r="S86" s="90">
        <v>80932.320000000007</v>
      </c>
      <c r="T86" s="217">
        <v>183.80835177933662</v>
      </c>
      <c r="U86" s="90">
        <v>3700</v>
      </c>
      <c r="V86" s="90">
        <v>73164.89999999998</v>
      </c>
      <c r="W86" s="90">
        <v>170.4</v>
      </c>
      <c r="X86" s="90">
        <v>1</v>
      </c>
      <c r="Y86" s="90"/>
      <c r="Z86" s="90"/>
      <c r="AA86" s="90"/>
      <c r="AB86"/>
      <c r="AC86" s="92"/>
      <c r="AD86"/>
    </row>
    <row r="87" spans="1:30" x14ac:dyDescent="0.25">
      <c r="A87" s="215">
        <v>2021</v>
      </c>
      <c r="B87" s="216" t="s">
        <v>138</v>
      </c>
      <c r="C87" s="91">
        <f t="shared" si="0"/>
        <v>19360</v>
      </c>
      <c r="D87" s="90">
        <v>21444082.049999997</v>
      </c>
      <c r="E87" s="90"/>
      <c r="F87" s="90">
        <v>12737618.311237721</v>
      </c>
      <c r="G87" s="90">
        <v>18106</v>
      </c>
      <c r="H87" s="90">
        <v>3002724.3919758578</v>
      </c>
      <c r="I87" s="90">
        <v>1175</v>
      </c>
      <c r="J87" s="90">
        <v>4393203.1552045476</v>
      </c>
      <c r="K87" s="90">
        <v>11827.423014542519</v>
      </c>
      <c r="L87" s="90">
        <v>78</v>
      </c>
      <c r="M87" s="90">
        <v>36604</v>
      </c>
      <c r="N87" s="90">
        <v>0</v>
      </c>
      <c r="O87" s="90">
        <v>71</v>
      </c>
      <c r="P87" s="90">
        <v>8370.3740072092332</v>
      </c>
      <c r="Q87" s="90">
        <v>23.250926410329008</v>
      </c>
      <c r="R87" s="90">
        <v>153</v>
      </c>
      <c r="S87" s="90">
        <v>58741.2</v>
      </c>
      <c r="T87" s="217">
        <v>187.6934697175046</v>
      </c>
      <c r="U87" s="90">
        <v>3587</v>
      </c>
      <c r="V87" s="90">
        <v>65409.9</v>
      </c>
      <c r="W87" s="90">
        <v>153.6</v>
      </c>
      <c r="X87" s="90">
        <v>1</v>
      </c>
      <c r="Y87" s="90"/>
      <c r="Z87" s="90"/>
      <c r="AA87" s="90"/>
      <c r="AB87"/>
      <c r="AC87" s="92"/>
      <c r="AD87"/>
    </row>
    <row r="88" spans="1:30" x14ac:dyDescent="0.25">
      <c r="A88" s="215">
        <v>2021</v>
      </c>
      <c r="B88" s="216" t="s">
        <v>139</v>
      </c>
      <c r="C88" s="91">
        <f t="shared" si="0"/>
        <v>19530</v>
      </c>
      <c r="D88" s="90">
        <v>21915007.870000001</v>
      </c>
      <c r="E88" s="90"/>
      <c r="F88" s="90">
        <v>13014011.793436823</v>
      </c>
      <c r="G88" s="90">
        <v>18267</v>
      </c>
      <c r="H88" s="90">
        <v>3008659.6285972735</v>
      </c>
      <c r="I88" s="90">
        <v>1186</v>
      </c>
      <c r="J88" s="90">
        <v>4551069.0838005971</v>
      </c>
      <c r="K88" s="90">
        <v>13304.398114159378</v>
      </c>
      <c r="L88" s="90">
        <v>76</v>
      </c>
      <c r="M88" s="90">
        <v>36604</v>
      </c>
      <c r="N88" s="90">
        <v>0</v>
      </c>
      <c r="O88" s="90">
        <v>71</v>
      </c>
      <c r="P88" s="90">
        <v>8377.3810435216219</v>
      </c>
      <c r="Q88" s="90">
        <v>23.270390305910443</v>
      </c>
      <c r="R88" s="90">
        <v>153</v>
      </c>
      <c r="S88" s="90">
        <v>60699.240000000005</v>
      </c>
      <c r="T88" s="217">
        <v>187.6934697175046</v>
      </c>
      <c r="U88" s="90">
        <v>3587</v>
      </c>
      <c r="V88" s="90">
        <v>67577.7</v>
      </c>
      <c r="W88" s="90">
        <v>204</v>
      </c>
      <c r="X88" s="90">
        <v>1</v>
      </c>
      <c r="Y88" s="90"/>
      <c r="Z88" s="90"/>
      <c r="AA88" s="90"/>
      <c r="AB88"/>
      <c r="AC88" s="92"/>
      <c r="AD88"/>
    </row>
    <row r="89" spans="1:30" x14ac:dyDescent="0.25">
      <c r="A89" s="215">
        <v>2021</v>
      </c>
      <c r="B89" s="216" t="s">
        <v>140</v>
      </c>
      <c r="C89" s="91">
        <f t="shared" ref="C89:C143" si="1">SUM(G89,I89,L89,X89)</f>
        <v>19557</v>
      </c>
      <c r="D89" s="90">
        <v>24946416.130000003</v>
      </c>
      <c r="E89" s="90"/>
      <c r="F89" s="90">
        <v>15438079.010299664</v>
      </c>
      <c r="G89" s="90">
        <v>18296</v>
      </c>
      <c r="H89" s="90">
        <v>3252278.7788061877</v>
      </c>
      <c r="I89" s="90">
        <v>1183</v>
      </c>
      <c r="J89" s="90">
        <v>4789089.9028171096</v>
      </c>
      <c r="K89" s="90">
        <v>12502.013458652351</v>
      </c>
      <c r="L89" s="90">
        <v>77</v>
      </c>
      <c r="M89" s="90">
        <v>36604</v>
      </c>
      <c r="N89" s="90">
        <v>0</v>
      </c>
      <c r="O89" s="90">
        <v>71</v>
      </c>
      <c r="P89" s="90">
        <v>8367.5691963776335</v>
      </c>
      <c r="Q89" s="90">
        <v>23.243135306827035</v>
      </c>
      <c r="R89" s="90">
        <v>153</v>
      </c>
      <c r="S89" s="90">
        <v>58741.2</v>
      </c>
      <c r="T89" s="217">
        <v>187.6934697175046</v>
      </c>
      <c r="U89" s="90">
        <v>3587</v>
      </c>
      <c r="V89" s="90">
        <v>81729</v>
      </c>
      <c r="W89" s="90">
        <v>256.8</v>
      </c>
      <c r="X89" s="90">
        <v>1</v>
      </c>
      <c r="Y89" s="90"/>
      <c r="Z89" s="90"/>
      <c r="AA89" s="90"/>
      <c r="AB89"/>
      <c r="AC89" s="92"/>
      <c r="AD89"/>
    </row>
    <row r="90" spans="1:30" x14ac:dyDescent="0.25">
      <c r="A90" s="215">
        <v>2021</v>
      </c>
      <c r="B90" s="216" t="s">
        <v>141</v>
      </c>
      <c r="C90" s="91">
        <f t="shared" si="1"/>
        <v>19600</v>
      </c>
      <c r="D90" s="90">
        <v>25413113.779999997</v>
      </c>
      <c r="E90" s="90"/>
      <c r="F90" s="90">
        <v>15678288.376294909</v>
      </c>
      <c r="G90" s="90">
        <v>18319</v>
      </c>
      <c r="H90" s="90">
        <v>3433429.5876017096</v>
      </c>
      <c r="I90" s="90">
        <v>1203</v>
      </c>
      <c r="J90" s="90">
        <v>4851065.8806398483</v>
      </c>
      <c r="K90" s="90">
        <v>14628.196801748918</v>
      </c>
      <c r="L90" s="90">
        <v>77</v>
      </c>
      <c r="M90" s="90">
        <v>36604</v>
      </c>
      <c r="N90" s="90">
        <v>0</v>
      </c>
      <c r="O90" s="90">
        <v>71</v>
      </c>
      <c r="P90" s="90">
        <v>8256.3948795010165</v>
      </c>
      <c r="Q90" s="90">
        <v>22.934319254140441</v>
      </c>
      <c r="R90" s="90">
        <v>153</v>
      </c>
      <c r="S90" s="90">
        <v>43356.6</v>
      </c>
      <c r="T90" s="217">
        <v>187.6934697175046</v>
      </c>
      <c r="U90" s="90">
        <v>3587</v>
      </c>
      <c r="V90" s="90">
        <v>83564.699999999983</v>
      </c>
      <c r="W90" s="90">
        <v>242.4</v>
      </c>
      <c r="X90" s="90">
        <v>1</v>
      </c>
      <c r="Y90" s="90"/>
      <c r="Z90" s="90"/>
      <c r="AA90" s="90"/>
      <c r="AB90"/>
      <c r="AC90" s="92"/>
      <c r="AD90"/>
    </row>
    <row r="91" spans="1:30" x14ac:dyDescent="0.25">
      <c r="A91" s="215">
        <v>2021</v>
      </c>
      <c r="B91" s="216" t="s">
        <v>142</v>
      </c>
      <c r="C91" s="91">
        <f t="shared" si="1"/>
        <v>19594</v>
      </c>
      <c r="D91" s="90">
        <v>29121956.240000002</v>
      </c>
      <c r="E91" s="90"/>
      <c r="F91" s="90">
        <v>18300572.368777413</v>
      </c>
      <c r="G91" s="90">
        <v>18313</v>
      </c>
      <c r="H91" s="90">
        <v>3799007.140332893</v>
      </c>
      <c r="I91" s="90">
        <v>1203</v>
      </c>
      <c r="J91" s="90">
        <v>5269448.8945782194</v>
      </c>
      <c r="K91" s="90">
        <v>13581.886086884535</v>
      </c>
      <c r="L91" s="90">
        <v>77</v>
      </c>
      <c r="M91" s="90">
        <v>36604</v>
      </c>
      <c r="N91" s="90">
        <v>0</v>
      </c>
      <c r="O91" s="90">
        <v>71</v>
      </c>
      <c r="P91" s="90">
        <v>8173.2187632743289</v>
      </c>
      <c r="Q91" s="90">
        <v>22.703275604738629</v>
      </c>
      <c r="R91" s="90">
        <v>153</v>
      </c>
      <c r="S91" s="90">
        <v>44796.899999999994</v>
      </c>
      <c r="T91" s="217">
        <v>187.6934697175046</v>
      </c>
      <c r="U91" s="90">
        <v>3587</v>
      </c>
      <c r="V91" s="90">
        <v>94657.500000000044</v>
      </c>
      <c r="W91" s="90">
        <v>259.2</v>
      </c>
      <c r="X91" s="90">
        <v>1</v>
      </c>
      <c r="Y91" s="90"/>
      <c r="Z91" s="90"/>
      <c r="AA91" s="90"/>
      <c r="AB91"/>
      <c r="AC91" s="92"/>
      <c r="AD91"/>
    </row>
    <row r="92" spans="1:30" x14ac:dyDescent="0.25">
      <c r="A92" s="215">
        <v>2021</v>
      </c>
      <c r="B92" s="216" t="s">
        <v>143</v>
      </c>
      <c r="C92" s="91">
        <f t="shared" si="1"/>
        <v>19630</v>
      </c>
      <c r="D92" s="90">
        <v>21448441.290000003</v>
      </c>
      <c r="E92" s="90"/>
      <c r="F92" s="90">
        <v>12143702.279816575</v>
      </c>
      <c r="G92" s="90">
        <v>18344</v>
      </c>
      <c r="H92" s="90">
        <v>3192775.8732484328</v>
      </c>
      <c r="I92" s="90">
        <v>1208</v>
      </c>
      <c r="J92" s="90">
        <v>4809854.0238417182</v>
      </c>
      <c r="K92" s="90">
        <v>14850.624769469365</v>
      </c>
      <c r="L92" s="90">
        <v>77</v>
      </c>
      <c r="M92" s="90">
        <v>36604</v>
      </c>
      <c r="N92" s="90">
        <v>0</v>
      </c>
      <c r="O92" s="90">
        <v>71</v>
      </c>
      <c r="P92" s="90">
        <v>8170.9429737027813</v>
      </c>
      <c r="Q92" s="90">
        <v>22.6969539976267</v>
      </c>
      <c r="R92" s="90">
        <v>153</v>
      </c>
      <c r="S92" s="90">
        <v>44219.360000000001</v>
      </c>
      <c r="T92" s="217">
        <v>194.08479067796227</v>
      </c>
      <c r="U92" s="90">
        <v>3587</v>
      </c>
      <c r="V92" s="90">
        <v>66114.299999999988</v>
      </c>
      <c r="W92" s="90">
        <v>162</v>
      </c>
      <c r="X92" s="90">
        <v>1</v>
      </c>
      <c r="Y92" s="90"/>
      <c r="Z92" s="90"/>
      <c r="AA92" s="90"/>
      <c r="AB92"/>
      <c r="AC92" s="92"/>
      <c r="AD92"/>
    </row>
    <row r="93" spans="1:30" x14ac:dyDescent="0.25">
      <c r="A93" s="215">
        <v>2021</v>
      </c>
      <c r="B93" s="216" t="s">
        <v>144</v>
      </c>
      <c r="C93" s="91">
        <f t="shared" si="1"/>
        <v>19656</v>
      </c>
      <c r="D93" s="90">
        <v>21738524.600000001</v>
      </c>
      <c r="E93" s="90"/>
      <c r="F93" s="90">
        <v>12182881.184673565</v>
      </c>
      <c r="G93" s="90">
        <v>18367</v>
      </c>
      <c r="H93" s="90">
        <v>3319474.9886575285</v>
      </c>
      <c r="I93" s="90">
        <v>1211</v>
      </c>
      <c r="J93" s="90">
        <v>4872167.7097467044</v>
      </c>
      <c r="K93" s="90">
        <v>14108.248092439042</v>
      </c>
      <c r="L93" s="90">
        <v>77</v>
      </c>
      <c r="M93" s="90">
        <v>36604</v>
      </c>
      <c r="N93" s="90">
        <v>0</v>
      </c>
      <c r="O93" s="90">
        <v>71</v>
      </c>
      <c r="P93" s="90">
        <v>8173.4583200713314</v>
      </c>
      <c r="Q93" s="90">
        <v>22.70394103706619</v>
      </c>
      <c r="R93" s="90">
        <v>153</v>
      </c>
      <c r="S93" s="90">
        <v>70358.840000000011</v>
      </c>
      <c r="T93" s="217">
        <v>198.64426846550145</v>
      </c>
      <c r="U93" s="90">
        <v>3587</v>
      </c>
      <c r="V93" s="90">
        <v>62634.000000000007</v>
      </c>
      <c r="W93" s="90">
        <v>148.80000000000001</v>
      </c>
      <c r="X93" s="90">
        <v>1</v>
      </c>
      <c r="Y93" s="90"/>
      <c r="Z93" s="90"/>
      <c r="AA93" s="90"/>
      <c r="AB93"/>
      <c r="AC93" s="92"/>
      <c r="AD93"/>
    </row>
    <row r="94" spans="1:30" x14ac:dyDescent="0.25">
      <c r="A94" s="215">
        <v>2021</v>
      </c>
      <c r="B94" s="216" t="s">
        <v>145</v>
      </c>
      <c r="C94" s="91">
        <f t="shared" si="1"/>
        <v>19657</v>
      </c>
      <c r="D94" s="90">
        <v>23740519.789999999</v>
      </c>
      <c r="E94" s="90"/>
      <c r="F94" s="90">
        <v>13914864.538258938</v>
      </c>
      <c r="G94" s="90">
        <v>18368</v>
      </c>
      <c r="H94" s="90">
        <v>3423760.3605680843</v>
      </c>
      <c r="I94" s="90">
        <v>1211</v>
      </c>
      <c r="J94" s="90">
        <v>4963383.6239878582</v>
      </c>
      <c r="K94" s="90">
        <v>13323.66811226529</v>
      </c>
      <c r="L94" s="90">
        <v>77</v>
      </c>
      <c r="M94" s="90">
        <v>36604</v>
      </c>
      <c r="N94" s="90">
        <v>0</v>
      </c>
      <c r="O94" s="90">
        <v>71</v>
      </c>
      <c r="P94" s="90">
        <v>8147.58618599482</v>
      </c>
      <c r="Q94" s="90">
        <v>22.632074345688597</v>
      </c>
      <c r="R94" s="90">
        <v>152</v>
      </c>
      <c r="S94" s="90">
        <v>68089.200000000012</v>
      </c>
      <c r="T94" s="217">
        <v>198.64426846550145</v>
      </c>
      <c r="U94" s="90">
        <v>3587</v>
      </c>
      <c r="V94" s="90">
        <v>69990.3</v>
      </c>
      <c r="W94" s="90">
        <v>184.8</v>
      </c>
      <c r="X94" s="90">
        <v>1</v>
      </c>
      <c r="Y94" s="90"/>
      <c r="Z94" s="90"/>
      <c r="AA94" s="90"/>
      <c r="AB94"/>
      <c r="AC94" s="92"/>
      <c r="AD94"/>
    </row>
    <row r="95" spans="1:30" x14ac:dyDescent="0.25">
      <c r="A95" s="215">
        <v>2021</v>
      </c>
      <c r="B95" s="216" t="s">
        <v>146</v>
      </c>
      <c r="C95" s="91">
        <f t="shared" si="1"/>
        <v>19704</v>
      </c>
      <c r="D95" s="90">
        <v>26760724.010000002</v>
      </c>
      <c r="E95" s="90"/>
      <c r="F95" s="90">
        <v>16524760.426145453</v>
      </c>
      <c r="G95" s="90">
        <v>18415</v>
      </c>
      <c r="H95" s="90">
        <v>3744761.9892885135</v>
      </c>
      <c r="I95" s="90">
        <v>1210</v>
      </c>
      <c r="J95" s="90">
        <v>4878589.1293108584</v>
      </c>
      <c r="K95" s="90">
        <v>13205.508899921066</v>
      </c>
      <c r="L95" s="90">
        <v>78</v>
      </c>
      <c r="M95" s="90">
        <v>36604</v>
      </c>
      <c r="N95" s="90">
        <v>0</v>
      </c>
      <c r="O95" s="90">
        <v>71</v>
      </c>
      <c r="P95" s="90">
        <v>8117.0426943767152</v>
      </c>
      <c r="Q95" s="90">
        <v>22.547231723923382</v>
      </c>
      <c r="R95" s="90">
        <v>151</v>
      </c>
      <c r="S95" s="90">
        <v>70358.84</v>
      </c>
      <c r="T95" s="90">
        <v>198.64426846550145</v>
      </c>
      <c r="U95" s="90">
        <v>3587</v>
      </c>
      <c r="V95" s="90">
        <v>84074.39999999998</v>
      </c>
      <c r="W95" s="90">
        <v>193.2</v>
      </c>
      <c r="X95" s="90">
        <v>1</v>
      </c>
      <c r="Y95" s="90"/>
      <c r="Z95" s="90"/>
      <c r="AA95" s="90"/>
      <c r="AB95"/>
      <c r="AC95" s="92"/>
      <c r="AD95"/>
    </row>
    <row r="96" spans="1:30" x14ac:dyDescent="0.25">
      <c r="A96" s="215">
        <v>2022</v>
      </c>
      <c r="B96" s="216" t="s">
        <v>135</v>
      </c>
      <c r="C96" s="91">
        <f t="shared" si="1"/>
        <v>19788</v>
      </c>
      <c r="D96" s="89">
        <v>30693913.289999999</v>
      </c>
      <c r="E96" s="89"/>
      <c r="F96" s="89">
        <v>19654957.582718987</v>
      </c>
      <c r="G96" s="89">
        <v>18495</v>
      </c>
      <c r="H96" s="89">
        <v>4068259.3960364638</v>
      </c>
      <c r="I96" s="89">
        <v>1214</v>
      </c>
      <c r="J96" s="89">
        <v>5190085.9427187815</v>
      </c>
      <c r="K96" s="89">
        <v>12704.472374667394</v>
      </c>
      <c r="L96" s="89">
        <v>78</v>
      </c>
      <c r="M96" s="89">
        <v>36604</v>
      </c>
      <c r="N96" s="89">
        <v>0</v>
      </c>
      <c r="O96" s="89">
        <v>71</v>
      </c>
      <c r="P96" s="89">
        <v>8101.2799999999943</v>
      </c>
      <c r="Q96" s="89">
        <v>22.810185083780528</v>
      </c>
      <c r="R96" s="89">
        <v>151</v>
      </c>
      <c r="S96" s="89">
        <v>85654.239999999991</v>
      </c>
      <c r="T96" s="218">
        <v>198.69210732119623</v>
      </c>
      <c r="U96" s="89">
        <v>3852</v>
      </c>
      <c r="V96" s="89">
        <v>95235.900000000009</v>
      </c>
      <c r="W96" s="89">
        <v>200.4</v>
      </c>
      <c r="X96" s="89">
        <v>1</v>
      </c>
      <c r="Y96" s="89"/>
      <c r="Z96" s="89"/>
      <c r="AA96" s="89"/>
      <c r="AB96"/>
      <c r="AC96" s="92"/>
      <c r="AD96"/>
    </row>
    <row r="97" spans="1:30" x14ac:dyDescent="0.25">
      <c r="A97" s="215">
        <v>2022</v>
      </c>
      <c r="B97" s="216" t="s">
        <v>136</v>
      </c>
      <c r="C97" s="91">
        <f t="shared" si="1"/>
        <v>19810</v>
      </c>
      <c r="D97" s="90">
        <v>26556495.73</v>
      </c>
      <c r="E97" s="90"/>
      <c r="F97" s="90">
        <v>16612048.199578671</v>
      </c>
      <c r="G97" s="90">
        <v>18509</v>
      </c>
      <c r="H97" s="90">
        <v>3647115.4910881855</v>
      </c>
      <c r="I97" s="90">
        <v>1222</v>
      </c>
      <c r="J97" s="90">
        <v>4790635.3519290918</v>
      </c>
      <c r="K97" s="90">
        <v>13009.025189486836</v>
      </c>
      <c r="L97" s="90">
        <v>78</v>
      </c>
      <c r="M97" s="90">
        <v>36604</v>
      </c>
      <c r="N97" s="90">
        <v>0</v>
      </c>
      <c r="O97" s="90">
        <v>71</v>
      </c>
      <c r="P97" s="90">
        <v>8086.4599999999955</v>
      </c>
      <c r="Q97" s="90">
        <v>22.315387142700686</v>
      </c>
      <c r="R97" s="90">
        <v>151</v>
      </c>
      <c r="S97" s="90">
        <v>77365.119999999981</v>
      </c>
      <c r="T97" s="217">
        <v>198.69210732119626</v>
      </c>
      <c r="U97" s="90">
        <v>3852</v>
      </c>
      <c r="V97" s="90">
        <v>82373.400000000009</v>
      </c>
      <c r="W97" s="90">
        <v>206.4</v>
      </c>
      <c r="X97" s="90">
        <v>1</v>
      </c>
      <c r="Y97" s="90"/>
      <c r="Z97" s="90"/>
      <c r="AA97" s="90"/>
      <c r="AB97"/>
      <c r="AC97" s="92"/>
      <c r="AD97"/>
    </row>
    <row r="98" spans="1:30" x14ac:dyDescent="0.25">
      <c r="A98" s="215">
        <v>2022</v>
      </c>
      <c r="B98" s="216" t="s">
        <v>137</v>
      </c>
      <c r="C98" s="91">
        <f t="shared" si="1"/>
        <v>19854</v>
      </c>
      <c r="D98" s="90">
        <v>26436228.200000003</v>
      </c>
      <c r="E98" s="90"/>
      <c r="F98" s="90">
        <v>16053314.099730158</v>
      </c>
      <c r="G98" s="90">
        <v>18551</v>
      </c>
      <c r="H98" s="90">
        <v>3781918.5364308953</v>
      </c>
      <c r="I98" s="90">
        <v>1226</v>
      </c>
      <c r="J98" s="90">
        <v>5036635.8705744781</v>
      </c>
      <c r="K98" s="90">
        <v>13031.013302406416</v>
      </c>
      <c r="L98" s="90">
        <v>76</v>
      </c>
      <c r="M98" s="90">
        <v>36604</v>
      </c>
      <c r="N98" s="90">
        <v>0</v>
      </c>
      <c r="O98" s="90">
        <v>71</v>
      </c>
      <c r="P98" s="90">
        <v>8100.1399999999958</v>
      </c>
      <c r="Q98" s="90">
        <v>22.196635636841528</v>
      </c>
      <c r="R98" s="90">
        <v>150</v>
      </c>
      <c r="S98" s="90">
        <v>85671.599999999991</v>
      </c>
      <c r="T98" s="217">
        <v>198.69210732119626</v>
      </c>
      <c r="U98" s="90">
        <v>3852</v>
      </c>
      <c r="V98" s="90">
        <v>80510.100000000006</v>
      </c>
      <c r="W98" s="90">
        <v>175.2</v>
      </c>
      <c r="X98" s="90">
        <v>1</v>
      </c>
      <c r="Y98" s="90"/>
      <c r="Z98" s="90"/>
      <c r="AA98" s="90"/>
      <c r="AB98"/>
      <c r="AC98" s="92"/>
      <c r="AD98"/>
    </row>
    <row r="99" spans="1:30" x14ac:dyDescent="0.25">
      <c r="A99" s="215">
        <v>2022</v>
      </c>
      <c r="B99" s="216" t="s">
        <v>138</v>
      </c>
      <c r="C99" s="91">
        <f t="shared" si="1"/>
        <v>19919</v>
      </c>
      <c r="D99" s="90">
        <v>22507686.228</v>
      </c>
      <c r="E99" s="90"/>
      <c r="F99" s="90">
        <v>13373472.9884461</v>
      </c>
      <c r="G99" s="90">
        <v>18595</v>
      </c>
      <c r="H99" s="90">
        <v>3404476.714485243</v>
      </c>
      <c r="I99" s="90">
        <v>1245</v>
      </c>
      <c r="J99" s="90">
        <v>4421264.3830811894</v>
      </c>
      <c r="K99" s="90">
        <v>13166.541847844062</v>
      </c>
      <c r="L99" s="90">
        <v>78</v>
      </c>
      <c r="M99" s="90">
        <v>36604</v>
      </c>
      <c r="N99" s="90">
        <v>0</v>
      </c>
      <c r="O99" s="90">
        <v>71</v>
      </c>
      <c r="P99" s="90">
        <v>8097.8599999999951</v>
      </c>
      <c r="Q99" s="90">
        <v>22.404450772095061</v>
      </c>
      <c r="R99" s="90">
        <v>150</v>
      </c>
      <c r="S99" s="90">
        <v>62180.999999999985</v>
      </c>
      <c r="T99" s="217">
        <v>198.73237730646611</v>
      </c>
      <c r="U99" s="90">
        <v>3853</v>
      </c>
      <c r="V99" s="90">
        <v>68367.3</v>
      </c>
      <c r="W99" s="90">
        <v>148.80000000000001</v>
      </c>
      <c r="X99" s="90">
        <v>1</v>
      </c>
      <c r="Y99" s="90"/>
      <c r="Z99" s="90"/>
      <c r="AA99" s="90"/>
      <c r="AB99"/>
      <c r="AC99" s="92"/>
      <c r="AD99"/>
    </row>
    <row r="100" spans="1:30" x14ac:dyDescent="0.25">
      <c r="A100" s="215">
        <v>2022</v>
      </c>
      <c r="B100" s="216" t="s">
        <v>139</v>
      </c>
      <c r="C100" s="91">
        <f t="shared" si="1"/>
        <v>19961</v>
      </c>
      <c r="D100" s="90">
        <v>22133009.34</v>
      </c>
      <c r="E100" s="90"/>
      <c r="F100" s="90">
        <v>12888548.782218738</v>
      </c>
      <c r="G100" s="90">
        <v>18636</v>
      </c>
      <c r="H100" s="90">
        <v>3454671.9025867176</v>
      </c>
      <c r="I100" s="90">
        <v>1246</v>
      </c>
      <c r="J100" s="90">
        <v>4489356.394255789</v>
      </c>
      <c r="K100" s="90">
        <v>12475.078021106388</v>
      </c>
      <c r="L100" s="90">
        <v>78</v>
      </c>
      <c r="M100" s="90">
        <v>36604</v>
      </c>
      <c r="N100" s="90">
        <v>0</v>
      </c>
      <c r="O100" s="90">
        <v>71</v>
      </c>
      <c r="P100" s="90">
        <v>8100.3799999999937</v>
      </c>
      <c r="Q100" s="90">
        <v>22.602369948526999</v>
      </c>
      <c r="R100" s="90">
        <v>150</v>
      </c>
      <c r="S100" s="90">
        <v>64840.459999999992</v>
      </c>
      <c r="T100" s="217">
        <v>198.73237730646608</v>
      </c>
      <c r="U100" s="90">
        <v>3853</v>
      </c>
      <c r="V100" s="90">
        <v>68463.900000000009</v>
      </c>
      <c r="W100" s="90">
        <v>226.8</v>
      </c>
      <c r="X100" s="90">
        <v>1</v>
      </c>
      <c r="Y100" s="90"/>
      <c r="Z100" s="90"/>
      <c r="AA100" s="90"/>
      <c r="AB100"/>
      <c r="AC100" s="92"/>
      <c r="AD100"/>
    </row>
    <row r="101" spans="1:30" x14ac:dyDescent="0.25">
      <c r="A101" s="215">
        <v>2022</v>
      </c>
      <c r="B101" s="216" t="s">
        <v>140</v>
      </c>
      <c r="C101" s="91">
        <f t="shared" si="1"/>
        <v>20015</v>
      </c>
      <c r="D101" s="90">
        <v>23221729.140000001</v>
      </c>
      <c r="E101" s="90"/>
      <c r="F101" s="90">
        <v>13740149.805155654</v>
      </c>
      <c r="G101" s="90">
        <v>18687</v>
      </c>
      <c r="H101" s="90">
        <v>3464817.010607888</v>
      </c>
      <c r="I101" s="90">
        <v>1248</v>
      </c>
      <c r="J101" s="90">
        <v>4553377.7239551097</v>
      </c>
      <c r="K101" s="90">
        <v>13416.647906862647</v>
      </c>
      <c r="L101" s="90">
        <v>79</v>
      </c>
      <c r="M101" s="90">
        <v>36604</v>
      </c>
      <c r="N101" s="90">
        <v>0</v>
      </c>
      <c r="O101" s="90">
        <v>71</v>
      </c>
      <c r="P101" s="90">
        <v>8166.2599999999948</v>
      </c>
      <c r="Q101" s="90">
        <v>22.295595225057497</v>
      </c>
      <c r="R101" s="90">
        <v>150</v>
      </c>
      <c r="S101" s="90">
        <v>62817.299999999988</v>
      </c>
      <c r="T101" s="217">
        <v>201.32979135636822</v>
      </c>
      <c r="U101" s="90">
        <v>4009</v>
      </c>
      <c r="V101" s="90">
        <v>74554.200000000012</v>
      </c>
      <c r="W101" s="90">
        <v>244.8</v>
      </c>
      <c r="X101" s="90">
        <v>1</v>
      </c>
      <c r="Y101" s="90"/>
      <c r="Z101" s="90"/>
      <c r="AA101" s="90"/>
      <c r="AB101"/>
      <c r="AC101" s="92"/>
      <c r="AD101"/>
    </row>
    <row r="102" spans="1:30" x14ac:dyDescent="0.25">
      <c r="A102" s="215">
        <v>2022</v>
      </c>
      <c r="B102" s="216" t="s">
        <v>141</v>
      </c>
      <c r="C102" s="91">
        <f t="shared" si="1"/>
        <v>20061</v>
      </c>
      <c r="D102" s="90">
        <v>26415918.866999999</v>
      </c>
      <c r="E102" s="90"/>
      <c r="F102" s="90">
        <v>16455502.005066652</v>
      </c>
      <c r="G102" s="90">
        <v>18727</v>
      </c>
      <c r="H102" s="90">
        <v>3800703.0039144456</v>
      </c>
      <c r="I102" s="90">
        <v>1254</v>
      </c>
      <c r="J102" s="90">
        <v>4616441.1575373737</v>
      </c>
      <c r="K102" s="90">
        <v>14262.796362901236</v>
      </c>
      <c r="L102" s="90">
        <v>79</v>
      </c>
      <c r="M102" s="90">
        <v>35942</v>
      </c>
      <c r="N102" s="90">
        <v>0</v>
      </c>
      <c r="O102" s="90">
        <v>71</v>
      </c>
      <c r="P102" s="90">
        <v>8167.3999999999951</v>
      </c>
      <c r="Q102" s="90">
        <v>22.899248713174895</v>
      </c>
      <c r="R102" s="90">
        <v>151</v>
      </c>
      <c r="S102" s="90">
        <v>47017.97</v>
      </c>
      <c r="T102" s="217">
        <v>201.32979135636822</v>
      </c>
      <c r="U102" s="90">
        <v>4062</v>
      </c>
      <c r="V102" s="90">
        <v>87826.8</v>
      </c>
      <c r="W102" s="90">
        <v>249.6</v>
      </c>
      <c r="X102" s="90">
        <v>1</v>
      </c>
      <c r="Y102" s="90"/>
      <c r="Z102" s="90"/>
      <c r="AA102" s="90"/>
      <c r="AB102"/>
      <c r="AC102" s="92"/>
      <c r="AD102"/>
    </row>
    <row r="103" spans="1:30" x14ac:dyDescent="0.25">
      <c r="A103" s="215">
        <v>2022</v>
      </c>
      <c r="B103" s="216" t="s">
        <v>142</v>
      </c>
      <c r="C103" s="91">
        <f t="shared" si="1"/>
        <v>20154</v>
      </c>
      <c r="D103" s="90">
        <v>27237589.953000002</v>
      </c>
      <c r="E103" s="90"/>
      <c r="F103" s="90">
        <v>16878663.743482299</v>
      </c>
      <c r="G103" s="90">
        <v>18818</v>
      </c>
      <c r="H103" s="90">
        <v>3848680.558149734</v>
      </c>
      <c r="I103" s="90">
        <v>1257</v>
      </c>
      <c r="J103" s="90">
        <v>4887351.9589107698</v>
      </c>
      <c r="K103" s="90">
        <v>13206.828458363383</v>
      </c>
      <c r="L103" s="90">
        <v>78</v>
      </c>
      <c r="M103" s="90">
        <v>37468</v>
      </c>
      <c r="N103" s="90">
        <v>0</v>
      </c>
      <c r="O103" s="90">
        <v>71</v>
      </c>
      <c r="P103" s="90">
        <v>8168.5399999999936</v>
      </c>
      <c r="Q103" s="90">
        <v>22.691433577921369</v>
      </c>
      <c r="R103" s="90">
        <v>151</v>
      </c>
      <c r="S103" s="90">
        <v>47948.459999999992</v>
      </c>
      <c r="T103" s="217">
        <v>206.73603687883895</v>
      </c>
      <c r="U103" s="90">
        <v>4142</v>
      </c>
      <c r="V103" s="90">
        <v>89457</v>
      </c>
      <c r="W103" s="90">
        <v>261.60000000000002</v>
      </c>
      <c r="X103" s="90">
        <v>1</v>
      </c>
      <c r="Y103" s="90"/>
      <c r="Z103" s="90"/>
      <c r="AA103" s="90"/>
      <c r="AB103"/>
      <c r="AC103" s="92"/>
      <c r="AD103"/>
    </row>
    <row r="104" spans="1:30" x14ac:dyDescent="0.25">
      <c r="A104" s="215">
        <v>2022</v>
      </c>
      <c r="B104" s="216" t="s">
        <v>143</v>
      </c>
      <c r="C104" s="91">
        <f t="shared" si="1"/>
        <v>20167</v>
      </c>
      <c r="D104" s="90">
        <v>22039776.68</v>
      </c>
      <c r="E104" s="90"/>
      <c r="F104" s="90">
        <v>12822214.378752118</v>
      </c>
      <c r="G104" s="90">
        <v>18831</v>
      </c>
      <c r="H104" s="90">
        <v>3329969.9017453296</v>
      </c>
      <c r="I104" s="90">
        <v>1257</v>
      </c>
      <c r="J104" s="90">
        <v>4549167.3195421342</v>
      </c>
      <c r="K104" s="90">
        <v>13722.108167612108</v>
      </c>
      <c r="L104" s="90">
        <v>78</v>
      </c>
      <c r="M104" s="90">
        <v>37468</v>
      </c>
      <c r="N104" s="90">
        <v>0</v>
      </c>
      <c r="O104" s="90">
        <v>71</v>
      </c>
      <c r="P104" s="90">
        <v>8166.2599999999929</v>
      </c>
      <c r="Q104" s="90">
        <v>22.503410360311022</v>
      </c>
      <c r="R104" s="90">
        <v>151</v>
      </c>
      <c r="S104" s="90">
        <v>47317.19999999999</v>
      </c>
      <c r="T104" s="217">
        <v>212.29329484607143</v>
      </c>
      <c r="U104" s="90">
        <v>4142</v>
      </c>
      <c r="V104" s="90">
        <v>71646.599999999991</v>
      </c>
      <c r="W104" s="90">
        <v>225.6</v>
      </c>
      <c r="X104" s="90">
        <v>1</v>
      </c>
      <c r="Y104" s="90"/>
      <c r="Z104" s="90"/>
      <c r="AA104" s="90"/>
      <c r="AB104"/>
      <c r="AC104" s="92"/>
      <c r="AD104"/>
    </row>
    <row r="105" spans="1:30" x14ac:dyDescent="0.25">
      <c r="A105" s="215">
        <v>2022</v>
      </c>
      <c r="B105" s="216" t="s">
        <v>144</v>
      </c>
      <c r="C105" s="91">
        <f t="shared" si="1"/>
        <v>20305</v>
      </c>
      <c r="D105" s="90">
        <v>21742886.627999999</v>
      </c>
      <c r="E105" s="90"/>
      <c r="F105" s="90">
        <v>12438202.56855881</v>
      </c>
      <c r="G105" s="90">
        <v>18968</v>
      </c>
      <c r="H105" s="90">
        <v>3417255.8451368576</v>
      </c>
      <c r="I105" s="90">
        <v>1258</v>
      </c>
      <c r="J105" s="90">
        <v>4582010.4794219518</v>
      </c>
      <c r="K105" s="90">
        <v>13397.142805333984</v>
      </c>
      <c r="L105" s="90">
        <v>78</v>
      </c>
      <c r="M105" s="90">
        <v>38620</v>
      </c>
      <c r="N105" s="90">
        <v>0</v>
      </c>
      <c r="O105" s="90">
        <v>74</v>
      </c>
      <c r="P105" s="90">
        <v>8167.3999999999951</v>
      </c>
      <c r="Q105" s="90">
        <v>22.879456795531702</v>
      </c>
      <c r="R105" s="90">
        <v>151</v>
      </c>
      <c r="S105" s="90">
        <v>75348.44</v>
      </c>
      <c r="T105" s="217">
        <v>212.29329484607143</v>
      </c>
      <c r="U105" s="90">
        <v>4181</v>
      </c>
      <c r="V105" s="90">
        <v>63334.7</v>
      </c>
      <c r="W105" s="90">
        <v>141.6</v>
      </c>
      <c r="X105" s="90">
        <v>1</v>
      </c>
      <c r="Y105" s="90"/>
      <c r="Z105" s="90"/>
      <c r="AA105" s="90"/>
      <c r="AB105"/>
      <c r="AC105" s="92"/>
      <c r="AD105"/>
    </row>
    <row r="106" spans="1:30" x14ac:dyDescent="0.25">
      <c r="A106" s="215">
        <v>2022</v>
      </c>
      <c r="B106" s="216" t="s">
        <v>145</v>
      </c>
      <c r="C106" s="91">
        <f t="shared" si="1"/>
        <v>20413</v>
      </c>
      <c r="D106" s="90">
        <v>23454128.573000003</v>
      </c>
      <c r="E106" s="90"/>
      <c r="F106" s="90">
        <v>13737344.616053369</v>
      </c>
      <c r="G106" s="90">
        <v>19069</v>
      </c>
      <c r="H106" s="90">
        <v>3674979.6732737697</v>
      </c>
      <c r="I106" s="90">
        <v>1264</v>
      </c>
      <c r="J106" s="90">
        <v>4674988.7337883906</v>
      </c>
      <c r="K106" s="90">
        <v>12627.219807416601</v>
      </c>
      <c r="L106" s="90">
        <v>79</v>
      </c>
      <c r="M106" s="90">
        <v>38620</v>
      </c>
      <c r="N106" s="90">
        <v>0</v>
      </c>
      <c r="O106" s="90">
        <v>78</v>
      </c>
      <c r="P106" s="90">
        <v>8166.2599999999957</v>
      </c>
      <c r="Q106" s="90">
        <v>22.790393166137331</v>
      </c>
      <c r="R106" s="90">
        <v>151</v>
      </c>
      <c r="S106" s="90">
        <v>73495.200000000012</v>
      </c>
      <c r="T106" s="217">
        <v>214.46787405064066</v>
      </c>
      <c r="U106" s="90">
        <v>4181</v>
      </c>
      <c r="V106" s="90">
        <v>67936.800000000003</v>
      </c>
      <c r="W106" s="90">
        <v>170.4</v>
      </c>
      <c r="X106" s="90">
        <v>1</v>
      </c>
      <c r="Y106" s="90"/>
      <c r="Z106" s="90"/>
      <c r="AA106" s="90"/>
      <c r="AB106"/>
      <c r="AC106" s="92"/>
      <c r="AD106"/>
    </row>
    <row r="107" spans="1:30" x14ac:dyDescent="0.25">
      <c r="A107" s="215">
        <v>2022</v>
      </c>
      <c r="B107" s="216" t="s">
        <v>146</v>
      </c>
      <c r="C107" s="91">
        <f t="shared" si="1"/>
        <v>20514</v>
      </c>
      <c r="D107" s="90">
        <v>27495141.667000003</v>
      </c>
      <c r="E107" s="90"/>
      <c r="F107" s="90">
        <v>17189244.029281411</v>
      </c>
      <c r="G107" s="90">
        <v>19170</v>
      </c>
      <c r="H107" s="90">
        <v>4061011.1419927408</v>
      </c>
      <c r="I107" s="90">
        <v>1263</v>
      </c>
      <c r="J107" s="90">
        <v>4592241.4942849278</v>
      </c>
      <c r="K107" s="90">
        <v>12358.635755998937</v>
      </c>
      <c r="L107" s="90">
        <v>80</v>
      </c>
      <c r="M107" s="90">
        <v>40146</v>
      </c>
      <c r="N107" s="90">
        <v>0</v>
      </c>
      <c r="O107" s="90">
        <v>71</v>
      </c>
      <c r="P107" s="90">
        <v>8098.9999999999936</v>
      </c>
      <c r="Q107" s="90">
        <v>22.691433577921362</v>
      </c>
      <c r="R107" s="90">
        <v>151</v>
      </c>
      <c r="S107" s="90">
        <v>76124.639999999985</v>
      </c>
      <c r="T107" s="90">
        <v>211.62884008911973</v>
      </c>
      <c r="U107" s="90">
        <v>4189</v>
      </c>
      <c r="V107" s="90">
        <v>85882.2</v>
      </c>
      <c r="W107" s="90">
        <v>208.8</v>
      </c>
      <c r="X107" s="90">
        <v>1</v>
      </c>
      <c r="Y107" s="90"/>
      <c r="Z107" s="90"/>
      <c r="AA107" s="90"/>
      <c r="AB107"/>
      <c r="AC107" s="92"/>
      <c r="AD107"/>
    </row>
    <row r="108" spans="1:30" x14ac:dyDescent="0.25">
      <c r="A108" s="215">
        <v>2023</v>
      </c>
      <c r="B108" s="216" t="s">
        <v>135</v>
      </c>
      <c r="C108" s="91">
        <f t="shared" si="1"/>
        <v>20697</v>
      </c>
      <c r="D108" s="89">
        <v>27816333.475000001</v>
      </c>
      <c r="E108" s="89"/>
      <c r="F108" s="89">
        <v>17258303.45921275</v>
      </c>
      <c r="G108" s="89">
        <v>19353</v>
      </c>
      <c r="H108" s="89">
        <v>4282462.4824255379</v>
      </c>
      <c r="I108" s="89">
        <v>1263</v>
      </c>
      <c r="J108" s="89">
        <v>4880309.3141499106</v>
      </c>
      <c r="K108" s="89">
        <v>12334.620226731309</v>
      </c>
      <c r="L108" s="89">
        <v>80</v>
      </c>
      <c r="M108" s="89">
        <v>38324.281612251412</v>
      </c>
      <c r="N108" s="89">
        <v>0</v>
      </c>
      <c r="O108" s="89">
        <v>78</v>
      </c>
      <c r="P108" s="89">
        <v>8107.2164521174636</v>
      </c>
      <c r="Q108" s="89">
        <v>22.384000291938833</v>
      </c>
      <c r="R108" s="89">
        <v>151</v>
      </c>
      <c r="S108" s="89">
        <v>92793.54</v>
      </c>
      <c r="T108" s="218">
        <v>214.87005706019752</v>
      </c>
      <c r="U108" s="89">
        <v>4189</v>
      </c>
      <c r="V108" s="89">
        <v>81684.599999999991</v>
      </c>
      <c r="W108" s="89">
        <v>182.4</v>
      </c>
      <c r="X108" s="89">
        <v>1</v>
      </c>
      <c r="Y108" s="89"/>
      <c r="Z108" s="89"/>
      <c r="AA108" s="89"/>
      <c r="AB108"/>
      <c r="AC108" s="92"/>
      <c r="AD108"/>
    </row>
    <row r="109" spans="1:30" x14ac:dyDescent="0.25">
      <c r="A109" s="215">
        <v>2023</v>
      </c>
      <c r="B109" s="216" t="s">
        <v>136</v>
      </c>
      <c r="C109" s="91">
        <f t="shared" si="1"/>
        <v>20815</v>
      </c>
      <c r="D109" s="90">
        <v>25737050.190000001</v>
      </c>
      <c r="E109" s="90"/>
      <c r="F109" s="90">
        <v>16013489.810875054</v>
      </c>
      <c r="G109" s="90">
        <v>19470</v>
      </c>
      <c r="H109" s="90">
        <v>3888819.3146101832</v>
      </c>
      <c r="I109" s="90">
        <v>1264</v>
      </c>
      <c r="J109" s="90">
        <v>4443884.2027398478</v>
      </c>
      <c r="K109" s="90">
        <v>12350.137200802612</v>
      </c>
      <c r="L109" s="90">
        <v>80</v>
      </c>
      <c r="M109" s="90">
        <v>38324.281612251412</v>
      </c>
      <c r="N109" s="90">
        <v>0</v>
      </c>
      <c r="O109" s="90">
        <v>78</v>
      </c>
      <c r="P109" s="90">
        <v>8104.9324300549224</v>
      </c>
      <c r="Q109" s="90">
        <v>22.384000291938836</v>
      </c>
      <c r="R109" s="90">
        <v>151</v>
      </c>
      <c r="S109" s="90">
        <v>83813.52</v>
      </c>
      <c r="T109" s="217">
        <v>214.87005706019752</v>
      </c>
      <c r="U109" s="90">
        <v>4189</v>
      </c>
      <c r="V109" s="90">
        <v>75855.599999999991</v>
      </c>
      <c r="W109" s="90">
        <v>206.4</v>
      </c>
      <c r="X109" s="90">
        <v>1</v>
      </c>
      <c r="Y109" s="90"/>
      <c r="Z109" s="90"/>
      <c r="AA109" s="90"/>
      <c r="AB109"/>
      <c r="AC109" s="92"/>
      <c r="AD109"/>
    </row>
    <row r="110" spans="1:30" x14ac:dyDescent="0.25">
      <c r="A110" s="215">
        <v>2023</v>
      </c>
      <c r="B110" s="216" t="s">
        <v>137</v>
      </c>
      <c r="C110" s="91">
        <f t="shared" si="1"/>
        <v>20974</v>
      </c>
      <c r="D110" s="90">
        <v>26997986.940000001</v>
      </c>
      <c r="E110" s="90"/>
      <c r="F110" s="90">
        <v>16361457.384616045</v>
      </c>
      <c r="G110" s="90">
        <v>19618</v>
      </c>
      <c r="H110" s="90">
        <v>4069613.9114422565</v>
      </c>
      <c r="I110" s="90">
        <v>1274</v>
      </c>
      <c r="J110" s="90">
        <v>4839531.7312086532</v>
      </c>
      <c r="K110" s="90">
        <v>12350.177322261108</v>
      </c>
      <c r="L110" s="90">
        <v>81</v>
      </c>
      <c r="M110" s="90">
        <v>38324.281612251412</v>
      </c>
      <c r="N110" s="90">
        <v>0</v>
      </c>
      <c r="O110" s="90">
        <v>78</v>
      </c>
      <c r="P110" s="90">
        <v>8104.9324300549215</v>
      </c>
      <c r="Q110" s="90">
        <v>22.94507681640696</v>
      </c>
      <c r="R110" s="90">
        <v>151</v>
      </c>
      <c r="S110" s="90">
        <v>92793.54</v>
      </c>
      <c r="T110" s="217">
        <v>214.87005706019752</v>
      </c>
      <c r="U110" s="90">
        <v>4189</v>
      </c>
      <c r="V110" s="90">
        <v>78546</v>
      </c>
      <c r="W110" s="90">
        <v>165.6</v>
      </c>
      <c r="X110" s="90">
        <v>1</v>
      </c>
      <c r="Y110" s="90"/>
      <c r="Z110" s="90"/>
      <c r="AA110" s="90"/>
      <c r="AB110"/>
      <c r="AC110" s="92"/>
      <c r="AD110"/>
    </row>
    <row r="111" spans="1:30" x14ac:dyDescent="0.25">
      <c r="A111" s="215">
        <v>2023</v>
      </c>
      <c r="B111" s="216" t="s">
        <v>138</v>
      </c>
      <c r="C111" s="91">
        <f t="shared" si="1"/>
        <v>21059</v>
      </c>
      <c r="D111" s="90">
        <v>22470351.425000001</v>
      </c>
      <c r="E111" s="90"/>
      <c r="F111" s="90">
        <v>13485758.619508093</v>
      </c>
      <c r="G111" s="90">
        <v>19703</v>
      </c>
      <c r="H111" s="90">
        <v>3339266.6943717981</v>
      </c>
      <c r="I111" s="90">
        <v>1272</v>
      </c>
      <c r="J111" s="90">
        <v>4216173.3303395109</v>
      </c>
      <c r="K111" s="90">
        <v>12136.149401942144</v>
      </c>
      <c r="L111" s="90">
        <v>83</v>
      </c>
      <c r="M111" s="90">
        <v>37752.692119536317</v>
      </c>
      <c r="N111" s="90">
        <v>0</v>
      </c>
      <c r="O111" s="90">
        <v>76</v>
      </c>
      <c r="P111" s="90">
        <v>8104.9324300549215</v>
      </c>
      <c r="Q111" s="90">
        <v>22.57102580009488</v>
      </c>
      <c r="R111" s="90">
        <v>151</v>
      </c>
      <c r="S111" s="90">
        <v>68134.5</v>
      </c>
      <c r="T111" s="217">
        <v>214.87005706019752</v>
      </c>
      <c r="U111" s="90">
        <v>4189</v>
      </c>
      <c r="V111" s="90">
        <v>66709.8</v>
      </c>
      <c r="W111" s="90">
        <v>153.6</v>
      </c>
      <c r="X111" s="90">
        <v>1</v>
      </c>
      <c r="Y111" s="90"/>
      <c r="Z111" s="90"/>
      <c r="AA111" s="90"/>
      <c r="AB111"/>
      <c r="AC111" s="92"/>
      <c r="AD111"/>
    </row>
    <row r="112" spans="1:30" x14ac:dyDescent="0.25">
      <c r="A112" s="215">
        <v>2023</v>
      </c>
      <c r="B112" s="216" t="s">
        <v>139</v>
      </c>
      <c r="C112" s="91">
        <f t="shared" si="1"/>
        <v>21114</v>
      </c>
      <c r="D112" s="90">
        <v>22071224.705000002</v>
      </c>
      <c r="E112" s="90"/>
      <c r="F112" s="90">
        <v>12803886.797527188</v>
      </c>
      <c r="G112" s="90">
        <v>19757</v>
      </c>
      <c r="H112" s="90">
        <v>3447167.2520810799</v>
      </c>
      <c r="I112" s="90">
        <v>1271</v>
      </c>
      <c r="J112" s="90">
        <v>4544269.5011175191</v>
      </c>
      <c r="K112" s="90">
        <v>12869.128327109838</v>
      </c>
      <c r="L112" s="90">
        <v>85</v>
      </c>
      <c r="M112" s="90">
        <v>37752.692119536317</v>
      </c>
      <c r="N112" s="90">
        <v>0</v>
      </c>
      <c r="O112" s="90">
        <v>76</v>
      </c>
      <c r="P112" s="90">
        <v>8104.9324300549215</v>
      </c>
      <c r="Q112" s="90">
        <v>22.57102580009488</v>
      </c>
      <c r="R112" s="90">
        <v>151</v>
      </c>
      <c r="S112" s="90">
        <v>70247.31</v>
      </c>
      <c r="T112" s="217">
        <v>217.37240232973542</v>
      </c>
      <c r="U112" s="90">
        <v>4244</v>
      </c>
      <c r="V112" s="90">
        <v>65846.399999999994</v>
      </c>
      <c r="W112" s="90">
        <v>201.6</v>
      </c>
      <c r="X112" s="90">
        <v>1</v>
      </c>
      <c r="Y112" s="90"/>
      <c r="Z112" s="90"/>
      <c r="AA112" s="90"/>
      <c r="AB112"/>
      <c r="AC112" s="92"/>
      <c r="AD112"/>
    </row>
    <row r="113" spans="1:30" x14ac:dyDescent="0.25">
      <c r="A113" s="215">
        <v>2023</v>
      </c>
      <c r="B113" s="216" t="s">
        <v>140</v>
      </c>
      <c r="C113" s="91">
        <f t="shared" si="1"/>
        <v>21388</v>
      </c>
      <c r="D113" s="90">
        <v>24243663.09</v>
      </c>
      <c r="E113" s="90"/>
      <c r="F113" s="90">
        <v>14488840.049331805</v>
      </c>
      <c r="G113" s="90">
        <v>20025</v>
      </c>
      <c r="H113" s="90">
        <v>3577686.2753925198</v>
      </c>
      <c r="I113" s="90">
        <v>1276</v>
      </c>
      <c r="J113" s="90">
        <v>4676161.6269362373</v>
      </c>
      <c r="K113" s="90">
        <v>14188.281760827531</v>
      </c>
      <c r="L113" s="90">
        <v>86</v>
      </c>
      <c r="M113" s="90">
        <v>37417.45885143039</v>
      </c>
      <c r="N113" s="90">
        <v>0</v>
      </c>
      <c r="O113" s="90">
        <v>76</v>
      </c>
      <c r="P113" s="90">
        <v>8104.9324300549215</v>
      </c>
      <c r="Q113" s="90">
        <v>22.85648578622779</v>
      </c>
      <c r="R113" s="90">
        <v>151</v>
      </c>
      <c r="S113" s="90">
        <v>69189.899999999994</v>
      </c>
      <c r="T113" s="217">
        <v>217.37240232973542</v>
      </c>
      <c r="U113" s="90">
        <v>4244</v>
      </c>
      <c r="V113" s="90">
        <v>74751.000000000015</v>
      </c>
      <c r="W113" s="90">
        <v>240</v>
      </c>
      <c r="X113" s="90">
        <v>1</v>
      </c>
      <c r="Y113" s="90"/>
      <c r="Z113" s="90"/>
      <c r="AA113" s="90"/>
      <c r="AB113"/>
      <c r="AC113" s="92"/>
      <c r="AD113"/>
    </row>
    <row r="114" spans="1:30" x14ac:dyDescent="0.25">
      <c r="A114" s="215">
        <v>2023</v>
      </c>
      <c r="B114" s="216" t="s">
        <v>141</v>
      </c>
      <c r="C114" s="91">
        <f t="shared" si="1"/>
        <v>21442</v>
      </c>
      <c r="D114" s="90">
        <v>28251363</v>
      </c>
      <c r="E114" s="90"/>
      <c r="F114" s="90">
        <v>17866991.936053745</v>
      </c>
      <c r="G114" s="90">
        <v>20077</v>
      </c>
      <c r="H114" s="90">
        <v>3910002.2498680921</v>
      </c>
      <c r="I114" s="90">
        <v>1278</v>
      </c>
      <c r="J114" s="90">
        <v>4810937.5745884757</v>
      </c>
      <c r="K114" s="90">
        <v>13007.376842704376</v>
      </c>
      <c r="L114" s="90">
        <v>86</v>
      </c>
      <c r="M114" s="90">
        <v>36944.746402212055</v>
      </c>
      <c r="N114" s="90">
        <v>0</v>
      </c>
      <c r="O114" s="90">
        <v>76</v>
      </c>
      <c r="P114" s="90">
        <v>8111.3036494925373</v>
      </c>
      <c r="Q114" s="90">
        <v>22.187131335985107</v>
      </c>
      <c r="R114" s="90">
        <v>151</v>
      </c>
      <c r="S114" s="90">
        <v>51068.780000000006</v>
      </c>
      <c r="T114" s="217">
        <v>220.73901142730642</v>
      </c>
      <c r="U114" s="90">
        <v>4244</v>
      </c>
      <c r="V114" s="90">
        <v>88319.400000000009</v>
      </c>
      <c r="W114" s="116">
        <f>AVERAGE(W102,W90,W78,W66,W54,W42,W30)</f>
        <v>244.45714285714286</v>
      </c>
      <c r="X114" s="90">
        <v>1</v>
      </c>
      <c r="Y114" s="90"/>
      <c r="Z114" s="90"/>
      <c r="AA114" s="90"/>
      <c r="AB114"/>
      <c r="AC114" s="92"/>
      <c r="AD114"/>
    </row>
    <row r="115" spans="1:30" x14ac:dyDescent="0.25">
      <c r="A115" s="215">
        <v>2023</v>
      </c>
      <c r="B115" s="216" t="s">
        <v>142</v>
      </c>
      <c r="C115" s="91">
        <f t="shared" si="1"/>
        <v>21574</v>
      </c>
      <c r="D115" s="90">
        <v>25466441.18</v>
      </c>
      <c r="E115" s="90"/>
      <c r="F115" s="90">
        <v>15595100.94888794</v>
      </c>
      <c r="G115" s="90">
        <v>20207</v>
      </c>
      <c r="H115" s="90">
        <v>3705982.1803266443</v>
      </c>
      <c r="I115" s="90">
        <v>1280</v>
      </c>
      <c r="J115" s="90">
        <v>4622789.6960963467</v>
      </c>
      <c r="K115" s="90">
        <v>15664.631068912031</v>
      </c>
      <c r="L115" s="90">
        <v>86</v>
      </c>
      <c r="M115" s="90">
        <v>36609.513134106135</v>
      </c>
      <c r="N115" s="90">
        <v>0</v>
      </c>
      <c r="O115" s="90">
        <v>72</v>
      </c>
      <c r="P115" s="90">
        <v>8109.0196274299979</v>
      </c>
      <c r="Q115" s="90">
        <v>22.42337408312958</v>
      </c>
      <c r="R115" s="90">
        <v>151</v>
      </c>
      <c r="S115" s="90">
        <v>51068.78</v>
      </c>
      <c r="T115" s="219">
        <f>AVERAGE(T114,T118)</f>
        <v>224.33173606128148</v>
      </c>
      <c r="U115" s="90">
        <v>4360</v>
      </c>
      <c r="V115" s="90">
        <v>79518</v>
      </c>
      <c r="W115" s="116">
        <f t="shared" ref="W115:W119" si="2">AVERAGE(W103,W91,W79,W67,W55,W43,W31)</f>
        <v>240.64285714285714</v>
      </c>
      <c r="X115" s="90">
        <v>1</v>
      </c>
      <c r="Y115" s="90"/>
      <c r="Z115" s="90"/>
      <c r="AA115" s="90"/>
      <c r="AB115"/>
      <c r="AC115" s="92"/>
      <c r="AD115"/>
    </row>
    <row r="116" spans="1:30" x14ac:dyDescent="0.25">
      <c r="A116" s="215">
        <v>2023</v>
      </c>
      <c r="B116" s="216" t="s">
        <v>143</v>
      </c>
      <c r="C116" s="91">
        <f t="shared" si="1"/>
        <v>21889</v>
      </c>
      <c r="D116" s="90">
        <v>23431411.390000001</v>
      </c>
      <c r="E116" s="90"/>
      <c r="F116" s="90">
        <v>13888908.921644993</v>
      </c>
      <c r="G116" s="90">
        <v>20529</v>
      </c>
      <c r="H116" s="90">
        <v>3485540.4902313771</v>
      </c>
      <c r="I116" s="90">
        <v>1273</v>
      </c>
      <c r="J116" s="90">
        <v>4568070.872924732</v>
      </c>
      <c r="K116" s="90">
        <v>14457.576990217516</v>
      </c>
      <c r="L116" s="90">
        <v>86</v>
      </c>
      <c r="M116" s="90">
        <v>36609.513134106135</v>
      </c>
      <c r="N116" s="90">
        <v>0</v>
      </c>
      <c r="O116" s="90">
        <v>72</v>
      </c>
      <c r="P116" s="90">
        <v>8104.9324300549224</v>
      </c>
      <c r="Q116" s="90">
        <v>22.561182352297198</v>
      </c>
      <c r="R116" s="90">
        <v>151</v>
      </c>
      <c r="S116" s="90">
        <v>49421.4</v>
      </c>
      <c r="T116" s="219">
        <f>AVERAGE(T115,T118)</f>
        <v>226.12809837826899</v>
      </c>
      <c r="U116" s="90">
        <v>4360</v>
      </c>
      <c r="V116" s="90">
        <v>70107.599999999991</v>
      </c>
      <c r="W116" s="116">
        <f t="shared" si="2"/>
        <v>208.62857142857141</v>
      </c>
      <c r="X116" s="90">
        <v>1</v>
      </c>
      <c r="Y116" s="90"/>
      <c r="Z116" s="90"/>
      <c r="AA116" s="90"/>
      <c r="AB116"/>
      <c r="AC116" s="92"/>
      <c r="AD116"/>
    </row>
    <row r="117" spans="1:30" x14ac:dyDescent="0.25">
      <c r="A117" s="215">
        <v>2023</v>
      </c>
      <c r="B117" s="216" t="s">
        <v>144</v>
      </c>
      <c r="C117" s="91">
        <f t="shared" si="1"/>
        <v>22078</v>
      </c>
      <c r="D117" s="90">
        <v>23160515.342999998</v>
      </c>
      <c r="E117" s="90"/>
      <c r="F117" s="90">
        <v>13597477.581143383</v>
      </c>
      <c r="G117" s="90">
        <v>20722</v>
      </c>
      <c r="H117" s="90">
        <v>3511059.178911929</v>
      </c>
      <c r="I117" s="90">
        <v>1269</v>
      </c>
      <c r="J117" s="90">
        <v>4558932.03782498</v>
      </c>
      <c r="K117" s="90">
        <v>15765.366020817703</v>
      </c>
      <c r="L117" s="90">
        <v>86</v>
      </c>
      <c r="M117" s="90">
        <v>36609.513134106135</v>
      </c>
      <c r="N117" s="90">
        <v>0</v>
      </c>
      <c r="O117" s="90">
        <v>72</v>
      </c>
      <c r="P117" s="90">
        <v>8109.5004741800039</v>
      </c>
      <c r="Q117" s="90">
        <v>22.413530635331899</v>
      </c>
      <c r="R117" s="90">
        <v>151</v>
      </c>
      <c r="S117" s="90">
        <v>80114.220000000016</v>
      </c>
      <c r="T117" s="219">
        <f>AVERAGE(T116,T119)</f>
        <v>227.02627953676276</v>
      </c>
      <c r="U117" s="90">
        <v>4460</v>
      </c>
      <c r="V117" s="90">
        <v>66447.000000000015</v>
      </c>
      <c r="W117" s="116">
        <f t="shared" si="2"/>
        <v>148.20000000000002</v>
      </c>
      <c r="X117" s="90">
        <v>1</v>
      </c>
      <c r="Y117" s="90"/>
      <c r="Z117" s="90"/>
      <c r="AA117" s="90"/>
      <c r="AB117"/>
      <c r="AC117" s="92"/>
      <c r="AD117"/>
    </row>
    <row r="118" spans="1:30" x14ac:dyDescent="0.25">
      <c r="A118" s="215">
        <v>2023</v>
      </c>
      <c r="B118" s="216" t="s">
        <v>145</v>
      </c>
      <c r="C118" s="91">
        <f t="shared" si="1"/>
        <v>22191</v>
      </c>
      <c r="D118" s="90">
        <v>25412591.949999999</v>
      </c>
      <c r="E118" s="90"/>
      <c r="F118" s="90">
        <v>15333234.42145234</v>
      </c>
      <c r="G118" s="90">
        <v>20838</v>
      </c>
      <c r="H118" s="90">
        <v>3667109.4370402582</v>
      </c>
      <c r="I118" s="90">
        <v>1266</v>
      </c>
      <c r="J118" s="90">
        <v>4706498.796056591</v>
      </c>
      <c r="K118" s="90">
        <v>14582.134058102078</v>
      </c>
      <c r="L118" s="90">
        <v>86</v>
      </c>
      <c r="M118" s="90">
        <v>36609.513134106135</v>
      </c>
      <c r="N118" s="90">
        <v>0</v>
      </c>
      <c r="O118" s="90">
        <v>72</v>
      </c>
      <c r="P118" s="90">
        <v>8036.4117681786647</v>
      </c>
      <c r="Q118" s="90">
        <v>22.364313396343466</v>
      </c>
      <c r="R118" s="90">
        <v>151</v>
      </c>
      <c r="S118" s="90">
        <v>78246</v>
      </c>
      <c r="T118" s="217">
        <v>227.92446069525653</v>
      </c>
      <c r="U118" s="90">
        <v>4460</v>
      </c>
      <c r="V118" s="90">
        <v>71872.2</v>
      </c>
      <c r="W118" s="116">
        <f t="shared" si="2"/>
        <v>179.91428571428568</v>
      </c>
      <c r="X118" s="90">
        <v>1</v>
      </c>
      <c r="Y118" s="90"/>
      <c r="Z118" s="90"/>
      <c r="AA118" s="90"/>
      <c r="AB118"/>
      <c r="AC118" s="92"/>
      <c r="AD118"/>
    </row>
    <row r="119" spans="1:30" x14ac:dyDescent="0.25">
      <c r="A119" s="215">
        <v>2023</v>
      </c>
      <c r="B119" s="216" t="s">
        <v>146</v>
      </c>
      <c r="C119" s="91">
        <f t="shared" si="1"/>
        <v>22337</v>
      </c>
      <c r="D119" s="90">
        <v>28044242.27</v>
      </c>
      <c r="E119" s="90"/>
      <c r="F119" s="90">
        <v>17422587.189746667</v>
      </c>
      <c r="G119" s="90">
        <v>20977</v>
      </c>
      <c r="H119" s="90">
        <v>3944375.7532983189</v>
      </c>
      <c r="I119" s="90">
        <v>1273</v>
      </c>
      <c r="J119" s="90">
        <v>4699271.6760172006</v>
      </c>
      <c r="K119" s="90">
        <v>12992.160779571754</v>
      </c>
      <c r="L119" s="90">
        <v>86</v>
      </c>
      <c r="M119" s="90">
        <v>36609.513134106135</v>
      </c>
      <c r="N119" s="90">
        <v>0</v>
      </c>
      <c r="O119" s="90">
        <v>72</v>
      </c>
      <c r="P119" s="90">
        <v>8003.2934482718074</v>
      </c>
      <c r="Q119" s="90">
        <v>22.078853410210556</v>
      </c>
      <c r="R119" s="90">
        <v>151</v>
      </c>
      <c r="S119" s="90">
        <v>80854.2</v>
      </c>
      <c r="T119" s="90">
        <v>227.92446069525653</v>
      </c>
      <c r="U119" s="90">
        <v>4463</v>
      </c>
      <c r="V119" s="90">
        <v>82785.60000000002</v>
      </c>
      <c r="W119" s="116">
        <f t="shared" si="2"/>
        <v>197.18571428571428</v>
      </c>
      <c r="X119" s="90">
        <v>1</v>
      </c>
      <c r="Y119" s="90"/>
      <c r="Z119" s="90"/>
      <c r="AA119" s="90"/>
      <c r="AB119"/>
      <c r="AC119" s="92"/>
      <c r="AD119"/>
    </row>
    <row r="120" spans="1:30" x14ac:dyDescent="0.25">
      <c r="A120" s="215">
        <v>2024</v>
      </c>
      <c r="B120" s="216" t="s">
        <v>135</v>
      </c>
      <c r="C120" s="91">
        <f t="shared" si="1"/>
        <v>22480</v>
      </c>
      <c r="D120" s="89">
        <v>30258212.252999999</v>
      </c>
      <c r="E120" s="89"/>
      <c r="F120" s="89">
        <v>19056323.346473649</v>
      </c>
      <c r="G120" s="89">
        <v>21120</v>
      </c>
      <c r="H120" s="89">
        <v>5119325.5137918619</v>
      </c>
      <c r="I120" s="89">
        <v>1274</v>
      </c>
      <c r="J120" s="89">
        <v>4984912.9653398395</v>
      </c>
      <c r="K120" s="89">
        <v>12671.872722477188</v>
      </c>
      <c r="L120" s="89">
        <v>85</v>
      </c>
      <c r="M120" s="89">
        <v>34034.075907091006</v>
      </c>
      <c r="N120" s="89">
        <v>0</v>
      </c>
      <c r="O120" s="89">
        <v>72</v>
      </c>
      <c r="P120" s="89">
        <v>7398.6100021430229</v>
      </c>
      <c r="Q120" s="89">
        <v>15.10412981373557</v>
      </c>
      <c r="R120" s="89">
        <v>150</v>
      </c>
      <c r="S120" s="89">
        <v>98431.2</v>
      </c>
      <c r="T120" s="218">
        <v>228.00254846277318</v>
      </c>
      <c r="U120" s="89">
        <v>4463</v>
      </c>
      <c r="V120" s="89">
        <v>86797.798164413325</v>
      </c>
      <c r="W120" s="116">
        <f>AVERAGE(W108,W96,W84,W72,W60,W48,W36+W24)</f>
        <v>224.91428571428574</v>
      </c>
      <c r="X120" s="89">
        <v>1</v>
      </c>
      <c r="Y120" s="89"/>
      <c r="Z120" s="89"/>
      <c r="AA120" s="89"/>
      <c r="AB120"/>
      <c r="AC120" s="92"/>
      <c r="AD120"/>
    </row>
    <row r="121" spans="1:30" x14ac:dyDescent="0.25">
      <c r="A121" s="215">
        <v>2024</v>
      </c>
      <c r="B121" s="216" t="s">
        <v>136</v>
      </c>
      <c r="C121" s="91">
        <f t="shared" si="1"/>
        <v>22616</v>
      </c>
      <c r="D121" s="90">
        <v>26987081.115000002</v>
      </c>
      <c r="E121" s="90"/>
      <c r="F121" s="90">
        <v>16746526.94846219</v>
      </c>
      <c r="G121" s="90">
        <v>21254</v>
      </c>
      <c r="H121" s="90">
        <v>4566987.3065542793</v>
      </c>
      <c r="I121" s="90">
        <v>1276</v>
      </c>
      <c r="J121" s="90">
        <v>4593367.8306123838</v>
      </c>
      <c r="K121" s="90">
        <v>12609.017714817655</v>
      </c>
      <c r="L121" s="90">
        <v>85</v>
      </c>
      <c r="M121" s="90">
        <v>33723.795208399846</v>
      </c>
      <c r="N121" s="90">
        <v>0</v>
      </c>
      <c r="O121" s="90">
        <v>72</v>
      </c>
      <c r="P121" s="90">
        <v>7391.9191590313512</v>
      </c>
      <c r="Q121" s="90">
        <v>20.66978402468289</v>
      </c>
      <c r="R121" s="90">
        <v>150</v>
      </c>
      <c r="S121" s="90">
        <v>94508.68</v>
      </c>
      <c r="T121" s="217">
        <v>228.00254846277318</v>
      </c>
      <c r="U121" s="90">
        <v>4530</v>
      </c>
      <c r="V121" s="90">
        <v>76964.404204104154</v>
      </c>
      <c r="W121" s="116">
        <f>AVERAGE(W109,W97,W85,W73,W61,W49,W37+W25)</f>
        <v>218.10000000000005</v>
      </c>
      <c r="X121" s="90">
        <v>1</v>
      </c>
      <c r="Y121" s="90"/>
      <c r="Z121" s="90"/>
      <c r="AA121" s="90"/>
      <c r="AB121"/>
      <c r="AC121" s="92"/>
      <c r="AD121"/>
    </row>
    <row r="122" spans="1:30" x14ac:dyDescent="0.25">
      <c r="A122" s="215">
        <v>2024</v>
      </c>
      <c r="B122" s="216" t="s">
        <v>137</v>
      </c>
      <c r="C122" s="91">
        <f t="shared" si="1"/>
        <v>22842</v>
      </c>
      <c r="D122" s="90">
        <v>26960112.859999999</v>
      </c>
      <c r="E122" s="90"/>
      <c r="F122" s="90">
        <v>16516019.869039573</v>
      </c>
      <c r="G122" s="90">
        <v>21474</v>
      </c>
      <c r="H122" s="90">
        <v>4553191.1846978562</v>
      </c>
      <c r="I122" s="90">
        <v>1283</v>
      </c>
      <c r="J122" s="90">
        <v>4725034.3193505704</v>
      </c>
      <c r="K122" s="90">
        <v>12361.679692873686</v>
      </c>
      <c r="L122" s="90">
        <v>84</v>
      </c>
      <c r="M122" s="90">
        <v>33677.829421643604</v>
      </c>
      <c r="N122" s="90">
        <v>0</v>
      </c>
      <c r="O122" s="90">
        <v>71</v>
      </c>
      <c r="P122" s="90">
        <v>7357.7519847807525</v>
      </c>
      <c r="Q122" s="90">
        <v>21.577328305336529</v>
      </c>
      <c r="R122" s="90">
        <v>150</v>
      </c>
      <c r="S122" s="90">
        <v>101437.41999999998</v>
      </c>
      <c r="T122" s="217">
        <v>234.01425586933129</v>
      </c>
      <c r="U122" s="90">
        <v>4582</v>
      </c>
      <c r="V122" s="90">
        <v>74964.596119042573</v>
      </c>
      <c r="W122" s="116">
        <f>AVERAGE(W110,W98,W86,W74,W62,W50,W38+W26)</f>
        <v>192.55714285714288</v>
      </c>
      <c r="X122" s="90">
        <v>1</v>
      </c>
      <c r="Y122" s="90"/>
      <c r="Z122" s="90"/>
      <c r="AA122" s="90"/>
      <c r="AB122"/>
      <c r="AC122" s="92"/>
      <c r="AD122"/>
    </row>
    <row r="123" spans="1:30" x14ac:dyDescent="0.25">
      <c r="A123" s="215">
        <v>2024</v>
      </c>
      <c r="B123" s="216" t="s">
        <v>138</v>
      </c>
      <c r="C123" s="91">
        <f t="shared" si="1"/>
        <v>22955</v>
      </c>
      <c r="D123" s="90">
        <v>23858192.226999998</v>
      </c>
      <c r="E123" s="90"/>
      <c r="F123" s="90">
        <v>14238694.790474333</v>
      </c>
      <c r="G123" s="90">
        <v>21585</v>
      </c>
      <c r="H123" s="90">
        <v>4114557.4575135033</v>
      </c>
      <c r="I123" s="90">
        <v>1286</v>
      </c>
      <c r="J123" s="90">
        <v>4401429.0787490597</v>
      </c>
      <c r="K123" s="90">
        <v>12692.768247564505</v>
      </c>
      <c r="L123" s="90">
        <v>83</v>
      </c>
      <c r="M123" s="90">
        <v>33677.829421643604</v>
      </c>
      <c r="N123" s="90">
        <v>0</v>
      </c>
      <c r="O123" s="90">
        <v>70</v>
      </c>
      <c r="P123" s="90">
        <v>7332.7435875764613</v>
      </c>
      <c r="Q123" s="90">
        <v>21.049470917609415</v>
      </c>
      <c r="R123" s="90">
        <v>149</v>
      </c>
      <c r="S123" s="90">
        <v>74160.599999999991</v>
      </c>
      <c r="T123" s="217">
        <v>237.0804277071243</v>
      </c>
      <c r="U123" s="90">
        <v>4582</v>
      </c>
      <c r="V123" s="90">
        <v>67067.404183053644</v>
      </c>
      <c r="W123" s="90">
        <v>575.63508267830753</v>
      </c>
      <c r="X123" s="90">
        <v>1</v>
      </c>
      <c r="Y123" s="90"/>
      <c r="Z123" s="90"/>
      <c r="AA123" s="90"/>
      <c r="AB123"/>
      <c r="AC123" s="92"/>
      <c r="AD123"/>
    </row>
    <row r="124" spans="1:30" x14ac:dyDescent="0.25">
      <c r="A124" s="215">
        <v>2024</v>
      </c>
      <c r="B124" s="216" t="s">
        <v>139</v>
      </c>
      <c r="C124" s="91">
        <f t="shared" si="1"/>
        <v>23059</v>
      </c>
      <c r="D124" s="90">
        <v>23467027.705000002</v>
      </c>
      <c r="E124" s="90"/>
      <c r="F124" s="90">
        <v>13563327.190807989</v>
      </c>
      <c r="G124" s="90">
        <v>21682</v>
      </c>
      <c r="H124" s="90">
        <v>4154211.920462925</v>
      </c>
      <c r="I124" s="90">
        <v>1293</v>
      </c>
      <c r="J124" s="90">
        <v>4509995.8374428218</v>
      </c>
      <c r="K124" s="90">
        <v>12591.649362291302</v>
      </c>
      <c r="L124" s="90">
        <v>83</v>
      </c>
      <c r="M124" s="90">
        <v>33677.829421643604</v>
      </c>
      <c r="N124" s="90">
        <v>0</v>
      </c>
      <c r="O124" s="90">
        <v>70</v>
      </c>
      <c r="P124" s="90">
        <v>7337.9536703273561</v>
      </c>
      <c r="Q124" s="90">
        <v>20.873518455033711</v>
      </c>
      <c r="R124" s="90">
        <v>149</v>
      </c>
      <c r="S124" s="90">
        <v>76632.619999999981</v>
      </c>
      <c r="T124" s="217">
        <v>209.8266839292329</v>
      </c>
      <c r="U124" s="90">
        <v>4582</v>
      </c>
      <c r="V124" s="90">
        <v>67471.202163710492</v>
      </c>
      <c r="W124" s="90">
        <v>175.7413971736037</v>
      </c>
      <c r="X124" s="90">
        <v>1</v>
      </c>
      <c r="Y124" s="90"/>
      <c r="Z124" s="90"/>
      <c r="AA124" s="90"/>
      <c r="AB124"/>
      <c r="AC124" s="92"/>
      <c r="AD124"/>
    </row>
    <row r="125" spans="1:30" x14ac:dyDescent="0.25">
      <c r="A125" s="215">
        <v>2024</v>
      </c>
      <c r="B125" s="216" t="s">
        <v>140</v>
      </c>
      <c r="C125" s="91">
        <f t="shared" si="1"/>
        <v>23128</v>
      </c>
      <c r="D125" s="90">
        <v>26576956.670000002</v>
      </c>
      <c r="E125" s="90"/>
      <c r="F125" s="90">
        <v>16220176.6203754</v>
      </c>
      <c r="G125" s="90">
        <v>21756</v>
      </c>
      <c r="H125" s="90">
        <v>4205939.5233641723</v>
      </c>
      <c r="I125" s="90">
        <v>1288</v>
      </c>
      <c r="J125" s="90">
        <v>4789844.2058965592</v>
      </c>
      <c r="K125" s="90">
        <v>13673.619453156925</v>
      </c>
      <c r="L125" s="90">
        <v>83</v>
      </c>
      <c r="M125" s="90">
        <v>33677.829421643604</v>
      </c>
      <c r="N125" s="90">
        <v>0</v>
      </c>
      <c r="O125" s="90">
        <v>70</v>
      </c>
      <c r="P125" s="90">
        <v>7330.7052569563748</v>
      </c>
      <c r="Q125" s="90">
        <v>21.067992229459492</v>
      </c>
      <c r="R125" s="90">
        <v>149</v>
      </c>
      <c r="S125" s="90">
        <v>75477</v>
      </c>
      <c r="T125" s="217">
        <v>209.8266839292329</v>
      </c>
      <c r="U125" s="90">
        <v>4582</v>
      </c>
      <c r="V125" s="90">
        <v>78671.404207734871</v>
      </c>
      <c r="W125" s="90">
        <v>185.93598474906406</v>
      </c>
      <c r="X125" s="90">
        <v>1</v>
      </c>
      <c r="Y125" s="90"/>
      <c r="Z125" s="90"/>
      <c r="AA125" s="90"/>
      <c r="AB125"/>
      <c r="AC125" s="92"/>
      <c r="AD125"/>
    </row>
    <row r="126" spans="1:30" x14ac:dyDescent="0.25">
      <c r="A126" s="215">
        <v>2024</v>
      </c>
      <c r="B126" s="216" t="s">
        <v>141</v>
      </c>
      <c r="C126" s="91">
        <f t="shared" si="1"/>
        <v>23209</v>
      </c>
      <c r="D126" s="90">
        <v>31188046.25</v>
      </c>
      <c r="E126" s="90"/>
      <c r="F126" s="90">
        <v>20077457.566574007</v>
      </c>
      <c r="G126" s="90">
        <v>21837</v>
      </c>
      <c r="H126" s="90">
        <v>4749980.0767111704</v>
      </c>
      <c r="I126" s="90">
        <v>1288</v>
      </c>
      <c r="J126" s="90">
        <v>4987079.1174498191</v>
      </c>
      <c r="K126" s="90">
        <v>15331.142862110473</v>
      </c>
      <c r="L126" s="90">
        <v>83</v>
      </c>
      <c r="M126" s="90">
        <v>33677.829421643604</v>
      </c>
      <c r="N126" s="90">
        <v>0</v>
      </c>
      <c r="O126" s="90">
        <v>70</v>
      </c>
      <c r="P126" s="90">
        <v>7305.6237357836499</v>
      </c>
      <c r="Q126" s="90">
        <v>20.512352873957262</v>
      </c>
      <c r="R126" s="90">
        <v>149</v>
      </c>
      <c r="S126" s="90">
        <v>55691.69</v>
      </c>
      <c r="T126" s="217">
        <v>209.8266839292329</v>
      </c>
      <c r="U126" s="90">
        <v>4582</v>
      </c>
      <c r="V126" s="90">
        <v>96706.798185489359</v>
      </c>
      <c r="W126" s="90">
        <v>254.70389147522414</v>
      </c>
      <c r="X126" s="90">
        <v>1</v>
      </c>
      <c r="Y126" s="90"/>
      <c r="Z126" s="90"/>
      <c r="AA126" s="90"/>
      <c r="AB126"/>
      <c r="AC126" s="92"/>
      <c r="AD126"/>
    </row>
    <row r="127" spans="1:30" x14ac:dyDescent="0.25">
      <c r="A127" s="215">
        <v>2024</v>
      </c>
      <c r="B127" s="216" t="s">
        <v>142</v>
      </c>
      <c r="C127" s="91">
        <f t="shared" si="1"/>
        <v>23286</v>
      </c>
      <c r="D127" s="90">
        <v>29636389.199999999</v>
      </c>
      <c r="E127" s="90"/>
      <c r="F127" s="90">
        <v>18799581.671711784</v>
      </c>
      <c r="G127" s="90">
        <v>21904</v>
      </c>
      <c r="H127" s="90">
        <v>4663291.1675750995</v>
      </c>
      <c r="I127" s="90">
        <v>1298</v>
      </c>
      <c r="J127" s="90">
        <v>4861071.1686494276</v>
      </c>
      <c r="K127" s="90">
        <v>14008.899002210919</v>
      </c>
      <c r="L127" s="90">
        <v>83</v>
      </c>
      <c r="M127" s="90">
        <v>33677.829421643604</v>
      </c>
      <c r="N127" s="90">
        <v>0</v>
      </c>
      <c r="O127" s="90">
        <v>70</v>
      </c>
      <c r="P127" s="90">
        <v>7272.2792061779301</v>
      </c>
      <c r="Q127" s="90">
        <v>20.327139755456518</v>
      </c>
      <c r="R127" s="90">
        <v>149</v>
      </c>
      <c r="S127" s="90">
        <v>55691.69</v>
      </c>
      <c r="T127" s="217">
        <v>209.8266839292329</v>
      </c>
      <c r="U127" s="90">
        <v>4582</v>
      </c>
      <c r="V127" s="90">
        <v>91720.798174884345</v>
      </c>
      <c r="W127" s="90">
        <v>269.99041290803854</v>
      </c>
      <c r="X127" s="90">
        <v>1</v>
      </c>
      <c r="Y127" s="90"/>
      <c r="Z127" s="90"/>
      <c r="AA127" s="90"/>
      <c r="AB127"/>
      <c r="AC127" s="92"/>
      <c r="AD127"/>
    </row>
    <row r="128" spans="1:30" x14ac:dyDescent="0.25">
      <c r="A128" s="215">
        <v>2024</v>
      </c>
      <c r="B128" s="216" t="s">
        <v>143</v>
      </c>
      <c r="C128" s="91">
        <f t="shared" si="1"/>
        <v>23309</v>
      </c>
      <c r="D128" s="90">
        <v>25156585.809999999</v>
      </c>
      <c r="E128" s="90"/>
      <c r="F128" s="90">
        <v>15070045.737460375</v>
      </c>
      <c r="G128" s="90">
        <v>21928</v>
      </c>
      <c r="H128" s="90">
        <v>4127270.8229206363</v>
      </c>
      <c r="I128" s="90">
        <v>1297</v>
      </c>
      <c r="J128" s="90">
        <v>4711782.8054537708</v>
      </c>
      <c r="K128" s="90">
        <v>14228.475401919388</v>
      </c>
      <c r="L128" s="90">
        <v>83</v>
      </c>
      <c r="M128" s="90">
        <v>33677.829421643604</v>
      </c>
      <c r="N128" s="90">
        <v>0</v>
      </c>
      <c r="O128" s="90">
        <v>70</v>
      </c>
      <c r="P128" s="90">
        <v>7270.2317350617905</v>
      </c>
      <c r="Q128" s="90">
        <v>20.780911895783337</v>
      </c>
      <c r="R128" s="90">
        <v>147</v>
      </c>
      <c r="S128" s="90">
        <v>53895.18</v>
      </c>
      <c r="T128" s="217">
        <v>182.57294015134144</v>
      </c>
      <c r="U128" s="90">
        <v>4581</v>
      </c>
      <c r="V128" s="90">
        <v>77865.000165615653</v>
      </c>
      <c r="W128" s="90">
        <v>262.34715219163132</v>
      </c>
      <c r="X128" s="90">
        <v>1</v>
      </c>
      <c r="Y128" s="90"/>
      <c r="Z128" s="90"/>
      <c r="AA128" s="90"/>
      <c r="AB128"/>
      <c r="AC128" s="92"/>
      <c r="AD128"/>
    </row>
    <row r="129" spans="1:31" x14ac:dyDescent="0.25">
      <c r="A129" s="215">
        <v>2024</v>
      </c>
      <c r="B129" s="216" t="s">
        <v>144</v>
      </c>
      <c r="C129" s="91">
        <f t="shared" si="1"/>
        <v>23403</v>
      </c>
      <c r="D129" s="90">
        <v>24192596.690000001</v>
      </c>
      <c r="E129" s="90"/>
      <c r="F129" s="90">
        <v>13922215.812361408</v>
      </c>
      <c r="G129" s="90">
        <v>22022</v>
      </c>
      <c r="H129" s="90">
        <v>3662762.4857291128</v>
      </c>
      <c r="I129" s="90">
        <v>1297</v>
      </c>
      <c r="J129" s="90">
        <v>4716766.6317594666</v>
      </c>
      <c r="K129" s="90">
        <v>14057.635411838477</v>
      </c>
      <c r="L129" s="90">
        <v>83</v>
      </c>
      <c r="M129" s="90">
        <v>32994.440977667975</v>
      </c>
      <c r="N129" s="90">
        <v>0</v>
      </c>
      <c r="O129" s="90">
        <v>69</v>
      </c>
      <c r="P129" s="90">
        <v>7276.6940657721079</v>
      </c>
      <c r="Q129" s="90">
        <v>20.854997143183635</v>
      </c>
      <c r="R129" s="90">
        <v>147</v>
      </c>
      <c r="S129" s="90">
        <v>84504.760000000009</v>
      </c>
      <c r="T129" s="217">
        <v>290.32123443811406</v>
      </c>
      <c r="U129" s="90">
        <v>4614</v>
      </c>
      <c r="V129" s="90">
        <v>67830.000144271617</v>
      </c>
      <c r="W129" s="90">
        <v>241.96869690146292</v>
      </c>
      <c r="X129" s="90">
        <v>1</v>
      </c>
      <c r="Y129" s="90"/>
      <c r="Z129" s="90"/>
      <c r="AA129" s="90"/>
      <c r="AB129"/>
      <c r="AC129" s="92"/>
      <c r="AD129"/>
    </row>
    <row r="130" spans="1:31" x14ac:dyDescent="0.25">
      <c r="A130" s="215">
        <v>2024</v>
      </c>
      <c r="B130" s="216" t="s">
        <v>145</v>
      </c>
      <c r="C130" s="91">
        <f t="shared" si="1"/>
        <v>23505</v>
      </c>
      <c r="D130" s="90">
        <v>25649642.219999999</v>
      </c>
      <c r="E130" s="90"/>
      <c r="F130" s="90">
        <v>15105952.013949906</v>
      </c>
      <c r="G130" s="90">
        <v>22123</v>
      </c>
      <c r="H130" s="90">
        <v>3627305.2609604965</v>
      </c>
      <c r="I130" s="90">
        <v>1298</v>
      </c>
      <c r="J130" s="90">
        <v>4285749.8798713125</v>
      </c>
      <c r="K130" s="90">
        <v>12227.250824033123</v>
      </c>
      <c r="L130" s="90">
        <v>83</v>
      </c>
      <c r="M130" s="90">
        <v>32994.440977667975</v>
      </c>
      <c r="N130" s="90">
        <v>0</v>
      </c>
      <c r="O130" s="90">
        <v>69</v>
      </c>
      <c r="P130" s="90">
        <v>7139.5866249591127</v>
      </c>
      <c r="Q130" s="90">
        <v>19.984495486230145</v>
      </c>
      <c r="R130" s="90">
        <v>147</v>
      </c>
      <c r="S130" s="90">
        <v>83365.42</v>
      </c>
      <c r="T130" s="217">
        <v>366.26176579119107</v>
      </c>
      <c r="U130" s="90">
        <v>4690</v>
      </c>
      <c r="V130" s="90">
        <v>71926.798132783311</v>
      </c>
      <c r="W130" s="90">
        <v>163.00620259984251</v>
      </c>
      <c r="X130" s="90">
        <v>1</v>
      </c>
      <c r="Y130" s="90"/>
      <c r="Z130" s="90"/>
      <c r="AA130" s="90"/>
      <c r="AB130"/>
      <c r="AC130" s="92"/>
      <c r="AD130"/>
    </row>
    <row r="131" spans="1:31" x14ac:dyDescent="0.25">
      <c r="A131" s="215">
        <v>2024</v>
      </c>
      <c r="B131" s="216" t="s">
        <v>146</v>
      </c>
      <c r="C131" s="91">
        <f t="shared" si="1"/>
        <v>23506</v>
      </c>
      <c r="D131" s="90">
        <v>30765166.719999999</v>
      </c>
      <c r="E131" s="90"/>
      <c r="F131" s="90">
        <v>18900122.292309381</v>
      </c>
      <c r="G131" s="90">
        <v>22124</v>
      </c>
      <c r="H131" s="90">
        <v>4223581.5197188845</v>
      </c>
      <c r="I131" s="90">
        <v>1298</v>
      </c>
      <c r="J131" s="90">
        <v>4506394.8194249691</v>
      </c>
      <c r="K131" s="90">
        <v>14052.919304706391</v>
      </c>
      <c r="L131" s="90">
        <v>83</v>
      </c>
      <c r="M131" s="90">
        <v>32994.440977667975</v>
      </c>
      <c r="N131" s="90">
        <v>0</v>
      </c>
      <c r="O131" s="90">
        <v>69</v>
      </c>
      <c r="P131" s="90">
        <v>7108.3809714300742</v>
      </c>
      <c r="Q131" s="90">
        <v>20.317879099531485</v>
      </c>
      <c r="R131" s="90">
        <v>147</v>
      </c>
      <c r="S131" s="90">
        <v>86212.55</v>
      </c>
      <c r="T131" s="90">
        <v>244.11754340041978</v>
      </c>
      <c r="U131" s="90">
        <v>4692</v>
      </c>
      <c r="V131" s="90">
        <v>91821.596154896717</v>
      </c>
      <c r="W131" s="90">
        <v>198.67117932282531</v>
      </c>
      <c r="X131" s="90">
        <v>1</v>
      </c>
      <c r="Y131" s="90"/>
      <c r="Z131" s="90"/>
      <c r="AA131" s="90"/>
      <c r="AB131"/>
      <c r="AC131" s="92"/>
      <c r="AD131"/>
    </row>
    <row r="132" spans="1:31" x14ac:dyDescent="0.25">
      <c r="A132" s="215">
        <v>2025</v>
      </c>
      <c r="B132" s="216" t="s">
        <v>135</v>
      </c>
      <c r="C132" s="91">
        <f t="shared" si="1"/>
        <v>23630</v>
      </c>
      <c r="D132" s="89">
        <v>33201030.52</v>
      </c>
      <c r="E132" s="89"/>
      <c r="F132" s="89">
        <v>20956467.073342476</v>
      </c>
      <c r="G132" s="89">
        <v>22246</v>
      </c>
      <c r="H132" s="89">
        <v>4580618.6482793745</v>
      </c>
      <c r="I132" s="89">
        <v>1300</v>
      </c>
      <c r="J132" s="89">
        <v>5865135.3499999996</v>
      </c>
      <c r="K132" s="89">
        <v>11976.51</v>
      </c>
      <c r="L132" s="89">
        <v>83</v>
      </c>
      <c r="M132" s="89">
        <v>35438</v>
      </c>
      <c r="N132" s="89">
        <v>0</v>
      </c>
      <c r="O132" s="89">
        <v>69</v>
      </c>
      <c r="P132" s="89">
        <v>7904.7257870958229</v>
      </c>
      <c r="Q132" s="89">
        <v>22.474406117311094</v>
      </c>
      <c r="R132" s="89">
        <v>145</v>
      </c>
      <c r="S132" s="89">
        <v>107354.24000000001</v>
      </c>
      <c r="T132" s="218">
        <v>243.07532845030084</v>
      </c>
      <c r="U132" s="89">
        <v>4798</v>
      </c>
      <c r="V132" s="89">
        <v>97843.329486796283</v>
      </c>
      <c r="W132" s="89">
        <v>188.73507468880993</v>
      </c>
      <c r="X132" s="89">
        <v>1</v>
      </c>
      <c r="Y132" s="89"/>
      <c r="Z132" s="89"/>
      <c r="AA132" s="89"/>
      <c r="AB132"/>
      <c r="AC132" s="92"/>
      <c r="AD132"/>
    </row>
    <row r="133" spans="1:31" x14ac:dyDescent="0.25">
      <c r="A133" s="215">
        <v>2025</v>
      </c>
      <c r="B133" s="216" t="s">
        <v>136</v>
      </c>
      <c r="C133" s="91">
        <f t="shared" si="1"/>
        <v>23629</v>
      </c>
      <c r="D133" s="90">
        <v>29519019.879999999</v>
      </c>
      <c r="E133" s="90"/>
      <c r="F133" s="90">
        <v>18665627.836551204</v>
      </c>
      <c r="G133" s="90">
        <v>22245</v>
      </c>
      <c r="H133" s="90">
        <v>4066844.6312397318</v>
      </c>
      <c r="I133" s="90">
        <v>1299</v>
      </c>
      <c r="J133" s="90">
        <v>5208813.8600000003</v>
      </c>
      <c r="K133" s="90">
        <v>2845.44</v>
      </c>
      <c r="L133" s="90">
        <v>84</v>
      </c>
      <c r="M133" s="90">
        <v>35438</v>
      </c>
      <c r="N133" s="90">
        <v>0</v>
      </c>
      <c r="O133" s="90">
        <v>69</v>
      </c>
      <c r="P133" s="90">
        <v>7844.4851333260558</v>
      </c>
      <c r="Q133" s="90">
        <v>21.748475932814792</v>
      </c>
      <c r="R133" s="90">
        <v>145</v>
      </c>
      <c r="S133" s="90">
        <v>96965.12000000001</v>
      </c>
      <c r="T133" s="219">
        <f>AVERAGE(T132,T137)</f>
        <v>247.66383638718057</v>
      </c>
      <c r="U133" s="90">
        <v>4798</v>
      </c>
      <c r="V133" s="90">
        <v>86861.337824788221</v>
      </c>
      <c r="W133" s="116">
        <f>AVERAGE(W132,W134)</f>
        <v>178.14126998113227</v>
      </c>
      <c r="X133" s="90">
        <v>1</v>
      </c>
      <c r="Y133" s="90"/>
      <c r="Z133" s="90"/>
      <c r="AA133" s="90"/>
      <c r="AB133"/>
      <c r="AC133" s="92"/>
      <c r="AD133"/>
    </row>
    <row r="134" spans="1:31" x14ac:dyDescent="0.25">
      <c r="A134" s="215">
        <v>2025</v>
      </c>
      <c r="B134" s="216" t="s">
        <v>137</v>
      </c>
      <c r="C134" s="91">
        <f t="shared" si="1"/>
        <v>23808</v>
      </c>
      <c r="D134" s="90">
        <v>28188056.210000001</v>
      </c>
      <c r="E134" s="90"/>
      <c r="F134" s="90">
        <v>17311330.804232858</v>
      </c>
      <c r="G134" s="90">
        <v>22417</v>
      </c>
      <c r="H134" s="90">
        <v>3897847.0733601605</v>
      </c>
      <c r="I134" s="90">
        <v>1305</v>
      </c>
      <c r="J134" s="90">
        <v>5383190.8799999999</v>
      </c>
      <c r="K134" s="90">
        <v>10164.86</v>
      </c>
      <c r="L134" s="90">
        <v>85</v>
      </c>
      <c r="M134" s="90">
        <v>35438</v>
      </c>
      <c r="N134" s="90">
        <v>0</v>
      </c>
      <c r="O134" s="90">
        <v>69</v>
      </c>
      <c r="P134" s="90">
        <v>7844.485133326054</v>
      </c>
      <c r="Q134" s="90">
        <v>21.70923646338256</v>
      </c>
      <c r="R134" s="90">
        <v>145</v>
      </c>
      <c r="S134" s="90">
        <v>107354.24000000001</v>
      </c>
      <c r="T134" s="219">
        <f>AVERAGE(T133,T137)</f>
        <v>249.95809035562041</v>
      </c>
      <c r="U134" s="90">
        <v>4798</v>
      </c>
      <c r="V134" s="90">
        <v>80282.353046793374</v>
      </c>
      <c r="W134" s="90">
        <v>167.54746527345458</v>
      </c>
      <c r="X134" s="90">
        <v>1</v>
      </c>
      <c r="Y134" s="90"/>
      <c r="Z134" s="90"/>
      <c r="AA134" s="90"/>
      <c r="AB134"/>
      <c r="AC134" s="92"/>
      <c r="AD134"/>
    </row>
    <row r="135" spans="1:31" x14ac:dyDescent="0.25">
      <c r="A135" s="215">
        <v>2025</v>
      </c>
      <c r="B135" s="216" t="s">
        <v>138</v>
      </c>
      <c r="C135" s="91">
        <f t="shared" si="1"/>
        <v>23843</v>
      </c>
      <c r="D135" s="90">
        <v>25907144.830000002</v>
      </c>
      <c r="E135" s="90"/>
      <c r="F135" s="90">
        <v>15710393.308597293</v>
      </c>
      <c r="G135" s="90">
        <v>22455</v>
      </c>
      <c r="H135" s="90">
        <v>3617074.0952769951</v>
      </c>
      <c r="I135" s="90">
        <v>1302</v>
      </c>
      <c r="J135" s="90">
        <v>5056281.96</v>
      </c>
      <c r="K135" s="90">
        <v>3007.05</v>
      </c>
      <c r="L135" s="90">
        <v>85</v>
      </c>
      <c r="M135" s="90">
        <v>35438</v>
      </c>
      <c r="N135" s="90">
        <v>0</v>
      </c>
      <c r="O135" s="90">
        <v>69</v>
      </c>
      <c r="P135" s="90">
        <v>7844.4851333260567</v>
      </c>
      <c r="Q135" s="90">
        <v>20.581101717205875</v>
      </c>
      <c r="R135" s="90">
        <v>145</v>
      </c>
      <c r="S135" s="90">
        <v>77918.399999999994</v>
      </c>
      <c r="T135" s="219">
        <f>AVERAGE(T134,T137)</f>
        <v>251.10521733984035</v>
      </c>
      <c r="U135" s="90">
        <v>4798</v>
      </c>
      <c r="V135" s="90">
        <v>73445.710384029473</v>
      </c>
      <c r="W135" s="116">
        <f>AVERAGE(W134,W136)</f>
        <v>165.47652640366755</v>
      </c>
      <c r="X135" s="90">
        <v>1</v>
      </c>
      <c r="Y135" s="90"/>
      <c r="Z135" s="90"/>
      <c r="AA135" s="90"/>
      <c r="AB135"/>
      <c r="AC135" s="92"/>
      <c r="AD135"/>
    </row>
    <row r="136" spans="1:31" x14ac:dyDescent="0.25">
      <c r="A136" s="215">
        <v>2025</v>
      </c>
      <c r="B136" s="216" t="s">
        <v>139</v>
      </c>
      <c r="C136" s="91">
        <f t="shared" si="1"/>
        <v>23871</v>
      </c>
      <c r="D136" s="90">
        <v>24336479.93</v>
      </c>
      <c r="E136" s="90"/>
      <c r="F136" s="90">
        <v>14437738.405860189</v>
      </c>
      <c r="G136" s="90">
        <v>22485</v>
      </c>
      <c r="H136" s="90">
        <v>3551068.3828089423</v>
      </c>
      <c r="I136" s="90">
        <v>1299</v>
      </c>
      <c r="J136" s="90">
        <v>5079937.4000000004</v>
      </c>
      <c r="K136" s="90">
        <v>13123.85</v>
      </c>
      <c r="L136" s="90">
        <v>86</v>
      </c>
      <c r="M136" s="90">
        <v>35438</v>
      </c>
      <c r="N136" s="90">
        <v>0</v>
      </c>
      <c r="O136" s="90">
        <v>69</v>
      </c>
      <c r="P136" s="90">
        <v>7853.4252303496551</v>
      </c>
      <c r="Q136" s="90">
        <v>22.464596249953036</v>
      </c>
      <c r="R136" s="90">
        <v>145</v>
      </c>
      <c r="S136" s="90">
        <v>81362.289999999994</v>
      </c>
      <c r="T136" s="219">
        <f>AVERAGE(T135,T137)</f>
        <v>251.67878083195032</v>
      </c>
      <c r="U136" s="90">
        <v>4798</v>
      </c>
      <c r="V136" s="90">
        <v>67158.61775521349</v>
      </c>
      <c r="W136" s="90">
        <v>163.40558753388049</v>
      </c>
      <c r="X136" s="90">
        <v>1</v>
      </c>
      <c r="Y136" s="90"/>
      <c r="Z136" s="90"/>
      <c r="AA136" s="90"/>
      <c r="AB136"/>
      <c r="AC136" s="92"/>
      <c r="AD136"/>
    </row>
    <row r="137" spans="1:31" x14ac:dyDescent="0.25">
      <c r="A137" s="215">
        <v>2025</v>
      </c>
      <c r="B137" s="216" t="s">
        <v>140</v>
      </c>
      <c r="C137" s="91">
        <f t="shared" si="1"/>
        <v>24073</v>
      </c>
      <c r="D137" s="90">
        <v>28531695.16</v>
      </c>
      <c r="E137" s="90"/>
      <c r="F137" s="90">
        <v>17777140.224064901</v>
      </c>
      <c r="G137" s="90">
        <v>22686</v>
      </c>
      <c r="H137" s="90">
        <v>3745699.5387501377</v>
      </c>
      <c r="I137" s="90">
        <v>1298</v>
      </c>
      <c r="J137" s="90">
        <v>5399733.3499999996</v>
      </c>
      <c r="K137" s="90">
        <v>37624.92</v>
      </c>
      <c r="L137" s="90">
        <v>88</v>
      </c>
      <c r="M137" s="90">
        <v>35438</v>
      </c>
      <c r="N137" s="90">
        <v>0</v>
      </c>
      <c r="O137" s="90">
        <v>69</v>
      </c>
      <c r="P137" s="90">
        <v>7844.485133326054</v>
      </c>
      <c r="Q137" s="90">
        <v>21.797525269605078</v>
      </c>
      <c r="R137" s="90">
        <v>145</v>
      </c>
      <c r="S137" s="90">
        <v>78737.7</v>
      </c>
      <c r="T137" s="217">
        <v>252.25234432406029</v>
      </c>
      <c r="U137" s="90">
        <v>4853</v>
      </c>
      <c r="V137" s="90">
        <v>79573.643713396072</v>
      </c>
      <c r="W137" s="116">
        <v>941.50311662564286</v>
      </c>
      <c r="X137" s="90">
        <v>1</v>
      </c>
      <c r="Y137" s="90"/>
      <c r="Z137" s="90"/>
      <c r="AA137" s="90"/>
      <c r="AB137"/>
      <c r="AC137" s="92"/>
      <c r="AD137"/>
    </row>
    <row r="138" spans="1:31" x14ac:dyDescent="0.25">
      <c r="A138" s="215">
        <v>2025</v>
      </c>
      <c r="B138" s="216" t="s">
        <v>141</v>
      </c>
      <c r="C138" s="91">
        <f t="shared" si="1"/>
        <v>24104</v>
      </c>
      <c r="D138" s="90">
        <v>35219494.310000002</v>
      </c>
      <c r="E138" s="90"/>
      <c r="F138" s="90">
        <v>22874335.419483241</v>
      </c>
      <c r="G138" s="90">
        <v>22713</v>
      </c>
      <c r="H138" s="90">
        <v>4417473.2867496014</v>
      </c>
      <c r="I138" s="90">
        <v>1302</v>
      </c>
      <c r="J138" s="90">
        <v>5950072.9100000001</v>
      </c>
      <c r="K138" s="90">
        <v>14447.18</v>
      </c>
      <c r="L138" s="90">
        <v>88</v>
      </c>
      <c r="M138" s="90">
        <v>35438</v>
      </c>
      <c r="N138" s="90">
        <v>0</v>
      </c>
      <c r="O138" s="90">
        <v>69</v>
      </c>
      <c r="P138" s="90">
        <v>7844.485133326054</v>
      </c>
      <c r="Q138" s="90">
        <v>22.160490361853235</v>
      </c>
      <c r="R138" s="90">
        <v>145</v>
      </c>
      <c r="S138" s="90">
        <v>58099.579999999994</v>
      </c>
      <c r="T138" s="217">
        <v>251.24719472123888</v>
      </c>
      <c r="U138" s="90">
        <v>4852</v>
      </c>
      <c r="V138" s="90">
        <v>100582.67124071583</v>
      </c>
      <c r="W138" s="90">
        <v>208.14759364434784</v>
      </c>
      <c r="X138" s="90">
        <v>1</v>
      </c>
      <c r="Y138" s="90"/>
      <c r="Z138" s="90"/>
      <c r="AA138" s="90"/>
      <c r="AB138"/>
      <c r="AC138" s="92"/>
      <c r="AD138"/>
    </row>
    <row r="139" spans="1:31" x14ac:dyDescent="0.25">
      <c r="A139" s="215">
        <v>2025</v>
      </c>
      <c r="B139" s="216" t="s">
        <v>142</v>
      </c>
      <c r="C139" s="91">
        <f t="shared" si="1"/>
        <v>24158</v>
      </c>
      <c r="D139" s="90">
        <v>31952622.859999999</v>
      </c>
      <c r="E139" s="90"/>
      <c r="F139" s="90">
        <v>20258737.158223368</v>
      </c>
      <c r="G139" s="90">
        <v>22767</v>
      </c>
      <c r="H139" s="90">
        <v>4184876.9382862714</v>
      </c>
      <c r="I139" s="90">
        <v>1302</v>
      </c>
      <c r="J139" s="90">
        <v>5726181.3399999999</v>
      </c>
      <c r="K139" s="90">
        <v>13430.08</v>
      </c>
      <c r="L139" s="90">
        <v>88</v>
      </c>
      <c r="M139" s="90">
        <v>35438</v>
      </c>
      <c r="N139" s="90">
        <v>0</v>
      </c>
      <c r="O139" s="90">
        <v>69</v>
      </c>
      <c r="P139" s="90">
        <v>7833.0850096046843</v>
      </c>
      <c r="Q139" s="90">
        <v>21.797525269605082</v>
      </c>
      <c r="R139" s="90">
        <v>145</v>
      </c>
      <c r="S139" s="90">
        <v>58278.18</v>
      </c>
      <c r="T139" s="217">
        <v>251.17683424904135</v>
      </c>
      <c r="U139" s="90">
        <v>4868</v>
      </c>
      <c r="V139" s="90">
        <v>89486.565364008202</v>
      </c>
      <c r="W139" s="90">
        <v>219.81942132533928</v>
      </c>
      <c r="X139" s="90">
        <v>1</v>
      </c>
      <c r="Y139" s="90"/>
      <c r="Z139" s="90"/>
      <c r="AA139" s="90"/>
      <c r="AB139"/>
      <c r="AC139" s="92"/>
      <c r="AD139"/>
    </row>
    <row r="140" spans="1:31" x14ac:dyDescent="0.25">
      <c r="A140" s="215">
        <v>2025</v>
      </c>
      <c r="B140" s="216" t="s">
        <v>143</v>
      </c>
      <c r="C140" s="91">
        <f t="shared" si="1"/>
        <v>24210</v>
      </c>
      <c r="D140" s="90">
        <v>25218657.690000001</v>
      </c>
      <c r="E140" s="90"/>
      <c r="F140" s="90">
        <v>14744356.358267248</v>
      </c>
      <c r="G140" s="90">
        <v>22824</v>
      </c>
      <c r="H140" s="90">
        <v>3617809.0824960656</v>
      </c>
      <c r="I140" s="90">
        <v>1297</v>
      </c>
      <c r="J140" s="90">
        <v>5463541.3799999999</v>
      </c>
      <c r="K140" s="90">
        <v>13560.95</v>
      </c>
      <c r="L140" s="90">
        <v>88</v>
      </c>
      <c r="M140" s="90">
        <v>35438</v>
      </c>
      <c r="N140" s="90">
        <v>0</v>
      </c>
      <c r="O140" s="90">
        <v>69</v>
      </c>
      <c r="P140" s="90">
        <v>7810.2847621619449</v>
      </c>
      <c r="Q140" s="90">
        <v>21.797525269605089</v>
      </c>
      <c r="R140" s="90">
        <v>144</v>
      </c>
      <c r="S140" s="90">
        <v>56493.3</v>
      </c>
      <c r="T140" s="217">
        <v>252.37296227639879</v>
      </c>
      <c r="U140" s="90">
        <v>4868</v>
      </c>
      <c r="V140" s="90">
        <v>65455.913551669997</v>
      </c>
      <c r="W140" s="90">
        <v>213.98350748484356</v>
      </c>
      <c r="X140" s="90">
        <v>1</v>
      </c>
      <c r="Y140" s="90"/>
      <c r="Z140" s="90"/>
      <c r="AA140" s="90"/>
      <c r="AB140"/>
      <c r="AC140" s="92"/>
      <c r="AD140"/>
    </row>
    <row r="141" spans="1:31" x14ac:dyDescent="0.25">
      <c r="A141" s="215">
        <v>2025</v>
      </c>
      <c r="B141" s="216" t="s">
        <v>144</v>
      </c>
      <c r="C141" s="91">
        <f t="shared" si="1"/>
        <v>24273</v>
      </c>
      <c r="D141" s="90">
        <v>25484179.57</v>
      </c>
      <c r="E141" s="90"/>
      <c r="F141" s="90">
        <v>14884922.782223612</v>
      </c>
      <c r="G141" s="90">
        <v>22887</v>
      </c>
      <c r="H141" s="90">
        <v>3667592.1134625752</v>
      </c>
      <c r="I141" s="90">
        <v>1295</v>
      </c>
      <c r="J141" s="90">
        <v>5421569.46</v>
      </c>
      <c r="K141" s="90">
        <v>21045.16</v>
      </c>
      <c r="L141" s="90">
        <v>90</v>
      </c>
      <c r="M141" s="90">
        <v>35438</v>
      </c>
      <c r="N141" s="90">
        <v>0</v>
      </c>
      <c r="O141" s="90">
        <v>69</v>
      </c>
      <c r="P141" s="90">
        <v>7810.284762161943</v>
      </c>
      <c r="Q141" s="90">
        <v>21.5130391162214</v>
      </c>
      <c r="R141" s="90">
        <v>144</v>
      </c>
      <c r="S141" s="90">
        <v>89710.09</v>
      </c>
      <c r="T141" s="217">
        <v>252.37296227639879</v>
      </c>
      <c r="U141" s="90">
        <v>4884</v>
      </c>
      <c r="V141" s="90">
        <v>67365.224543932709</v>
      </c>
      <c r="W141" s="90">
        <v>140.06193217189761</v>
      </c>
      <c r="X141" s="90">
        <v>1</v>
      </c>
      <c r="Y141" s="90"/>
      <c r="Z141" s="90"/>
      <c r="AA141" s="90"/>
      <c r="AB141"/>
      <c r="AC141" s="92"/>
      <c r="AD141"/>
    </row>
    <row r="142" spans="1:31" x14ac:dyDescent="0.25">
      <c r="A142" s="215">
        <v>2025</v>
      </c>
      <c r="B142" s="216" t="s">
        <v>145</v>
      </c>
      <c r="C142" s="91">
        <f t="shared" si="1"/>
        <v>24307</v>
      </c>
      <c r="D142" s="90">
        <v>28123203.390000001</v>
      </c>
      <c r="E142" s="90"/>
      <c r="F142" s="90">
        <v>17221145.041199803</v>
      </c>
      <c r="G142" s="90">
        <v>22914</v>
      </c>
      <c r="H142" s="90">
        <v>3873728.9020383353</v>
      </c>
      <c r="I142" s="90">
        <v>1302</v>
      </c>
      <c r="J142" s="90">
        <v>5430335.2999999998</v>
      </c>
      <c r="K142" s="90">
        <v>17288.52</v>
      </c>
      <c r="L142" s="90">
        <v>90</v>
      </c>
      <c r="M142" s="90">
        <v>35438</v>
      </c>
      <c r="N142" s="90">
        <v>0</v>
      </c>
      <c r="O142" s="90">
        <v>69</v>
      </c>
      <c r="P142" s="90">
        <v>7810.284762161943</v>
      </c>
      <c r="Q142" s="90">
        <v>21.513039116221396</v>
      </c>
      <c r="R142" s="90">
        <v>144</v>
      </c>
      <c r="S142" s="90">
        <v>87447.000000000015</v>
      </c>
      <c r="T142" s="217">
        <v>253.16703046262776</v>
      </c>
      <c r="U142" s="90">
        <v>4929</v>
      </c>
      <c r="V142" s="90">
        <v>75523.790293821541</v>
      </c>
      <c r="W142" s="90">
        <v>153.67906446638764</v>
      </c>
      <c r="X142" s="90">
        <v>1</v>
      </c>
      <c r="Y142" s="90"/>
      <c r="Z142" s="90"/>
      <c r="AA142" s="90"/>
      <c r="AB142"/>
      <c r="AC142" s="92"/>
      <c r="AD142"/>
    </row>
    <row r="143" spans="1:31" ht="13.8" thickBot="1" x14ac:dyDescent="0.3">
      <c r="A143" s="215">
        <v>2025</v>
      </c>
      <c r="B143" s="216" t="s">
        <v>146</v>
      </c>
      <c r="C143" s="91">
        <f t="shared" si="1"/>
        <v>24347</v>
      </c>
      <c r="D143" s="90">
        <v>33367453.830000002</v>
      </c>
      <c r="E143" s="90"/>
      <c r="F143" s="90">
        <v>21418027.407953788</v>
      </c>
      <c r="G143" s="90">
        <v>22951</v>
      </c>
      <c r="H143" s="90">
        <v>4449671.7872517994</v>
      </c>
      <c r="I143" s="90">
        <v>1301</v>
      </c>
      <c r="J143" s="90">
        <v>5772815.4100000001</v>
      </c>
      <c r="K143" s="90">
        <v>18069.8</v>
      </c>
      <c r="L143" s="90">
        <v>94</v>
      </c>
      <c r="M143" s="90">
        <v>35438</v>
      </c>
      <c r="N143" s="90">
        <v>0</v>
      </c>
      <c r="O143" s="90">
        <v>69</v>
      </c>
      <c r="P143" s="90">
        <v>7741.8840198337239</v>
      </c>
      <c r="Q143" s="90">
        <v>21.513039116221393</v>
      </c>
      <c r="R143" s="90">
        <v>144</v>
      </c>
      <c r="S143" s="90">
        <v>90750.07</v>
      </c>
      <c r="T143" s="67">
        <v>254.77526982714198</v>
      </c>
      <c r="U143" s="90">
        <v>4929</v>
      </c>
      <c r="V143" s="90">
        <v>93010.892794834755</v>
      </c>
      <c r="W143" s="90">
        <v>142.00723678539617</v>
      </c>
      <c r="X143" s="90">
        <v>1</v>
      </c>
      <c r="Y143" s="90"/>
      <c r="Z143" s="90"/>
      <c r="AA143" s="90"/>
      <c r="AB143"/>
      <c r="AC143" s="92"/>
      <c r="AD143"/>
    </row>
    <row r="144" spans="1:31" x14ac:dyDescent="0.25">
      <c r="A144" s="51"/>
      <c r="B144" s="51"/>
      <c r="C144" s="66"/>
      <c r="D144" s="51"/>
      <c r="E144" s="65"/>
      <c r="F144" s="68"/>
      <c r="G144" s="68"/>
      <c r="H144" s="51"/>
      <c r="I144" s="69"/>
      <c r="J144" s="51"/>
      <c r="K144" s="69"/>
      <c r="L144" s="51"/>
      <c r="M144" s="51"/>
      <c r="N144" s="69"/>
      <c r="O144" s="51"/>
      <c r="P144" s="51"/>
      <c r="Q144" s="69"/>
      <c r="R144" s="51"/>
      <c r="S144" s="51"/>
      <c r="T144" s="69"/>
      <c r="U144" s="51"/>
      <c r="V144" s="51"/>
      <c r="W144" s="69"/>
      <c r="X144" s="51"/>
      <c r="Y144" s="51"/>
      <c r="Z144" s="69"/>
      <c r="AA144" s="51"/>
      <c r="AB144" s="51"/>
      <c r="AC144" s="70"/>
      <c r="AD144" s="70"/>
      <c r="AE144" s="51"/>
    </row>
    <row r="145" spans="1:31" ht="13.8" x14ac:dyDescent="0.25">
      <c r="A145" s="51"/>
      <c r="B145" s="51"/>
      <c r="C145" s="51"/>
      <c r="D145" s="51"/>
      <c r="E145" s="71"/>
      <c r="F145" s="72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65"/>
      <c r="V145" s="51"/>
      <c r="W145" s="51"/>
      <c r="X145" s="51"/>
      <c r="Y145" s="51"/>
      <c r="Z145" s="51"/>
      <c r="AA145" s="51"/>
      <c r="AB145" s="51"/>
      <c r="AC145" s="70"/>
      <c r="AD145" s="70"/>
      <c r="AE145" s="51"/>
    </row>
    <row r="146" spans="1:31" x14ac:dyDescent="0.25">
      <c r="A146" s="65"/>
      <c r="B146" s="65"/>
      <c r="C146" s="65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6"/>
      <c r="AC146" s="91"/>
      <c r="AD146" s="51"/>
      <c r="AE146" s="51"/>
    </row>
    <row r="147" spans="1:31" x14ac:dyDescent="0.25">
      <c r="A147" s="51"/>
      <c r="B147" s="51"/>
      <c r="C147" s="5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51"/>
      <c r="AC147" s="91"/>
      <c r="AD147" s="51"/>
      <c r="AE147" s="51"/>
    </row>
    <row r="148" spans="1:31" x14ac:dyDescent="0.25">
      <c r="A148" s="51"/>
      <c r="B148" s="51"/>
      <c r="C148" s="5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51"/>
      <c r="AC148" s="91"/>
      <c r="AD148" s="51"/>
      <c r="AE148" s="51"/>
    </row>
    <row r="149" spans="1:31" x14ac:dyDescent="0.25">
      <c r="A149" s="51"/>
      <c r="B149" s="51"/>
      <c r="C149" s="51"/>
      <c r="D149" s="51"/>
      <c r="E149" s="65"/>
      <c r="F149" s="68"/>
      <c r="G149" s="65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</row>
    <row r="150" spans="1:31" x14ac:dyDescent="0.25">
      <c r="F150" s="91"/>
      <c r="H150" s="91"/>
      <c r="J150" s="91"/>
      <c r="K150" s="91"/>
      <c r="M150" s="91"/>
      <c r="N150" s="91"/>
      <c r="P150" s="91"/>
      <c r="Q150" s="91"/>
      <c r="S150" s="91"/>
      <c r="V150" s="91"/>
      <c r="W150" s="91"/>
      <c r="Y150" s="91"/>
      <c r="Z150" s="91"/>
    </row>
    <row r="151" spans="1:31" x14ac:dyDescent="0.25">
      <c r="F151" s="97"/>
      <c r="H151" s="97"/>
      <c r="J151" s="97"/>
      <c r="K151" s="91"/>
      <c r="M151" s="97"/>
      <c r="N151" s="91"/>
      <c r="P151" s="97"/>
      <c r="Q151" s="91"/>
      <c r="S151" s="97"/>
      <c r="V151" s="97"/>
      <c r="W151" s="91"/>
      <c r="Y151" s="97"/>
      <c r="Z151" s="91"/>
    </row>
    <row r="152" spans="1:31" x14ac:dyDescent="0.25">
      <c r="F152" s="97"/>
      <c r="H152" s="97"/>
      <c r="J152" s="97"/>
      <c r="K152" s="97"/>
      <c r="M152" s="97"/>
      <c r="N152" s="97"/>
      <c r="P152" s="97"/>
      <c r="Q152" s="97"/>
      <c r="S152" s="97"/>
      <c r="V152" s="97"/>
      <c r="W152" s="97"/>
      <c r="Y152" s="97"/>
      <c r="Z152" s="97"/>
    </row>
  </sheetData>
  <sheetProtection selectLockedCells="1" selectUnlockedCells="1"/>
  <mergeCells count="12">
    <mergeCell ref="A3:H3"/>
    <mergeCell ref="F20:AA20"/>
    <mergeCell ref="A20:B20"/>
    <mergeCell ref="D20:E20"/>
    <mergeCell ref="Y21:AA21"/>
    <mergeCell ref="F21:G21"/>
    <mergeCell ref="H21:I21"/>
    <mergeCell ref="P21:R21"/>
    <mergeCell ref="S21:U21"/>
    <mergeCell ref="V21:X21"/>
    <mergeCell ref="M21:O21"/>
    <mergeCell ref="J21:L21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P7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8" sqref="F8"/>
    </sheetView>
  </sheetViews>
  <sheetFormatPr defaultRowHeight="13.2" x14ac:dyDescent="0.25"/>
  <cols>
    <col min="1" max="1" width="42.5546875" customWidth="1"/>
    <col min="2" max="2" width="12.44140625" bestFit="1" customWidth="1"/>
    <col min="3" max="4" width="11" bestFit="1" customWidth="1"/>
    <col min="5" max="8" width="12.5546875" bestFit="1" customWidth="1"/>
    <col min="9" max="11" width="12.5546875" customWidth="1"/>
    <col min="12" max="13" width="12.5546875" bestFit="1" customWidth="1"/>
    <col min="15" max="15" width="12.5546875" customWidth="1"/>
    <col min="16" max="16" width="12.5546875" bestFit="1" customWidth="1"/>
  </cols>
  <sheetData>
    <row r="1" spans="1:14" ht="15.6" x14ac:dyDescent="0.3">
      <c r="A1" s="23" t="s">
        <v>147</v>
      </c>
      <c r="B1" s="23"/>
      <c r="C1" s="23"/>
      <c r="D1" s="23"/>
    </row>
    <row r="2" spans="1:14" x14ac:dyDescent="0.25">
      <c r="L2" s="25" t="s">
        <v>9</v>
      </c>
      <c r="M2" s="25" t="s">
        <v>10</v>
      </c>
    </row>
    <row r="3" spans="1:14" ht="26.4" x14ac:dyDescent="0.25">
      <c r="B3" s="25" t="s">
        <v>148</v>
      </c>
      <c r="C3" s="25" t="s">
        <v>149</v>
      </c>
      <c r="D3" s="25" t="s">
        <v>150</v>
      </c>
      <c r="E3" s="25" t="s">
        <v>151</v>
      </c>
      <c r="F3" s="25" t="s">
        <v>152</v>
      </c>
      <c r="G3" s="25" t="s">
        <v>153</v>
      </c>
      <c r="H3" s="25" t="s">
        <v>154</v>
      </c>
      <c r="I3" s="25" t="s">
        <v>155</v>
      </c>
      <c r="J3" s="25" t="s">
        <v>108</v>
      </c>
      <c r="K3" s="25" t="s">
        <v>116</v>
      </c>
      <c r="L3" s="25" t="s">
        <v>156</v>
      </c>
      <c r="M3" s="25" t="s">
        <v>156</v>
      </c>
    </row>
    <row r="4" spans="1:14" x14ac:dyDescent="0.25">
      <c r="A4" s="11" t="s">
        <v>83</v>
      </c>
      <c r="B4" s="18">
        <f>'Power Purchased Model'!B152</f>
        <v>259382036</v>
      </c>
      <c r="C4" s="18">
        <f>'Power Purchased Model'!B153</f>
        <v>256769434.55879995</v>
      </c>
      <c r="D4" s="18">
        <f>'Power Purchased Model'!B154</f>
        <v>278813235.74599999</v>
      </c>
      <c r="E4" s="18">
        <f>'Power Purchased Model'!B155</f>
        <v>280581536.88999999</v>
      </c>
      <c r="F4" s="18">
        <f>+'Power Purchased Model'!B156</f>
        <v>291404251.64599001</v>
      </c>
      <c r="G4" s="18">
        <f>+'Power Purchased Model'!B157</f>
        <v>295240254.13</v>
      </c>
      <c r="H4" s="18">
        <f>+'Power Purchased Model'!B158</f>
        <v>299934504.296</v>
      </c>
      <c r="I4" s="18">
        <f>+'Power Purchased Model'!B159</f>
        <v>303103174.95799994</v>
      </c>
      <c r="J4" s="18">
        <f>+'Power Purchased Model'!B160</f>
        <v>324696009.72000003</v>
      </c>
      <c r="K4" s="18">
        <f>+'Power Purchased Model'!B161</f>
        <v>349049038.17999995</v>
      </c>
      <c r="L4" s="18"/>
    </row>
    <row r="5" spans="1:14" x14ac:dyDescent="0.25">
      <c r="A5" s="11" t="s">
        <v>84</v>
      </c>
      <c r="B5" s="18">
        <f>'Power Purchased Model'!N152</f>
        <v>262328706.65662685</v>
      </c>
      <c r="C5" s="18">
        <f>'Power Purchased Model'!N153</f>
        <v>256761569.05551386</v>
      </c>
      <c r="D5" s="18">
        <f>'Power Purchased Model'!N154</f>
        <v>278488834.05253017</v>
      </c>
      <c r="E5" s="18">
        <f>+'Power Purchased Model'!N155</f>
        <v>281617875.12627798</v>
      </c>
      <c r="F5" s="18">
        <f>+'Power Purchased Model'!N156</f>
        <v>288446343.72079241</v>
      </c>
      <c r="G5" s="18">
        <f>+'Power Purchased Model'!N157</f>
        <v>290224914.6949873</v>
      </c>
      <c r="H5" s="18">
        <f>+'Power Purchased Model'!N158</f>
        <v>299300057.07384056</v>
      </c>
      <c r="I5" s="18">
        <f>+'Power Purchased Model'!N159</f>
        <v>307229578.2575382</v>
      </c>
      <c r="J5" s="18">
        <f>+'Power Purchased Model'!N160</f>
        <v>327259418.04849619</v>
      </c>
      <c r="K5" s="18">
        <f>+'Power Purchased Model'!N161</f>
        <v>347316179.43818456</v>
      </c>
      <c r="L5" s="18">
        <f>+'Power Purchased Model'!N162</f>
        <v>356159168.01785558</v>
      </c>
      <c r="M5" s="18">
        <f>+'Power Purchased Model'!N163</f>
        <v>368832355.95986581</v>
      </c>
    </row>
    <row r="6" spans="1:14" x14ac:dyDescent="0.25">
      <c r="A6" s="11" t="s">
        <v>44</v>
      </c>
      <c r="B6" s="24">
        <f>(B5-B4)/B4</f>
        <v>1.1360349783925862E-2</v>
      </c>
      <c r="C6" s="24">
        <f t="shared" ref="C6:J6" si="0">(C5-C4)/C4</f>
        <v>-3.0632552895591162E-5</v>
      </c>
      <c r="D6" s="24">
        <f t="shared" si="0"/>
        <v>-1.163508943905926E-3</v>
      </c>
      <c r="E6" s="24">
        <f t="shared" si="0"/>
        <v>3.6935368155898533E-3</v>
      </c>
      <c r="F6" s="24">
        <f t="shared" si="0"/>
        <v>-1.0150531121251418E-2</v>
      </c>
      <c r="G6" s="24">
        <f t="shared" si="0"/>
        <v>-1.69873158041801E-2</v>
      </c>
      <c r="H6" s="24">
        <f t="shared" si="0"/>
        <v>-2.1152858809912736E-3</v>
      </c>
      <c r="I6" s="24">
        <f t="shared" si="0"/>
        <v>1.3613857064051004E-2</v>
      </c>
      <c r="J6" s="24">
        <f t="shared" si="0"/>
        <v>7.8947946748920642E-3</v>
      </c>
      <c r="K6" s="24">
        <f>(K5-K4)/K4</f>
        <v>-4.9645137280732912E-3</v>
      </c>
    </row>
    <row r="7" spans="1:14" x14ac:dyDescent="0.25">
      <c r="A7" s="11"/>
      <c r="B7" s="11"/>
      <c r="C7" s="11"/>
      <c r="D7" s="11"/>
      <c r="E7" s="24"/>
      <c r="F7" s="24"/>
      <c r="G7" s="24"/>
      <c r="H7" s="24"/>
      <c r="I7" s="24"/>
      <c r="J7" s="24"/>
      <c r="K7" s="24"/>
      <c r="L7" s="124">
        <f>(L5-K5)/K5</f>
        <v>2.5460917467119908E-2</v>
      </c>
      <c r="M7" s="124">
        <f>(M5-L5)/L5</f>
        <v>3.5582933362464701E-2</v>
      </c>
    </row>
    <row r="8" spans="1:14" x14ac:dyDescent="0.25">
      <c r="A8" s="11"/>
      <c r="B8" s="11"/>
      <c r="C8" s="11"/>
      <c r="D8" s="11"/>
      <c r="E8" s="24"/>
      <c r="F8" s="24"/>
      <c r="G8" s="24"/>
      <c r="H8" s="24"/>
      <c r="I8" s="24"/>
      <c r="J8" s="24"/>
      <c r="K8" s="24"/>
      <c r="L8" s="30"/>
      <c r="M8" s="30"/>
    </row>
    <row r="9" spans="1:14" x14ac:dyDescent="0.25">
      <c r="A9" s="11"/>
      <c r="B9" s="11"/>
      <c r="C9" s="11"/>
      <c r="D9" s="11"/>
      <c r="E9" s="24"/>
      <c r="F9" s="24"/>
      <c r="G9" s="24"/>
      <c r="H9" s="24"/>
      <c r="I9" s="24"/>
      <c r="J9" s="24"/>
      <c r="K9" s="24"/>
    </row>
    <row r="10" spans="1:14" x14ac:dyDescent="0.25">
      <c r="A10" s="11" t="s">
        <v>85</v>
      </c>
      <c r="B10" s="6">
        <f>'Rate Class Energy Model'!G3</f>
        <v>244038338.72</v>
      </c>
      <c r="C10" s="6">
        <f>'Rate Class Energy Model'!G4</f>
        <v>243192565.15000001</v>
      </c>
      <c r="D10" s="6">
        <f>'Rate Class Energy Model'!G5</f>
        <v>264471273.78</v>
      </c>
      <c r="E10" s="6">
        <f>'Rate Class Energy Model'!G6</f>
        <v>271021306.09999996</v>
      </c>
      <c r="F10" s="6">
        <f>'Rate Class Energy Model'!G7</f>
        <v>276838133.86999995</v>
      </c>
      <c r="G10" s="6">
        <f>'Rate Class Energy Model'!G8</f>
        <v>279283302.84000003</v>
      </c>
      <c r="H10" s="6">
        <f>'Rate Class Energy Model'!G9</f>
        <v>284467924.55449116</v>
      </c>
      <c r="I10" s="6">
        <f>'Rate Class Energy Model'!G10</f>
        <v>286827135.92999995</v>
      </c>
      <c r="J10" s="6">
        <f>'Rate Class Energy Model'!G11</f>
        <v>308438101.85000002</v>
      </c>
      <c r="K10" s="46">
        <f>'Rate Class Energy Model'!G12</f>
        <v>332174437.55999994</v>
      </c>
      <c r="L10" s="46">
        <f>'Rate Class Energy Model'!G13</f>
        <v>338149881.46542329</v>
      </c>
      <c r="M10" s="46">
        <f>'Rate Class Energy Model'!G14</f>
        <v>350182246.16413277</v>
      </c>
    </row>
    <row r="11" spans="1:14" x14ac:dyDescent="0.25">
      <c r="A11" s="11"/>
      <c r="C11" s="11"/>
      <c r="D11" s="11"/>
      <c r="L11" s="124">
        <f>(L10-K10)/K10</f>
        <v>1.7988873404335973E-2</v>
      </c>
      <c r="M11" s="124">
        <f>(M10-L10)/L10</f>
        <v>3.558293336246468E-2</v>
      </c>
    </row>
    <row r="12" spans="1:14" ht="15.6" x14ac:dyDescent="0.3">
      <c r="A12" s="23" t="s">
        <v>86</v>
      </c>
      <c r="B12" s="11"/>
      <c r="C12" s="23"/>
      <c r="D12" s="23"/>
      <c r="E12" s="1"/>
      <c r="H12" s="30"/>
    </row>
    <row r="13" spans="1:14" x14ac:dyDescent="0.25">
      <c r="A13" s="22" t="str">
        <f>'Rate Class Energy Model'!H2</f>
        <v>Residential</v>
      </c>
      <c r="B13" s="22"/>
      <c r="C13" s="22"/>
      <c r="D13" s="22"/>
      <c r="E13" s="1"/>
      <c r="H13" s="6"/>
      <c r="I13" s="6"/>
      <c r="J13" s="6"/>
      <c r="K13" s="6"/>
      <c r="L13" s="6"/>
      <c r="M13" s="6"/>
    </row>
    <row r="14" spans="1:14" x14ac:dyDescent="0.25">
      <c r="A14" t="s">
        <v>87</v>
      </c>
      <c r="B14" s="6">
        <f>'Rate Class Customer Model'!B11</f>
        <v>15201.583333333334</v>
      </c>
      <c r="C14" s="6">
        <f>'Rate Class Customer Model'!B12</f>
        <v>15631.666666666666</v>
      </c>
      <c r="D14" s="6">
        <f>'Rate Class Customer Model'!B13</f>
        <v>16490.666666666668</v>
      </c>
      <c r="E14" s="6">
        <f>'Rate Class Customer Model'!B14</f>
        <v>17294.333333333332</v>
      </c>
      <c r="F14" s="6">
        <f>'Rate Class Customer Model'!B15</f>
        <v>17582.833333333332</v>
      </c>
      <c r="G14" s="6">
        <f>'Rate Class Customer Model'!B16</f>
        <v>18253.333333333332</v>
      </c>
      <c r="H14" s="6">
        <f>'Rate Class Customer Model'!B17</f>
        <v>18754.666666666668</v>
      </c>
      <c r="I14" s="6">
        <f>'Rate Class Customer Model'!B18</f>
        <v>20106.333333333332</v>
      </c>
      <c r="J14" s="6">
        <f>'Rate Class Customer Model'!B19</f>
        <v>21734.083333333332</v>
      </c>
      <c r="K14" s="6">
        <f>'Rate Class Customer Model'!B20</f>
        <v>22632.5</v>
      </c>
      <c r="L14" s="6">
        <f>'Rate Class Customer Model'!B21</f>
        <v>23655.786128724281</v>
      </c>
      <c r="M14" s="6">
        <f>'Rate Class Customer Model'!B22</f>
        <v>24725.338224586067</v>
      </c>
      <c r="N14" s="6"/>
    </row>
    <row r="15" spans="1:14" x14ac:dyDescent="0.25">
      <c r="A15" t="s">
        <v>88</v>
      </c>
      <c r="B15" s="29">
        <f>'Rate Class Energy Model'!H3</f>
        <v>150135916.50999999</v>
      </c>
      <c r="C15" s="6">
        <f>'Rate Class Energy Model'!H4</f>
        <v>145250460.83000001</v>
      </c>
      <c r="D15" s="6">
        <f>'Rate Class Energy Model'!H5</f>
        <v>160853753.41</v>
      </c>
      <c r="E15" s="6">
        <f>'Rate Class Energy Model'!H6</f>
        <v>161284519.66999996</v>
      </c>
      <c r="F15" s="6">
        <f>'Rate Class Energy Model'!H7</f>
        <v>174957599.51999998</v>
      </c>
      <c r="G15" s="6">
        <f>'Rate Class Energy Model'!H8</f>
        <v>178499709.20000005</v>
      </c>
      <c r="H15" s="6">
        <f>'Rate Class Energy Model'!H9</f>
        <v>181843662.79904294</v>
      </c>
      <c r="I15" s="6">
        <f>'Rate Class Energy Model'!H10</f>
        <v>184116037.12</v>
      </c>
      <c r="J15" s="6">
        <f>'Rate Class Energy Model'!H11</f>
        <v>198216443.85999998</v>
      </c>
      <c r="K15" s="46">
        <f>'Rate Class Energy Model'!H12</f>
        <v>216260221.81999999</v>
      </c>
      <c r="L15" s="46">
        <f>'Rate Class Energy Model'!H34</f>
        <v>221726183.0383642</v>
      </c>
      <c r="M15" s="46">
        <f>'Rate Class Energy Model'!H35</f>
        <v>231433978.41278955</v>
      </c>
      <c r="N15" s="30"/>
    </row>
    <row r="16" spans="1:14" x14ac:dyDescent="0.25">
      <c r="C16" s="30"/>
      <c r="D16" s="30"/>
      <c r="F16" s="30"/>
      <c r="G16" s="30"/>
      <c r="H16" s="30"/>
      <c r="I16" s="30"/>
      <c r="J16" s="30"/>
      <c r="N16" s="30"/>
    </row>
    <row r="17" spans="1:14" x14ac:dyDescent="0.25">
      <c r="A17" s="22" t="str">
        <f>'Rate Class Energy Model'!I2</f>
        <v>General Service &lt; 50 kW</v>
      </c>
      <c r="B17" s="1"/>
      <c r="C17" s="1"/>
      <c r="D17" s="6"/>
      <c r="E17" s="6"/>
      <c r="F17" s="6"/>
      <c r="G17" s="6"/>
      <c r="H17" s="6"/>
      <c r="I17" s="6"/>
      <c r="J17" s="6"/>
      <c r="N17" s="30"/>
    </row>
    <row r="18" spans="1:14" ht="13.5" customHeight="1" x14ac:dyDescent="0.25">
      <c r="A18" t="s">
        <v>87</v>
      </c>
      <c r="B18" s="6">
        <f>'Rate Class Customer Model'!C11</f>
        <v>1016.25</v>
      </c>
      <c r="C18" s="6">
        <f>'Rate Class Customer Model'!C12</f>
        <v>1030.3333333333333</v>
      </c>
      <c r="D18" s="6">
        <f>'Rate Class Customer Model'!C13</f>
        <v>1082</v>
      </c>
      <c r="E18" s="6">
        <f>'Rate Class Customer Model'!C14</f>
        <v>1121.0833333333333</v>
      </c>
      <c r="F18" s="6">
        <f>'Rate Class Customer Model'!C15</f>
        <v>1153.9166666666667</v>
      </c>
      <c r="G18" s="6">
        <f>'Rate Class Customer Model'!C16</f>
        <v>1191.25</v>
      </c>
      <c r="H18" s="6">
        <f>'Rate Class Customer Model'!C17</f>
        <v>1246.1666666666667</v>
      </c>
      <c r="I18" s="6">
        <f>'Rate Class Customer Model'!C18</f>
        <v>1271.5833333333333</v>
      </c>
      <c r="J18" s="6">
        <f>'Rate Class Customer Model'!C19</f>
        <v>1289.6666666666667</v>
      </c>
      <c r="K18" s="6">
        <f>'Rate Class Customer Model'!C20</f>
        <v>1300.1666666666667</v>
      </c>
      <c r="L18" s="6">
        <f>'Rate Class Customer Model'!C21</f>
        <v>1336.2500863644038</v>
      </c>
      <c r="M18" s="6">
        <f>'Rate Class Customer Model'!C22</f>
        <v>1373.3349262726908</v>
      </c>
      <c r="N18" s="30"/>
    </row>
    <row r="19" spans="1:14" x14ac:dyDescent="0.25">
      <c r="A19" t="s">
        <v>88</v>
      </c>
      <c r="B19" s="6">
        <f>'Rate Class Energy Model'!I3</f>
        <v>33558136.5</v>
      </c>
      <c r="C19" s="6">
        <f>'Rate Class Energy Model'!I4</f>
        <v>32775442.000000004</v>
      </c>
      <c r="D19" s="6">
        <f>'Rate Class Energy Model'!I5</f>
        <v>36037382.24000001</v>
      </c>
      <c r="E19" s="6">
        <f>'Rate Class Energy Model'!I6</f>
        <v>42480662.969999991</v>
      </c>
      <c r="F19" s="6">
        <f>'Rate Class Energy Model'!I7</f>
        <v>39873537.010000005</v>
      </c>
      <c r="G19" s="6">
        <f>'Rate Class Energy Model'!I8</f>
        <v>40487960.670000002</v>
      </c>
      <c r="H19" s="6">
        <f>'Rate Class Energy Model'!I9</f>
        <v>43953859.175448269</v>
      </c>
      <c r="I19" s="6">
        <f>'Rate Class Energy Model'!I10</f>
        <v>44829085.220000006</v>
      </c>
      <c r="J19" s="6">
        <f>'Rate Class Energy Model'!I11</f>
        <v>51768404.240000002</v>
      </c>
      <c r="K19" s="46">
        <f>'Rate Class Energy Model'!I12</f>
        <v>47670304.479999997</v>
      </c>
      <c r="L19" s="46">
        <f>'Rate Class Energy Model'!I34</f>
        <v>48058711.774956226</v>
      </c>
      <c r="M19" s="46">
        <f>'Rate Class Energy Model'!I35</f>
        <v>49324890.322704032</v>
      </c>
      <c r="N19" s="30"/>
    </row>
    <row r="20" spans="1:14" x14ac:dyDescent="0.25">
      <c r="D20" s="30"/>
      <c r="F20" s="30"/>
      <c r="G20" s="30"/>
      <c r="H20" s="30"/>
      <c r="I20" s="30"/>
      <c r="J20" s="30"/>
      <c r="N20" s="30"/>
    </row>
    <row r="21" spans="1:14" x14ac:dyDescent="0.25">
      <c r="A21" s="22" t="str">
        <f>'Rate Class Energy Model'!J2</f>
        <v>General Service &gt;= 50 kW</v>
      </c>
      <c r="B21" s="1"/>
      <c r="C21" s="1"/>
      <c r="N21" s="30"/>
    </row>
    <row r="22" spans="1:14" x14ac:dyDescent="0.25">
      <c r="A22" t="s">
        <v>87</v>
      </c>
      <c r="B22" s="6">
        <f>'Rate Class Customer Model'!D11</f>
        <v>75.583333333333329</v>
      </c>
      <c r="C22" s="6">
        <f>'Rate Class Customer Model'!D12</f>
        <v>86.666666666666671</v>
      </c>
      <c r="D22" s="6">
        <f>'Rate Class Customer Model'!D13</f>
        <v>91</v>
      </c>
      <c r="E22" s="6">
        <f>'Rate Class Customer Model'!D14</f>
        <v>85.083333333333329</v>
      </c>
      <c r="F22" s="6">
        <f>'Rate Class Customer Model'!D15</f>
        <v>80.083333333333329</v>
      </c>
      <c r="G22" s="6">
        <f>'Rate Class Customer Model'!D16</f>
        <v>77.75</v>
      </c>
      <c r="H22" s="6">
        <f>'Rate Class Customer Model'!D17</f>
        <v>78.25</v>
      </c>
      <c r="I22" s="6">
        <f>'Rate Class Customer Model'!D18</f>
        <v>84.25</v>
      </c>
      <c r="J22" s="6">
        <f>'Rate Class Customer Model'!D19</f>
        <v>83.416666666666671</v>
      </c>
      <c r="K22" s="46">
        <f>'Rate Class Customer Model'!D20</f>
        <v>87.416666666666671</v>
      </c>
      <c r="L22" s="46">
        <f>'Rate Class Customer Model'!D21</f>
        <v>88.84089624731395</v>
      </c>
      <c r="M22" s="46">
        <f>'Rate Class Customer Model'!D22</f>
        <v>90.28832998313824</v>
      </c>
      <c r="N22" s="30"/>
    </row>
    <row r="23" spans="1:14" x14ac:dyDescent="0.25">
      <c r="A23" t="s">
        <v>88</v>
      </c>
      <c r="B23" s="6">
        <f>'Rate Class Energy Model'!J3</f>
        <v>58286974.199999996</v>
      </c>
      <c r="C23" s="6">
        <f>'Rate Class Energy Model'!J4</f>
        <v>63107664.68999999</v>
      </c>
      <c r="D23" s="6">
        <f>'Rate Class Energy Model'!J5</f>
        <v>65404828.979999997</v>
      </c>
      <c r="E23" s="6">
        <f>'Rate Class Energy Model'!J6</f>
        <v>65090124.510000005</v>
      </c>
      <c r="F23" s="6">
        <f>'Rate Class Energy Model'!J7</f>
        <v>59834546.959999993</v>
      </c>
      <c r="G23" s="6">
        <f>'Rate Class Energy Model'!J8</f>
        <v>58095870.570000008</v>
      </c>
      <c r="H23" s="6">
        <f>'Rate Class Energy Model'!J9</f>
        <v>56383556.809999987</v>
      </c>
      <c r="I23" s="6">
        <f>'Rate Class Energy Model'!J10</f>
        <v>55566830.360000007</v>
      </c>
      <c r="J23" s="6">
        <f>'Rate Class Energy Model'!J11</f>
        <v>56073428.660000011</v>
      </c>
      <c r="K23" s="46">
        <f>'Rate Class Energy Model'!J12</f>
        <v>65757608.600000009</v>
      </c>
      <c r="L23" s="46">
        <f>'Rate Class Energy Model'!J34</f>
        <v>65824562.961728267</v>
      </c>
      <c r="M23" s="46">
        <f>'Rate Class Energy Model'!J35</f>
        <v>66825174.748645805</v>
      </c>
      <c r="N23" s="30"/>
    </row>
    <row r="24" spans="1:14" x14ac:dyDescent="0.25">
      <c r="A24" t="s">
        <v>89</v>
      </c>
      <c r="B24" s="6">
        <f>'Rate Class Load Model'!B2</f>
        <v>151192.26000000004</v>
      </c>
      <c r="C24" s="6">
        <f>'Rate Class Load Model'!B3</f>
        <v>163230.39999999999</v>
      </c>
      <c r="D24" s="6">
        <f>'Rate Class Load Model'!B4</f>
        <v>168618.77999999997</v>
      </c>
      <c r="E24" s="6">
        <f>'Rate Class Load Model'!B5</f>
        <v>164137.22</v>
      </c>
      <c r="F24" s="6">
        <f>'Rate Class Load Model'!B6</f>
        <v>153608.63</v>
      </c>
      <c r="G24" s="6">
        <f>'Rate Class Load Model'!B7</f>
        <v>157905.39000000001</v>
      </c>
      <c r="H24" s="6">
        <f>'Rate Class Load Model'!B8</f>
        <v>157377.50999999998</v>
      </c>
      <c r="I24" s="6">
        <f>'Rate Class Load Model'!B9</f>
        <v>162697.74</v>
      </c>
      <c r="J24" s="6">
        <f>'Rate Class Load Model'!B10</f>
        <v>160506.93000000005</v>
      </c>
      <c r="K24" s="46">
        <f>'Rate Class Load Model'!B11</f>
        <v>176584.31999999998</v>
      </c>
      <c r="L24" s="46">
        <f>'Rate Class Load Model'!B12</f>
        <v>176623.48729087558</v>
      </c>
      <c r="M24" s="46">
        <f>'Rate Class Load Model'!B13</f>
        <v>179308.37474440088</v>
      </c>
      <c r="N24" s="30"/>
    </row>
    <row r="25" spans="1:14" x14ac:dyDescent="0.25">
      <c r="B25" s="6"/>
      <c r="C25" s="6"/>
      <c r="D25" s="6"/>
      <c r="E25" s="6"/>
      <c r="F25" s="6"/>
      <c r="H25" s="6"/>
      <c r="I25" s="6"/>
      <c r="J25" s="6"/>
      <c r="N25" s="30"/>
    </row>
    <row r="26" spans="1:14" x14ac:dyDescent="0.25">
      <c r="A26" s="22" t="str">
        <f>'Rate Class Energy Model'!K2</f>
        <v>Unmetered Scattered Load</v>
      </c>
      <c r="B26" s="1"/>
      <c r="C26" s="1"/>
      <c r="N26" s="30"/>
    </row>
    <row r="27" spans="1:14" x14ac:dyDescent="0.25">
      <c r="A27" s="36" t="s">
        <v>157</v>
      </c>
      <c r="B27" s="6">
        <f>'Rate Class Customer Model'!E11</f>
        <v>75.333333333333329</v>
      </c>
      <c r="C27" s="6">
        <f>'Rate Class Customer Model'!E12</f>
        <v>73.5</v>
      </c>
      <c r="D27" s="6">
        <f>'Rate Class Customer Model'!E13</f>
        <v>74</v>
      </c>
      <c r="E27" s="6">
        <f>'Rate Class Customer Model'!E14</f>
        <v>74.5</v>
      </c>
      <c r="F27" s="6">
        <f>'Rate Class Customer Model'!E15</f>
        <v>73.166666666666671</v>
      </c>
      <c r="G27" s="6">
        <f>'Rate Class Customer Model'!E16</f>
        <v>71</v>
      </c>
      <c r="H27" s="6">
        <f>'Rate Class Customer Model'!E17</f>
        <v>71.833333333333329</v>
      </c>
      <c r="I27" s="6">
        <f>'Rate Class Customer Model'!E18</f>
        <v>74.833333333333329</v>
      </c>
      <c r="J27" s="6">
        <f>'Rate Class Customer Model'!E19</f>
        <v>70.166666666666671</v>
      </c>
      <c r="K27" s="6">
        <f>'Rate Class Customer Model'!E20</f>
        <v>69</v>
      </c>
      <c r="L27" s="6">
        <f>'Rate Class Customer Model'!E21</f>
        <v>68.330016370611446</v>
      </c>
      <c r="M27" s="6">
        <f>'Rate Class Customer Model'!E22</f>
        <v>67.666538220406196</v>
      </c>
      <c r="N27" s="30"/>
    </row>
    <row r="28" spans="1:14" x14ac:dyDescent="0.25">
      <c r="A28" t="s">
        <v>88</v>
      </c>
      <c r="B28" s="6">
        <f>'Rate Class Energy Model'!K3</f>
        <v>461652</v>
      </c>
      <c r="C28" s="6">
        <f>'Rate Class Energy Model'!K4</f>
        <v>460196</v>
      </c>
      <c r="D28" s="6">
        <f>'Rate Class Energy Model'!K5</f>
        <v>482913.99999999994</v>
      </c>
      <c r="E28" s="6">
        <f>'Rate Class Energy Model'!K6</f>
        <v>485587.00000000012</v>
      </c>
      <c r="F28" s="6">
        <f>'Rate Class Energy Model'!K7</f>
        <v>439968</v>
      </c>
      <c r="G28" s="6">
        <f>'Rate Class Energy Model'!K8</f>
        <v>439248</v>
      </c>
      <c r="H28" s="6">
        <f>'Rate Class Energy Model'!K9</f>
        <v>447888</v>
      </c>
      <c r="I28" s="6">
        <f>'Rate Class Energy Model'!K10</f>
        <v>447887.99999999988</v>
      </c>
      <c r="J28" s="6">
        <f>'Rate Class Energy Model'!K11</f>
        <v>402486.00000000006</v>
      </c>
      <c r="K28" s="46">
        <f>'Rate Class Energy Model'!K12</f>
        <v>425256</v>
      </c>
      <c r="L28" s="46">
        <f>'Rate Class Energy Model'!K34</f>
        <v>421126.80350290932</v>
      </c>
      <c r="M28" s="46">
        <f>'Rate Class Energy Model'!K35</f>
        <v>417037.70112256607</v>
      </c>
      <c r="N28" s="30"/>
    </row>
    <row r="29" spans="1:14" x14ac:dyDescent="0.25">
      <c r="D29" s="6"/>
      <c r="E29" s="6"/>
      <c r="F29" s="6"/>
      <c r="G29" s="6"/>
      <c r="H29" s="6"/>
      <c r="I29" s="6"/>
      <c r="J29" s="6"/>
      <c r="N29" s="30"/>
    </row>
    <row r="30" spans="1:14" x14ac:dyDescent="0.25">
      <c r="A30" s="22" t="str">
        <f>'Rate Class Energy Model'!L2</f>
        <v>Sentinel Lighting</v>
      </c>
      <c r="B30" s="1"/>
      <c r="C30" s="1"/>
      <c r="N30" s="30"/>
    </row>
    <row r="31" spans="1:14" x14ac:dyDescent="0.25">
      <c r="A31" s="36" t="s">
        <v>158</v>
      </c>
      <c r="B31" s="6">
        <f>'Rate Class Customer Model'!F11</f>
        <v>166.08333333333334</v>
      </c>
      <c r="C31" s="6">
        <f>'Rate Class Customer Model'!F12</f>
        <v>161.83333333333334</v>
      </c>
      <c r="D31" s="6">
        <f>'Rate Class Customer Model'!F13</f>
        <v>161.5</v>
      </c>
      <c r="E31" s="6">
        <f>'Rate Class Customer Model'!F14</f>
        <v>159.91666666666666</v>
      </c>
      <c r="F31" s="6">
        <f>'Rate Class Customer Model'!F15</f>
        <v>155.08333333333334</v>
      </c>
      <c r="G31" s="6">
        <f>'Rate Class Customer Model'!F16</f>
        <v>152.75</v>
      </c>
      <c r="H31" s="6">
        <f>'Rate Class Customer Model'!F17</f>
        <v>150.66666666666666</v>
      </c>
      <c r="I31" s="6">
        <f>'Rate Class Customer Model'!F18</f>
        <v>151</v>
      </c>
      <c r="J31" s="6">
        <f>'Rate Class Customer Model'!F19</f>
        <v>148.58333333333334</v>
      </c>
      <c r="K31" s="6">
        <f>'Rate Class Customer Model'!F20</f>
        <v>144.66666666666666</v>
      </c>
      <c r="L31" s="6">
        <f>'Rate Class Customer Model'!F21</f>
        <v>142.46445522039346</v>
      </c>
      <c r="M31" s="6">
        <f>'Rate Class Customer Model'!F22</f>
        <v>140.29576728970159</v>
      </c>
      <c r="N31" s="30"/>
    </row>
    <row r="32" spans="1:14" x14ac:dyDescent="0.25">
      <c r="A32" t="s">
        <v>88</v>
      </c>
      <c r="B32" s="6">
        <f>'Rate Class Energy Model'!L3</f>
        <v>103242.3</v>
      </c>
      <c r="C32" s="6">
        <f>'Rate Class Energy Model'!L4</f>
        <v>103849.14000000003</v>
      </c>
      <c r="D32" s="6">
        <f>'Rate Class Energy Model'!L5</f>
        <v>105459.54</v>
      </c>
      <c r="E32" s="6">
        <f>'Rate Class Energy Model'!L6</f>
        <v>103804.5</v>
      </c>
      <c r="F32" s="6">
        <f>'Rate Class Energy Model'!L7</f>
        <v>100969.37999999999</v>
      </c>
      <c r="G32" s="6">
        <f>'Rate Class Energy Model'!L8</f>
        <v>99205.680000000008</v>
      </c>
      <c r="H32" s="6">
        <f>'Rate Class Energy Model'!L9</f>
        <v>97587.239999999947</v>
      </c>
      <c r="I32" s="6">
        <f>'Rate Class Energy Model'!L10</f>
        <v>97106.340000000011</v>
      </c>
      <c r="J32" s="6">
        <f>'Rate Class Energy Model'!L11</f>
        <v>87522.479999999981</v>
      </c>
      <c r="K32" s="46">
        <f>'Rate Class Energy Model'!L12</f>
        <v>93986.4</v>
      </c>
      <c r="L32" s="46">
        <f>'Rate Class Energy Model'!L34</f>
        <v>92555.677010087471</v>
      </c>
      <c r="M32" s="46">
        <f>'Rate Class Energy Model'!L35</f>
        <v>91146.733429471031</v>
      </c>
      <c r="N32" s="30"/>
    </row>
    <row r="33" spans="1:14" x14ac:dyDescent="0.25">
      <c r="A33" t="s">
        <v>89</v>
      </c>
      <c r="B33" s="6">
        <f>'Rate Class Load Model'!C2</f>
        <v>294.95850000000002</v>
      </c>
      <c r="C33" s="6">
        <f>'Rate Class Load Model'!C3</f>
        <v>294.95850000000002</v>
      </c>
      <c r="D33" s="6">
        <f>'Rate Class Load Model'!C4</f>
        <v>294.95850000000002</v>
      </c>
      <c r="E33" s="6">
        <f>'Rate Class Load Model'!C5</f>
        <v>294.95850000000002</v>
      </c>
      <c r="F33" s="6">
        <f>'Rate Class Load Model'!C6</f>
        <v>294.95850000000002</v>
      </c>
      <c r="G33" s="6">
        <f>'Rate Class Load Model'!C7</f>
        <v>294.95850000000002</v>
      </c>
      <c r="H33" s="6">
        <f>'Rate Class Load Model'!C8</f>
        <v>294.95850000000002</v>
      </c>
      <c r="I33" s="6">
        <f>'Rate Class Load Model'!C9</f>
        <v>294.95850000000002</v>
      </c>
      <c r="J33" s="6">
        <f>'Rate Class Load Model'!C10</f>
        <v>294.95850000000002</v>
      </c>
      <c r="K33" s="46">
        <f>'Rate Class Load Model'!C11</f>
        <v>294.95850000000002</v>
      </c>
      <c r="L33" s="46">
        <f>'Rate Class Load Model'!C12</f>
        <v>295</v>
      </c>
      <c r="M33" s="46">
        <f>'Rate Class Load Model'!C13</f>
        <v>295</v>
      </c>
      <c r="N33" s="30"/>
    </row>
    <row r="34" spans="1:14" x14ac:dyDescent="0.25">
      <c r="C34" s="6"/>
      <c r="D34" s="6"/>
      <c r="E34" s="6"/>
      <c r="F34" s="6"/>
      <c r="G34" s="6"/>
      <c r="H34" s="6"/>
      <c r="I34" s="6"/>
      <c r="J34" s="6"/>
      <c r="N34" s="30"/>
    </row>
    <row r="35" spans="1:14" x14ac:dyDescent="0.25">
      <c r="A35" s="22" t="str">
        <f>'Rate Class Energy Model'!M2</f>
        <v xml:space="preserve">Street Lighting </v>
      </c>
      <c r="B35" s="1"/>
      <c r="C35" s="1"/>
      <c r="E35" s="1"/>
      <c r="H35" s="6"/>
      <c r="N35" s="30"/>
    </row>
    <row r="36" spans="1:14" x14ac:dyDescent="0.25">
      <c r="A36" s="36" t="s">
        <v>159</v>
      </c>
      <c r="B36" s="6">
        <f>'Rate Class Customer Model'!G11</f>
        <v>2863.1666666666665</v>
      </c>
      <c r="C36" s="6">
        <f>'Rate Class Customer Model'!G12</f>
        <v>2973.25</v>
      </c>
      <c r="D36" s="6">
        <f>'Rate Class Customer Model'!G13</f>
        <v>3097.25</v>
      </c>
      <c r="E36" s="6">
        <f>'Rate Class Customer Model'!G14</f>
        <v>3306.75</v>
      </c>
      <c r="F36" s="6">
        <f>'Rate Class Customer Model'!G15</f>
        <v>3414.4166666666665</v>
      </c>
      <c r="G36" s="6">
        <f>'Rate Class Customer Model'!G16</f>
        <v>3596.5833333333335</v>
      </c>
      <c r="H36" s="6">
        <f>'Rate Class Customer Model'!G17</f>
        <v>4014</v>
      </c>
      <c r="I36" s="6">
        <f>'Rate Class Customer Model'!G18</f>
        <v>4299.25</v>
      </c>
      <c r="J36" s="6">
        <f>'Rate Class Customer Model'!G19</f>
        <v>4588.5</v>
      </c>
      <c r="K36" s="6">
        <f>'Rate Class Customer Model'!G20</f>
        <v>4847.75</v>
      </c>
      <c r="L36" s="6">
        <f>'Rate Class Customer Model'!G21</f>
        <v>5139.8519953660216</v>
      </c>
      <c r="M36" s="6">
        <f>'Rate Class Customer Model'!G22</f>
        <v>5449.5546458187964</v>
      </c>
      <c r="N36" s="30"/>
    </row>
    <row r="37" spans="1:14" x14ac:dyDescent="0.25">
      <c r="A37" t="s">
        <v>88</v>
      </c>
      <c r="B37" s="6">
        <f>'Rate Class Energy Model'!M3</f>
        <v>544041.61</v>
      </c>
      <c r="C37" s="6">
        <f>'Rate Class Energy Model'!M4</f>
        <v>574600.18999999983</v>
      </c>
      <c r="D37" s="6">
        <f>'Rate Class Energy Model'!M5</f>
        <v>615045.71</v>
      </c>
      <c r="E37" s="6">
        <f>'Rate Class Energy Model'!M6</f>
        <v>653653.25</v>
      </c>
      <c r="F37" s="6">
        <f>'Rate Class Energy Model'!M7</f>
        <v>686201.6</v>
      </c>
      <c r="G37" s="6">
        <f>'Rate Class Energy Model'!M8</f>
        <v>751137.82</v>
      </c>
      <c r="H37" s="6">
        <f>'Rate Class Energy Model'!M9</f>
        <v>805781.62999999977</v>
      </c>
      <c r="I37" s="6">
        <f>'Rate Class Energy Model'!M10</f>
        <v>867745.69</v>
      </c>
      <c r="J37" s="6">
        <f>'Rate Class Energy Model'!M11</f>
        <v>940008.81</v>
      </c>
      <c r="K37" s="46">
        <f>'Rate Class Energy Model'!M12</f>
        <v>990470.21</v>
      </c>
      <c r="L37" s="46">
        <f>'Rate Class Energy Model'!M34</f>
        <v>1050151.1598616063</v>
      </c>
      <c r="M37" s="46">
        <f>'Rate Class Energy Model'!M35</f>
        <v>1113428.1954413117</v>
      </c>
      <c r="N37" s="30"/>
    </row>
    <row r="38" spans="1:14" x14ac:dyDescent="0.25">
      <c r="A38" t="s">
        <v>89</v>
      </c>
      <c r="B38" s="6">
        <f>'Rate Class Load Model'!D2</f>
        <v>1645.03</v>
      </c>
      <c r="C38" s="6">
        <f>'Rate Class Load Model'!D3</f>
        <v>1754.9899999999998</v>
      </c>
      <c r="D38" s="6">
        <f>'Rate Class Load Model'!D4</f>
        <v>1867.2599999999998</v>
      </c>
      <c r="E38" s="6">
        <f>'Rate Class Load Model'!D5</f>
        <v>1982.6500000000005</v>
      </c>
      <c r="F38" s="6">
        <f>'Rate Class Load Model'!D6</f>
        <v>2074.3199999999997</v>
      </c>
      <c r="G38" s="6">
        <f>'Rate Class Load Model'!D7</f>
        <v>2279.9099999999989</v>
      </c>
      <c r="H38" s="6">
        <f>'Rate Class Load Model'!D8</f>
        <v>2453.62</v>
      </c>
      <c r="I38" s="6">
        <f>'Rate Class Load Model'!D9</f>
        <v>2648.2990796943936</v>
      </c>
      <c r="J38" s="6">
        <f>'Rate Class Load Model'!D10</f>
        <v>2849.68</v>
      </c>
      <c r="K38" s="46">
        <f>'Rate Class Load Model'!D11</f>
        <v>3010.8458515018006</v>
      </c>
      <c r="L38" s="46">
        <f>'Rate Class Load Model'!D12</f>
        <v>3189.6913149462416</v>
      </c>
      <c r="M38" s="46">
        <f>'Rate Class Load Model'!D13</f>
        <v>3381.88670408501</v>
      </c>
      <c r="N38" s="30"/>
    </row>
    <row r="39" spans="1:14" x14ac:dyDescent="0.25">
      <c r="E39" s="6"/>
      <c r="F39" s="6"/>
      <c r="H39" s="6"/>
      <c r="I39" s="6"/>
      <c r="J39" s="6"/>
    </row>
    <row r="40" spans="1:14" x14ac:dyDescent="0.25">
      <c r="A40" s="22" t="str">
        <f>'Rate Class Energy Model'!N2</f>
        <v>Embedded Distributor</v>
      </c>
      <c r="B40" s="1"/>
      <c r="D40" s="1"/>
      <c r="H40" s="15"/>
    </row>
    <row r="41" spans="1:14" x14ac:dyDescent="0.25">
      <c r="A41" s="36" t="s">
        <v>159</v>
      </c>
      <c r="B41" s="6">
        <f>'Rate Class Customer Model'!H11</f>
        <v>1</v>
      </c>
      <c r="C41" s="6">
        <f>'Rate Class Customer Model'!H12</f>
        <v>1</v>
      </c>
      <c r="D41" s="6">
        <f>'Rate Class Customer Model'!H13</f>
        <v>1</v>
      </c>
      <c r="E41" s="6">
        <f>'Rate Class Customer Model'!H14</f>
        <v>1</v>
      </c>
      <c r="F41" s="6">
        <f>'Rate Class Customer Model'!H15</f>
        <v>1</v>
      </c>
      <c r="G41" s="6">
        <f>'Rate Class Customer Model'!H16</f>
        <v>1</v>
      </c>
      <c r="H41" s="6">
        <f>'Rate Class Customer Model'!H17</f>
        <v>1</v>
      </c>
      <c r="I41" s="6">
        <f>'Rate Class Customer Model'!H18</f>
        <v>1</v>
      </c>
      <c r="J41" s="6">
        <f>'Rate Class Customer Model'!H19</f>
        <v>1</v>
      </c>
      <c r="K41" s="6">
        <f>'Rate Class Customer Model'!H20</f>
        <v>1</v>
      </c>
      <c r="L41" s="6">
        <f>'Rate Class Customer Model'!H21</f>
        <v>1</v>
      </c>
      <c r="M41" s="6">
        <f>'Rate Class Customer Model'!H22</f>
        <v>1</v>
      </c>
    </row>
    <row r="42" spans="1:14" x14ac:dyDescent="0.25">
      <c r="A42" t="s">
        <v>88</v>
      </c>
      <c r="B42" s="6">
        <f>'Rate Class Energy Model'!N3</f>
        <v>948375.6</v>
      </c>
      <c r="C42" s="6">
        <f>'Rate Class Energy Model'!N4</f>
        <v>920352.3</v>
      </c>
      <c r="D42" s="6">
        <f>'Rate Class Energy Model'!N5</f>
        <v>971889.89999999991</v>
      </c>
      <c r="E42" s="6">
        <f>'Rate Class Energy Model'!N6</f>
        <v>922954.19999999984</v>
      </c>
      <c r="F42" s="6">
        <f>'Rate Class Energy Model'!N7</f>
        <v>945311.40000000014</v>
      </c>
      <c r="G42" s="6">
        <f>'Rate Class Energy Model'!N8</f>
        <v>910170.9</v>
      </c>
      <c r="H42" s="6">
        <f>'Rate Class Energy Model'!N9</f>
        <v>935588.9</v>
      </c>
      <c r="I42" s="6">
        <f>'Rate Class Energy Model'!N10</f>
        <v>902443.2</v>
      </c>
      <c r="J42" s="6">
        <f>'Rate Class Energy Model'!N11</f>
        <v>949807.8</v>
      </c>
      <c r="K42" s="46">
        <f>'Rate Class Energy Model'!N12</f>
        <v>976590.05000000016</v>
      </c>
      <c r="L42" s="46">
        <f>'Rate Class Energy Model'!N34</f>
        <v>976590.05000000016</v>
      </c>
      <c r="M42" s="46">
        <f>'Rate Class Energy Model'!N35</f>
        <v>976590.05000000016</v>
      </c>
    </row>
    <row r="43" spans="1:14" x14ac:dyDescent="0.25">
      <c r="A43" t="s">
        <v>89</v>
      </c>
      <c r="B43" s="6">
        <f>'Rate Class Load Model'!E2</f>
        <v>2398.2000000000003</v>
      </c>
      <c r="C43" s="6">
        <f>'Rate Class Load Model'!E3</f>
        <v>2283.6</v>
      </c>
      <c r="D43" s="6">
        <f>'Rate Class Load Model'!E4</f>
        <v>2504.1</v>
      </c>
      <c r="E43" s="6">
        <f>'Rate Class Load Model'!E5</f>
        <v>2185.1999999999998</v>
      </c>
      <c r="F43" s="6">
        <f>'Rate Class Load Model'!E6</f>
        <v>2361.6000000000004</v>
      </c>
      <c r="G43" s="6">
        <f>'Rate Class Load Model'!E7</f>
        <v>2359.1999999999998</v>
      </c>
      <c r="H43" s="6">
        <f>'Rate Class Load Model'!E8</f>
        <v>2460</v>
      </c>
      <c r="I43" s="6">
        <f>'Rate Class Load Model'!E9</f>
        <v>2368.6285714285714</v>
      </c>
      <c r="J43" s="46">
        <f>'Rate Class Load Model'!E10</f>
        <v>2963.5714285714284</v>
      </c>
      <c r="K43" s="46">
        <f>'Rate Class Load Model'!E11</f>
        <v>2882.5077963847998</v>
      </c>
      <c r="L43" s="46">
        <f>'Rate Class Load Model'!E12</f>
        <v>2575.2879008647628</v>
      </c>
      <c r="M43" s="46">
        <f>'Rate Class Load Model'!E13</f>
        <v>2575.2879008647628</v>
      </c>
    </row>
    <row r="46" spans="1:14" x14ac:dyDescent="0.25">
      <c r="A46" s="22" t="s">
        <v>74</v>
      </c>
      <c r="B46" s="22"/>
      <c r="C46" s="22"/>
      <c r="D46" s="22"/>
      <c r="E46" s="1"/>
      <c r="H46" s="37"/>
    </row>
    <row r="47" spans="1:14" x14ac:dyDescent="0.25">
      <c r="A47" t="s">
        <v>92</v>
      </c>
      <c r="B47" s="6">
        <f>B14+B18+B22+B27+B31+B36+B41</f>
        <v>19399.000000000004</v>
      </c>
      <c r="C47" s="6">
        <f t="shared" ref="C47:M47" si="1">C14+C18+C22+C27+C31+C36+C41</f>
        <v>19958.25</v>
      </c>
      <c r="D47" s="6">
        <f t="shared" si="1"/>
        <v>20997.416666666668</v>
      </c>
      <c r="E47" s="6">
        <f t="shared" si="1"/>
        <v>22042.666666666664</v>
      </c>
      <c r="F47" s="6">
        <f t="shared" si="1"/>
        <v>22460.5</v>
      </c>
      <c r="G47" s="6">
        <f t="shared" si="1"/>
        <v>23343.666666666664</v>
      </c>
      <c r="H47" s="6">
        <f t="shared" si="1"/>
        <v>24316.583333333336</v>
      </c>
      <c r="I47" s="6">
        <f t="shared" si="1"/>
        <v>25988.249999999996</v>
      </c>
      <c r="J47" s="6">
        <f t="shared" si="1"/>
        <v>27915.416666666668</v>
      </c>
      <c r="K47" s="6">
        <f t="shared" si="1"/>
        <v>29082.500000000004</v>
      </c>
      <c r="L47" s="6">
        <f t="shared" si="1"/>
        <v>30432.523578293029</v>
      </c>
      <c r="M47" s="6">
        <f t="shared" si="1"/>
        <v>31847.478432170799</v>
      </c>
    </row>
    <row r="48" spans="1:14" x14ac:dyDescent="0.25">
      <c r="A48" t="s">
        <v>88</v>
      </c>
      <c r="B48" s="6">
        <f>B15+B19+B23+B28+B37+B42+B32</f>
        <v>244038338.72</v>
      </c>
      <c r="C48" s="6">
        <f t="shared" ref="C48:M48" si="2">C15+C19+C23+C28+C37+C42+C32</f>
        <v>243192565.15000001</v>
      </c>
      <c r="D48" s="6">
        <f t="shared" si="2"/>
        <v>264471273.78</v>
      </c>
      <c r="E48" s="6">
        <f t="shared" si="2"/>
        <v>271021306.09999996</v>
      </c>
      <c r="F48" s="6">
        <f t="shared" si="2"/>
        <v>276838133.86999995</v>
      </c>
      <c r="G48" s="6">
        <f t="shared" si="2"/>
        <v>279283302.84000003</v>
      </c>
      <c r="H48" s="6">
        <f t="shared" si="2"/>
        <v>284467924.55449116</v>
      </c>
      <c r="I48" s="6">
        <f t="shared" si="2"/>
        <v>286827135.92999995</v>
      </c>
      <c r="J48" s="6">
        <f t="shared" si="2"/>
        <v>308438101.85000002</v>
      </c>
      <c r="K48" s="6">
        <f t="shared" si="2"/>
        <v>332174437.55999994</v>
      </c>
      <c r="L48" s="6">
        <f t="shared" si="2"/>
        <v>338149881.46542329</v>
      </c>
      <c r="M48" s="6">
        <f t="shared" si="2"/>
        <v>350182246.16413277</v>
      </c>
    </row>
    <row r="49" spans="1:16" x14ac:dyDescent="0.25">
      <c r="A49" t="s">
        <v>93</v>
      </c>
      <c r="B49" s="6">
        <f>B24+B33+B38+B43</f>
        <v>155530.44850000006</v>
      </c>
      <c r="C49" s="6">
        <f t="shared" ref="C49:M49" si="3">C24+C33+C38+C43</f>
        <v>167563.9485</v>
      </c>
      <c r="D49" s="6">
        <f t="shared" si="3"/>
        <v>173285.09849999999</v>
      </c>
      <c r="E49" s="6">
        <f t="shared" si="3"/>
        <v>168600.02850000001</v>
      </c>
      <c r="F49" s="6">
        <f t="shared" si="3"/>
        <v>158339.50850000003</v>
      </c>
      <c r="G49" s="6">
        <f t="shared" si="3"/>
        <v>162839.45850000004</v>
      </c>
      <c r="H49" s="6">
        <f t="shared" si="3"/>
        <v>162586.08849999998</v>
      </c>
      <c r="I49" s="6">
        <f t="shared" si="3"/>
        <v>168009.62615112297</v>
      </c>
      <c r="J49" s="6">
        <f t="shared" si="3"/>
        <v>166615.13992857147</v>
      </c>
      <c r="K49" s="6">
        <f t="shared" si="3"/>
        <v>182772.63214788659</v>
      </c>
      <c r="L49" s="6">
        <f t="shared" si="3"/>
        <v>182683.46650668659</v>
      </c>
      <c r="M49" s="6">
        <f t="shared" si="3"/>
        <v>185560.54934935065</v>
      </c>
    </row>
    <row r="50" spans="1:16" x14ac:dyDescent="0.25">
      <c r="E50" s="1"/>
      <c r="F50" s="1"/>
    </row>
    <row r="51" spans="1:16" x14ac:dyDescent="0.25">
      <c r="A51" t="s">
        <v>92</v>
      </c>
      <c r="B51" s="6">
        <f>'Rate Class Customer Model'!I11</f>
        <v>19399.000000000004</v>
      </c>
      <c r="C51" s="6">
        <f>'Rate Class Customer Model'!I12</f>
        <v>19958.25</v>
      </c>
      <c r="D51" s="6">
        <f>'Rate Class Customer Model'!I13</f>
        <v>20997.416666666668</v>
      </c>
      <c r="E51" s="6">
        <f>'Rate Class Customer Model'!I14</f>
        <v>22042.666666666664</v>
      </c>
      <c r="F51" s="6">
        <f>'Rate Class Customer Model'!I15</f>
        <v>22460.5</v>
      </c>
      <c r="G51" s="6">
        <f>'Rate Class Customer Model'!I16</f>
        <v>23343.666666666664</v>
      </c>
      <c r="H51" s="6">
        <f>'Rate Class Customer Model'!I17</f>
        <v>24316.583333333336</v>
      </c>
      <c r="I51" s="6">
        <f>'Rate Class Customer Model'!I18</f>
        <v>25988.249999999996</v>
      </c>
      <c r="J51" s="6">
        <f>'Rate Class Customer Model'!I19</f>
        <v>27915.416666666668</v>
      </c>
      <c r="K51" s="6">
        <f>'Rate Class Customer Model'!I20</f>
        <v>29082.500000000004</v>
      </c>
      <c r="L51" s="6">
        <f>'Rate Class Customer Model'!I21</f>
        <v>30432.523578293029</v>
      </c>
      <c r="M51" s="6">
        <f>'Rate Class Customer Model'!I22</f>
        <v>31847.478432170799</v>
      </c>
    </row>
    <row r="52" spans="1:16" x14ac:dyDescent="0.25">
      <c r="A52" t="s">
        <v>88</v>
      </c>
      <c r="B52" s="46">
        <f>'Rate Class Energy Model'!G3</f>
        <v>244038338.72</v>
      </c>
      <c r="C52" s="46">
        <f>'Rate Class Energy Model'!G4</f>
        <v>243192565.15000001</v>
      </c>
      <c r="D52" s="46">
        <f>'Rate Class Energy Model'!G5</f>
        <v>264471273.78</v>
      </c>
      <c r="E52" s="46">
        <f>'Rate Class Energy Model'!G6</f>
        <v>271021306.09999996</v>
      </c>
      <c r="F52" s="46">
        <f>'Rate Class Energy Model'!G7</f>
        <v>276838133.86999995</v>
      </c>
      <c r="G52" s="46">
        <f>'Rate Class Energy Model'!G8</f>
        <v>279283302.84000003</v>
      </c>
      <c r="H52" s="46">
        <f>'Rate Class Energy Model'!G9</f>
        <v>284467924.55449116</v>
      </c>
      <c r="I52" s="46">
        <f>'Rate Class Energy Model'!G10</f>
        <v>286827135.92999995</v>
      </c>
      <c r="J52" s="46">
        <f>'Rate Class Energy Model'!G11</f>
        <v>308438101.85000002</v>
      </c>
      <c r="K52" s="46">
        <f>'Rate Class Energy Model'!G12</f>
        <v>332174437.55999994</v>
      </c>
      <c r="L52" s="46">
        <f>'Rate Class Energy Model'!P34</f>
        <v>338149881.46542329</v>
      </c>
      <c r="M52" s="46">
        <f>'Rate Class Energy Model'!P35</f>
        <v>350182246.16413277</v>
      </c>
      <c r="O52" s="6"/>
      <c r="P52" s="30"/>
    </row>
    <row r="53" spans="1:16" x14ac:dyDescent="0.25">
      <c r="A53" t="s">
        <v>93</v>
      </c>
      <c r="B53" s="6">
        <f>'Rate Class Load Model'!F2</f>
        <v>155530.44850000006</v>
      </c>
      <c r="C53" s="6">
        <f>'Rate Class Load Model'!F3</f>
        <v>167563.9485</v>
      </c>
      <c r="D53" s="6">
        <f>'Rate Class Load Model'!F4</f>
        <v>173285.09849999999</v>
      </c>
      <c r="E53" s="6">
        <f>'Rate Class Load Model'!F5</f>
        <v>168600.02850000001</v>
      </c>
      <c r="F53" s="6">
        <f>'Rate Class Load Model'!F6</f>
        <v>158339.50850000003</v>
      </c>
      <c r="G53" s="6">
        <f>'Rate Class Load Model'!F7</f>
        <v>162839.45850000004</v>
      </c>
      <c r="H53" s="6">
        <f>'Rate Class Load Model'!F8</f>
        <v>162586.08849999998</v>
      </c>
      <c r="I53" s="6">
        <f>'Rate Class Load Model'!F9</f>
        <v>168009.62615112297</v>
      </c>
      <c r="J53" s="6">
        <f>'Rate Class Load Model'!F10</f>
        <v>166615.13992857147</v>
      </c>
      <c r="K53" s="46">
        <f>'Rate Class Load Model'!F11</f>
        <v>182772.63214788659</v>
      </c>
      <c r="L53" s="46">
        <f>'Rate Class Load Model'!F12</f>
        <v>182683.46650668659</v>
      </c>
      <c r="M53" s="46">
        <f>'Rate Class Load Model'!F13</f>
        <v>185560.54934935065</v>
      </c>
    </row>
    <row r="55" spans="1:16" hidden="1" x14ac:dyDescent="0.25">
      <c r="A55" t="s">
        <v>92</v>
      </c>
      <c r="H55" s="6">
        <f>'Rate Class Load Model'!F9</f>
        <v>168009.62615112297</v>
      </c>
      <c r="I55" s="6" t="e">
        <f>#REF!</f>
        <v>#REF!</v>
      </c>
      <c r="J55" s="6"/>
      <c r="K55" s="6"/>
      <c r="L55" s="6" t="e">
        <f>#REF!</f>
        <v>#REF!</v>
      </c>
      <c r="M55" s="6" t="e">
        <f>#REF!</f>
        <v>#REF!</v>
      </c>
    </row>
    <row r="56" spans="1:16" hidden="1" x14ac:dyDescent="0.25">
      <c r="A56" t="s">
        <v>88</v>
      </c>
      <c r="H56" s="6">
        <f>'Rate Class Load Model'!F10</f>
        <v>166615.13992857147</v>
      </c>
      <c r="I56" s="6" t="e">
        <f>#REF!</f>
        <v>#REF!</v>
      </c>
      <c r="J56" s="6"/>
      <c r="K56" s="6"/>
      <c r="L56" s="6" t="e">
        <f>#REF!</f>
        <v>#REF!</v>
      </c>
      <c r="M56" s="6" t="e">
        <f>#REF!</f>
        <v>#REF!</v>
      </c>
    </row>
    <row r="57" spans="1:16" hidden="1" x14ac:dyDescent="0.25">
      <c r="A57" t="s">
        <v>93</v>
      </c>
      <c r="H57" s="6">
        <f>'Rate Class Load Model'!F14</f>
        <v>0</v>
      </c>
      <c r="I57" s="6" t="e">
        <f>#REF!</f>
        <v>#REF!</v>
      </c>
      <c r="J57" s="6"/>
      <c r="K57" s="6"/>
      <c r="L57" s="6" t="e">
        <f>#REF!</f>
        <v>#REF!</v>
      </c>
      <c r="M57" s="6" t="e">
        <f>#REF!</f>
        <v>#REF!</v>
      </c>
    </row>
    <row r="58" spans="1:16" hidden="1" x14ac:dyDescent="0.25">
      <c r="H58" s="6">
        <f>'Rate Class Load Model'!F15</f>
        <v>0</v>
      </c>
    </row>
    <row r="59" spans="1:16" hidden="1" x14ac:dyDescent="0.25">
      <c r="A59" t="s">
        <v>92</v>
      </c>
      <c r="H59" s="6" t="e">
        <f>'Rate Class Load Model'!#REF!</f>
        <v>#REF!</v>
      </c>
      <c r="I59" s="6" t="e">
        <f>#REF!-I55</f>
        <v>#REF!</v>
      </c>
      <c r="J59" s="6"/>
      <c r="K59" s="6"/>
      <c r="L59" s="6" t="e">
        <f>#REF!-L55</f>
        <v>#REF!</v>
      </c>
      <c r="M59" s="6" t="e">
        <f>#REF!-M55</f>
        <v>#REF!</v>
      </c>
    </row>
    <row r="60" spans="1:16" hidden="1" x14ac:dyDescent="0.25">
      <c r="A60" t="s">
        <v>88</v>
      </c>
      <c r="H60" s="6" t="e">
        <f>'Rate Class Load Model'!#REF!</f>
        <v>#REF!</v>
      </c>
      <c r="I60" s="6" t="e">
        <f>#REF!-I56</f>
        <v>#REF!</v>
      </c>
      <c r="J60" s="6"/>
      <c r="K60" s="6"/>
      <c r="L60" s="6" t="e">
        <f>#REF!-L56</f>
        <v>#REF!</v>
      </c>
      <c r="M60" s="6" t="e">
        <f>#REF!-M56</f>
        <v>#REF!</v>
      </c>
    </row>
    <row r="61" spans="1:16" hidden="1" x14ac:dyDescent="0.25">
      <c r="A61" t="s">
        <v>93</v>
      </c>
      <c r="H61" s="6" t="e">
        <f>'Rate Class Load Model'!#REF!</f>
        <v>#REF!</v>
      </c>
      <c r="I61" s="6" t="e">
        <f>#REF!-I57</f>
        <v>#REF!</v>
      </c>
      <c r="J61" s="6"/>
      <c r="K61" s="6"/>
      <c r="L61" s="6" t="e">
        <f>#REF!-L57</f>
        <v>#REF!</v>
      </c>
      <c r="M61" s="6" t="e">
        <f>#REF!-M57</f>
        <v>#REF!</v>
      </c>
    </row>
    <row r="62" spans="1:16" hidden="1" x14ac:dyDescent="0.25">
      <c r="H62" s="6">
        <f>'Rate Class Load Model'!F16</f>
        <v>0</v>
      </c>
    </row>
    <row r="63" spans="1:16" x14ac:dyDescent="0.25">
      <c r="A63" s="36" t="s">
        <v>160</v>
      </c>
      <c r="B63" s="36"/>
      <c r="C63" s="36"/>
      <c r="D63" s="36"/>
      <c r="H63" s="6"/>
    </row>
    <row r="64" spans="1:16" x14ac:dyDescent="0.25">
      <c r="A64" t="s">
        <v>92</v>
      </c>
      <c r="B64" s="6">
        <f>B47-B51</f>
        <v>0</v>
      </c>
      <c r="C64" s="6">
        <f t="shared" ref="C64:M64" si="4">C47-C51</f>
        <v>0</v>
      </c>
      <c r="D64" s="6">
        <f t="shared" si="4"/>
        <v>0</v>
      </c>
      <c r="E64" s="6">
        <f t="shared" si="4"/>
        <v>0</v>
      </c>
      <c r="F64" s="6">
        <f t="shared" si="4"/>
        <v>0</v>
      </c>
      <c r="G64" s="6">
        <f t="shared" si="4"/>
        <v>0</v>
      </c>
      <c r="H64" s="6">
        <f t="shared" si="4"/>
        <v>0</v>
      </c>
      <c r="I64" s="6">
        <f t="shared" si="4"/>
        <v>0</v>
      </c>
      <c r="J64" s="6">
        <f t="shared" si="4"/>
        <v>0</v>
      </c>
      <c r="K64" s="6">
        <f t="shared" si="4"/>
        <v>0</v>
      </c>
      <c r="L64" s="6">
        <f t="shared" si="4"/>
        <v>0</v>
      </c>
      <c r="M64" s="6">
        <f t="shared" si="4"/>
        <v>0</v>
      </c>
    </row>
    <row r="65" spans="1:13" x14ac:dyDescent="0.25">
      <c r="A65" t="s">
        <v>88</v>
      </c>
      <c r="B65" s="46">
        <f>B48-B52</f>
        <v>0</v>
      </c>
      <c r="C65" s="46">
        <f t="shared" ref="C65:M65" si="5">C48-C52</f>
        <v>0</v>
      </c>
      <c r="D65" s="46">
        <f t="shared" si="5"/>
        <v>0</v>
      </c>
      <c r="E65" s="46">
        <f t="shared" si="5"/>
        <v>0</v>
      </c>
      <c r="F65" s="46">
        <f t="shared" si="5"/>
        <v>0</v>
      </c>
      <c r="G65" s="46">
        <f t="shared" si="5"/>
        <v>0</v>
      </c>
      <c r="H65" s="46">
        <f t="shared" si="5"/>
        <v>0</v>
      </c>
      <c r="I65" s="46">
        <f t="shared" si="5"/>
        <v>0</v>
      </c>
      <c r="J65" s="46">
        <f t="shared" si="5"/>
        <v>0</v>
      </c>
      <c r="K65" s="46">
        <f t="shared" si="5"/>
        <v>0</v>
      </c>
      <c r="L65" s="46">
        <f>L48-L52</f>
        <v>0</v>
      </c>
      <c r="M65" s="46">
        <f t="shared" si="5"/>
        <v>0</v>
      </c>
    </row>
    <row r="66" spans="1:13" x14ac:dyDescent="0.25">
      <c r="A66" t="s">
        <v>93</v>
      </c>
      <c r="B66" s="6">
        <f>B49-B53</f>
        <v>0</v>
      </c>
      <c r="C66" s="6">
        <f t="shared" ref="C66:M66" si="6">C49-C53</f>
        <v>0</v>
      </c>
      <c r="D66" s="6">
        <f t="shared" si="6"/>
        <v>0</v>
      </c>
      <c r="E66" s="6">
        <f t="shared" si="6"/>
        <v>0</v>
      </c>
      <c r="F66" s="6">
        <f t="shared" si="6"/>
        <v>0</v>
      </c>
      <c r="G66" s="6">
        <f t="shared" si="6"/>
        <v>0</v>
      </c>
      <c r="H66" s="6">
        <f t="shared" si="6"/>
        <v>0</v>
      </c>
      <c r="I66" s="6">
        <f t="shared" si="6"/>
        <v>0</v>
      </c>
      <c r="J66" s="6">
        <f t="shared" si="6"/>
        <v>0</v>
      </c>
      <c r="K66" s="6">
        <f t="shared" si="6"/>
        <v>0</v>
      </c>
      <c r="L66" s="6">
        <f t="shared" si="6"/>
        <v>0</v>
      </c>
      <c r="M66" s="6">
        <f t="shared" si="6"/>
        <v>0</v>
      </c>
    </row>
    <row r="72" spans="1:13" x14ac:dyDescent="0.25">
      <c r="K72" s="30"/>
      <c r="L72" s="30"/>
      <c r="M72" s="30"/>
    </row>
    <row r="73" spans="1:13" x14ac:dyDescent="0.25">
      <c r="K73" s="214"/>
      <c r="L73" s="214"/>
      <c r="M73" s="214"/>
    </row>
    <row r="74" spans="1:13" x14ac:dyDescent="0.25">
      <c r="K74" s="214"/>
      <c r="L74" s="214"/>
      <c r="M74" s="214"/>
    </row>
    <row r="75" spans="1:13" x14ac:dyDescent="0.25">
      <c r="K75" s="101"/>
      <c r="L75" s="101"/>
      <c r="M75" s="101"/>
    </row>
  </sheetData>
  <phoneticPr fontId="0" type="noConversion"/>
  <pageMargins left="0.38" right="0.75" top="0.73" bottom="0.74" header="0.5" footer="0.5"/>
  <pageSetup scale="74" fitToHeight="2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0242-EF32-4FE0-859B-E0C4A9DC8D14}">
  <sheetPr>
    <tabColor rgb="FF00B0F0"/>
    <pageSetUpPr fitToPage="1"/>
  </sheetPr>
  <dimension ref="A1:AI196"/>
  <sheetViews>
    <sheetView zoomScale="70" zoomScaleNormal="7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T168" sqref="T168"/>
    </sheetView>
  </sheetViews>
  <sheetFormatPr defaultRowHeight="13.2" x14ac:dyDescent="0.25"/>
  <cols>
    <col min="1" max="1" width="11.6640625" style="21" customWidth="1"/>
    <col min="2" max="7" width="16.6640625" style="6" customWidth="1"/>
    <col min="8" max="8" width="11.5546875" style="1" customWidth="1"/>
    <col min="9" max="10" width="13.44140625" style="1" customWidth="1"/>
    <col min="11" max="11" width="10.33203125" style="44" customWidth="1"/>
    <col min="12" max="13" width="13" style="1" customWidth="1"/>
    <col min="14" max="14" width="14.6640625" style="1" bestFit="1" customWidth="1"/>
    <col min="15" max="15" width="11.6640625" style="1" bestFit="1" customWidth="1"/>
    <col min="16" max="16" width="16.44140625" style="1" bestFit="1" customWidth="1"/>
    <col min="17" max="17" width="21.5546875" style="1" bestFit="1" customWidth="1"/>
    <col min="18" max="18" width="15.5546875" style="1" bestFit="1" customWidth="1"/>
    <col min="19" max="19" width="21" style="1" customWidth="1"/>
    <col min="20" max="20" width="18.44140625" style="1" bestFit="1" customWidth="1"/>
    <col min="21" max="21" width="25.33203125" customWidth="1"/>
    <col min="22" max="22" width="21" customWidth="1"/>
    <col min="23" max="23" width="18.44140625" customWidth="1"/>
    <col min="24" max="28" width="12.5546875" customWidth="1"/>
    <col min="29" max="29" width="12.6640625" bestFit="1" customWidth="1"/>
    <col min="30" max="30" width="12.5546875" customWidth="1"/>
    <col min="31" max="31" width="42.44140625" bestFit="1" customWidth="1"/>
    <col min="32" max="32" width="15.5546875" bestFit="1" customWidth="1"/>
    <col min="33" max="33" width="26.109375" bestFit="1" customWidth="1"/>
    <col min="34" max="34" width="23" bestFit="1" customWidth="1"/>
    <col min="37" max="37" width="40.5546875" bestFit="1" customWidth="1"/>
    <col min="38" max="38" width="42.6640625" bestFit="1" customWidth="1"/>
  </cols>
  <sheetData>
    <row r="1" spans="1:35" x14ac:dyDescent="0.25">
      <c r="D1" s="112"/>
      <c r="E1" s="106"/>
      <c r="H1" s="73" t="s">
        <v>161</v>
      </c>
      <c r="I1" s="117"/>
      <c r="AF1" s="77"/>
      <c r="AG1" s="77"/>
      <c r="AH1" s="77"/>
      <c r="AI1" s="77"/>
    </row>
    <row r="2" spans="1:35" ht="39.6" x14ac:dyDescent="0.25">
      <c r="A2" s="220"/>
      <c r="B2" s="221" t="s">
        <v>130</v>
      </c>
      <c r="C2" s="221" t="s">
        <v>131</v>
      </c>
      <c r="D2" s="221" t="s">
        <v>162</v>
      </c>
      <c r="E2" s="221" t="s">
        <v>163</v>
      </c>
      <c r="F2" s="221" t="s">
        <v>164</v>
      </c>
      <c r="G2" s="221" t="s">
        <v>165</v>
      </c>
      <c r="H2" s="222" t="s">
        <v>35</v>
      </c>
      <c r="I2" s="222" t="s">
        <v>36</v>
      </c>
      <c r="J2" s="222" t="s">
        <v>37</v>
      </c>
      <c r="K2" s="223" t="s">
        <v>38</v>
      </c>
      <c r="L2" s="222" t="s">
        <v>39</v>
      </c>
      <c r="M2" s="222" t="s">
        <v>166</v>
      </c>
      <c r="N2" s="181" t="s">
        <v>167</v>
      </c>
      <c r="O2" s="222" t="s">
        <v>168</v>
      </c>
      <c r="P2" s="182" t="s">
        <v>169</v>
      </c>
      <c r="Q2" s="93" t="s">
        <v>170</v>
      </c>
      <c r="R2" s="93" t="s">
        <v>171</v>
      </c>
      <c r="S2" s="93" t="s">
        <v>172</v>
      </c>
      <c r="T2"/>
      <c r="U2" s="36" t="s">
        <v>173</v>
      </c>
      <c r="AE2" s="77"/>
      <c r="AF2" s="77"/>
      <c r="AG2" s="77"/>
      <c r="AH2" s="77"/>
    </row>
    <row r="3" spans="1:35" x14ac:dyDescent="0.25">
      <c r="A3" s="183">
        <v>42400</v>
      </c>
      <c r="B3" s="184" cm="1">
        <f t="array" ref="B3:B122">Inputs!D24:D143</f>
        <v>25159552</v>
      </c>
      <c r="C3" s="221"/>
      <c r="D3" s="185">
        <f>B3+C3</f>
        <v>25159552</v>
      </c>
      <c r="E3" s="221"/>
      <c r="F3" s="221"/>
      <c r="G3" s="185">
        <f>D3-E3-F3</f>
        <v>25159552</v>
      </c>
      <c r="H3" s="186">
        <v>670.4</v>
      </c>
      <c r="I3" s="186">
        <v>0</v>
      </c>
      <c r="J3" s="185">
        <v>31</v>
      </c>
      <c r="K3" s="187">
        <v>0</v>
      </c>
      <c r="L3" s="185" cm="1">
        <f t="array" ref="L3:L122">Inputs!C24:C143</f>
        <v>16198</v>
      </c>
      <c r="M3" s="185">
        <f>$V$30+$V$31*H3+$V$32*I3+$V$33*J3+$V$34*K3+$V$35*L3</f>
        <v>25030507.999321096</v>
      </c>
      <c r="N3" s="26">
        <f t="shared" ref="N3:N34" si="0">M3-G3</f>
        <v>-129044.00067890435</v>
      </c>
      <c r="O3" s="34">
        <f t="shared" ref="O3:O34" si="1">N3/G3</f>
        <v>-5.1290261718056167E-3</v>
      </c>
      <c r="P3" s="94">
        <f>ABS(O3)</f>
        <v>5.1290261718056167E-3</v>
      </c>
      <c r="Q3" s="95">
        <f>N3*N3</f>
        <v>16652354111.217068</v>
      </c>
      <c r="R3" s="95"/>
      <c r="S3" s="95"/>
      <c r="T3"/>
      <c r="U3" s="36"/>
      <c r="AE3" s="77"/>
      <c r="AF3" s="77"/>
      <c r="AG3" s="77"/>
      <c r="AH3" s="77"/>
    </row>
    <row r="4" spans="1:35" x14ac:dyDescent="0.25">
      <c r="A4" s="183">
        <v>42429</v>
      </c>
      <c r="B4" s="184">
        <v>23014941</v>
      </c>
      <c r="C4" s="221"/>
      <c r="D4" s="185">
        <f t="shared" ref="D4:D67" si="2">B4+C4</f>
        <v>23014941</v>
      </c>
      <c r="E4" s="221"/>
      <c r="F4" s="221"/>
      <c r="G4" s="185">
        <f t="shared" ref="G4:G62" si="3">D4-E4-F4</f>
        <v>23014941</v>
      </c>
      <c r="H4" s="186">
        <v>588.4</v>
      </c>
      <c r="I4" s="186">
        <v>0</v>
      </c>
      <c r="J4" s="185">
        <v>29</v>
      </c>
      <c r="K4" s="187">
        <v>0</v>
      </c>
      <c r="L4" s="185">
        <v>16213</v>
      </c>
      <c r="M4" s="185">
        <f t="shared" ref="M4:M67" si="4">$V$30+$V$31*H4+$V$32*I4+$V$33*J4+$V$34*K4+$V$35*L4</f>
        <v>22794203.497749321</v>
      </c>
      <c r="N4" s="26">
        <f t="shared" si="0"/>
        <v>-220737.50225067884</v>
      </c>
      <c r="O4" s="34">
        <f t="shared" si="1"/>
        <v>-9.591052275592574E-3</v>
      </c>
      <c r="P4" s="94">
        <f t="shared" ref="P4:P67" si="5">ABS(O4)</f>
        <v>9.591052275592574E-3</v>
      </c>
      <c r="Q4" s="95">
        <f t="shared" ref="Q4:Q67" si="6">N4*N4</f>
        <v>48725044899.868446</v>
      </c>
      <c r="R4" s="95">
        <f>N4-N3</f>
        <v>-91693.501571774483</v>
      </c>
      <c r="S4" s="95">
        <f>R4*R4</f>
        <v>8407698230.4930096</v>
      </c>
      <c r="T4"/>
      <c r="U4" s="36"/>
      <c r="AE4" s="77"/>
      <c r="AF4" s="77"/>
      <c r="AG4" s="77"/>
      <c r="AH4" s="77"/>
    </row>
    <row r="5" spans="1:35" x14ac:dyDescent="0.25">
      <c r="A5" s="183">
        <v>42460</v>
      </c>
      <c r="B5" s="184">
        <v>21970551</v>
      </c>
      <c r="C5" s="221"/>
      <c r="D5" s="185">
        <f t="shared" si="2"/>
        <v>21970551</v>
      </c>
      <c r="E5" s="221"/>
      <c r="F5" s="221"/>
      <c r="G5" s="185">
        <f t="shared" si="3"/>
        <v>21970551</v>
      </c>
      <c r="H5" s="186">
        <v>476.0999999999998</v>
      </c>
      <c r="I5" s="186">
        <v>0</v>
      </c>
      <c r="J5" s="185">
        <v>31</v>
      </c>
      <c r="K5" s="187">
        <v>1</v>
      </c>
      <c r="L5" s="185">
        <v>16244</v>
      </c>
      <c r="M5" s="185">
        <f t="shared" si="4"/>
        <v>21634498.466820851</v>
      </c>
      <c r="N5" s="26">
        <f t="shared" si="0"/>
        <v>-336052.53317914903</v>
      </c>
      <c r="O5" s="34">
        <f t="shared" si="1"/>
        <v>-1.5295589681804021E-2</v>
      </c>
      <c r="P5" s="94">
        <f t="shared" si="5"/>
        <v>1.5295589681804021E-2</v>
      </c>
      <c r="Q5" s="95">
        <f t="shared" si="6"/>
        <v>112931305056.12306</v>
      </c>
      <c r="R5" s="95">
        <f t="shared" ref="R5:R68" si="7">N5-N4</f>
        <v>-115315.03092847019</v>
      </c>
      <c r="S5" s="95">
        <f t="shared" ref="S5:S68" si="8">R5*R5</f>
        <v>13297556358.034037</v>
      </c>
      <c r="T5"/>
      <c r="U5" s="36"/>
      <c r="AE5" s="77"/>
      <c r="AF5" s="77"/>
      <c r="AG5" s="77"/>
      <c r="AH5" s="77"/>
    </row>
    <row r="6" spans="1:35" x14ac:dyDescent="0.25">
      <c r="A6" s="183">
        <v>42490</v>
      </c>
      <c r="B6" s="184">
        <v>19763963</v>
      </c>
      <c r="C6" s="221"/>
      <c r="D6" s="185">
        <f t="shared" si="2"/>
        <v>19763963</v>
      </c>
      <c r="E6" s="221"/>
      <c r="F6" s="221"/>
      <c r="G6" s="185">
        <f t="shared" si="3"/>
        <v>19763963</v>
      </c>
      <c r="H6" s="186">
        <v>394.8</v>
      </c>
      <c r="I6" s="186">
        <v>0</v>
      </c>
      <c r="J6" s="185">
        <v>30</v>
      </c>
      <c r="K6" s="187">
        <v>1</v>
      </c>
      <c r="L6" s="185">
        <v>16250</v>
      </c>
      <c r="M6" s="185">
        <f t="shared" si="4"/>
        <v>20013678.74696286</v>
      </c>
      <c r="N6" s="26">
        <f t="shared" si="0"/>
        <v>249715.74696286023</v>
      </c>
      <c r="O6" s="34">
        <f t="shared" si="1"/>
        <v>1.2634902573075058E-2</v>
      </c>
      <c r="P6" s="94">
        <f t="shared" si="5"/>
        <v>1.2634902573075058E-2</v>
      </c>
      <c r="Q6" s="95">
        <f t="shared" si="6"/>
        <v>62357954281.219238</v>
      </c>
      <c r="R6" s="95">
        <f t="shared" si="7"/>
        <v>585768.28014200926</v>
      </c>
      <c r="S6" s="95">
        <f t="shared" si="8"/>
        <v>343124478020.52747</v>
      </c>
      <c r="T6"/>
      <c r="U6" s="36"/>
      <c r="AE6" s="77"/>
      <c r="AF6" s="77"/>
      <c r="AG6" s="77"/>
      <c r="AH6" s="77"/>
    </row>
    <row r="7" spans="1:35" x14ac:dyDescent="0.25">
      <c r="A7" s="183">
        <v>42521</v>
      </c>
      <c r="B7" s="184">
        <v>18836973</v>
      </c>
      <c r="C7" s="221"/>
      <c r="D7" s="185">
        <f t="shared" si="2"/>
        <v>18836973</v>
      </c>
      <c r="E7" s="221"/>
      <c r="F7" s="221"/>
      <c r="G7" s="185">
        <f t="shared" si="3"/>
        <v>18836973</v>
      </c>
      <c r="H7" s="186">
        <v>142.50000000000003</v>
      </c>
      <c r="I7" s="186">
        <v>36.9</v>
      </c>
      <c r="J7" s="185">
        <v>31</v>
      </c>
      <c r="K7" s="187">
        <v>1</v>
      </c>
      <c r="L7" s="185">
        <v>16262</v>
      </c>
      <c r="M7" s="185">
        <f t="shared" si="4"/>
        <v>19306201.86691707</v>
      </c>
      <c r="N7" s="26">
        <f t="shared" si="0"/>
        <v>469228.86691707</v>
      </c>
      <c r="O7" s="34">
        <f t="shared" si="1"/>
        <v>2.4909993071448901E-2</v>
      </c>
      <c r="P7" s="94">
        <f t="shared" si="5"/>
        <v>2.4909993071448901E-2</v>
      </c>
      <c r="Q7" s="95">
        <f t="shared" si="6"/>
        <v>220175729548.2774</v>
      </c>
      <c r="R7" s="95">
        <f t="shared" si="7"/>
        <v>219513.11995420977</v>
      </c>
      <c r="S7" s="95">
        <f t="shared" si="8"/>
        <v>48186009832.031288</v>
      </c>
      <c r="T7"/>
      <c r="U7" s="36"/>
      <c r="AE7" s="77"/>
      <c r="AF7" s="77"/>
      <c r="AG7" s="77"/>
      <c r="AH7" s="77"/>
    </row>
    <row r="8" spans="1:35" x14ac:dyDescent="0.25">
      <c r="A8" s="183">
        <v>42551</v>
      </c>
      <c r="B8" s="184">
        <v>19211234</v>
      </c>
      <c r="C8" s="221"/>
      <c r="D8" s="185">
        <f t="shared" si="2"/>
        <v>19211234</v>
      </c>
      <c r="E8" s="221"/>
      <c r="F8" s="221"/>
      <c r="G8" s="185">
        <f t="shared" si="3"/>
        <v>19211234</v>
      </c>
      <c r="H8" s="186">
        <v>24.200000000000003</v>
      </c>
      <c r="I8" s="186">
        <v>83.7</v>
      </c>
      <c r="J8" s="185">
        <v>30</v>
      </c>
      <c r="K8" s="187">
        <v>0</v>
      </c>
      <c r="L8" s="185">
        <v>16270</v>
      </c>
      <c r="M8" s="185">
        <f t="shared" si="4"/>
        <v>20537995.507092305</v>
      </c>
      <c r="N8" s="26">
        <f t="shared" si="0"/>
        <v>1326761.5070923045</v>
      </c>
      <c r="O8" s="34">
        <f t="shared" si="1"/>
        <v>6.9061753507989362E-2</v>
      </c>
      <c r="P8" s="94">
        <f t="shared" si="5"/>
        <v>6.9061753507989362E-2</v>
      </c>
      <c r="Q8" s="95">
        <f t="shared" si="6"/>
        <v>1760296096701.8433</v>
      </c>
      <c r="R8" s="95">
        <f t="shared" si="7"/>
        <v>857532.64017523453</v>
      </c>
      <c r="S8" s="95">
        <f t="shared" si="8"/>
        <v>735362228965.9082</v>
      </c>
      <c r="T8"/>
      <c r="U8" s="36"/>
      <c r="AE8" s="77"/>
      <c r="AF8" s="77"/>
      <c r="AG8" s="77"/>
      <c r="AH8" s="77"/>
    </row>
    <row r="9" spans="1:35" x14ac:dyDescent="0.25">
      <c r="A9" s="183">
        <v>42582</v>
      </c>
      <c r="B9" s="184">
        <v>23404500</v>
      </c>
      <c r="C9" s="221"/>
      <c r="D9" s="185">
        <f t="shared" si="2"/>
        <v>23404500</v>
      </c>
      <c r="E9" s="221"/>
      <c r="F9" s="221"/>
      <c r="G9" s="185">
        <f t="shared" si="3"/>
        <v>23404500</v>
      </c>
      <c r="H9" s="186">
        <v>0</v>
      </c>
      <c r="I9" s="186">
        <v>176.89999999999998</v>
      </c>
      <c r="J9" s="185">
        <v>31</v>
      </c>
      <c r="K9" s="187">
        <v>0</v>
      </c>
      <c r="L9" s="185">
        <v>16282</v>
      </c>
      <c r="M9" s="185">
        <f t="shared" si="4"/>
        <v>25419612.404820539</v>
      </c>
      <c r="N9" s="26">
        <f t="shared" si="0"/>
        <v>2015112.4048205391</v>
      </c>
      <c r="O9" s="34">
        <f t="shared" si="1"/>
        <v>8.6099357167234464E-2</v>
      </c>
      <c r="P9" s="94">
        <f t="shared" si="5"/>
        <v>8.6099357167234464E-2</v>
      </c>
      <c r="Q9" s="95">
        <f t="shared" si="6"/>
        <v>4060678004061.6162</v>
      </c>
      <c r="R9" s="95">
        <f t="shared" si="7"/>
        <v>688350.89772823453</v>
      </c>
      <c r="S9" s="95">
        <f t="shared" si="8"/>
        <v>473826958403.26642</v>
      </c>
      <c r="T9"/>
      <c r="U9" s="36"/>
      <c r="AE9" s="77"/>
      <c r="AF9" s="77"/>
      <c r="AG9" s="77"/>
      <c r="AH9" s="77"/>
    </row>
    <row r="10" spans="1:35" x14ac:dyDescent="0.25">
      <c r="A10" s="183">
        <v>42613</v>
      </c>
      <c r="B10" s="184">
        <v>24564804</v>
      </c>
      <c r="C10" s="221"/>
      <c r="D10" s="185">
        <f t="shared" si="2"/>
        <v>24564804</v>
      </c>
      <c r="E10" s="221"/>
      <c r="F10" s="221"/>
      <c r="G10" s="185">
        <f t="shared" si="3"/>
        <v>24564804</v>
      </c>
      <c r="H10" s="186">
        <v>0</v>
      </c>
      <c r="I10" s="186">
        <v>195.4</v>
      </c>
      <c r="J10" s="185">
        <v>31</v>
      </c>
      <c r="K10" s="187">
        <v>0</v>
      </c>
      <c r="L10" s="185">
        <v>16293</v>
      </c>
      <c r="M10" s="185">
        <f t="shared" si="4"/>
        <v>26334416.356187753</v>
      </c>
      <c r="N10" s="26">
        <f t="shared" si="0"/>
        <v>1769612.3561877534</v>
      </c>
      <c r="O10" s="34">
        <f t="shared" si="1"/>
        <v>7.2038529441869489E-2</v>
      </c>
      <c r="P10" s="94">
        <f t="shared" si="5"/>
        <v>7.2038529441869489E-2</v>
      </c>
      <c r="Q10" s="95">
        <f t="shared" si="6"/>
        <v>3131527891172.3721</v>
      </c>
      <c r="R10" s="95">
        <f t="shared" si="7"/>
        <v>-245500.04863278568</v>
      </c>
      <c r="S10" s="95">
        <f t="shared" si="8"/>
        <v>60270273878.700134</v>
      </c>
      <c r="T10"/>
      <c r="U10" s="36"/>
      <c r="AE10" s="77"/>
      <c r="AF10" s="77"/>
      <c r="AG10" s="77"/>
      <c r="AH10" s="77"/>
    </row>
    <row r="11" spans="1:35" x14ac:dyDescent="0.25">
      <c r="A11" s="183">
        <v>42643</v>
      </c>
      <c r="B11" s="184">
        <v>19239594</v>
      </c>
      <c r="C11" s="221"/>
      <c r="D11" s="185">
        <f t="shared" si="2"/>
        <v>19239594</v>
      </c>
      <c r="E11" s="221"/>
      <c r="F11" s="221"/>
      <c r="G11" s="185">
        <f t="shared" si="3"/>
        <v>19239594</v>
      </c>
      <c r="H11" s="186">
        <v>25.900000000000006</v>
      </c>
      <c r="I11" s="186">
        <v>69.400000000000006</v>
      </c>
      <c r="J11" s="185">
        <v>30</v>
      </c>
      <c r="K11" s="187">
        <v>1</v>
      </c>
      <c r="L11" s="185">
        <v>16324</v>
      </c>
      <c r="M11" s="185">
        <f t="shared" si="4"/>
        <v>18888378.452747304</v>
      </c>
      <c r="N11" s="26">
        <f t="shared" si="0"/>
        <v>-351215.54725269601</v>
      </c>
      <c r="O11" s="34">
        <f t="shared" si="1"/>
        <v>-1.8254831534007216E-2</v>
      </c>
      <c r="P11" s="94">
        <f t="shared" si="5"/>
        <v>1.8254831534007216E-2</v>
      </c>
      <c r="Q11" s="95">
        <f t="shared" si="6"/>
        <v>123352360632.01074</v>
      </c>
      <c r="R11" s="95">
        <f t="shared" si="7"/>
        <v>-2120827.9034404494</v>
      </c>
      <c r="S11" s="95">
        <f t="shared" si="8"/>
        <v>4497910996011.6123</v>
      </c>
      <c r="T11"/>
      <c r="U11" s="36"/>
      <c r="AE11" s="77"/>
      <c r="AF11" s="77"/>
      <c r="AG11" s="77"/>
      <c r="AH11" s="77"/>
    </row>
    <row r="12" spans="1:35" x14ac:dyDescent="0.25">
      <c r="A12" s="183">
        <v>42674</v>
      </c>
      <c r="B12" s="184">
        <v>19360398</v>
      </c>
      <c r="C12" s="221"/>
      <c r="D12" s="185">
        <f t="shared" si="2"/>
        <v>19360398</v>
      </c>
      <c r="E12" s="221"/>
      <c r="F12" s="221"/>
      <c r="G12" s="185">
        <f t="shared" si="3"/>
        <v>19360398</v>
      </c>
      <c r="H12" s="186">
        <v>194.20000000000002</v>
      </c>
      <c r="I12" s="186">
        <v>4.0999999999999996</v>
      </c>
      <c r="J12" s="185">
        <v>31</v>
      </c>
      <c r="K12" s="187">
        <v>1</v>
      </c>
      <c r="L12" s="185">
        <v>16371</v>
      </c>
      <c r="M12" s="185">
        <f t="shared" si="4"/>
        <v>18449789.621008549</v>
      </c>
      <c r="N12" s="26">
        <f t="shared" si="0"/>
        <v>-910608.37899145111</v>
      </c>
      <c r="O12" s="34">
        <f t="shared" si="1"/>
        <v>-4.7034589835986386E-2</v>
      </c>
      <c r="P12" s="94">
        <f t="shared" si="5"/>
        <v>4.7034589835986386E-2</v>
      </c>
      <c r="Q12" s="95">
        <f t="shared" si="6"/>
        <v>829207619889.43823</v>
      </c>
      <c r="R12" s="95">
        <f t="shared" si="7"/>
        <v>-559392.83173875511</v>
      </c>
      <c r="S12" s="95">
        <f t="shared" si="8"/>
        <v>312920340200.70319</v>
      </c>
      <c r="T12"/>
      <c r="U12" s="36"/>
      <c r="AE12" s="77"/>
      <c r="AF12" s="77"/>
      <c r="AG12" s="77"/>
      <c r="AH12" s="77"/>
    </row>
    <row r="13" spans="1:35" x14ac:dyDescent="0.25">
      <c r="A13" s="183">
        <v>42704</v>
      </c>
      <c r="B13" s="184">
        <v>20317470</v>
      </c>
      <c r="C13" s="221"/>
      <c r="D13" s="185">
        <f t="shared" si="2"/>
        <v>20317470</v>
      </c>
      <c r="E13" s="221"/>
      <c r="F13" s="221"/>
      <c r="G13" s="185">
        <f t="shared" si="3"/>
        <v>20317470</v>
      </c>
      <c r="H13" s="186">
        <v>337.80000000000007</v>
      </c>
      <c r="I13" s="186">
        <v>0</v>
      </c>
      <c r="J13" s="185">
        <v>30</v>
      </c>
      <c r="K13" s="187">
        <v>1</v>
      </c>
      <c r="L13" s="185">
        <v>16400</v>
      </c>
      <c r="M13" s="185">
        <f t="shared" si="4"/>
        <v>19447705.767500315</v>
      </c>
      <c r="N13" s="26">
        <f t="shared" si="0"/>
        <v>-869764.23249968514</v>
      </c>
      <c r="O13" s="34">
        <f t="shared" si="1"/>
        <v>-4.2808687917328545E-2</v>
      </c>
      <c r="P13" s="94">
        <f t="shared" si="5"/>
        <v>4.2808687917328545E-2</v>
      </c>
      <c r="Q13" s="95">
        <f t="shared" si="6"/>
        <v>756489820135.76636</v>
      </c>
      <c r="R13" s="95">
        <f t="shared" si="7"/>
        <v>40844.146491765976</v>
      </c>
      <c r="S13" s="95">
        <f t="shared" si="8"/>
        <v>1668244302.6408389</v>
      </c>
      <c r="T13"/>
      <c r="U13" s="36"/>
      <c r="AE13" s="77"/>
      <c r="AF13" s="77"/>
      <c r="AG13" s="77"/>
      <c r="AH13" s="77"/>
    </row>
    <row r="14" spans="1:35" x14ac:dyDescent="0.25">
      <c r="A14" s="183">
        <v>42735</v>
      </c>
      <c r="B14" s="184">
        <v>24538056</v>
      </c>
      <c r="C14" s="221"/>
      <c r="D14" s="185">
        <f t="shared" si="2"/>
        <v>24538056</v>
      </c>
      <c r="E14" s="221"/>
      <c r="F14" s="221"/>
      <c r="G14" s="185">
        <f t="shared" si="3"/>
        <v>24538056</v>
      </c>
      <c r="H14" s="186">
        <v>607.99999999999989</v>
      </c>
      <c r="I14" s="186">
        <v>0</v>
      </c>
      <c r="J14" s="185">
        <v>31</v>
      </c>
      <c r="K14" s="187">
        <v>0</v>
      </c>
      <c r="L14" s="185">
        <v>16426</v>
      </c>
      <c r="M14" s="185">
        <f t="shared" si="4"/>
        <v>24471717.969498865</v>
      </c>
      <c r="N14" s="26">
        <f t="shared" si="0"/>
        <v>-66338.030501134694</v>
      </c>
      <c r="O14" s="34">
        <f t="shared" si="1"/>
        <v>-2.7034753894576934E-3</v>
      </c>
      <c r="P14" s="94">
        <f t="shared" si="5"/>
        <v>2.7034753894576934E-3</v>
      </c>
      <c r="Q14" s="95">
        <f t="shared" si="6"/>
        <v>4400734290.7694769</v>
      </c>
      <c r="R14" s="95">
        <f t="shared" si="7"/>
        <v>803426.20199855044</v>
      </c>
      <c r="S14" s="95">
        <f t="shared" si="8"/>
        <v>645493662057.81555</v>
      </c>
      <c r="T14"/>
      <c r="AE14" s="77"/>
      <c r="AF14" s="77"/>
      <c r="AG14" s="77"/>
      <c r="AH14" s="77"/>
    </row>
    <row r="15" spans="1:35" ht="13.8" thickBot="1" x14ac:dyDescent="0.3">
      <c r="A15" s="183">
        <v>42766</v>
      </c>
      <c r="B15" s="185">
        <v>24383250.957844518</v>
      </c>
      <c r="C15" s="185"/>
      <c r="D15" s="185">
        <f t="shared" si="2"/>
        <v>24383250.957844518</v>
      </c>
      <c r="E15" s="185"/>
      <c r="F15" s="185"/>
      <c r="G15" s="185">
        <f t="shared" si="3"/>
        <v>24383250.957844518</v>
      </c>
      <c r="H15" s="185">
        <v>608.9</v>
      </c>
      <c r="I15" s="185">
        <v>0</v>
      </c>
      <c r="J15" s="185">
        <v>31</v>
      </c>
      <c r="K15" s="187">
        <v>0</v>
      </c>
      <c r="L15" s="185">
        <v>16479</v>
      </c>
      <c r="M15" s="185">
        <f t="shared" si="4"/>
        <v>24533429.234335303</v>
      </c>
      <c r="N15" s="26">
        <f t="shared" si="0"/>
        <v>150178.27649078518</v>
      </c>
      <c r="O15" s="34">
        <f t="shared" si="1"/>
        <v>6.1590752090614972E-3</v>
      </c>
      <c r="P15" s="94">
        <f t="shared" si="5"/>
        <v>6.1590752090614972E-3</v>
      </c>
      <c r="Q15" s="95">
        <f t="shared" si="6"/>
        <v>22553514729.742722</v>
      </c>
      <c r="R15" s="95">
        <f t="shared" si="7"/>
        <v>216516.30699191988</v>
      </c>
      <c r="S15" s="95">
        <f t="shared" si="8"/>
        <v>46879311193.419289</v>
      </c>
      <c r="T15"/>
      <c r="AE15" s="77"/>
      <c r="AF15" s="77"/>
      <c r="AG15" s="77"/>
      <c r="AH15" s="77"/>
    </row>
    <row r="16" spans="1:35" x14ac:dyDescent="0.25">
      <c r="A16" s="183">
        <v>42794</v>
      </c>
      <c r="B16" s="185">
        <v>21070773.226623036</v>
      </c>
      <c r="C16" s="185"/>
      <c r="D16" s="185">
        <f t="shared" si="2"/>
        <v>21070773.226623036</v>
      </c>
      <c r="E16" s="185"/>
      <c r="F16" s="185"/>
      <c r="G16" s="185">
        <f t="shared" si="3"/>
        <v>21070773.226623036</v>
      </c>
      <c r="H16" s="185">
        <v>510.4</v>
      </c>
      <c r="I16" s="185">
        <v>0</v>
      </c>
      <c r="J16" s="185">
        <v>28</v>
      </c>
      <c r="K16" s="187">
        <v>0</v>
      </c>
      <c r="L16" s="185">
        <v>16483</v>
      </c>
      <c r="M16" s="185">
        <f t="shared" si="4"/>
        <v>21466061.751129754</v>
      </c>
      <c r="N16" s="26">
        <f t="shared" si="0"/>
        <v>395288.52450671792</v>
      </c>
      <c r="O16" s="34">
        <f t="shared" si="1"/>
        <v>1.8760038858339986E-2</v>
      </c>
      <c r="P16" s="94">
        <f t="shared" si="5"/>
        <v>1.8760038858339986E-2</v>
      </c>
      <c r="Q16" s="95">
        <f t="shared" si="6"/>
        <v>156253017606.69812</v>
      </c>
      <c r="R16" s="95">
        <f t="shared" si="7"/>
        <v>245110.24801593274</v>
      </c>
      <c r="S16" s="95">
        <f t="shared" si="8"/>
        <v>60079033682.43206</v>
      </c>
      <c r="T16"/>
      <c r="U16" s="122" t="s">
        <v>174</v>
      </c>
      <c r="V16" s="122"/>
      <c r="AE16" s="77"/>
      <c r="AF16" s="77"/>
      <c r="AG16" s="77"/>
      <c r="AH16" s="77"/>
    </row>
    <row r="17" spans="1:34" x14ac:dyDescent="0.25">
      <c r="A17" s="183">
        <v>42825</v>
      </c>
      <c r="B17" s="185">
        <v>23393184.032128658</v>
      </c>
      <c r="C17" s="185"/>
      <c r="D17" s="185">
        <f t="shared" si="2"/>
        <v>23393184.032128658</v>
      </c>
      <c r="E17" s="185"/>
      <c r="F17" s="185"/>
      <c r="G17" s="185">
        <f t="shared" si="3"/>
        <v>23393184.032128658</v>
      </c>
      <c r="H17" s="185">
        <v>574</v>
      </c>
      <c r="I17" s="185">
        <v>0</v>
      </c>
      <c r="J17" s="185">
        <v>31</v>
      </c>
      <c r="K17" s="187">
        <v>1</v>
      </c>
      <c r="L17" s="185">
        <v>16497</v>
      </c>
      <c r="M17" s="185">
        <f t="shared" si="4"/>
        <v>23093294.419115879</v>
      </c>
      <c r="N17" s="26">
        <f t="shared" si="0"/>
        <v>-299889.6130127795</v>
      </c>
      <c r="O17" s="34">
        <f t="shared" si="1"/>
        <v>-1.281952950914699E-2</v>
      </c>
      <c r="P17" s="94">
        <f t="shared" si="5"/>
        <v>1.281952950914699E-2</v>
      </c>
      <c r="Q17" s="95">
        <f t="shared" si="6"/>
        <v>89933779992.954651</v>
      </c>
      <c r="R17" s="95">
        <f t="shared" si="7"/>
        <v>-695178.13751949742</v>
      </c>
      <c r="S17" s="95">
        <f t="shared" si="8"/>
        <v>483272642885.07727</v>
      </c>
      <c r="T17"/>
      <c r="U17" t="s">
        <v>28</v>
      </c>
      <c r="V17" s="203">
        <v>0.98053867505605607</v>
      </c>
      <c r="AE17" s="77"/>
      <c r="AF17" s="77"/>
      <c r="AG17" s="77"/>
      <c r="AH17" s="77"/>
    </row>
    <row r="18" spans="1:34" x14ac:dyDescent="0.25">
      <c r="A18" s="183">
        <v>42855</v>
      </c>
      <c r="B18" s="185">
        <v>18825985.160844527</v>
      </c>
      <c r="C18" s="185"/>
      <c r="D18" s="185">
        <f t="shared" si="2"/>
        <v>18825985.160844527</v>
      </c>
      <c r="E18" s="185"/>
      <c r="F18" s="185"/>
      <c r="G18" s="185">
        <f t="shared" si="3"/>
        <v>18825985.160844527</v>
      </c>
      <c r="H18" s="185">
        <v>257.49999999999994</v>
      </c>
      <c r="I18" s="185">
        <v>0</v>
      </c>
      <c r="J18" s="185">
        <v>30</v>
      </c>
      <c r="K18" s="187">
        <v>1</v>
      </c>
      <c r="L18" s="185">
        <v>16510</v>
      </c>
      <c r="M18" s="185">
        <f t="shared" si="4"/>
        <v>18553808.973237999</v>
      </c>
      <c r="N18" s="26">
        <f t="shared" si="0"/>
        <v>-272176.1876065284</v>
      </c>
      <c r="O18" s="34">
        <f t="shared" si="1"/>
        <v>-1.4457473820420173E-2</v>
      </c>
      <c r="P18" s="94">
        <f t="shared" si="5"/>
        <v>1.4457473820420173E-2</v>
      </c>
      <c r="Q18" s="95">
        <f t="shared" si="6"/>
        <v>74079877100.024139</v>
      </c>
      <c r="R18" s="95">
        <f t="shared" si="7"/>
        <v>27713.425406251103</v>
      </c>
      <c r="S18" s="95">
        <f t="shared" si="8"/>
        <v>768033947.7478441</v>
      </c>
      <c r="T18"/>
      <c r="U18" t="s">
        <v>29</v>
      </c>
      <c r="V18" s="203">
        <v>0.96145609328068582</v>
      </c>
      <c r="AE18" s="77"/>
      <c r="AF18" s="77"/>
      <c r="AG18" s="77"/>
      <c r="AH18" s="77"/>
    </row>
    <row r="19" spans="1:34" x14ac:dyDescent="0.25">
      <c r="A19" s="183">
        <v>42886</v>
      </c>
      <c r="B19" s="185">
        <v>18786333.0832728</v>
      </c>
      <c r="C19" s="185"/>
      <c r="D19" s="185">
        <f t="shared" si="2"/>
        <v>18786333.0832728</v>
      </c>
      <c r="E19" s="185"/>
      <c r="F19" s="185"/>
      <c r="G19" s="185">
        <f t="shared" si="3"/>
        <v>18786333.0832728</v>
      </c>
      <c r="H19" s="185">
        <v>177</v>
      </c>
      <c r="I19" s="185">
        <v>9</v>
      </c>
      <c r="J19" s="185">
        <v>31</v>
      </c>
      <c r="K19" s="187">
        <v>1</v>
      </c>
      <c r="L19" s="185">
        <v>16550</v>
      </c>
      <c r="M19" s="185">
        <f t="shared" si="4"/>
        <v>18645999.509615511</v>
      </c>
      <c r="N19" s="26">
        <f t="shared" si="0"/>
        <v>-140333.57365728915</v>
      </c>
      <c r="O19" s="34">
        <f t="shared" si="1"/>
        <v>-7.4699821958464597E-3</v>
      </c>
      <c r="P19" s="94">
        <f t="shared" si="5"/>
        <v>7.4699821958464597E-3</v>
      </c>
      <c r="Q19" s="95">
        <f t="shared" si="6"/>
        <v>19693511895.4258</v>
      </c>
      <c r="R19" s="95">
        <f t="shared" si="7"/>
        <v>131842.61394923925</v>
      </c>
      <c r="S19" s="95">
        <f t="shared" si="8"/>
        <v>17382474852.968136</v>
      </c>
      <c r="T19"/>
      <c r="U19" t="s">
        <v>30</v>
      </c>
      <c r="V19" s="203">
        <v>0.95976557105615445</v>
      </c>
      <c r="AE19" s="77"/>
      <c r="AF19" s="77"/>
      <c r="AG19" s="77"/>
      <c r="AH19" s="77"/>
    </row>
    <row r="20" spans="1:34" x14ac:dyDescent="0.25">
      <c r="A20" s="183">
        <v>42916</v>
      </c>
      <c r="B20" s="185">
        <v>19567266.152046304</v>
      </c>
      <c r="C20" s="185"/>
      <c r="D20" s="185">
        <f t="shared" si="2"/>
        <v>19567266.152046304</v>
      </c>
      <c r="E20" s="185"/>
      <c r="F20" s="185"/>
      <c r="G20" s="185">
        <f t="shared" si="3"/>
        <v>19567266.152046304</v>
      </c>
      <c r="H20" s="185">
        <v>26.699999999999996</v>
      </c>
      <c r="I20" s="185">
        <v>68.2</v>
      </c>
      <c r="J20" s="185">
        <v>30</v>
      </c>
      <c r="K20" s="187">
        <v>0</v>
      </c>
      <c r="L20" s="185">
        <v>16589</v>
      </c>
      <c r="M20" s="185">
        <f t="shared" si="4"/>
        <v>20115474.182451345</v>
      </c>
      <c r="N20" s="26">
        <f t="shared" si="0"/>
        <v>548208.03040504083</v>
      </c>
      <c r="O20" s="34">
        <f t="shared" si="1"/>
        <v>2.8016587812790105E-2</v>
      </c>
      <c r="P20" s="94">
        <f t="shared" si="5"/>
        <v>2.8016587812790105E-2</v>
      </c>
      <c r="Q20" s="95">
        <f t="shared" si="6"/>
        <v>300532044600.57416</v>
      </c>
      <c r="R20" s="95">
        <f t="shared" si="7"/>
        <v>688541.60406232998</v>
      </c>
      <c r="S20" s="95">
        <f t="shared" si="8"/>
        <v>474089540524.72638</v>
      </c>
      <c r="T20"/>
      <c r="U20" t="s">
        <v>175</v>
      </c>
      <c r="V20">
        <v>685943.84493557818</v>
      </c>
      <c r="AE20" s="77"/>
      <c r="AF20" s="77"/>
      <c r="AG20" s="77"/>
      <c r="AH20" s="77"/>
    </row>
    <row r="21" spans="1:34" ht="13.8" thickBot="1" x14ac:dyDescent="0.3">
      <c r="A21" s="183">
        <v>42947</v>
      </c>
      <c r="B21" s="185">
        <v>22381676.491002649</v>
      </c>
      <c r="C21" s="185"/>
      <c r="D21" s="185">
        <f t="shared" si="2"/>
        <v>22381676.491002649</v>
      </c>
      <c r="E21" s="185"/>
      <c r="F21" s="185"/>
      <c r="G21" s="185">
        <f t="shared" si="3"/>
        <v>22381676.491002649</v>
      </c>
      <c r="H21" s="185">
        <v>0</v>
      </c>
      <c r="I21" s="185">
        <v>116.49999999999999</v>
      </c>
      <c r="J21" s="185">
        <v>31</v>
      </c>
      <c r="K21" s="187">
        <v>0</v>
      </c>
      <c r="L21" s="185">
        <v>16719</v>
      </c>
      <c r="M21" s="185">
        <f t="shared" si="4"/>
        <v>22883662.389435846</v>
      </c>
      <c r="N21" s="26">
        <f t="shared" si="0"/>
        <v>501985.89843319729</v>
      </c>
      <c r="O21" s="34">
        <f t="shared" si="1"/>
        <v>2.2428431517853176E-2</v>
      </c>
      <c r="P21" s="94">
        <f t="shared" si="5"/>
        <v>2.2428431517853176E-2</v>
      </c>
      <c r="Q21" s="95">
        <f t="shared" si="6"/>
        <v>251989842225.78427</v>
      </c>
      <c r="R21" s="95">
        <f t="shared" si="7"/>
        <v>-46222.131971843541</v>
      </c>
      <c r="S21" s="95">
        <f t="shared" si="8"/>
        <v>2136485484.0225208</v>
      </c>
      <c r="T21"/>
      <c r="U21" s="120" t="s">
        <v>176</v>
      </c>
      <c r="V21" s="120">
        <v>120</v>
      </c>
      <c r="AE21" s="77"/>
      <c r="AF21" s="77"/>
      <c r="AG21" s="77"/>
      <c r="AH21" s="77"/>
    </row>
    <row r="22" spans="1:34" x14ac:dyDescent="0.25">
      <c r="A22" s="183">
        <v>42978</v>
      </c>
      <c r="B22" s="185">
        <v>21132315.915526163</v>
      </c>
      <c r="C22" s="185"/>
      <c r="D22" s="185">
        <f t="shared" si="2"/>
        <v>21132315.915526163</v>
      </c>
      <c r="E22" s="185"/>
      <c r="F22" s="185"/>
      <c r="G22" s="185">
        <f t="shared" si="3"/>
        <v>21132315.915526163</v>
      </c>
      <c r="H22" s="185">
        <v>11.6</v>
      </c>
      <c r="I22" s="185">
        <v>75.2</v>
      </c>
      <c r="J22" s="185">
        <v>31</v>
      </c>
      <c r="K22" s="187">
        <v>0</v>
      </c>
      <c r="L22" s="185">
        <v>16775</v>
      </c>
      <c r="M22" s="185">
        <f t="shared" si="4"/>
        <v>21062484.556113705</v>
      </c>
      <c r="N22" s="26">
        <f t="shared" si="0"/>
        <v>-69831.359412457794</v>
      </c>
      <c r="O22" s="34">
        <f t="shared" si="1"/>
        <v>-3.3044820876045994E-3</v>
      </c>
      <c r="P22" s="94">
        <f t="shared" si="5"/>
        <v>3.3044820876045994E-3</v>
      </c>
      <c r="Q22" s="95">
        <f t="shared" si="6"/>
        <v>4876418757.3918581</v>
      </c>
      <c r="R22" s="95">
        <f t="shared" si="7"/>
        <v>-571817.25784565508</v>
      </c>
      <c r="S22" s="95">
        <f t="shared" si="8"/>
        <v>326974976370.12439</v>
      </c>
      <c r="T22"/>
      <c r="AE22" s="77"/>
      <c r="AF22" s="77"/>
      <c r="AG22" s="77"/>
      <c r="AH22" s="77"/>
    </row>
    <row r="23" spans="1:34" ht="13.8" thickBot="1" x14ac:dyDescent="0.3">
      <c r="A23" s="183">
        <v>43008</v>
      </c>
      <c r="B23" s="185">
        <v>19954544.032724753</v>
      </c>
      <c r="C23" s="185"/>
      <c r="D23" s="185">
        <f t="shared" si="2"/>
        <v>19954544.032724753</v>
      </c>
      <c r="E23" s="185"/>
      <c r="F23" s="185"/>
      <c r="G23" s="185">
        <f t="shared" si="3"/>
        <v>19954544.032724753</v>
      </c>
      <c r="H23" s="185">
        <v>49.1</v>
      </c>
      <c r="I23" s="185">
        <v>71.499999999999986</v>
      </c>
      <c r="J23" s="185">
        <v>30</v>
      </c>
      <c r="K23" s="187">
        <v>1</v>
      </c>
      <c r="L23" s="185">
        <v>16851</v>
      </c>
      <c r="M23" s="185">
        <f t="shared" si="4"/>
        <v>19781898.862718306</v>
      </c>
      <c r="N23" s="26">
        <f t="shared" si="0"/>
        <v>-172645.17000644654</v>
      </c>
      <c r="O23" s="34">
        <f t="shared" si="1"/>
        <v>-8.6519225757959953E-3</v>
      </c>
      <c r="P23" s="94">
        <f t="shared" si="5"/>
        <v>8.6519225757959953E-3</v>
      </c>
      <c r="Q23" s="95">
        <f t="shared" si="6"/>
        <v>29806354726.554829</v>
      </c>
      <c r="R23" s="95">
        <f t="shared" si="7"/>
        <v>-102813.81059398875</v>
      </c>
      <c r="S23" s="95">
        <f t="shared" si="8"/>
        <v>10570679648.856592</v>
      </c>
      <c r="T23"/>
      <c r="U23" t="s">
        <v>177</v>
      </c>
    </row>
    <row r="24" spans="1:34" x14ac:dyDescent="0.25">
      <c r="A24" s="183">
        <v>43039</v>
      </c>
      <c r="B24" s="185">
        <v>19246234.531076949</v>
      </c>
      <c r="C24" s="185"/>
      <c r="D24" s="185">
        <f t="shared" si="2"/>
        <v>19246234.531076949</v>
      </c>
      <c r="E24" s="185"/>
      <c r="F24" s="185"/>
      <c r="G24" s="185">
        <f t="shared" si="3"/>
        <v>19246234.531076949</v>
      </c>
      <c r="H24" s="185">
        <v>153.99999999999997</v>
      </c>
      <c r="I24" s="185">
        <v>8.1</v>
      </c>
      <c r="J24" s="185">
        <v>31</v>
      </c>
      <c r="K24" s="187">
        <v>1</v>
      </c>
      <c r="L24" s="185">
        <v>17087</v>
      </c>
      <c r="M24" s="185">
        <f t="shared" si="4"/>
        <v>18827785.208601251</v>
      </c>
      <c r="N24" s="26">
        <f t="shared" si="0"/>
        <v>-418449.32247569785</v>
      </c>
      <c r="O24" s="34">
        <f t="shared" si="1"/>
        <v>-2.1741880044121177E-2</v>
      </c>
      <c r="P24" s="94">
        <f t="shared" si="5"/>
        <v>2.1741880044121177E-2</v>
      </c>
      <c r="Q24" s="95">
        <f t="shared" si="6"/>
        <v>175099835480.37057</v>
      </c>
      <c r="R24" s="95">
        <f t="shared" si="7"/>
        <v>-245804.1524692513</v>
      </c>
      <c r="S24" s="95">
        <f t="shared" si="8"/>
        <v>60419681371.126945</v>
      </c>
      <c r="T24"/>
      <c r="U24" s="121"/>
      <c r="V24" s="121" t="s">
        <v>178</v>
      </c>
      <c r="W24" s="121" t="s">
        <v>179</v>
      </c>
      <c r="X24" s="121" t="s">
        <v>180</v>
      </c>
      <c r="Y24" s="121" t="s">
        <v>181</v>
      </c>
      <c r="Z24" s="121" t="s">
        <v>182</v>
      </c>
    </row>
    <row r="25" spans="1:34" x14ac:dyDescent="0.25">
      <c r="A25" s="183">
        <v>43069</v>
      </c>
      <c r="B25" s="185">
        <v>21849761.600563686</v>
      </c>
      <c r="C25" s="185"/>
      <c r="D25" s="185">
        <f t="shared" si="2"/>
        <v>21849761.600563686</v>
      </c>
      <c r="E25" s="185"/>
      <c r="F25" s="185"/>
      <c r="G25" s="185">
        <f t="shared" si="3"/>
        <v>21849761.600563686</v>
      </c>
      <c r="H25" s="185">
        <v>414.2</v>
      </c>
      <c r="I25" s="185">
        <v>0</v>
      </c>
      <c r="J25" s="185">
        <v>30</v>
      </c>
      <c r="K25" s="187">
        <v>1</v>
      </c>
      <c r="L25" s="185">
        <v>17227</v>
      </c>
      <c r="M25" s="185">
        <f t="shared" si="4"/>
        <v>21186204.661028922</v>
      </c>
      <c r="N25" s="26">
        <f t="shared" si="0"/>
        <v>-663556.93953476474</v>
      </c>
      <c r="O25" s="34">
        <f t="shared" si="1"/>
        <v>-3.0369070000180052E-2</v>
      </c>
      <c r="P25" s="94">
        <f t="shared" si="5"/>
        <v>3.0369070000180052E-2</v>
      </c>
      <c r="Q25" s="95">
        <f t="shared" si="6"/>
        <v>440307812004.74341</v>
      </c>
      <c r="R25" s="95">
        <f t="shared" si="7"/>
        <v>-245107.61705906689</v>
      </c>
      <c r="S25" s="95">
        <f t="shared" si="8"/>
        <v>60077743940.374176</v>
      </c>
      <c r="T25"/>
      <c r="U25" t="s">
        <v>183</v>
      </c>
      <c r="V25">
        <v>5</v>
      </c>
      <c r="W25">
        <v>1337998734941181.3</v>
      </c>
      <c r="X25">
        <v>267599746988236.25</v>
      </c>
      <c r="Y25">
        <v>568.7331874901771</v>
      </c>
      <c r="Z25">
        <v>7.9180596977249995E-79</v>
      </c>
    </row>
    <row r="26" spans="1:34" x14ac:dyDescent="0.25">
      <c r="A26" s="183">
        <v>43100</v>
      </c>
      <c r="B26" s="185">
        <v>26178109.375145946</v>
      </c>
      <c r="C26" s="185"/>
      <c r="D26" s="185">
        <f t="shared" si="2"/>
        <v>26178109.375145946</v>
      </c>
      <c r="E26" s="185"/>
      <c r="F26" s="185"/>
      <c r="G26" s="185">
        <f t="shared" si="3"/>
        <v>26178109.375145946</v>
      </c>
      <c r="H26" s="185">
        <v>718.49999999999989</v>
      </c>
      <c r="I26" s="185">
        <v>0</v>
      </c>
      <c r="J26" s="185">
        <v>31</v>
      </c>
      <c r="K26" s="187">
        <v>0</v>
      </c>
      <c r="L26" s="185">
        <v>17229</v>
      </c>
      <c r="M26" s="185">
        <f t="shared" si="4"/>
        <v>26611465.307730004</v>
      </c>
      <c r="N26" s="26">
        <f t="shared" si="0"/>
        <v>433355.93258405849</v>
      </c>
      <c r="O26" s="34">
        <f t="shared" si="1"/>
        <v>1.655413408103092E-2</v>
      </c>
      <c r="P26" s="94">
        <f t="shared" si="5"/>
        <v>1.655413408103092E-2</v>
      </c>
      <c r="Q26" s="95">
        <f t="shared" si="6"/>
        <v>187797364305.79904</v>
      </c>
      <c r="R26" s="95">
        <f t="shared" si="7"/>
        <v>1096912.8721188232</v>
      </c>
      <c r="S26" s="95">
        <f t="shared" si="8"/>
        <v>1203217849019.9658</v>
      </c>
      <c r="T26"/>
      <c r="U26" t="s">
        <v>184</v>
      </c>
      <c r="V26">
        <v>114</v>
      </c>
      <c r="W26">
        <v>53639161258170.508</v>
      </c>
      <c r="X26">
        <v>470518958405.00446</v>
      </c>
    </row>
    <row r="27" spans="1:34" ht="13.8" thickBot="1" x14ac:dyDescent="0.3">
      <c r="A27" s="183">
        <v>43131</v>
      </c>
      <c r="B27" s="185">
        <v>27156877.702999998</v>
      </c>
      <c r="C27" s="185"/>
      <c r="D27" s="185">
        <f t="shared" si="2"/>
        <v>27156877.702999998</v>
      </c>
      <c r="E27" s="185"/>
      <c r="F27" s="185"/>
      <c r="G27" s="185">
        <f t="shared" si="3"/>
        <v>27156877.702999998</v>
      </c>
      <c r="H27" s="185">
        <v>732.29999999999984</v>
      </c>
      <c r="I27" s="185">
        <v>0</v>
      </c>
      <c r="J27" s="185">
        <v>31</v>
      </c>
      <c r="K27" s="187">
        <v>0</v>
      </c>
      <c r="L27" s="185">
        <v>17402</v>
      </c>
      <c r="M27" s="185">
        <f t="shared" si="4"/>
        <v>26948001.348617248</v>
      </c>
      <c r="N27" s="26">
        <f t="shared" si="0"/>
        <v>-208876.35438274965</v>
      </c>
      <c r="O27" s="34">
        <f t="shared" si="1"/>
        <v>-7.6914716289227629E-3</v>
      </c>
      <c r="P27" s="94">
        <f t="shared" si="5"/>
        <v>7.6914716289227629E-3</v>
      </c>
      <c r="Q27" s="95">
        <f t="shared" si="6"/>
        <v>43629331420.22802</v>
      </c>
      <c r="R27" s="95">
        <f t="shared" si="7"/>
        <v>-642232.28696680814</v>
      </c>
      <c r="S27" s="95">
        <f t="shared" si="8"/>
        <v>412462310422.61658</v>
      </c>
      <c r="T27"/>
      <c r="U27" s="120" t="s">
        <v>74</v>
      </c>
      <c r="V27" s="120">
        <v>119</v>
      </c>
      <c r="W27" s="120">
        <v>1391637896199351.8</v>
      </c>
      <c r="X27" s="120"/>
      <c r="Y27" s="120"/>
      <c r="Z27" s="120"/>
    </row>
    <row r="28" spans="1:34" ht="13.8" thickBot="1" x14ac:dyDescent="0.3">
      <c r="A28" s="183">
        <v>43159</v>
      </c>
      <c r="B28" s="185">
        <v>22662310.571999997</v>
      </c>
      <c r="C28" s="185"/>
      <c r="D28" s="185">
        <f t="shared" si="2"/>
        <v>22662310.571999997</v>
      </c>
      <c r="E28" s="185"/>
      <c r="F28" s="185"/>
      <c r="G28" s="185">
        <f t="shared" si="3"/>
        <v>22662310.571999997</v>
      </c>
      <c r="H28" s="185">
        <v>555.00000000000023</v>
      </c>
      <c r="I28" s="185">
        <v>0</v>
      </c>
      <c r="J28" s="185">
        <v>28</v>
      </c>
      <c r="K28" s="187">
        <v>0</v>
      </c>
      <c r="L28" s="185">
        <v>17449</v>
      </c>
      <c r="M28" s="185">
        <f t="shared" si="4"/>
        <v>22941531.981385984</v>
      </c>
      <c r="N28" s="26">
        <f t="shared" si="0"/>
        <v>279221.40938598663</v>
      </c>
      <c r="O28" s="34">
        <f t="shared" si="1"/>
        <v>1.2320959440515899E-2</v>
      </c>
      <c r="P28" s="94">
        <f t="shared" si="5"/>
        <v>1.2320959440515899E-2</v>
      </c>
      <c r="Q28" s="95">
        <f t="shared" si="6"/>
        <v>77964595459.496735</v>
      </c>
      <c r="R28" s="95">
        <f t="shared" si="7"/>
        <v>488097.76376873627</v>
      </c>
      <c r="S28" s="95">
        <f t="shared" si="8"/>
        <v>238239426996.04108</v>
      </c>
      <c r="T28"/>
    </row>
    <row r="29" spans="1:34" x14ac:dyDescent="0.25">
      <c r="A29" s="183">
        <v>43190</v>
      </c>
      <c r="B29" s="185">
        <v>23534615.378000002</v>
      </c>
      <c r="C29" s="185"/>
      <c r="D29" s="185">
        <f t="shared" si="2"/>
        <v>23534615.378000002</v>
      </c>
      <c r="E29" s="185"/>
      <c r="F29" s="185"/>
      <c r="G29" s="185">
        <f t="shared" si="3"/>
        <v>23534615.378000002</v>
      </c>
      <c r="H29" s="185">
        <v>553.99999999999989</v>
      </c>
      <c r="I29" s="185">
        <v>0</v>
      </c>
      <c r="J29" s="185">
        <v>31</v>
      </c>
      <c r="K29" s="187">
        <v>1</v>
      </c>
      <c r="L29" s="185">
        <v>17480</v>
      </c>
      <c r="M29" s="185">
        <f t="shared" si="4"/>
        <v>23781495.443317529</v>
      </c>
      <c r="N29" s="26">
        <f t="shared" si="0"/>
        <v>246880.06531752646</v>
      </c>
      <c r="O29" s="34">
        <f t="shared" si="1"/>
        <v>1.0490082856773953E-2</v>
      </c>
      <c r="P29" s="94">
        <f t="shared" si="5"/>
        <v>1.0490082856773953E-2</v>
      </c>
      <c r="Q29" s="95">
        <f t="shared" si="6"/>
        <v>60949766651.186134</v>
      </c>
      <c r="R29" s="95">
        <f t="shared" si="7"/>
        <v>-32341.344068460166</v>
      </c>
      <c r="S29" s="95">
        <f t="shared" si="8"/>
        <v>1045962536.1545236</v>
      </c>
      <c r="T29"/>
      <c r="U29" s="121"/>
      <c r="V29" s="121" t="s">
        <v>185</v>
      </c>
      <c r="W29" s="121" t="s">
        <v>175</v>
      </c>
      <c r="X29" s="121" t="s">
        <v>186</v>
      </c>
      <c r="Y29" s="121" t="s">
        <v>187</v>
      </c>
      <c r="Z29" s="121" t="s">
        <v>188</v>
      </c>
      <c r="AA29" s="121" t="s">
        <v>189</v>
      </c>
      <c r="AB29" s="121" t="s">
        <v>190</v>
      </c>
      <c r="AC29" s="121" t="s">
        <v>191</v>
      </c>
    </row>
    <row r="30" spans="1:34" x14ac:dyDescent="0.25">
      <c r="A30" s="183">
        <v>43220</v>
      </c>
      <c r="B30" s="185">
        <v>21736721.348000001</v>
      </c>
      <c r="C30" s="185"/>
      <c r="D30" s="185">
        <f t="shared" si="2"/>
        <v>21736721.348000001</v>
      </c>
      <c r="E30" s="185"/>
      <c r="F30" s="185"/>
      <c r="G30" s="185">
        <f t="shared" si="3"/>
        <v>21736721.348000001</v>
      </c>
      <c r="H30" s="185">
        <v>418.9</v>
      </c>
      <c r="I30" s="185">
        <v>0</v>
      </c>
      <c r="J30" s="185">
        <v>30</v>
      </c>
      <c r="K30" s="187">
        <v>1</v>
      </c>
      <c r="L30" s="185">
        <v>17527</v>
      </c>
      <c r="M30" s="185">
        <f t="shared" si="4"/>
        <v>21530609.044787493</v>
      </c>
      <c r="N30" s="26">
        <f t="shared" si="0"/>
        <v>-206112.30321250856</v>
      </c>
      <c r="O30" s="34">
        <f t="shared" si="1"/>
        <v>-9.4822167479951154E-3</v>
      </c>
      <c r="P30" s="94">
        <f t="shared" si="5"/>
        <v>9.4822167479951154E-3</v>
      </c>
      <c r="Q30" s="95">
        <f t="shared" si="6"/>
        <v>42482281535.565063</v>
      </c>
      <c r="R30" s="95">
        <f t="shared" si="7"/>
        <v>-452992.36853003502</v>
      </c>
      <c r="S30" s="95">
        <f t="shared" si="8"/>
        <v>205202085946.45105</v>
      </c>
      <c r="T30"/>
      <c r="U30" t="s">
        <v>192</v>
      </c>
      <c r="V30">
        <v>-17823013.971206669</v>
      </c>
      <c r="W30">
        <v>2488622.7442698479</v>
      </c>
      <c r="X30">
        <v>-7.1617982324741112</v>
      </c>
      <c r="Y30">
        <v>8.3559271101647604E-11</v>
      </c>
      <c r="Z30">
        <v>-22752956.460172784</v>
      </c>
      <c r="AA30">
        <v>-12893071.482240554</v>
      </c>
      <c r="AB30">
        <v>-22752956.460172784</v>
      </c>
      <c r="AC30">
        <v>-12893071.482240554</v>
      </c>
    </row>
    <row r="31" spans="1:34" x14ac:dyDescent="0.25">
      <c r="A31" s="183">
        <v>43251</v>
      </c>
      <c r="B31" s="185">
        <v>19774022.555</v>
      </c>
      <c r="C31" s="185"/>
      <c r="D31" s="185">
        <f t="shared" si="2"/>
        <v>19774022.555</v>
      </c>
      <c r="E31" s="185"/>
      <c r="F31" s="185"/>
      <c r="G31" s="185">
        <f t="shared" si="3"/>
        <v>19774022.555</v>
      </c>
      <c r="H31" s="185">
        <v>75.3</v>
      </c>
      <c r="I31" s="185">
        <v>43.4</v>
      </c>
      <c r="J31" s="185">
        <v>31</v>
      </c>
      <c r="K31" s="187">
        <v>1</v>
      </c>
      <c r="L31" s="185">
        <v>17556</v>
      </c>
      <c r="M31" s="185">
        <f t="shared" si="4"/>
        <v>20021511.191995591</v>
      </c>
      <c r="N31" s="26">
        <f t="shared" si="0"/>
        <v>247488.63699559122</v>
      </c>
      <c r="O31" s="34">
        <f t="shared" si="1"/>
        <v>1.2515846803917596E-2</v>
      </c>
      <c r="P31" s="94">
        <f t="shared" si="5"/>
        <v>1.2515846803917596E-2</v>
      </c>
      <c r="Q31" s="95">
        <f t="shared" si="6"/>
        <v>61250625441.935524</v>
      </c>
      <c r="R31" s="95">
        <f t="shared" si="7"/>
        <v>453600.94020809978</v>
      </c>
      <c r="S31" s="95">
        <f t="shared" si="8"/>
        <v>205753812957.67212</v>
      </c>
      <c r="T31"/>
      <c r="U31" t="s">
        <v>35</v>
      </c>
      <c r="V31">
        <v>12437.660848219519</v>
      </c>
      <c r="W31">
        <v>474.90223220615917</v>
      </c>
      <c r="X31">
        <v>26.189939749157091</v>
      </c>
      <c r="Y31">
        <v>4.7363442603266242E-50</v>
      </c>
      <c r="Z31">
        <v>11496.883183927574</v>
      </c>
      <c r="AA31">
        <v>13378.438512511464</v>
      </c>
      <c r="AB31">
        <v>11496.883183927574</v>
      </c>
      <c r="AC31">
        <v>13378.438512511464</v>
      </c>
    </row>
    <row r="32" spans="1:34" x14ac:dyDescent="0.25">
      <c r="A32" s="183">
        <v>43281</v>
      </c>
      <c r="B32" s="185">
        <v>21054153.723000001</v>
      </c>
      <c r="C32" s="185"/>
      <c r="D32" s="185">
        <f t="shared" si="2"/>
        <v>21054153.723000001</v>
      </c>
      <c r="E32" s="185"/>
      <c r="F32" s="185"/>
      <c r="G32" s="185">
        <f t="shared" si="3"/>
        <v>21054153.723000001</v>
      </c>
      <c r="H32" s="185">
        <v>14.799999999999999</v>
      </c>
      <c r="I32" s="185">
        <v>60.5</v>
      </c>
      <c r="J32" s="185">
        <v>30</v>
      </c>
      <c r="K32" s="187">
        <v>0</v>
      </c>
      <c r="L32" s="185">
        <v>17628</v>
      </c>
      <c r="M32" s="185">
        <f t="shared" si="4"/>
        <v>20581404.781795781</v>
      </c>
      <c r="N32" s="26">
        <f t="shared" si="0"/>
        <v>-472748.94120422006</v>
      </c>
      <c r="O32" s="34">
        <f t="shared" si="1"/>
        <v>-2.2453951245154022E-2</v>
      </c>
      <c r="P32" s="94">
        <f t="shared" si="5"/>
        <v>2.2453951245154022E-2</v>
      </c>
      <c r="Q32" s="95">
        <f t="shared" si="6"/>
        <v>223491561409.71112</v>
      </c>
      <c r="R32" s="95">
        <f t="shared" si="7"/>
        <v>-720237.57819981128</v>
      </c>
      <c r="S32" s="95">
        <f t="shared" si="8"/>
        <v>518742169051.12927</v>
      </c>
      <c r="T32"/>
      <c r="U32" t="s">
        <v>36</v>
      </c>
      <c r="V32">
        <v>48882.119685526668</v>
      </c>
      <c r="W32">
        <v>2390.0553348713956</v>
      </c>
      <c r="X32">
        <v>20.452296217717873</v>
      </c>
      <c r="Y32">
        <v>5.9797059111329595E-40</v>
      </c>
      <c r="Z32">
        <v>44147.438475410323</v>
      </c>
      <c r="AA32">
        <v>53616.800895643013</v>
      </c>
      <c r="AB32">
        <v>44147.438475410323</v>
      </c>
      <c r="AC32">
        <v>53616.800895643013</v>
      </c>
    </row>
    <row r="33" spans="1:29" x14ac:dyDescent="0.25">
      <c r="A33" s="183">
        <v>43312</v>
      </c>
      <c r="B33" s="185">
        <v>26045488.691000003</v>
      </c>
      <c r="C33" s="185"/>
      <c r="D33" s="185">
        <f t="shared" si="2"/>
        <v>26045488.691000003</v>
      </c>
      <c r="E33" s="185"/>
      <c r="F33" s="185"/>
      <c r="G33" s="185">
        <f t="shared" si="3"/>
        <v>26045488.691000003</v>
      </c>
      <c r="H33" s="185">
        <v>0</v>
      </c>
      <c r="I33" s="185">
        <v>167.8</v>
      </c>
      <c r="J33" s="185">
        <v>31</v>
      </c>
      <c r="K33" s="187">
        <v>0</v>
      </c>
      <c r="L33" s="185">
        <v>17635</v>
      </c>
      <c r="M33" s="185">
        <f t="shared" si="4"/>
        <v>26264407.789433677</v>
      </c>
      <c r="N33" s="26">
        <f t="shared" si="0"/>
        <v>218919.09843367338</v>
      </c>
      <c r="O33" s="34">
        <f t="shared" si="1"/>
        <v>8.4052597757292499E-3</v>
      </c>
      <c r="P33" s="94">
        <f t="shared" si="5"/>
        <v>8.4052597757292499E-3</v>
      </c>
      <c r="Q33" s="95">
        <f t="shared" si="6"/>
        <v>47925571659.012375</v>
      </c>
      <c r="R33" s="95">
        <f t="shared" si="7"/>
        <v>691668.03963789344</v>
      </c>
      <c r="S33" s="95">
        <f t="shared" si="8"/>
        <v>478404677056.52655</v>
      </c>
      <c r="T33"/>
      <c r="U33" t="s">
        <v>37</v>
      </c>
      <c r="V33">
        <v>615356.84045318293</v>
      </c>
      <c r="W33">
        <v>81968.296385343012</v>
      </c>
      <c r="X33">
        <v>7.507254238398648</v>
      </c>
      <c r="Y33">
        <v>1.4496032448192719E-11</v>
      </c>
      <c r="Z33">
        <v>452978.27663561597</v>
      </c>
      <c r="AA33">
        <v>777735.40427074989</v>
      </c>
      <c r="AB33">
        <v>452978.27663561597</v>
      </c>
      <c r="AC33">
        <v>777735.40427074989</v>
      </c>
    </row>
    <row r="34" spans="1:29" x14ac:dyDescent="0.25">
      <c r="A34" s="183">
        <v>43343</v>
      </c>
      <c r="B34" s="185">
        <v>25645894.579999998</v>
      </c>
      <c r="C34" s="185"/>
      <c r="D34" s="185">
        <f t="shared" si="2"/>
        <v>25645894.579999998</v>
      </c>
      <c r="E34" s="185"/>
      <c r="F34" s="185"/>
      <c r="G34" s="185">
        <f t="shared" si="3"/>
        <v>25645894.579999998</v>
      </c>
      <c r="H34" s="185">
        <v>1.2</v>
      </c>
      <c r="I34" s="185">
        <v>162.4</v>
      </c>
      <c r="J34" s="185">
        <v>31</v>
      </c>
      <c r="K34" s="187">
        <v>0</v>
      </c>
      <c r="L34" s="185">
        <v>17692</v>
      </c>
      <c r="M34" s="185">
        <f t="shared" si="4"/>
        <v>26069699.537926361</v>
      </c>
      <c r="N34" s="26">
        <f t="shared" si="0"/>
        <v>423804.95792636275</v>
      </c>
      <c r="O34" s="34">
        <f t="shared" si="1"/>
        <v>1.6525255401184869E-2</v>
      </c>
      <c r="P34" s="94">
        <f t="shared" si="5"/>
        <v>1.6525255401184869E-2</v>
      </c>
      <c r="Q34" s="95">
        <f t="shared" si="6"/>
        <v>179610642362.96609</v>
      </c>
      <c r="R34" s="95">
        <f t="shared" si="7"/>
        <v>204885.85949268937</v>
      </c>
      <c r="S34" s="95">
        <f t="shared" si="8"/>
        <v>41978215420.058052</v>
      </c>
      <c r="T34"/>
      <c r="U34" t="s">
        <v>38</v>
      </c>
      <c r="V34">
        <v>-1023217.2942828839</v>
      </c>
      <c r="W34">
        <v>179897.2028094636</v>
      </c>
      <c r="X34">
        <v>-5.6877887943961785</v>
      </c>
      <c r="Y34">
        <v>1.0092333532819154E-7</v>
      </c>
      <c r="Z34">
        <v>-1379592.2674758325</v>
      </c>
      <c r="AA34">
        <v>-666842.32108993526</v>
      </c>
      <c r="AB34">
        <v>-1379592.2674758325</v>
      </c>
      <c r="AC34">
        <v>-666842.32108993526</v>
      </c>
    </row>
    <row r="35" spans="1:29" ht="13.8" thickBot="1" x14ac:dyDescent="0.3">
      <c r="A35" s="183">
        <v>43373</v>
      </c>
      <c r="B35" s="185">
        <v>21607296.151000001</v>
      </c>
      <c r="C35" s="185"/>
      <c r="D35" s="185">
        <f t="shared" si="2"/>
        <v>21607296.151000001</v>
      </c>
      <c r="E35" s="185"/>
      <c r="F35" s="185"/>
      <c r="G35" s="185">
        <f t="shared" si="3"/>
        <v>21607296.151000001</v>
      </c>
      <c r="H35" s="185">
        <v>41.4</v>
      </c>
      <c r="I35" s="185">
        <v>76</v>
      </c>
      <c r="J35" s="185">
        <v>30</v>
      </c>
      <c r="K35" s="187">
        <v>1</v>
      </c>
      <c r="L35" s="185">
        <v>17722</v>
      </c>
      <c r="M35" s="185">
        <f t="shared" si="4"/>
        <v>20736298.966236405</v>
      </c>
      <c r="N35" s="26">
        <f t="shared" ref="N35:N66" si="9">M35-G35</f>
        <v>-870997.18476359546</v>
      </c>
      <c r="O35" s="34">
        <f t="shared" ref="O35:O66" si="10">N35/G35</f>
        <v>-4.0310327524403611E-2</v>
      </c>
      <c r="P35" s="94">
        <f t="shared" si="5"/>
        <v>4.0310327524403611E-2</v>
      </c>
      <c r="Q35" s="95">
        <f t="shared" si="6"/>
        <v>758636095866.10889</v>
      </c>
      <c r="R35" s="95">
        <f t="shared" si="7"/>
        <v>-1294802.1426899582</v>
      </c>
      <c r="S35" s="95">
        <f t="shared" si="8"/>
        <v>1676512588714.5068</v>
      </c>
      <c r="T35"/>
      <c r="U35" s="120" t="s">
        <v>39</v>
      </c>
      <c r="V35" s="120">
        <v>953.15792590645287</v>
      </c>
      <c r="W35" s="120">
        <v>25.591572904300001</v>
      </c>
      <c r="X35" s="120">
        <v>37.244991914752504</v>
      </c>
      <c r="Y35" s="120">
        <v>1.1916020313913063E-65</v>
      </c>
      <c r="Z35" s="120">
        <v>902.4612170899469</v>
      </c>
      <c r="AA35" s="120">
        <v>1003.8546347229588</v>
      </c>
      <c r="AB35" s="120">
        <v>902.4612170899469</v>
      </c>
      <c r="AC35" s="120">
        <v>1003.8546347229588</v>
      </c>
    </row>
    <row r="36" spans="1:29" x14ac:dyDescent="0.25">
      <c r="A36" s="183">
        <v>43404</v>
      </c>
      <c r="B36" s="185">
        <v>21087346.497000001</v>
      </c>
      <c r="C36" s="185"/>
      <c r="D36" s="185">
        <f t="shared" si="2"/>
        <v>21087346.497000001</v>
      </c>
      <c r="E36" s="185"/>
      <c r="F36" s="185"/>
      <c r="G36" s="185">
        <f t="shared" si="3"/>
        <v>21087346.497000001</v>
      </c>
      <c r="H36" s="185">
        <v>289.40000000000003</v>
      </c>
      <c r="I36" s="185">
        <v>8.1999999999999993</v>
      </c>
      <c r="J36" s="185">
        <v>31</v>
      </c>
      <c r="K36" s="187">
        <v>1</v>
      </c>
      <c r="L36" s="185">
        <v>17815</v>
      </c>
      <c r="M36" s="185">
        <f t="shared" si="4"/>
        <v>21210631.669478625</v>
      </c>
      <c r="N36" s="26">
        <f t="shared" si="9"/>
        <v>123285.17247862369</v>
      </c>
      <c r="O36" s="34">
        <f t="shared" si="10"/>
        <v>5.8464052125364796E-3</v>
      </c>
      <c r="P36" s="94">
        <f t="shared" si="5"/>
        <v>5.8464052125364796E-3</v>
      </c>
      <c r="Q36" s="95">
        <f t="shared" si="6"/>
        <v>15199233753.083992</v>
      </c>
      <c r="R36" s="95">
        <f t="shared" si="7"/>
        <v>994282.35724221915</v>
      </c>
      <c r="S36" s="95">
        <f t="shared" si="8"/>
        <v>988597405923.14392</v>
      </c>
      <c r="T36"/>
    </row>
    <row r="37" spans="1:29" x14ac:dyDescent="0.25">
      <c r="A37" s="183">
        <v>43434</v>
      </c>
      <c r="B37" s="185">
        <v>23149553.112999998</v>
      </c>
      <c r="C37" s="185"/>
      <c r="D37" s="185">
        <f t="shared" si="2"/>
        <v>23149553.112999998</v>
      </c>
      <c r="E37" s="185"/>
      <c r="F37" s="185"/>
      <c r="G37" s="185">
        <f t="shared" si="3"/>
        <v>23149553.112999998</v>
      </c>
      <c r="H37" s="185">
        <v>494.1</v>
      </c>
      <c r="I37" s="185">
        <v>0</v>
      </c>
      <c r="J37" s="185">
        <v>30</v>
      </c>
      <c r="K37" s="187">
        <v>1</v>
      </c>
      <c r="L37" s="185">
        <v>17906</v>
      </c>
      <c r="M37" s="185">
        <f t="shared" si="4"/>
        <v>22827167.994492143</v>
      </c>
      <c r="N37" s="26">
        <f t="shared" si="9"/>
        <v>-322385.11850785464</v>
      </c>
      <c r="O37" s="34">
        <f t="shared" si="10"/>
        <v>-1.3926191876542713E-2</v>
      </c>
      <c r="P37" s="94">
        <f t="shared" si="5"/>
        <v>1.3926191876542713E-2</v>
      </c>
      <c r="Q37" s="95">
        <f t="shared" si="6"/>
        <v>103932164635.32349</v>
      </c>
      <c r="R37" s="95">
        <f t="shared" si="7"/>
        <v>-445670.29098647833</v>
      </c>
      <c r="S37" s="95">
        <f t="shared" si="8"/>
        <v>198622008267.97226</v>
      </c>
      <c r="T37"/>
    </row>
    <row r="38" spans="1:29" x14ac:dyDescent="0.25">
      <c r="A38" s="183">
        <v>43465</v>
      </c>
      <c r="B38" s="185">
        <v>25358955.434999999</v>
      </c>
      <c r="C38" s="185"/>
      <c r="D38" s="185">
        <f t="shared" si="2"/>
        <v>25358955.434999999</v>
      </c>
      <c r="E38" s="185"/>
      <c r="F38" s="185"/>
      <c r="G38" s="185">
        <f t="shared" si="3"/>
        <v>25358955.434999999</v>
      </c>
      <c r="H38" s="185">
        <v>563.60000000000014</v>
      </c>
      <c r="I38" s="185">
        <v>0</v>
      </c>
      <c r="J38" s="185">
        <v>31</v>
      </c>
      <c r="K38" s="187">
        <v>0</v>
      </c>
      <c r="L38" s="185">
        <v>18164</v>
      </c>
      <c r="M38" s="185">
        <f t="shared" si="4"/>
        <v>25576074.303063337</v>
      </c>
      <c r="N38" s="26">
        <f t="shared" si="9"/>
        <v>217118.8680633381</v>
      </c>
      <c r="O38" s="34">
        <f t="shared" si="10"/>
        <v>8.5618222177903415E-3</v>
      </c>
      <c r="P38" s="94">
        <f t="shared" si="5"/>
        <v>8.5618222177903415E-3</v>
      </c>
      <c r="Q38" s="95">
        <f t="shared" si="6"/>
        <v>47140602869.105217</v>
      </c>
      <c r="R38" s="95">
        <f t="shared" si="7"/>
        <v>539503.98657119274</v>
      </c>
      <c r="S38" s="95">
        <f t="shared" si="8"/>
        <v>291064551526.20972</v>
      </c>
      <c r="T38"/>
    </row>
    <row r="39" spans="1:29" x14ac:dyDescent="0.25">
      <c r="A39" s="183">
        <v>43496</v>
      </c>
      <c r="B39" s="185">
        <v>27894969.359999999</v>
      </c>
      <c r="C39" s="185"/>
      <c r="D39" s="185">
        <f t="shared" si="2"/>
        <v>27894969.359999999</v>
      </c>
      <c r="E39" s="185"/>
      <c r="F39" s="185"/>
      <c r="G39" s="185">
        <f t="shared" si="3"/>
        <v>27894969.359999999</v>
      </c>
      <c r="H39" s="185">
        <v>764.5</v>
      </c>
      <c r="I39" s="185">
        <v>0</v>
      </c>
      <c r="J39" s="185">
        <v>31</v>
      </c>
      <c r="K39" s="187">
        <v>0</v>
      </c>
      <c r="L39" s="185">
        <v>18298</v>
      </c>
      <c r="M39" s="185">
        <f t="shared" si="4"/>
        <v>28202523.529542096</v>
      </c>
      <c r="N39" s="26">
        <f t="shared" si="9"/>
        <v>307554.16954209656</v>
      </c>
      <c r="O39" s="34">
        <f t="shared" si="10"/>
        <v>1.1025434929608275E-2</v>
      </c>
      <c r="P39" s="94">
        <f t="shared" si="5"/>
        <v>1.1025434929608275E-2</v>
      </c>
      <c r="Q39" s="95">
        <f t="shared" si="6"/>
        <v>94589567202.728668</v>
      </c>
      <c r="R39" s="95">
        <f t="shared" si="7"/>
        <v>90435.301478758454</v>
      </c>
      <c r="S39" s="95">
        <f t="shared" si="8"/>
        <v>8178543753.5539312</v>
      </c>
      <c r="T39"/>
      <c r="U39" s="36" t="s">
        <v>193</v>
      </c>
      <c r="V39" s="101">
        <f>P123</f>
        <v>2.0546446757717843E-2</v>
      </c>
    </row>
    <row r="40" spans="1:29" x14ac:dyDescent="0.25">
      <c r="A40" s="183">
        <v>43524</v>
      </c>
      <c r="B40" s="185">
        <v>24435650.726</v>
      </c>
      <c r="C40" s="185"/>
      <c r="D40" s="185">
        <f t="shared" si="2"/>
        <v>24435650.726</v>
      </c>
      <c r="E40" s="185"/>
      <c r="F40" s="185"/>
      <c r="G40" s="185">
        <f t="shared" si="3"/>
        <v>24435650.726</v>
      </c>
      <c r="H40" s="185">
        <v>621.70000000000016</v>
      </c>
      <c r="I40" s="185">
        <v>0</v>
      </c>
      <c r="J40" s="185">
        <v>28</v>
      </c>
      <c r="K40" s="187">
        <v>0</v>
      </c>
      <c r="L40" s="185">
        <v>18380</v>
      </c>
      <c r="M40" s="185">
        <f t="shared" si="4"/>
        <v>24658513.988981131</v>
      </c>
      <c r="N40" s="26">
        <f t="shared" si="9"/>
        <v>222863.26298113167</v>
      </c>
      <c r="O40" s="34">
        <f t="shared" si="10"/>
        <v>9.1204144911107652E-3</v>
      </c>
      <c r="P40" s="94">
        <f t="shared" si="5"/>
        <v>9.1204144911107652E-3</v>
      </c>
      <c r="Q40" s="95">
        <f t="shared" si="6"/>
        <v>49668033986.597054</v>
      </c>
      <c r="R40" s="95">
        <f t="shared" si="7"/>
        <v>-84690.906560964882</v>
      </c>
      <c r="S40" s="95">
        <f t="shared" si="8"/>
        <v>7172549654.1180849</v>
      </c>
      <c r="T40"/>
    </row>
    <row r="41" spans="1:29" x14ac:dyDescent="0.25">
      <c r="A41" s="183">
        <v>43555</v>
      </c>
      <c r="B41" s="185">
        <v>25143357.008000001</v>
      </c>
      <c r="C41" s="185"/>
      <c r="D41" s="185">
        <f t="shared" si="2"/>
        <v>25143357.008000001</v>
      </c>
      <c r="E41" s="185"/>
      <c r="F41" s="185"/>
      <c r="G41" s="185">
        <f t="shared" si="3"/>
        <v>25143357.008000001</v>
      </c>
      <c r="H41" s="185">
        <v>593.90000000000009</v>
      </c>
      <c r="I41" s="185">
        <v>0</v>
      </c>
      <c r="J41" s="185">
        <v>31</v>
      </c>
      <c r="K41" s="187">
        <v>1</v>
      </c>
      <c r="L41" s="185">
        <v>18471</v>
      </c>
      <c r="M41" s="185">
        <f t="shared" si="4"/>
        <v>25222337.615734786</v>
      </c>
      <c r="N41" s="26">
        <f t="shared" si="9"/>
        <v>78980.607734784484</v>
      </c>
      <c r="O41" s="34">
        <f t="shared" si="10"/>
        <v>3.1412117208396151E-3</v>
      </c>
      <c r="P41" s="94">
        <f t="shared" si="5"/>
        <v>3.1412117208396151E-3</v>
      </c>
      <c r="Q41" s="95">
        <f t="shared" si="6"/>
        <v>6237936398.155899</v>
      </c>
      <c r="R41" s="95">
        <f t="shared" si="7"/>
        <v>-143882.65524634719</v>
      </c>
      <c r="S41" s="95">
        <f t="shared" si="8"/>
        <v>20702218480.739201</v>
      </c>
      <c r="T41"/>
      <c r="U41" t="s">
        <v>194</v>
      </c>
      <c r="V41" s="99">
        <f>S123</f>
        <v>438497787827.08405</v>
      </c>
    </row>
    <row r="42" spans="1:29" x14ac:dyDescent="0.25">
      <c r="A42" s="183">
        <v>43585</v>
      </c>
      <c r="B42" s="185">
        <v>21419957.239</v>
      </c>
      <c r="C42" s="185"/>
      <c r="D42" s="185">
        <f t="shared" si="2"/>
        <v>21419957.239</v>
      </c>
      <c r="E42" s="185"/>
      <c r="F42" s="185"/>
      <c r="G42" s="185">
        <f t="shared" si="3"/>
        <v>21419957.239</v>
      </c>
      <c r="H42" s="185">
        <v>346.8</v>
      </c>
      <c r="I42" s="185">
        <v>0</v>
      </c>
      <c r="J42" s="185">
        <v>30</v>
      </c>
      <c r="K42" s="187">
        <v>1</v>
      </c>
      <c r="L42" s="185">
        <v>18480</v>
      </c>
      <c r="M42" s="185">
        <f t="shared" si="4"/>
        <v>21542213.201019712</v>
      </c>
      <c r="N42" s="26">
        <f t="shared" si="9"/>
        <v>122255.96201971173</v>
      </c>
      <c r="O42" s="34">
        <f t="shared" si="10"/>
        <v>5.707572646182337E-3</v>
      </c>
      <c r="P42" s="94">
        <f t="shared" si="5"/>
        <v>5.707572646182337E-3</v>
      </c>
      <c r="Q42" s="95">
        <f t="shared" si="6"/>
        <v>14946520249.365198</v>
      </c>
      <c r="R42" s="95">
        <f t="shared" si="7"/>
        <v>43275.354284927249</v>
      </c>
      <c r="S42" s="95">
        <f t="shared" si="8"/>
        <v>1872756288.4859712</v>
      </c>
      <c r="T42"/>
      <c r="U42" t="s">
        <v>195</v>
      </c>
      <c r="V42" s="99">
        <f>Q123</f>
        <v>406085483606.13171</v>
      </c>
    </row>
    <row r="43" spans="1:29" x14ac:dyDescent="0.25">
      <c r="A43" s="183">
        <v>43616</v>
      </c>
      <c r="B43" s="185">
        <v>20126479.741</v>
      </c>
      <c r="C43" s="185"/>
      <c r="D43" s="185">
        <f t="shared" si="2"/>
        <v>20126479.741</v>
      </c>
      <c r="E43" s="185"/>
      <c r="F43" s="185"/>
      <c r="G43" s="185">
        <f t="shared" si="3"/>
        <v>20126479.741</v>
      </c>
      <c r="H43" s="185">
        <v>181</v>
      </c>
      <c r="I43" s="185">
        <v>0</v>
      </c>
      <c r="J43" s="185">
        <v>31</v>
      </c>
      <c r="K43" s="187">
        <v>1</v>
      </c>
      <c r="L43" s="185">
        <v>18492</v>
      </c>
      <c r="M43" s="185">
        <f t="shared" si="4"/>
        <v>20106843.767948981</v>
      </c>
      <c r="N43" s="26">
        <f t="shared" si="9"/>
        <v>-19635.973051019013</v>
      </c>
      <c r="O43" s="34">
        <f t="shared" si="10"/>
        <v>-9.7562878872544377E-4</v>
      </c>
      <c r="P43" s="94">
        <f t="shared" si="5"/>
        <v>9.7562878872544377E-4</v>
      </c>
      <c r="Q43" s="95">
        <f t="shared" si="6"/>
        <v>385571437.6603449</v>
      </c>
      <c r="R43" s="95">
        <f t="shared" si="7"/>
        <v>-141891.93507073075</v>
      </c>
      <c r="S43" s="95">
        <f t="shared" si="8"/>
        <v>20133321238.11647</v>
      </c>
      <c r="T43"/>
    </row>
    <row r="44" spans="1:29" x14ac:dyDescent="0.25">
      <c r="A44" s="183">
        <v>43646</v>
      </c>
      <c r="B44" s="185">
        <v>20273580.334999997</v>
      </c>
      <c r="C44" s="185"/>
      <c r="D44" s="185">
        <f t="shared" si="2"/>
        <v>20273580.334999997</v>
      </c>
      <c r="E44" s="185"/>
      <c r="F44" s="185"/>
      <c r="G44" s="185">
        <f t="shared" si="3"/>
        <v>20273580.334999997</v>
      </c>
      <c r="H44" s="185">
        <v>35.5</v>
      </c>
      <c r="I44" s="185">
        <v>41.300000000000004</v>
      </c>
      <c r="J44" s="185">
        <v>30</v>
      </c>
      <c r="K44" s="187">
        <v>0</v>
      </c>
      <c r="L44" s="185">
        <v>18504</v>
      </c>
      <c r="M44" s="185">
        <f t="shared" si="4"/>
        <v>20735294.006485865</v>
      </c>
      <c r="N44" s="26">
        <f t="shared" si="9"/>
        <v>461713.67148586735</v>
      </c>
      <c r="O44" s="34">
        <f t="shared" si="10"/>
        <v>2.2774155519475363E-2</v>
      </c>
      <c r="P44" s="94">
        <f t="shared" si="5"/>
        <v>2.2774155519475363E-2</v>
      </c>
      <c r="Q44" s="95">
        <f t="shared" si="6"/>
        <v>213179514436.95944</v>
      </c>
      <c r="R44" s="95">
        <f t="shared" si="7"/>
        <v>481349.64453688636</v>
      </c>
      <c r="S44" s="95">
        <f t="shared" si="8"/>
        <v>231697480295.78687</v>
      </c>
      <c r="T44"/>
      <c r="U44" t="s">
        <v>196</v>
      </c>
      <c r="V44" s="102">
        <f>V41/V42</f>
        <v>1.0798164562129227</v>
      </c>
    </row>
    <row r="45" spans="1:29" x14ac:dyDescent="0.25">
      <c r="A45" s="183">
        <v>43677</v>
      </c>
      <c r="B45" s="185">
        <v>26858420.012999997</v>
      </c>
      <c r="C45" s="185"/>
      <c r="D45" s="185">
        <f t="shared" si="2"/>
        <v>26858420.012999997</v>
      </c>
      <c r="E45" s="185"/>
      <c r="F45" s="185"/>
      <c r="G45" s="185">
        <f t="shared" si="3"/>
        <v>26858420.012999997</v>
      </c>
      <c r="H45" s="185">
        <v>0</v>
      </c>
      <c r="I45" s="185">
        <v>166.90000000000003</v>
      </c>
      <c r="J45" s="185">
        <v>31</v>
      </c>
      <c r="K45" s="187">
        <v>0</v>
      </c>
      <c r="L45" s="185">
        <v>18534</v>
      </c>
      <c r="M45" s="185">
        <f t="shared" si="4"/>
        <v>27077302.857106604</v>
      </c>
      <c r="N45" s="26">
        <f t="shared" si="9"/>
        <v>218882.84410660714</v>
      </c>
      <c r="O45" s="34">
        <f t="shared" si="10"/>
        <v>8.1495055926842901E-3</v>
      </c>
      <c r="P45" s="94">
        <f t="shared" si="5"/>
        <v>8.1495055926842901E-3</v>
      </c>
      <c r="Q45" s="95">
        <f t="shared" si="6"/>
        <v>47909699444.197281</v>
      </c>
      <c r="R45" s="95">
        <f t="shared" si="7"/>
        <v>-242830.82737926021</v>
      </c>
      <c r="S45" s="95">
        <f t="shared" si="8"/>
        <v>58966810725.696068</v>
      </c>
      <c r="T45"/>
    </row>
    <row r="46" spans="1:29" x14ac:dyDescent="0.25">
      <c r="A46" s="183">
        <v>43708</v>
      </c>
      <c r="B46" s="185">
        <v>23828311.434</v>
      </c>
      <c r="C46" s="185"/>
      <c r="D46" s="185">
        <f t="shared" si="2"/>
        <v>23828311.434</v>
      </c>
      <c r="E46" s="185"/>
      <c r="F46" s="185"/>
      <c r="G46" s="185">
        <f t="shared" si="3"/>
        <v>23828311.434</v>
      </c>
      <c r="H46" s="185">
        <v>0.89999999999999991</v>
      </c>
      <c r="I46" s="185">
        <v>103.30000000000003</v>
      </c>
      <c r="J46" s="185">
        <v>31</v>
      </c>
      <c r="K46" s="187">
        <v>0</v>
      </c>
      <c r="L46" s="185">
        <v>18540</v>
      </c>
      <c r="M46" s="185">
        <f t="shared" si="4"/>
        <v>23985312.887425944</v>
      </c>
      <c r="N46" s="26">
        <f t="shared" si="9"/>
        <v>157001.45342594385</v>
      </c>
      <c r="O46" s="34">
        <f t="shared" si="10"/>
        <v>6.588861903236775E-3</v>
      </c>
      <c r="P46" s="94">
        <f t="shared" si="5"/>
        <v>6.588861903236775E-3</v>
      </c>
      <c r="Q46" s="95">
        <f t="shared" si="6"/>
        <v>24649456377.858818</v>
      </c>
      <c r="R46" s="95">
        <f t="shared" si="7"/>
        <v>-61881.390680663288</v>
      </c>
      <c r="S46" s="95">
        <f t="shared" si="8"/>
        <v>3829306512.5728812</v>
      </c>
      <c r="T46"/>
    </row>
    <row r="47" spans="1:29" x14ac:dyDescent="0.25">
      <c r="A47" s="183">
        <v>43738</v>
      </c>
      <c r="B47" s="185">
        <v>19656048.893999998</v>
      </c>
      <c r="C47" s="185"/>
      <c r="D47" s="185">
        <f t="shared" si="2"/>
        <v>19656048.893999998</v>
      </c>
      <c r="E47" s="185"/>
      <c r="F47" s="185"/>
      <c r="G47" s="185">
        <f t="shared" si="3"/>
        <v>19656048.893999998</v>
      </c>
      <c r="H47" s="185">
        <v>38.400000000000006</v>
      </c>
      <c r="I47" s="185">
        <v>25.400000000000002</v>
      </c>
      <c r="J47" s="185">
        <v>30</v>
      </c>
      <c r="K47" s="187">
        <v>1</v>
      </c>
      <c r="L47" s="185">
        <v>18551</v>
      </c>
      <c r="M47" s="185">
        <f t="shared" si="4"/>
        <v>19015718.648180548</v>
      </c>
      <c r="N47" s="26">
        <f t="shared" si="9"/>
        <v>-640330.24581944942</v>
      </c>
      <c r="O47" s="34">
        <f t="shared" si="10"/>
        <v>-3.2576752798722942E-2</v>
      </c>
      <c r="P47" s="94">
        <f t="shared" si="5"/>
        <v>3.2576752798722942E-2</v>
      </c>
      <c r="Q47" s="95">
        <f t="shared" si="6"/>
        <v>410022823711.19653</v>
      </c>
      <c r="R47" s="95">
        <f t="shared" si="7"/>
        <v>-797331.69924539328</v>
      </c>
      <c r="S47" s="95">
        <f t="shared" si="8"/>
        <v>635737838621.54626</v>
      </c>
      <c r="T47"/>
    </row>
    <row r="48" spans="1:29" x14ac:dyDescent="0.25">
      <c r="A48" s="183">
        <v>43769</v>
      </c>
      <c r="B48" s="185">
        <v>20804823.366999999</v>
      </c>
      <c r="C48" s="185"/>
      <c r="D48" s="185">
        <f t="shared" si="2"/>
        <v>20804823.366999999</v>
      </c>
      <c r="E48" s="185"/>
      <c r="F48" s="185"/>
      <c r="G48" s="185">
        <f t="shared" si="3"/>
        <v>20804823.366999999</v>
      </c>
      <c r="H48" s="185">
        <v>236.5</v>
      </c>
      <c r="I48" s="185">
        <v>5.0999999999999996</v>
      </c>
      <c r="J48" s="185">
        <v>31</v>
      </c>
      <c r="K48" s="187">
        <v>1</v>
      </c>
      <c r="L48" s="185">
        <v>18559</v>
      </c>
      <c r="M48" s="185">
        <f t="shared" si="4"/>
        <v>21110294.336457081</v>
      </c>
      <c r="N48" s="26">
        <f t="shared" si="9"/>
        <v>305470.96945708245</v>
      </c>
      <c r="O48" s="34">
        <f t="shared" si="10"/>
        <v>1.4682699490811902E-2</v>
      </c>
      <c r="P48" s="94">
        <f t="shared" si="5"/>
        <v>1.4682699490811902E-2</v>
      </c>
      <c r="Q48" s="95">
        <f t="shared" si="6"/>
        <v>93312513181.049805</v>
      </c>
      <c r="R48" s="95">
        <f t="shared" si="7"/>
        <v>945801.21527653188</v>
      </c>
      <c r="S48" s="95">
        <f t="shared" si="8"/>
        <v>894539938818.56458</v>
      </c>
      <c r="T48"/>
    </row>
    <row r="49" spans="1:20" x14ac:dyDescent="0.25">
      <c r="A49" s="183">
        <v>43799</v>
      </c>
      <c r="B49" s="185">
        <v>23741040.090999998</v>
      </c>
      <c r="C49" s="185"/>
      <c r="D49" s="185">
        <f t="shared" si="2"/>
        <v>23741040.090999998</v>
      </c>
      <c r="E49" s="185"/>
      <c r="F49" s="185"/>
      <c r="G49" s="185">
        <f t="shared" si="3"/>
        <v>23741040.090999998</v>
      </c>
      <c r="H49" s="185">
        <v>513.30000000000007</v>
      </c>
      <c r="I49" s="185">
        <v>0</v>
      </c>
      <c r="J49" s="185">
        <v>30</v>
      </c>
      <c r="K49" s="187">
        <v>1</v>
      </c>
      <c r="L49" s="185">
        <v>18576</v>
      </c>
      <c r="M49" s="185">
        <f t="shared" si="4"/>
        <v>23704586.893135287</v>
      </c>
      <c r="N49" s="26">
        <f t="shared" si="9"/>
        <v>-36453.197864711285</v>
      </c>
      <c r="O49" s="34">
        <f t="shared" si="10"/>
        <v>-1.5354507521568249E-3</v>
      </c>
      <c r="P49" s="94">
        <f t="shared" si="5"/>
        <v>1.5354507521568249E-3</v>
      </c>
      <c r="Q49" s="95">
        <f t="shared" si="6"/>
        <v>1328835634.5637913</v>
      </c>
      <c r="R49" s="95">
        <f t="shared" si="7"/>
        <v>-341924.16732179374</v>
      </c>
      <c r="S49" s="95">
        <f t="shared" si="8"/>
        <v>116912136198.702</v>
      </c>
      <c r="T49"/>
    </row>
    <row r="50" spans="1:20" x14ac:dyDescent="0.25">
      <c r="A50" s="183">
        <v>43830</v>
      </c>
      <c r="B50" s="185">
        <v>26398898.682</v>
      </c>
      <c r="C50" s="185"/>
      <c r="D50" s="185">
        <f t="shared" si="2"/>
        <v>26398898.682</v>
      </c>
      <c r="E50" s="185"/>
      <c r="F50" s="185"/>
      <c r="G50" s="185">
        <f t="shared" si="3"/>
        <v>26398898.682</v>
      </c>
      <c r="H50" s="185">
        <v>582.4</v>
      </c>
      <c r="I50" s="185">
        <v>0</v>
      </c>
      <c r="J50" s="185">
        <v>31</v>
      </c>
      <c r="K50" s="187">
        <v>0</v>
      </c>
      <c r="L50" s="185">
        <v>18633</v>
      </c>
      <c r="M50" s="185">
        <f t="shared" si="4"/>
        <v>26256933.394259986</v>
      </c>
      <c r="N50" s="26">
        <f t="shared" si="9"/>
        <v>-141965.28774001449</v>
      </c>
      <c r="O50" s="34">
        <f t="shared" si="10"/>
        <v>-5.3776973596558805E-3</v>
      </c>
      <c r="P50" s="94">
        <f t="shared" si="5"/>
        <v>5.3776973596558805E-3</v>
      </c>
      <c r="Q50" s="95">
        <f t="shared" si="6"/>
        <v>20154142923.10511</v>
      </c>
      <c r="R50" s="95">
        <f t="shared" si="7"/>
        <v>-105512.08987530321</v>
      </c>
      <c r="S50" s="95">
        <f t="shared" si="8"/>
        <v>11132801109.854061</v>
      </c>
      <c r="T50"/>
    </row>
    <row r="51" spans="1:20" x14ac:dyDescent="0.25">
      <c r="A51" s="183">
        <v>43861</v>
      </c>
      <c r="B51" s="185">
        <v>26523401.686000001</v>
      </c>
      <c r="C51" s="185"/>
      <c r="D51" s="185">
        <f t="shared" si="2"/>
        <v>26523401.686000001</v>
      </c>
      <c r="E51" s="185"/>
      <c r="F51" s="185"/>
      <c r="G51" s="185">
        <f t="shared" si="3"/>
        <v>26523401.686000001</v>
      </c>
      <c r="H51" s="185">
        <v>605</v>
      </c>
      <c r="I51" s="185">
        <v>0</v>
      </c>
      <c r="J51" s="185">
        <v>31</v>
      </c>
      <c r="K51" s="187">
        <v>0</v>
      </c>
      <c r="L51" s="185">
        <v>18668</v>
      </c>
      <c r="M51" s="185">
        <f t="shared" si="4"/>
        <v>26571385.056836475</v>
      </c>
      <c r="N51" s="26">
        <f t="shared" si="9"/>
        <v>47983.370836474001</v>
      </c>
      <c r="O51" s="34">
        <f t="shared" si="10"/>
        <v>1.8090956584125232E-3</v>
      </c>
      <c r="P51" s="94">
        <f t="shared" si="5"/>
        <v>1.8090956584125232E-3</v>
      </c>
      <c r="Q51" s="95">
        <f t="shared" si="6"/>
        <v>2302403876.8305836</v>
      </c>
      <c r="R51" s="95">
        <f t="shared" si="7"/>
        <v>189948.65857648849</v>
      </c>
      <c r="S51" s="95">
        <f t="shared" si="8"/>
        <v>36080492895.007393</v>
      </c>
      <c r="T51"/>
    </row>
    <row r="52" spans="1:20" x14ac:dyDescent="0.25">
      <c r="A52" s="183">
        <v>43890</v>
      </c>
      <c r="B52" s="185">
        <v>24898397.280999999</v>
      </c>
      <c r="C52" s="185"/>
      <c r="D52" s="185">
        <f t="shared" si="2"/>
        <v>24898397.280999999</v>
      </c>
      <c r="E52" s="185"/>
      <c r="F52" s="185"/>
      <c r="G52" s="185">
        <f t="shared" si="3"/>
        <v>24898397.280999999</v>
      </c>
      <c r="H52" s="185">
        <v>611.79999999999995</v>
      </c>
      <c r="I52" s="185">
        <v>0</v>
      </c>
      <c r="J52" s="185">
        <v>29</v>
      </c>
      <c r="K52" s="187">
        <v>0</v>
      </c>
      <c r="L52" s="185">
        <v>18678</v>
      </c>
      <c r="M52" s="185">
        <f t="shared" si="4"/>
        <v>25434779.048957065</v>
      </c>
      <c r="N52" s="26">
        <f t="shared" si="9"/>
        <v>536381.76795706525</v>
      </c>
      <c r="O52" s="34">
        <f t="shared" si="10"/>
        <v>2.1542823094335431E-2</v>
      </c>
      <c r="P52" s="94">
        <f t="shared" si="5"/>
        <v>2.1542823094335431E-2</v>
      </c>
      <c r="Q52" s="95">
        <f t="shared" si="6"/>
        <v>287705400996.74701</v>
      </c>
      <c r="R52" s="95">
        <f t="shared" si="7"/>
        <v>488398.39712059125</v>
      </c>
      <c r="S52" s="95">
        <f t="shared" si="8"/>
        <v>238532994309.96277</v>
      </c>
      <c r="T52"/>
    </row>
    <row r="53" spans="1:20" x14ac:dyDescent="0.25">
      <c r="A53" s="183">
        <v>43921</v>
      </c>
      <c r="B53" s="185">
        <v>24574269.381999999</v>
      </c>
      <c r="C53" s="185"/>
      <c r="D53" s="185">
        <f t="shared" si="2"/>
        <v>24574269.381999999</v>
      </c>
      <c r="E53" s="185"/>
      <c r="F53" s="185"/>
      <c r="G53" s="185">
        <f t="shared" si="3"/>
        <v>24574269.381999999</v>
      </c>
      <c r="H53" s="185">
        <v>458.69999999999993</v>
      </c>
      <c r="I53" s="185">
        <v>0</v>
      </c>
      <c r="J53" s="185">
        <v>31</v>
      </c>
      <c r="K53" s="187">
        <v>1</v>
      </c>
      <c r="L53" s="185">
        <v>18695</v>
      </c>
      <c r="M53" s="185">
        <f t="shared" si="4"/>
        <v>23754273.244458549</v>
      </c>
      <c r="N53" s="26">
        <f t="shared" si="9"/>
        <v>-819996.13754145056</v>
      </c>
      <c r="O53" s="34">
        <f t="shared" si="10"/>
        <v>-3.3368078000401348E-2</v>
      </c>
      <c r="P53" s="94">
        <f t="shared" si="5"/>
        <v>3.3368078000401348E-2</v>
      </c>
      <c r="Q53" s="95">
        <f t="shared" si="6"/>
        <v>672393665582.89746</v>
      </c>
      <c r="R53" s="95">
        <f t="shared" si="7"/>
        <v>-1356377.9054985158</v>
      </c>
      <c r="S53" s="95">
        <f t="shared" si="8"/>
        <v>1839761022524.5408</v>
      </c>
      <c r="T53"/>
    </row>
    <row r="54" spans="1:20" x14ac:dyDescent="0.25">
      <c r="A54" s="183">
        <v>43951</v>
      </c>
      <c r="B54" s="185">
        <v>21967925.707000002</v>
      </c>
      <c r="C54" s="185"/>
      <c r="D54" s="185">
        <f t="shared" si="2"/>
        <v>21967925.707000002</v>
      </c>
      <c r="E54" s="185"/>
      <c r="F54" s="185"/>
      <c r="G54" s="185">
        <f t="shared" si="3"/>
        <v>21967925.707000002</v>
      </c>
      <c r="H54" s="185">
        <v>362.2999999999999</v>
      </c>
      <c r="I54" s="185">
        <v>0</v>
      </c>
      <c r="J54" s="185">
        <v>30</v>
      </c>
      <c r="K54" s="187">
        <v>1</v>
      </c>
      <c r="L54" s="185">
        <v>18695</v>
      </c>
      <c r="M54" s="185">
        <f t="shared" si="4"/>
        <v>21939925.898237001</v>
      </c>
      <c r="N54" s="26">
        <f t="shared" si="9"/>
        <v>-27999.808763001114</v>
      </c>
      <c r="O54" s="34">
        <f t="shared" si="10"/>
        <v>-1.2745768142359965E-3</v>
      </c>
      <c r="P54" s="94">
        <f t="shared" si="5"/>
        <v>1.2745768142359965E-3</v>
      </c>
      <c r="Q54" s="95">
        <f t="shared" si="6"/>
        <v>783989290.76463401</v>
      </c>
      <c r="R54" s="95">
        <f t="shared" si="7"/>
        <v>791996.32877844945</v>
      </c>
      <c r="S54" s="95">
        <f t="shared" si="8"/>
        <v>627258184798.54175</v>
      </c>
      <c r="T54"/>
    </row>
    <row r="55" spans="1:20" x14ac:dyDescent="0.25">
      <c r="A55" s="183">
        <v>43982</v>
      </c>
      <c r="B55" s="185">
        <v>21748680.120000001</v>
      </c>
      <c r="C55" s="185"/>
      <c r="D55" s="185">
        <f t="shared" si="2"/>
        <v>21748680.120000001</v>
      </c>
      <c r="E55" s="185"/>
      <c r="F55" s="185"/>
      <c r="G55" s="185">
        <f t="shared" si="3"/>
        <v>21748680.120000001</v>
      </c>
      <c r="H55" s="185">
        <v>208.09999999999997</v>
      </c>
      <c r="I55" s="185">
        <v>24.2</v>
      </c>
      <c r="J55" s="185">
        <v>31</v>
      </c>
      <c r="K55" s="187">
        <v>1</v>
      </c>
      <c r="L55" s="185">
        <v>18714</v>
      </c>
      <c r="M55" s="185">
        <f t="shared" si="4"/>
        <v>21838452.732876703</v>
      </c>
      <c r="N55" s="26">
        <f t="shared" si="9"/>
        <v>89772.6128767021</v>
      </c>
      <c r="O55" s="34">
        <f t="shared" si="10"/>
        <v>4.1277269416523142E-3</v>
      </c>
      <c r="P55" s="94">
        <f t="shared" si="5"/>
        <v>4.1277269416523142E-3</v>
      </c>
      <c r="Q55" s="95">
        <f t="shared" si="6"/>
        <v>8059122022.7102194</v>
      </c>
      <c r="R55" s="95">
        <f t="shared" si="7"/>
        <v>117772.42163970321</v>
      </c>
      <c r="S55" s="95">
        <f t="shared" si="8"/>
        <v>13870343298.880033</v>
      </c>
      <c r="T55"/>
    </row>
    <row r="56" spans="1:20" x14ac:dyDescent="0.25">
      <c r="A56" s="183">
        <v>44012</v>
      </c>
      <c r="B56" s="185">
        <v>23703342.888</v>
      </c>
      <c r="C56" s="185"/>
      <c r="D56" s="185">
        <f t="shared" si="2"/>
        <v>23703342.888</v>
      </c>
      <c r="E56" s="185"/>
      <c r="F56" s="185"/>
      <c r="G56" s="185">
        <f t="shared" si="3"/>
        <v>23703342.888</v>
      </c>
      <c r="H56" s="185">
        <v>23.799999999999997</v>
      </c>
      <c r="I56" s="185">
        <v>97.700000000000017</v>
      </c>
      <c r="J56" s="185">
        <v>30</v>
      </c>
      <c r="K56" s="187">
        <v>0</v>
      </c>
      <c r="L56" s="185">
        <v>18752</v>
      </c>
      <c r="M56" s="185">
        <f t="shared" si="4"/>
        <v>23583108.090450205</v>
      </c>
      <c r="N56" s="26">
        <f t="shared" si="9"/>
        <v>-120234.79754979536</v>
      </c>
      <c r="O56" s="34">
        <f t="shared" si="10"/>
        <v>-5.072482734520334E-3</v>
      </c>
      <c r="P56" s="94">
        <f t="shared" si="5"/>
        <v>5.072482734520334E-3</v>
      </c>
      <c r="Q56" s="95">
        <f t="shared" si="6"/>
        <v>14456406541.840277</v>
      </c>
      <c r="R56" s="95">
        <f t="shared" si="7"/>
        <v>-210007.41042649746</v>
      </c>
      <c r="S56" s="95">
        <f t="shared" si="8"/>
        <v>44103112434.04335</v>
      </c>
      <c r="T56"/>
    </row>
    <row r="57" spans="1:20" x14ac:dyDescent="0.25">
      <c r="A57" s="183">
        <v>44043</v>
      </c>
      <c r="B57" s="185">
        <v>29815954.280999999</v>
      </c>
      <c r="C57" s="185"/>
      <c r="D57" s="185">
        <f t="shared" si="2"/>
        <v>29815954.280999999</v>
      </c>
      <c r="E57" s="185"/>
      <c r="F57" s="185"/>
      <c r="G57" s="185">
        <f t="shared" si="3"/>
        <v>29815954.280999999</v>
      </c>
      <c r="H57" s="185">
        <v>0</v>
      </c>
      <c r="I57" s="185">
        <v>215.7</v>
      </c>
      <c r="J57" s="185">
        <v>31</v>
      </c>
      <c r="K57" s="187">
        <v>0</v>
      </c>
      <c r="L57" s="185">
        <v>18766</v>
      </c>
      <c r="M57" s="185">
        <f t="shared" si="4"/>
        <v>29683882.9365706</v>
      </c>
      <c r="N57" s="26">
        <f t="shared" si="9"/>
        <v>-132071.34442939982</v>
      </c>
      <c r="O57" s="34">
        <f t="shared" si="10"/>
        <v>-4.4295528221131369E-3</v>
      </c>
      <c r="P57" s="94">
        <f t="shared" si="5"/>
        <v>4.4295528221131369E-3</v>
      </c>
      <c r="Q57" s="95">
        <f t="shared" si="6"/>
        <v>17442840019.38916</v>
      </c>
      <c r="R57" s="95">
        <f t="shared" si="7"/>
        <v>-11836.546879604459</v>
      </c>
      <c r="S57" s="95">
        <f t="shared" si="8"/>
        <v>140103842.03307405</v>
      </c>
      <c r="T57"/>
    </row>
    <row r="58" spans="1:20" x14ac:dyDescent="0.25">
      <c r="A58" s="183">
        <v>44074</v>
      </c>
      <c r="B58" s="185">
        <v>26121737.241</v>
      </c>
      <c r="C58" s="185"/>
      <c r="D58" s="185">
        <f t="shared" si="2"/>
        <v>26121737.241</v>
      </c>
      <c r="E58" s="185"/>
      <c r="F58" s="185"/>
      <c r="G58" s="185">
        <f t="shared" si="3"/>
        <v>26121737.241</v>
      </c>
      <c r="H58" s="185">
        <v>0.8</v>
      </c>
      <c r="I58" s="185">
        <v>126.69999999999999</v>
      </c>
      <c r="J58" s="185">
        <v>31</v>
      </c>
      <c r="K58" s="187">
        <v>0</v>
      </c>
      <c r="L58" s="185">
        <v>18799</v>
      </c>
      <c r="M58" s="185">
        <f t="shared" si="4"/>
        <v>25374778.624792218</v>
      </c>
      <c r="N58" s="26">
        <f t="shared" si="9"/>
        <v>-746958.61620778218</v>
      </c>
      <c r="O58" s="34">
        <f t="shared" si="10"/>
        <v>-2.8595288640886233E-2</v>
      </c>
      <c r="P58" s="94">
        <f t="shared" si="5"/>
        <v>2.8595288640886233E-2</v>
      </c>
      <c r="Q58" s="95">
        <f t="shared" si="6"/>
        <v>557947174327.0448</v>
      </c>
      <c r="R58" s="95">
        <f t="shared" si="7"/>
        <v>-614887.27177838236</v>
      </c>
      <c r="S58" s="95">
        <f t="shared" si="8"/>
        <v>378086356995.06226</v>
      </c>
      <c r="T58"/>
    </row>
    <row r="59" spans="1:20" x14ac:dyDescent="0.25">
      <c r="A59" s="183">
        <v>44104</v>
      </c>
      <c r="B59" s="185">
        <v>20682425.02699</v>
      </c>
      <c r="C59" s="185"/>
      <c r="D59" s="185">
        <f t="shared" si="2"/>
        <v>20682425.02699</v>
      </c>
      <c r="E59" s="185"/>
      <c r="F59" s="185"/>
      <c r="G59" s="185">
        <f t="shared" si="3"/>
        <v>20682425.02699</v>
      </c>
      <c r="H59" s="185">
        <v>69.100000000000009</v>
      </c>
      <c r="I59" s="185">
        <v>33.300000000000004</v>
      </c>
      <c r="J59" s="185">
        <v>30</v>
      </c>
      <c r="K59" s="187">
        <v>1</v>
      </c>
      <c r="L59" s="185">
        <v>18824</v>
      </c>
      <c r="M59" s="185">
        <f t="shared" si="4"/>
        <v>20043935.695509009</v>
      </c>
      <c r="N59" s="26">
        <f t="shared" si="9"/>
        <v>-638489.3314809911</v>
      </c>
      <c r="O59" s="34">
        <f t="shared" si="10"/>
        <v>-3.0871105813161655E-2</v>
      </c>
      <c r="P59" s="94">
        <f t="shared" si="5"/>
        <v>3.0871105813161655E-2</v>
      </c>
      <c r="Q59" s="95">
        <f t="shared" si="6"/>
        <v>407668626415.04291</v>
      </c>
      <c r="R59" s="95">
        <f t="shared" si="7"/>
        <v>108469.28472679108</v>
      </c>
      <c r="S59" s="95">
        <f t="shared" si="8"/>
        <v>11765585729.141674</v>
      </c>
      <c r="T59"/>
    </row>
    <row r="60" spans="1:20" x14ac:dyDescent="0.25">
      <c r="A60" s="183">
        <v>44135</v>
      </c>
      <c r="B60" s="185">
        <v>21791036.214000002</v>
      </c>
      <c r="C60" s="185"/>
      <c r="D60" s="185">
        <f t="shared" si="2"/>
        <v>21791036.214000002</v>
      </c>
      <c r="E60" s="185"/>
      <c r="F60" s="185"/>
      <c r="G60" s="185">
        <f t="shared" si="3"/>
        <v>21791036.214000002</v>
      </c>
      <c r="H60" s="185">
        <v>270.3</v>
      </c>
      <c r="I60" s="185">
        <v>0</v>
      </c>
      <c r="J60" s="185">
        <v>31</v>
      </c>
      <c r="K60" s="187">
        <v>1</v>
      </c>
      <c r="L60" s="185">
        <v>18971</v>
      </c>
      <c r="M60" s="185">
        <f t="shared" si="4"/>
        <v>21674089.528204173</v>
      </c>
      <c r="N60" s="26">
        <f t="shared" si="9"/>
        <v>-116946.6857958287</v>
      </c>
      <c r="O60" s="34">
        <f t="shared" si="10"/>
        <v>-5.3667335801449601E-3</v>
      </c>
      <c r="P60" s="94">
        <f t="shared" si="5"/>
        <v>5.3667335801449601E-3</v>
      </c>
      <c r="Q60" s="95">
        <f t="shared" si="6"/>
        <v>13676527318.628283</v>
      </c>
      <c r="R60" s="95">
        <f t="shared" si="7"/>
        <v>521542.6456851624</v>
      </c>
      <c r="S60" s="95">
        <f t="shared" si="8"/>
        <v>272006731268.27884</v>
      </c>
      <c r="T60"/>
    </row>
    <row r="61" spans="1:20" x14ac:dyDescent="0.25">
      <c r="A61" s="183">
        <v>44165</v>
      </c>
      <c r="B61" s="185">
        <v>22640626.522999998</v>
      </c>
      <c r="C61" s="185"/>
      <c r="D61" s="185">
        <f t="shared" si="2"/>
        <v>22640626.522999998</v>
      </c>
      <c r="E61" s="185"/>
      <c r="F61" s="185"/>
      <c r="G61" s="185">
        <f t="shared" si="3"/>
        <v>22640626.522999998</v>
      </c>
      <c r="H61" s="185">
        <v>334.79999999999995</v>
      </c>
      <c r="I61" s="185">
        <v>0</v>
      </c>
      <c r="J61" s="185">
        <v>30</v>
      </c>
      <c r="K61" s="187">
        <v>1</v>
      </c>
      <c r="L61" s="185">
        <v>18970</v>
      </c>
      <c r="M61" s="185">
        <f t="shared" si="4"/>
        <v>21860008.654535241</v>
      </c>
      <c r="N61" s="26">
        <f t="shared" si="9"/>
        <v>-780617.86846475676</v>
      </c>
      <c r="O61" s="34">
        <f t="shared" si="10"/>
        <v>-3.4478633692921361E-2</v>
      </c>
      <c r="P61" s="94">
        <f t="shared" si="5"/>
        <v>3.4478633692921361E-2</v>
      </c>
      <c r="Q61" s="95">
        <f t="shared" si="6"/>
        <v>609364256566.46033</v>
      </c>
      <c r="R61" s="95">
        <f t="shared" si="7"/>
        <v>-663671.18266892806</v>
      </c>
      <c r="S61" s="95">
        <f t="shared" si="8"/>
        <v>440459438705.17365</v>
      </c>
      <c r="T61"/>
    </row>
    <row r="62" spans="1:20" x14ac:dyDescent="0.25">
      <c r="A62" s="183">
        <v>44196</v>
      </c>
      <c r="B62" s="185">
        <v>26936455.295999996</v>
      </c>
      <c r="C62" s="185"/>
      <c r="D62" s="185">
        <f t="shared" si="2"/>
        <v>26936455.295999996</v>
      </c>
      <c r="E62" s="185"/>
      <c r="F62" s="185"/>
      <c r="G62" s="185">
        <f t="shared" si="3"/>
        <v>26936455.295999996</v>
      </c>
      <c r="H62" s="185">
        <v>567.29999999999995</v>
      </c>
      <c r="I62" s="185">
        <v>0</v>
      </c>
      <c r="J62" s="185">
        <v>31</v>
      </c>
      <c r="K62" s="187">
        <v>0</v>
      </c>
      <c r="L62" s="185">
        <v>19282</v>
      </c>
      <c r="M62" s="185">
        <f t="shared" si="4"/>
        <v>26687724.209365159</v>
      </c>
      <c r="N62" s="26">
        <f t="shared" si="9"/>
        <v>-248731.08663483709</v>
      </c>
      <c r="O62" s="34">
        <f t="shared" si="10"/>
        <v>-9.2339947443557321E-3</v>
      </c>
      <c r="P62" s="94">
        <f t="shared" si="5"/>
        <v>9.2339947443557321E-3</v>
      </c>
      <c r="Q62" s="95">
        <f t="shared" si="6"/>
        <v>61867153458.546837</v>
      </c>
      <c r="R62" s="95">
        <f t="shared" si="7"/>
        <v>531886.78182991967</v>
      </c>
      <c r="S62" s="95">
        <f t="shared" si="8"/>
        <v>282903548685.38855</v>
      </c>
      <c r="T62"/>
    </row>
    <row r="63" spans="1:20" x14ac:dyDescent="0.25">
      <c r="A63" s="183">
        <v>44227</v>
      </c>
      <c r="B63" s="185">
        <v>27383194.68</v>
      </c>
      <c r="C63" s="185"/>
      <c r="D63" s="185">
        <f t="shared" si="2"/>
        <v>27383194.68</v>
      </c>
      <c r="E63" s="185"/>
      <c r="F63" s="185"/>
      <c r="G63" s="185">
        <f>D63-E63-F63</f>
        <v>27383194.68</v>
      </c>
      <c r="H63" s="185">
        <v>621.20000000000005</v>
      </c>
      <c r="I63" s="185">
        <v>0</v>
      </c>
      <c r="J63" s="185">
        <v>31</v>
      </c>
      <c r="K63" s="187">
        <v>0</v>
      </c>
      <c r="L63" s="185">
        <v>19313</v>
      </c>
      <c r="M63" s="185">
        <f t="shared" si="4"/>
        <v>27387662.024787292</v>
      </c>
      <c r="N63" s="26">
        <f t="shared" si="9"/>
        <v>4467.3447872921824</v>
      </c>
      <c r="O63" s="34">
        <f t="shared" si="10"/>
        <v>1.6314184080774984E-4</v>
      </c>
      <c r="P63" s="94">
        <f t="shared" si="5"/>
        <v>1.6314184080774984E-4</v>
      </c>
      <c r="Q63" s="95">
        <f t="shared" si="6"/>
        <v>19957169.448546633</v>
      </c>
      <c r="R63" s="95">
        <f t="shared" si="7"/>
        <v>253198.43142212927</v>
      </c>
      <c r="S63" s="95">
        <f t="shared" si="8"/>
        <v>64109445674.626701</v>
      </c>
      <c r="T63"/>
    </row>
    <row r="64" spans="1:20" x14ac:dyDescent="0.25">
      <c r="A64" s="183">
        <v>44255</v>
      </c>
      <c r="B64" s="185">
        <v>26118374.440000001</v>
      </c>
      <c r="C64" s="185"/>
      <c r="D64" s="185">
        <f t="shared" si="2"/>
        <v>26118374.440000001</v>
      </c>
      <c r="E64" s="185"/>
      <c r="F64" s="185"/>
      <c r="G64" s="185">
        <f t="shared" ref="G64:G79" si="11">D64-E64-F64</f>
        <v>26118374.440000001</v>
      </c>
      <c r="H64" s="185">
        <v>600.9</v>
      </c>
      <c r="I64" s="185">
        <v>0</v>
      </c>
      <c r="J64" s="185">
        <v>28</v>
      </c>
      <c r="K64" s="187">
        <v>0</v>
      </c>
      <c r="L64" s="185">
        <v>19329</v>
      </c>
      <c r="M64" s="185">
        <f t="shared" si="4"/>
        <v>25304357.515023388</v>
      </c>
      <c r="N64" s="26">
        <f t="shared" si="9"/>
        <v>-814016.92497661337</v>
      </c>
      <c r="O64" s="34">
        <f t="shared" si="10"/>
        <v>-3.1166446703894232E-2</v>
      </c>
      <c r="P64" s="94">
        <f t="shared" si="5"/>
        <v>3.1166446703894232E-2</v>
      </c>
      <c r="Q64" s="95">
        <f t="shared" si="6"/>
        <v>662623554148.38135</v>
      </c>
      <c r="R64" s="95">
        <f t="shared" si="7"/>
        <v>-818484.26976390556</v>
      </c>
      <c r="S64" s="95">
        <f t="shared" si="8"/>
        <v>669916499850.95374</v>
      </c>
      <c r="T64"/>
    </row>
    <row r="65" spans="1:20" x14ac:dyDescent="0.25">
      <c r="A65" s="183">
        <v>44286</v>
      </c>
      <c r="B65" s="185">
        <v>25209899.25</v>
      </c>
      <c r="C65" s="185"/>
      <c r="D65" s="185">
        <f t="shared" si="2"/>
        <v>25209899.25</v>
      </c>
      <c r="E65" s="185"/>
      <c r="F65" s="185"/>
      <c r="G65" s="185">
        <f t="shared" si="11"/>
        <v>25209899.25</v>
      </c>
      <c r="H65" s="185">
        <v>460.7</v>
      </c>
      <c r="I65" s="185">
        <v>0</v>
      </c>
      <c r="J65" s="185">
        <v>31</v>
      </c>
      <c r="K65" s="187">
        <v>1</v>
      </c>
      <c r="L65" s="185">
        <v>19350</v>
      </c>
      <c r="M65" s="185">
        <f t="shared" si="4"/>
        <v>24403467.007623713</v>
      </c>
      <c r="N65" s="26">
        <f t="shared" si="9"/>
        <v>-806432.24237628654</v>
      </c>
      <c r="O65" s="34">
        <f t="shared" si="10"/>
        <v>-3.1988713416864864E-2</v>
      </c>
      <c r="P65" s="94">
        <f t="shared" si="5"/>
        <v>3.1988713416864864E-2</v>
      </c>
      <c r="Q65" s="95">
        <f t="shared" si="6"/>
        <v>650332961544.04578</v>
      </c>
      <c r="R65" s="95">
        <f t="shared" si="7"/>
        <v>7584.6826003268361</v>
      </c>
      <c r="S65" s="95">
        <f t="shared" si="8"/>
        <v>57527410.14770066</v>
      </c>
      <c r="T65"/>
    </row>
    <row r="66" spans="1:20" x14ac:dyDescent="0.25">
      <c r="A66" s="183">
        <v>44316</v>
      </c>
      <c r="B66" s="185">
        <v>21444082.049999997</v>
      </c>
      <c r="C66" s="185"/>
      <c r="D66" s="185">
        <f t="shared" si="2"/>
        <v>21444082.049999997</v>
      </c>
      <c r="E66" s="185"/>
      <c r="F66" s="185"/>
      <c r="G66" s="185">
        <f t="shared" si="11"/>
        <v>21444082.049999997</v>
      </c>
      <c r="H66" s="185">
        <v>302.39999999999998</v>
      </c>
      <c r="I66" s="185">
        <v>0</v>
      </c>
      <c r="J66" s="185">
        <v>30</v>
      </c>
      <c r="K66" s="187">
        <v>1</v>
      </c>
      <c r="L66" s="185">
        <v>19360</v>
      </c>
      <c r="M66" s="185">
        <f t="shared" si="4"/>
        <v>21828760.034156445</v>
      </c>
      <c r="N66" s="26">
        <f t="shared" si="9"/>
        <v>384677.98415644839</v>
      </c>
      <c r="O66" s="34">
        <f t="shared" si="10"/>
        <v>1.7938654742110934E-2</v>
      </c>
      <c r="P66" s="94">
        <f t="shared" si="5"/>
        <v>1.7938654742110934E-2</v>
      </c>
      <c r="Q66" s="95">
        <f t="shared" si="6"/>
        <v>147977151494.66876</v>
      </c>
      <c r="R66" s="95">
        <f t="shared" si="7"/>
        <v>1191110.2265327349</v>
      </c>
      <c r="S66" s="95">
        <f t="shared" si="8"/>
        <v>1418743571750.863</v>
      </c>
      <c r="T66"/>
    </row>
    <row r="67" spans="1:20" x14ac:dyDescent="0.25">
      <c r="A67" s="183">
        <v>44347</v>
      </c>
      <c r="B67" s="185">
        <v>21915007.870000001</v>
      </c>
      <c r="C67" s="185"/>
      <c r="D67" s="185">
        <f t="shared" si="2"/>
        <v>21915007.870000001</v>
      </c>
      <c r="E67" s="185"/>
      <c r="F67" s="185"/>
      <c r="G67" s="185">
        <f t="shared" si="11"/>
        <v>21915007.870000001</v>
      </c>
      <c r="H67" s="185">
        <v>164.2</v>
      </c>
      <c r="I67" s="185">
        <v>27.9</v>
      </c>
      <c r="J67" s="185">
        <v>31</v>
      </c>
      <c r="K67" s="187">
        <v>1</v>
      </c>
      <c r="L67" s="185">
        <v>19530</v>
      </c>
      <c r="M67" s="185">
        <f t="shared" si="4"/>
        <v>22251080.132015985</v>
      </c>
      <c r="N67" s="26">
        <f t="shared" ref="N67:N98" si="12">M67-G67</f>
        <v>336072.26201598346</v>
      </c>
      <c r="O67" s="34">
        <f t="shared" ref="O67:O98" si="13">N67/G67</f>
        <v>1.5335256277778533E-2</v>
      </c>
      <c r="P67" s="94">
        <f t="shared" si="5"/>
        <v>1.5335256277778533E-2</v>
      </c>
      <c r="Q67" s="95">
        <f t="shared" si="6"/>
        <v>112944565296.53984</v>
      </c>
      <c r="R67" s="95">
        <f t="shared" si="7"/>
        <v>-48605.722140464932</v>
      </c>
      <c r="S67" s="95">
        <f t="shared" si="8"/>
        <v>2362516224.796083</v>
      </c>
      <c r="T67"/>
    </row>
    <row r="68" spans="1:20" x14ac:dyDescent="0.25">
      <c r="A68" s="183">
        <v>44377</v>
      </c>
      <c r="B68" s="185">
        <v>24946416.130000003</v>
      </c>
      <c r="C68" s="185"/>
      <c r="D68" s="185">
        <f t="shared" ref="D68:D122" si="14">B68+C68</f>
        <v>24946416.130000003</v>
      </c>
      <c r="E68" s="185"/>
      <c r="F68" s="185"/>
      <c r="G68" s="185">
        <f t="shared" si="11"/>
        <v>24946416.130000003</v>
      </c>
      <c r="H68" s="185">
        <v>7</v>
      </c>
      <c r="I68" s="185">
        <v>122</v>
      </c>
      <c r="J68" s="185">
        <v>30</v>
      </c>
      <c r="K68" s="187">
        <v>0</v>
      </c>
      <c r="L68" s="185">
        <v>19557</v>
      </c>
      <c r="M68" s="185">
        <f t="shared" ref="M68:M131" si="15">$V$30+$V$31*H68+$V$32*I68+$V$33*J68+$V$34*K68+$V$35*L68</f>
        <v>25329283.026913106</v>
      </c>
      <c r="N68" s="26">
        <f t="shared" si="12"/>
        <v>382866.89691310376</v>
      </c>
      <c r="O68" s="34">
        <f t="shared" si="13"/>
        <v>1.5347571166852965E-2</v>
      </c>
      <c r="P68" s="94">
        <f t="shared" ref="P68:P110" si="16">ABS(O68)</f>
        <v>1.5347571166852965E-2</v>
      </c>
      <c r="Q68" s="95">
        <f t="shared" ref="Q68:Q108" si="17">N68*N68</f>
        <v>146587060751.86923</v>
      </c>
      <c r="R68" s="95">
        <f t="shared" si="7"/>
        <v>46794.634897120297</v>
      </c>
      <c r="S68" s="95">
        <f t="shared" si="8"/>
        <v>2189737855.1547885</v>
      </c>
      <c r="T68"/>
    </row>
    <row r="69" spans="1:20" x14ac:dyDescent="0.25">
      <c r="A69" s="183">
        <v>44408</v>
      </c>
      <c r="B69" s="185">
        <v>25413113.779999997</v>
      </c>
      <c r="C69" s="185"/>
      <c r="D69" s="185">
        <f t="shared" si="14"/>
        <v>25413113.779999997</v>
      </c>
      <c r="E69" s="185"/>
      <c r="F69" s="185"/>
      <c r="G69" s="185">
        <f t="shared" si="11"/>
        <v>25413113.779999997</v>
      </c>
      <c r="H69" s="185">
        <v>4.4000000000000004</v>
      </c>
      <c r="I69" s="185">
        <v>101.7</v>
      </c>
      <c r="J69" s="185">
        <v>31</v>
      </c>
      <c r="K69" s="187">
        <v>0</v>
      </c>
      <c r="L69" s="185">
        <v>19600</v>
      </c>
      <c r="M69" s="185">
        <f t="shared" si="15"/>
        <v>24960980.710358709</v>
      </c>
      <c r="N69" s="26">
        <f t="shared" si="12"/>
        <v>-452133.06964128837</v>
      </c>
      <c r="O69" s="34">
        <f t="shared" si="13"/>
        <v>-1.7791329057721177E-2</v>
      </c>
      <c r="P69" s="94">
        <f t="shared" si="16"/>
        <v>1.7791329057721177E-2</v>
      </c>
      <c r="Q69" s="95">
        <f t="shared" si="17"/>
        <v>204424312663.25412</v>
      </c>
      <c r="R69" s="95">
        <f t="shared" ref="R69:R109" si="18">N69-N68</f>
        <v>-834999.96655439213</v>
      </c>
      <c r="S69" s="95">
        <f t="shared" ref="S69:S109" si="19">R69*R69</f>
        <v>697224944145.83594</v>
      </c>
      <c r="T69"/>
    </row>
    <row r="70" spans="1:20" x14ac:dyDescent="0.25">
      <c r="A70" s="183">
        <v>44439</v>
      </c>
      <c r="B70" s="185">
        <v>29121956.240000002</v>
      </c>
      <c r="C70" s="185"/>
      <c r="D70" s="185">
        <f t="shared" si="14"/>
        <v>29121956.240000002</v>
      </c>
      <c r="E70" s="185"/>
      <c r="F70" s="185"/>
      <c r="G70" s="185">
        <f t="shared" si="11"/>
        <v>29121956.240000002</v>
      </c>
      <c r="H70" s="185">
        <v>0</v>
      </c>
      <c r="I70" s="185">
        <v>178.5</v>
      </c>
      <c r="J70" s="185">
        <v>31</v>
      </c>
      <c r="K70" s="187">
        <v>0</v>
      </c>
      <c r="L70" s="185">
        <v>19594</v>
      </c>
      <c r="M70" s="185">
        <f t="shared" si="15"/>
        <v>28654682.846919551</v>
      </c>
      <c r="N70" s="26">
        <f t="shared" si="12"/>
        <v>-467273.39308045059</v>
      </c>
      <c r="O70" s="34">
        <f t="shared" si="13"/>
        <v>-1.6045398503780273E-2</v>
      </c>
      <c r="P70" s="94">
        <f t="shared" si="16"/>
        <v>1.6045398503780273E-2</v>
      </c>
      <c r="Q70" s="95">
        <f t="shared" si="17"/>
        <v>218344423880.9173</v>
      </c>
      <c r="R70" s="95">
        <f t="shared" si="18"/>
        <v>-15140.323439162225</v>
      </c>
      <c r="S70" s="95">
        <f t="shared" si="19"/>
        <v>229229393.84244505</v>
      </c>
      <c r="T70"/>
    </row>
    <row r="71" spans="1:20" x14ac:dyDescent="0.25">
      <c r="A71" s="183">
        <v>44469</v>
      </c>
      <c r="B71" s="185">
        <v>21448441.290000003</v>
      </c>
      <c r="C71" s="185"/>
      <c r="D71" s="185">
        <f t="shared" si="14"/>
        <v>21448441.290000003</v>
      </c>
      <c r="E71" s="185"/>
      <c r="F71" s="185"/>
      <c r="G71" s="185">
        <f t="shared" si="11"/>
        <v>21448441.290000003</v>
      </c>
      <c r="H71" s="185">
        <v>35.6</v>
      </c>
      <c r="I71" s="185">
        <v>24.9</v>
      </c>
      <c r="J71" s="185">
        <v>30</v>
      </c>
      <c r="K71" s="187">
        <v>1</v>
      </c>
      <c r="L71" s="185">
        <v>19630</v>
      </c>
      <c r="M71" s="185">
        <f t="shared" si="15"/>
        <v>19984909.540015832</v>
      </c>
      <c r="N71" s="26">
        <f t="shared" si="12"/>
        <v>-1463531.7499841712</v>
      </c>
      <c r="O71" s="34">
        <f t="shared" si="13"/>
        <v>-6.8234876847042492E-2</v>
      </c>
      <c r="P71" s="94">
        <f t="shared" si="16"/>
        <v>6.8234876847042492E-2</v>
      </c>
      <c r="Q71" s="95">
        <f t="shared" si="17"/>
        <v>2141925183211.7307</v>
      </c>
      <c r="R71" s="95">
        <f t="shared" si="18"/>
        <v>-996258.35690372065</v>
      </c>
      <c r="S71" s="95">
        <f t="shared" si="19"/>
        <v>992530713700.50122</v>
      </c>
      <c r="T71"/>
    </row>
    <row r="72" spans="1:20" x14ac:dyDescent="0.25">
      <c r="A72" s="183">
        <v>44500</v>
      </c>
      <c r="B72" s="185">
        <v>21738524.600000001</v>
      </c>
      <c r="C72" s="185"/>
      <c r="D72" s="185">
        <f t="shared" si="14"/>
        <v>21738524.600000001</v>
      </c>
      <c r="E72" s="185"/>
      <c r="F72" s="185"/>
      <c r="G72" s="185">
        <f t="shared" si="11"/>
        <v>21738524.600000001</v>
      </c>
      <c r="H72" s="185">
        <v>145.19999999999999</v>
      </c>
      <c r="I72" s="185">
        <v>5.6</v>
      </c>
      <c r="J72" s="185">
        <v>31</v>
      </c>
      <c r="K72" s="187">
        <v>1</v>
      </c>
      <c r="L72" s="185">
        <v>19656</v>
      </c>
      <c r="M72" s="185">
        <f t="shared" si="15"/>
        <v>21044791.205576781</v>
      </c>
      <c r="N72" s="26">
        <f t="shared" si="12"/>
        <v>-693733.39442322031</v>
      </c>
      <c r="O72" s="34">
        <f t="shared" si="13"/>
        <v>-3.1912625497280543E-2</v>
      </c>
      <c r="P72" s="94">
        <f t="shared" si="16"/>
        <v>3.1912625497280543E-2</v>
      </c>
      <c r="Q72" s="95">
        <f t="shared" si="17"/>
        <v>481266022537.96338</v>
      </c>
      <c r="R72" s="95">
        <f t="shared" si="18"/>
        <v>769798.35556095093</v>
      </c>
      <c r="S72" s="95">
        <f t="shared" si="19"/>
        <v>592589508224.34424</v>
      </c>
      <c r="T72"/>
    </row>
    <row r="73" spans="1:20" x14ac:dyDescent="0.25">
      <c r="A73" s="183">
        <v>44530</v>
      </c>
      <c r="B73" s="185">
        <v>23740519.789999999</v>
      </c>
      <c r="C73" s="185"/>
      <c r="D73" s="185">
        <f t="shared" si="14"/>
        <v>23740519.789999999</v>
      </c>
      <c r="E73" s="185"/>
      <c r="F73" s="185"/>
      <c r="G73" s="185">
        <f t="shared" si="11"/>
        <v>23740519.789999999</v>
      </c>
      <c r="H73" s="185">
        <v>413.7</v>
      </c>
      <c r="I73" s="185">
        <v>0</v>
      </c>
      <c r="J73" s="185">
        <v>30</v>
      </c>
      <c r="K73" s="187">
        <v>1</v>
      </c>
      <c r="L73" s="185">
        <v>19657</v>
      </c>
      <c r="M73" s="185">
        <f t="shared" si="15"/>
        <v>23496159.590557493</v>
      </c>
      <c r="N73" s="26">
        <f t="shared" si="12"/>
        <v>-244360.19944250584</v>
      </c>
      <c r="O73" s="34">
        <f t="shared" si="13"/>
        <v>-1.0292959109742636E-2</v>
      </c>
      <c r="P73" s="94">
        <f t="shared" si="16"/>
        <v>1.0292959109742636E-2</v>
      </c>
      <c r="Q73" s="95">
        <f t="shared" si="17"/>
        <v>59711907071.58123</v>
      </c>
      <c r="R73" s="95">
        <f t="shared" si="18"/>
        <v>449373.19498071447</v>
      </c>
      <c r="S73" s="95">
        <f t="shared" si="19"/>
        <v>201936268367.17523</v>
      </c>
      <c r="T73"/>
    </row>
    <row r="74" spans="1:20" x14ac:dyDescent="0.25">
      <c r="A74" s="183">
        <v>44561</v>
      </c>
      <c r="B74" s="185">
        <v>26760724.010000002</v>
      </c>
      <c r="C74" s="185"/>
      <c r="D74" s="185">
        <f t="shared" si="14"/>
        <v>26760724.010000002</v>
      </c>
      <c r="E74" s="185"/>
      <c r="F74" s="185"/>
      <c r="G74" s="185">
        <f t="shared" si="11"/>
        <v>26760724.010000002</v>
      </c>
      <c r="H74" s="185">
        <v>445.8</v>
      </c>
      <c r="I74" s="185">
        <v>0</v>
      </c>
      <c r="J74" s="185">
        <v>31</v>
      </c>
      <c r="K74" s="187">
        <v>0</v>
      </c>
      <c r="L74" s="185">
        <v>19704</v>
      </c>
      <c r="M74" s="185">
        <f t="shared" si="15"/>
        <v>25578781.061039016</v>
      </c>
      <c r="N74" s="26">
        <f t="shared" si="12"/>
        <v>-1181942.948960986</v>
      </c>
      <c r="O74" s="34">
        <f t="shared" si="13"/>
        <v>-4.4167076665015306E-2</v>
      </c>
      <c r="P74" s="94">
        <f t="shared" si="16"/>
        <v>4.4167076665015306E-2</v>
      </c>
      <c r="Q74" s="95">
        <f t="shared" si="17"/>
        <v>1396989134598.592</v>
      </c>
      <c r="R74" s="95">
        <f t="shared" si="18"/>
        <v>-937582.74951848015</v>
      </c>
      <c r="S74" s="95">
        <f t="shared" si="19"/>
        <v>879061412194.63306</v>
      </c>
      <c r="T74"/>
    </row>
    <row r="75" spans="1:20" x14ac:dyDescent="0.25">
      <c r="A75" s="183">
        <v>44592</v>
      </c>
      <c r="B75" s="185">
        <v>30693913.289999999</v>
      </c>
      <c r="C75" s="185"/>
      <c r="D75" s="185">
        <f t="shared" si="14"/>
        <v>30693913.289999999</v>
      </c>
      <c r="E75" s="185"/>
      <c r="F75" s="185"/>
      <c r="G75" s="185">
        <f t="shared" si="11"/>
        <v>30693913.289999999</v>
      </c>
      <c r="H75" s="185">
        <v>737.1</v>
      </c>
      <c r="I75" s="185">
        <v>0</v>
      </c>
      <c r="J75" s="185">
        <v>31</v>
      </c>
      <c r="K75" s="187">
        <v>0</v>
      </c>
      <c r="L75" s="185">
        <v>19788</v>
      </c>
      <c r="M75" s="185">
        <f t="shared" si="15"/>
        <v>29281936.9319015</v>
      </c>
      <c r="N75" s="26">
        <f t="shared" si="12"/>
        <v>-1411976.3580984995</v>
      </c>
      <c r="O75" s="34">
        <f t="shared" si="13"/>
        <v>-4.600183576326574E-2</v>
      </c>
      <c r="P75" s="94">
        <f t="shared" si="16"/>
        <v>4.600183576326574E-2</v>
      </c>
      <c r="Q75" s="95">
        <f t="shared" si="17"/>
        <v>1993677235829.1021</v>
      </c>
      <c r="R75" s="95">
        <f t="shared" si="18"/>
        <v>-230033.40913751349</v>
      </c>
      <c r="S75" s="95">
        <f t="shared" si="19"/>
        <v>52915369319.426674</v>
      </c>
      <c r="T75"/>
    </row>
    <row r="76" spans="1:20" x14ac:dyDescent="0.25">
      <c r="A76" s="183">
        <v>44620</v>
      </c>
      <c r="B76" s="185">
        <v>26556495.73</v>
      </c>
      <c r="C76" s="185"/>
      <c r="D76" s="185">
        <f t="shared" si="14"/>
        <v>26556495.73</v>
      </c>
      <c r="E76" s="185"/>
      <c r="F76" s="185"/>
      <c r="G76" s="185">
        <f t="shared" si="11"/>
        <v>26556495.73</v>
      </c>
      <c r="H76" s="185">
        <v>585.1</v>
      </c>
      <c r="I76" s="185">
        <v>0</v>
      </c>
      <c r="J76" s="185">
        <v>28</v>
      </c>
      <c r="K76" s="187">
        <v>0</v>
      </c>
      <c r="L76" s="185">
        <v>19810</v>
      </c>
      <c r="M76" s="185">
        <f t="shared" si="15"/>
        <v>25566311.435982522</v>
      </c>
      <c r="N76" s="26">
        <f t="shared" si="12"/>
        <v>-990184.29401747882</v>
      </c>
      <c r="O76" s="34">
        <f t="shared" si="13"/>
        <v>-3.7285954595993633E-2</v>
      </c>
      <c r="P76" s="94">
        <f t="shared" si="16"/>
        <v>3.7285954595993633E-2</v>
      </c>
      <c r="Q76" s="95">
        <f t="shared" si="17"/>
        <v>980464936118.89294</v>
      </c>
      <c r="R76" s="95">
        <f t="shared" si="18"/>
        <v>421792.06408102065</v>
      </c>
      <c r="S76" s="95">
        <f t="shared" si="19"/>
        <v>177908545321.72784</v>
      </c>
      <c r="T76"/>
    </row>
    <row r="77" spans="1:20" x14ac:dyDescent="0.25">
      <c r="A77" s="183">
        <v>44651</v>
      </c>
      <c r="B77" s="185">
        <v>26436228.200000003</v>
      </c>
      <c r="C77" s="185"/>
      <c r="D77" s="185">
        <f t="shared" si="14"/>
        <v>26436228.200000003</v>
      </c>
      <c r="E77" s="185"/>
      <c r="F77" s="185"/>
      <c r="G77" s="185">
        <f t="shared" si="11"/>
        <v>26436228.200000003</v>
      </c>
      <c r="H77" s="185">
        <v>523.9</v>
      </c>
      <c r="I77" s="185">
        <v>0</v>
      </c>
      <c r="J77" s="185">
        <v>31</v>
      </c>
      <c r="K77" s="187">
        <v>1</v>
      </c>
      <c r="L77" s="185">
        <v>19854</v>
      </c>
      <c r="M77" s="185">
        <f t="shared" si="15"/>
        <v>25669918.767888043</v>
      </c>
      <c r="N77" s="26">
        <f t="shared" si="12"/>
        <v>-766309.4321119599</v>
      </c>
      <c r="O77" s="34">
        <f t="shared" si="13"/>
        <v>-2.8987094010330863E-2</v>
      </c>
      <c r="P77" s="94">
        <f t="shared" si="16"/>
        <v>2.8987094010330863E-2</v>
      </c>
      <c r="Q77" s="95">
        <f t="shared" si="17"/>
        <v>587230145743.75452</v>
      </c>
      <c r="R77" s="95">
        <f t="shared" si="18"/>
        <v>223874.86190551892</v>
      </c>
      <c r="S77" s="95">
        <f t="shared" si="19"/>
        <v>50119953793.215164</v>
      </c>
      <c r="T77"/>
    </row>
    <row r="78" spans="1:20" x14ac:dyDescent="0.25">
      <c r="A78" s="183">
        <v>44681</v>
      </c>
      <c r="B78" s="185">
        <v>22507686.228</v>
      </c>
      <c r="C78" s="185"/>
      <c r="D78" s="185">
        <f t="shared" si="14"/>
        <v>22507686.228</v>
      </c>
      <c r="E78" s="185"/>
      <c r="F78" s="185"/>
      <c r="G78" s="185">
        <f t="shared" si="11"/>
        <v>22507686.228</v>
      </c>
      <c r="H78" s="185">
        <v>327.9</v>
      </c>
      <c r="I78" s="185">
        <v>0</v>
      </c>
      <c r="J78" s="185">
        <v>30</v>
      </c>
      <c r="K78" s="187">
        <v>1</v>
      </c>
      <c r="L78" s="185">
        <v>19919</v>
      </c>
      <c r="M78" s="185">
        <f t="shared" si="15"/>
        <v>22678735.666367751</v>
      </c>
      <c r="N78" s="26">
        <f t="shared" si="12"/>
        <v>171049.4383677505</v>
      </c>
      <c r="O78" s="34">
        <f t="shared" si="13"/>
        <v>7.5996011600233549E-3</v>
      </c>
      <c r="P78" s="94">
        <f t="shared" si="16"/>
        <v>7.5996011600233549E-3</v>
      </c>
      <c r="Q78" s="95">
        <f t="shared" si="17"/>
        <v>29257910365.922874</v>
      </c>
      <c r="R78" s="95">
        <f t="shared" si="18"/>
        <v>937358.8704797104</v>
      </c>
      <c r="S78" s="95">
        <f t="shared" si="19"/>
        <v>878641652066.99854</v>
      </c>
      <c r="T78"/>
    </row>
    <row r="79" spans="1:20" x14ac:dyDescent="0.25">
      <c r="A79" s="183">
        <v>44712</v>
      </c>
      <c r="B79" s="185">
        <v>22133009.34</v>
      </c>
      <c r="C79" s="185"/>
      <c r="D79" s="185">
        <f t="shared" si="14"/>
        <v>22133009.34</v>
      </c>
      <c r="E79" s="185"/>
      <c r="F79" s="185"/>
      <c r="G79" s="185">
        <f t="shared" si="11"/>
        <v>22133009.34</v>
      </c>
      <c r="H79" s="185">
        <v>98.2</v>
      </c>
      <c r="I79" s="185">
        <v>34.6</v>
      </c>
      <c r="J79" s="185">
        <v>31</v>
      </c>
      <c r="K79" s="187">
        <v>1</v>
      </c>
      <c r="L79" s="185">
        <v>19961</v>
      </c>
      <c r="M79" s="185">
        <f t="shared" si="15"/>
        <v>22168515.783992205</v>
      </c>
      <c r="N79" s="26">
        <f t="shared" si="12"/>
        <v>35506.443992204964</v>
      </c>
      <c r="O79" s="34">
        <f t="shared" si="13"/>
        <v>1.6042302900056049E-3</v>
      </c>
      <c r="P79" s="94">
        <f t="shared" si="16"/>
        <v>1.6042302900056049E-3</v>
      </c>
      <c r="Q79" s="95">
        <f t="shared" si="17"/>
        <v>1260707564.9715879</v>
      </c>
      <c r="R79" s="95">
        <f t="shared" si="18"/>
        <v>-135542.99437554553</v>
      </c>
      <c r="S79" s="95">
        <f t="shared" si="19"/>
        <v>18371903324.289169</v>
      </c>
      <c r="T79"/>
    </row>
    <row r="80" spans="1:20" x14ac:dyDescent="0.25">
      <c r="A80" s="183">
        <v>44742</v>
      </c>
      <c r="B80" s="185">
        <v>23221729.140000001</v>
      </c>
      <c r="C80" s="185"/>
      <c r="D80" s="185">
        <f t="shared" si="14"/>
        <v>23221729.140000001</v>
      </c>
      <c r="E80" s="185"/>
      <c r="F80" s="185"/>
      <c r="G80" s="185">
        <f t="shared" ref="G80:G122" si="20">D80-E80-F80</f>
        <v>23221729.140000001</v>
      </c>
      <c r="H80" s="185">
        <v>17.7</v>
      </c>
      <c r="I80" s="185">
        <v>64.2</v>
      </c>
      <c r="J80" s="185">
        <v>30</v>
      </c>
      <c r="K80" s="187">
        <v>0</v>
      </c>
      <c r="L80" s="185">
        <v>20015</v>
      </c>
      <c r="M80" s="185">
        <f t="shared" si="15"/>
        <v>23073525.810230769</v>
      </c>
      <c r="N80" s="26">
        <f t="shared" si="12"/>
        <v>-148203.32976923138</v>
      </c>
      <c r="O80" s="34">
        <f t="shared" si="13"/>
        <v>-6.382097081390356E-3</v>
      </c>
      <c r="P80" s="94">
        <f t="shared" si="16"/>
        <v>6.382097081390356E-3</v>
      </c>
      <c r="Q80" s="95">
        <f t="shared" si="17"/>
        <v>21964226954.687546</v>
      </c>
      <c r="R80" s="95">
        <f t="shared" si="18"/>
        <v>-183709.77376143634</v>
      </c>
      <c r="S80" s="95">
        <f t="shared" si="19"/>
        <v>33749280975.478127</v>
      </c>
      <c r="T80"/>
    </row>
    <row r="81" spans="1:20" x14ac:dyDescent="0.25">
      <c r="A81" s="183">
        <v>44773</v>
      </c>
      <c r="B81" s="185">
        <v>26415918.866999999</v>
      </c>
      <c r="C81" s="185"/>
      <c r="D81" s="185">
        <f t="shared" si="14"/>
        <v>26415918.866999999</v>
      </c>
      <c r="E81" s="185"/>
      <c r="F81" s="185"/>
      <c r="G81" s="185">
        <f t="shared" si="20"/>
        <v>26415918.866999999</v>
      </c>
      <c r="H81" s="185">
        <v>0</v>
      </c>
      <c r="I81" s="185">
        <v>144.69999999999999</v>
      </c>
      <c r="J81" s="185">
        <v>31</v>
      </c>
      <c r="K81" s="187">
        <v>0</v>
      </c>
      <c r="L81" s="185">
        <v>20061</v>
      </c>
      <c r="M81" s="185">
        <f t="shared" si="15"/>
        <v>27447591.952947062</v>
      </c>
      <c r="N81" s="26">
        <f t="shared" si="12"/>
        <v>1031673.0859470628</v>
      </c>
      <c r="O81" s="34">
        <f t="shared" si="13"/>
        <v>3.9054976324744736E-2</v>
      </c>
      <c r="P81" s="94">
        <f t="shared" si="16"/>
        <v>3.9054976324744736E-2</v>
      </c>
      <c r="Q81" s="95">
        <f t="shared" si="17"/>
        <v>1064349356267.5356</v>
      </c>
      <c r="R81" s="95">
        <f t="shared" si="18"/>
        <v>1179876.4157162942</v>
      </c>
      <c r="S81" s="95">
        <f t="shared" si="19"/>
        <v>1392108356363.5295</v>
      </c>
      <c r="T81"/>
    </row>
    <row r="82" spans="1:20" x14ac:dyDescent="0.25">
      <c r="A82" s="183">
        <v>44804</v>
      </c>
      <c r="B82" s="185">
        <v>27237589.953000002</v>
      </c>
      <c r="C82" s="185"/>
      <c r="D82" s="185">
        <f t="shared" si="14"/>
        <v>27237589.953000002</v>
      </c>
      <c r="E82" s="185"/>
      <c r="F82" s="185"/>
      <c r="G82" s="185">
        <f t="shared" si="20"/>
        <v>27237589.953000002</v>
      </c>
      <c r="H82" s="185">
        <v>0</v>
      </c>
      <c r="I82" s="185">
        <v>140.5</v>
      </c>
      <c r="J82" s="185">
        <v>31</v>
      </c>
      <c r="K82" s="187">
        <v>0</v>
      </c>
      <c r="L82" s="185">
        <v>20154</v>
      </c>
      <c r="M82" s="185">
        <f t="shared" si="15"/>
        <v>27330930.737377152</v>
      </c>
      <c r="N82" s="26">
        <f t="shared" si="12"/>
        <v>93340.784377150238</v>
      </c>
      <c r="O82" s="34">
        <f t="shared" si="13"/>
        <v>3.4269105503906558E-3</v>
      </c>
      <c r="P82" s="94">
        <f t="shared" si="16"/>
        <v>3.4269105503906558E-3</v>
      </c>
      <c r="Q82" s="95">
        <f t="shared" si="17"/>
        <v>8712502028.1416531</v>
      </c>
      <c r="R82" s="95">
        <f t="shared" si="18"/>
        <v>-938332.30156991258</v>
      </c>
      <c r="S82" s="95">
        <f t="shared" si="19"/>
        <v>880467508169.48938</v>
      </c>
      <c r="T82"/>
    </row>
    <row r="83" spans="1:20" x14ac:dyDescent="0.25">
      <c r="A83" s="183">
        <v>44834</v>
      </c>
      <c r="B83" s="185">
        <v>22039776.68</v>
      </c>
      <c r="C83" s="185"/>
      <c r="D83" s="185">
        <f t="shared" si="14"/>
        <v>22039776.68</v>
      </c>
      <c r="E83" s="185"/>
      <c r="F83" s="185"/>
      <c r="G83" s="185">
        <f t="shared" si="20"/>
        <v>22039776.68</v>
      </c>
      <c r="H83" s="185">
        <v>52.3</v>
      </c>
      <c r="I83" s="185">
        <v>46.1</v>
      </c>
      <c r="J83" s="185">
        <v>30</v>
      </c>
      <c r="K83" s="187">
        <v>1</v>
      </c>
      <c r="L83" s="185">
        <v>20167</v>
      </c>
      <c r="M83" s="185">
        <f t="shared" si="15"/>
        <v>21740765.21972603</v>
      </c>
      <c r="N83" s="26">
        <f t="shared" si="12"/>
        <v>-299011.46027396992</v>
      </c>
      <c r="O83" s="34">
        <f t="shared" si="13"/>
        <v>-1.3566900636761348E-2</v>
      </c>
      <c r="P83" s="94">
        <f t="shared" si="16"/>
        <v>1.3566900636761348E-2</v>
      </c>
      <c r="Q83" s="95">
        <f t="shared" si="17"/>
        <v>89407853375.17189</v>
      </c>
      <c r="R83" s="95">
        <f t="shared" si="18"/>
        <v>-392352.24465112016</v>
      </c>
      <c r="S83" s="95">
        <f t="shared" si="19"/>
        <v>153940283882.77243</v>
      </c>
      <c r="T83"/>
    </row>
    <row r="84" spans="1:20" x14ac:dyDescent="0.25">
      <c r="A84" s="183">
        <v>44865</v>
      </c>
      <c r="B84" s="185">
        <v>21742886.627999999</v>
      </c>
      <c r="C84" s="185"/>
      <c r="D84" s="185">
        <f t="shared" si="14"/>
        <v>21742886.627999999</v>
      </c>
      <c r="E84" s="185"/>
      <c r="F84" s="185"/>
      <c r="G84" s="185">
        <f t="shared" si="20"/>
        <v>21742886.627999999</v>
      </c>
      <c r="H84" s="185">
        <v>236.7</v>
      </c>
      <c r="I84" s="185">
        <v>0.2</v>
      </c>
      <c r="J84" s="185">
        <v>31</v>
      </c>
      <c r="K84" s="187">
        <v>1</v>
      </c>
      <c r="L84" s="185">
        <v>20305</v>
      </c>
      <c r="M84" s="185">
        <f t="shared" si="15"/>
        <v>22537473.22080031</v>
      </c>
      <c r="N84" s="26">
        <f t="shared" si="12"/>
        <v>794586.59280031174</v>
      </c>
      <c r="O84" s="34">
        <f t="shared" si="13"/>
        <v>3.6544668902291064E-2</v>
      </c>
      <c r="P84" s="94">
        <f t="shared" si="16"/>
        <v>3.6544668902291064E-2</v>
      </c>
      <c r="Q84" s="95">
        <f t="shared" si="17"/>
        <v>631367853458.00842</v>
      </c>
      <c r="R84" s="95">
        <f t="shared" si="18"/>
        <v>1093598.0530742817</v>
      </c>
      <c r="S84" s="95">
        <f t="shared" si="19"/>
        <v>1195956701687.8594</v>
      </c>
      <c r="T84"/>
    </row>
    <row r="85" spans="1:20" x14ac:dyDescent="0.25">
      <c r="A85" s="183">
        <v>44895</v>
      </c>
      <c r="B85" s="185">
        <v>23454128.573000003</v>
      </c>
      <c r="C85" s="185"/>
      <c r="D85" s="185">
        <f t="shared" si="14"/>
        <v>23454128.573000003</v>
      </c>
      <c r="E85" s="185"/>
      <c r="F85" s="185"/>
      <c r="G85" s="185">
        <f t="shared" si="20"/>
        <v>23454128.573000003</v>
      </c>
      <c r="H85" s="185">
        <v>380.1</v>
      </c>
      <c r="I85" s="185">
        <v>0.9</v>
      </c>
      <c r="J85" s="185">
        <v>30</v>
      </c>
      <c r="K85" s="187">
        <v>1</v>
      </c>
      <c r="L85" s="185">
        <v>20413</v>
      </c>
      <c r="M85" s="185">
        <f t="shared" si="15"/>
        <v>23842835.485759571</v>
      </c>
      <c r="N85" s="26">
        <f t="shared" si="12"/>
        <v>388706.91275956854</v>
      </c>
      <c r="O85" s="34">
        <f t="shared" si="13"/>
        <v>1.6573069920280108E-2</v>
      </c>
      <c r="P85" s="94">
        <f t="shared" si="16"/>
        <v>1.6573069920280108E-2</v>
      </c>
      <c r="Q85" s="95">
        <f t="shared" si="17"/>
        <v>151093064027.07483</v>
      </c>
      <c r="R85" s="95">
        <f t="shared" si="18"/>
        <v>-405879.6800407432</v>
      </c>
      <c r="S85" s="95">
        <f t="shared" si="19"/>
        <v>164738314669.97607</v>
      </c>
      <c r="T85"/>
    </row>
    <row r="86" spans="1:20" x14ac:dyDescent="0.25">
      <c r="A86" s="183">
        <v>44926</v>
      </c>
      <c r="B86" s="185">
        <v>27495141.667000003</v>
      </c>
      <c r="C86" s="185"/>
      <c r="D86" s="185">
        <f t="shared" si="14"/>
        <v>27495141.667000003</v>
      </c>
      <c r="E86" s="185"/>
      <c r="F86" s="185"/>
      <c r="G86" s="185">
        <f t="shared" si="20"/>
        <v>27495141.667000003</v>
      </c>
      <c r="H86" s="185">
        <v>575.29999999999995</v>
      </c>
      <c r="I86" s="185">
        <v>0</v>
      </c>
      <c r="J86" s="185">
        <v>31</v>
      </c>
      <c r="K86" s="187">
        <v>0</v>
      </c>
      <c r="L86" s="185">
        <v>20514</v>
      </c>
      <c r="M86" s="185">
        <f t="shared" si="15"/>
        <v>27961516.060867667</v>
      </c>
      <c r="N86" s="26">
        <f t="shared" si="12"/>
        <v>466374.39386766404</v>
      </c>
      <c r="O86" s="34">
        <f t="shared" si="13"/>
        <v>1.6962065499280993E-2</v>
      </c>
      <c r="P86" s="94">
        <f t="shared" si="16"/>
        <v>1.6962065499280993E-2</v>
      </c>
      <c r="Q86" s="95">
        <f t="shared" si="17"/>
        <v>217505075255.43103</v>
      </c>
      <c r="R86" s="95">
        <f t="shared" si="18"/>
        <v>77667.481108095497</v>
      </c>
      <c r="S86" s="95">
        <f t="shared" si="19"/>
        <v>6032237621.6763706</v>
      </c>
      <c r="T86"/>
    </row>
    <row r="87" spans="1:20" x14ac:dyDescent="0.25">
      <c r="A87" s="183">
        <v>44957</v>
      </c>
      <c r="B87" s="185">
        <v>27816333.475000001</v>
      </c>
      <c r="C87" s="185"/>
      <c r="D87" s="185">
        <f t="shared" si="14"/>
        <v>27816333.475000001</v>
      </c>
      <c r="E87" s="185"/>
      <c r="F87" s="185"/>
      <c r="G87" s="185">
        <f t="shared" si="20"/>
        <v>27816333.475000001</v>
      </c>
      <c r="H87" s="185">
        <v>585.1</v>
      </c>
      <c r="I87" s="185">
        <v>0</v>
      </c>
      <c r="J87" s="188">
        <v>31</v>
      </c>
      <c r="K87" s="187">
        <v>0</v>
      </c>
      <c r="L87" s="185">
        <v>20697</v>
      </c>
      <c r="M87" s="185">
        <f t="shared" si="15"/>
        <v>28257833.0376211</v>
      </c>
      <c r="N87" s="26">
        <f t="shared" si="12"/>
        <v>441499.56262109801</v>
      </c>
      <c r="O87" s="34">
        <f t="shared" si="13"/>
        <v>1.5871953901397423E-2</v>
      </c>
      <c r="P87" s="94">
        <f t="shared" si="16"/>
        <v>1.5871953901397423E-2</v>
      </c>
      <c r="Q87" s="95">
        <f t="shared" si="17"/>
        <v>194921863794.62085</v>
      </c>
      <c r="R87" s="95">
        <f t="shared" si="18"/>
        <v>-24874.831246566027</v>
      </c>
      <c r="S87" s="95">
        <f t="shared" si="19"/>
        <v>618757229.54513764</v>
      </c>
      <c r="T87"/>
    </row>
    <row r="88" spans="1:20" x14ac:dyDescent="0.25">
      <c r="A88" s="183">
        <v>44985</v>
      </c>
      <c r="B88" s="185">
        <v>25737050.190000001</v>
      </c>
      <c r="C88" s="185"/>
      <c r="D88" s="185">
        <f t="shared" si="14"/>
        <v>25737050.190000001</v>
      </c>
      <c r="E88" s="185"/>
      <c r="F88" s="185"/>
      <c r="G88" s="185">
        <f t="shared" si="20"/>
        <v>25737050.190000001</v>
      </c>
      <c r="H88" s="185">
        <v>543.29999999999995</v>
      </c>
      <c r="I88" s="185">
        <v>0</v>
      </c>
      <c r="J88" s="188">
        <v>28</v>
      </c>
      <c r="K88" s="187">
        <v>0</v>
      </c>
      <c r="L88" s="185">
        <v>20815</v>
      </c>
      <c r="M88" s="185">
        <f t="shared" si="15"/>
        <v>26004340.928062934</v>
      </c>
      <c r="N88" s="26">
        <f t="shared" si="12"/>
        <v>267290.73806293309</v>
      </c>
      <c r="O88" s="34">
        <f t="shared" si="13"/>
        <v>1.0385445732502302E-2</v>
      </c>
      <c r="P88" s="94">
        <f t="shared" si="16"/>
        <v>1.0385445732502302E-2</v>
      </c>
      <c r="Q88" s="95">
        <f t="shared" si="17"/>
        <v>71444338654.227509</v>
      </c>
      <c r="R88" s="95">
        <f t="shared" si="18"/>
        <v>-174208.82455816492</v>
      </c>
      <c r="S88" s="95">
        <f t="shared" si="19"/>
        <v>30348714553.937485</v>
      </c>
      <c r="T88"/>
    </row>
    <row r="89" spans="1:20" x14ac:dyDescent="0.25">
      <c r="A89" s="183">
        <v>45016</v>
      </c>
      <c r="B89" s="185">
        <v>26997986.940000001</v>
      </c>
      <c r="C89" s="185"/>
      <c r="D89" s="185">
        <f t="shared" si="14"/>
        <v>26997986.940000001</v>
      </c>
      <c r="E89" s="185"/>
      <c r="F89" s="185"/>
      <c r="G89" s="185">
        <f t="shared" si="20"/>
        <v>26997986.940000001</v>
      </c>
      <c r="H89" s="185">
        <v>530.9</v>
      </c>
      <c r="I89" s="185">
        <v>0</v>
      </c>
      <c r="J89" s="188">
        <v>31</v>
      </c>
      <c r="K89" s="187">
        <v>1</v>
      </c>
      <c r="L89" s="185">
        <v>20974</v>
      </c>
      <c r="M89" s="185">
        <f t="shared" si="15"/>
        <v>26824519.270840805</v>
      </c>
      <c r="N89" s="26">
        <f t="shared" si="12"/>
        <v>-173467.66915919632</v>
      </c>
      <c r="O89" s="34">
        <f t="shared" si="13"/>
        <v>-6.4252075365733288E-3</v>
      </c>
      <c r="P89" s="94">
        <f t="shared" si="16"/>
        <v>6.4252075365733288E-3</v>
      </c>
      <c r="Q89" s="95">
        <f t="shared" si="17"/>
        <v>30091032243.524387</v>
      </c>
      <c r="R89" s="95">
        <f t="shared" si="18"/>
        <v>-440758.4072221294</v>
      </c>
      <c r="S89" s="95">
        <f t="shared" si="19"/>
        <v>194267973536.98846</v>
      </c>
      <c r="T89"/>
    </row>
    <row r="90" spans="1:20" x14ac:dyDescent="0.25">
      <c r="A90" s="183">
        <v>45046</v>
      </c>
      <c r="B90" s="185">
        <v>22470351.425000001</v>
      </c>
      <c r="C90" s="185"/>
      <c r="D90" s="185">
        <f t="shared" si="14"/>
        <v>22470351.425000001</v>
      </c>
      <c r="E90" s="185"/>
      <c r="F90" s="185"/>
      <c r="G90" s="185">
        <f t="shared" si="20"/>
        <v>22470351.425000001</v>
      </c>
      <c r="H90" s="185">
        <v>275.7</v>
      </c>
      <c r="I90" s="185">
        <v>7.1</v>
      </c>
      <c r="J90" s="188">
        <v>30</v>
      </c>
      <c r="K90" s="187">
        <v>1</v>
      </c>
      <c r="L90" s="185">
        <v>21059</v>
      </c>
      <c r="M90" s="185">
        <f t="shared" si="15"/>
        <v>23463152.855391286</v>
      </c>
      <c r="N90" s="26">
        <f t="shared" si="12"/>
        <v>992801.43039128557</v>
      </c>
      <c r="O90" s="34">
        <f t="shared" si="13"/>
        <v>4.4182728236582779E-2</v>
      </c>
      <c r="P90" s="94">
        <f t="shared" si="16"/>
        <v>4.4182728236582779E-2</v>
      </c>
      <c r="Q90" s="95">
        <f t="shared" si="17"/>
        <v>985654680186.98267</v>
      </c>
      <c r="R90" s="95">
        <f t="shared" si="18"/>
        <v>1166269.0995504819</v>
      </c>
      <c r="S90" s="95">
        <f t="shared" si="19"/>
        <v>1360183612566.2917</v>
      </c>
      <c r="T90"/>
    </row>
    <row r="91" spans="1:20" x14ac:dyDescent="0.25">
      <c r="A91" s="183">
        <v>45077</v>
      </c>
      <c r="B91" s="185">
        <v>22071224.705000002</v>
      </c>
      <c r="C91" s="185"/>
      <c r="D91" s="185">
        <f t="shared" si="14"/>
        <v>22071224.705000002</v>
      </c>
      <c r="E91" s="185"/>
      <c r="F91" s="185"/>
      <c r="G91" s="185">
        <f t="shared" si="20"/>
        <v>22071224.705000002</v>
      </c>
      <c r="H91" s="185">
        <v>153.9</v>
      </c>
      <c r="I91" s="185">
        <v>15</v>
      </c>
      <c r="J91" s="188">
        <v>31</v>
      </c>
      <c r="K91" s="187">
        <v>1</v>
      </c>
      <c r="L91" s="185">
        <v>21114</v>
      </c>
      <c r="M91" s="185">
        <f t="shared" si="15"/>
        <v>23002195.03597185</v>
      </c>
      <c r="N91" s="26">
        <f t="shared" si="12"/>
        <v>930970.33097184822</v>
      </c>
      <c r="O91" s="34">
        <f t="shared" si="13"/>
        <v>4.2180275150791556E-2</v>
      </c>
      <c r="P91" s="94">
        <f t="shared" si="16"/>
        <v>4.2180275150791556E-2</v>
      </c>
      <c r="Q91" s="95">
        <f t="shared" si="17"/>
        <v>866705757149.83264</v>
      </c>
      <c r="R91" s="95">
        <f t="shared" si="18"/>
        <v>-61831.099419437349</v>
      </c>
      <c r="S91" s="95">
        <f t="shared" si="19"/>
        <v>3823084855.4163456</v>
      </c>
      <c r="T91"/>
    </row>
    <row r="92" spans="1:20" x14ac:dyDescent="0.25">
      <c r="A92" s="183">
        <v>45107</v>
      </c>
      <c r="B92" s="185">
        <v>24243663.09</v>
      </c>
      <c r="C92" s="185"/>
      <c r="D92" s="185">
        <f t="shared" si="14"/>
        <v>24243663.09</v>
      </c>
      <c r="E92" s="185"/>
      <c r="F92" s="185"/>
      <c r="G92" s="185">
        <f t="shared" si="20"/>
        <v>24243663.09</v>
      </c>
      <c r="H92" s="185">
        <v>16.100000000000001</v>
      </c>
      <c r="I92" s="185">
        <v>59.1</v>
      </c>
      <c r="J92" s="188">
        <v>30</v>
      </c>
      <c r="K92" s="187">
        <v>0</v>
      </c>
      <c r="L92" s="185">
        <v>21388</v>
      </c>
      <c r="M92" s="185">
        <f t="shared" si="15"/>
        <v>24113012.574746992</v>
      </c>
      <c r="N92" s="26">
        <f t="shared" si="12"/>
        <v>-130650.51525300741</v>
      </c>
      <c r="O92" s="34">
        <f t="shared" si="13"/>
        <v>-5.3890583600338018E-3</v>
      </c>
      <c r="P92" s="94">
        <f t="shared" si="16"/>
        <v>5.3890583600338018E-3</v>
      </c>
      <c r="Q92" s="95">
        <f t="shared" si="17"/>
        <v>17069557135.876322</v>
      </c>
      <c r="R92" s="95">
        <f t="shared" si="18"/>
        <v>-1061620.8462248556</v>
      </c>
      <c r="S92" s="95">
        <f t="shared" si="19"/>
        <v>1127038821139.1785</v>
      </c>
      <c r="T92"/>
    </row>
    <row r="93" spans="1:20" x14ac:dyDescent="0.25">
      <c r="A93" s="183">
        <v>45138</v>
      </c>
      <c r="B93" s="185">
        <v>28251363</v>
      </c>
      <c r="C93" s="185"/>
      <c r="D93" s="185">
        <f t="shared" si="14"/>
        <v>28251363</v>
      </c>
      <c r="E93" s="185"/>
      <c r="F93" s="185"/>
      <c r="G93" s="185">
        <f t="shared" si="20"/>
        <v>28251363</v>
      </c>
      <c r="H93" s="185">
        <v>0</v>
      </c>
      <c r="I93" s="185">
        <v>128.30000000000001</v>
      </c>
      <c r="J93" s="188">
        <v>31</v>
      </c>
      <c r="K93" s="187">
        <v>0</v>
      </c>
      <c r="L93" s="185">
        <v>21442</v>
      </c>
      <c r="M93" s="185">
        <f t="shared" si="15"/>
        <v>27962236.285781238</v>
      </c>
      <c r="N93" s="26">
        <f t="shared" si="12"/>
        <v>-289126.71421876177</v>
      </c>
      <c r="O93" s="34">
        <f t="shared" si="13"/>
        <v>-1.0234080182919379E-2</v>
      </c>
      <c r="P93" s="94">
        <f t="shared" si="16"/>
        <v>1.0234080182919379E-2</v>
      </c>
      <c r="Q93" s="95">
        <f t="shared" si="17"/>
        <v>83594256874.937546</v>
      </c>
      <c r="R93" s="95">
        <f t="shared" si="18"/>
        <v>-158476.19896575436</v>
      </c>
      <c r="S93" s="95">
        <f t="shared" si="19"/>
        <v>25114705638.633362</v>
      </c>
      <c r="T93"/>
    </row>
    <row r="94" spans="1:20" x14ac:dyDescent="0.25">
      <c r="A94" s="183">
        <v>45169</v>
      </c>
      <c r="B94" s="185">
        <v>25466441.18</v>
      </c>
      <c r="C94" s="185"/>
      <c r="D94" s="185">
        <f t="shared" si="14"/>
        <v>25466441.18</v>
      </c>
      <c r="E94" s="185"/>
      <c r="F94" s="185"/>
      <c r="G94" s="185">
        <f t="shared" si="20"/>
        <v>25466441.18</v>
      </c>
      <c r="H94" s="185">
        <v>7</v>
      </c>
      <c r="I94" s="185">
        <v>70.8</v>
      </c>
      <c r="J94" s="188">
        <v>31</v>
      </c>
      <c r="K94" s="187">
        <v>0</v>
      </c>
      <c r="L94" s="185">
        <v>21574</v>
      </c>
      <c r="M94" s="185">
        <f t="shared" si="15"/>
        <v>25364394.87602064</v>
      </c>
      <c r="N94" s="26">
        <f t="shared" si="12"/>
        <v>-102046.30397935957</v>
      </c>
      <c r="O94" s="34">
        <f t="shared" si="13"/>
        <v>-4.0070893007029722E-3</v>
      </c>
      <c r="P94" s="94">
        <f t="shared" si="16"/>
        <v>4.0070893007029722E-3</v>
      </c>
      <c r="Q94" s="95">
        <f t="shared" si="17"/>
        <v>10413448155.847857</v>
      </c>
      <c r="R94" s="95">
        <f t="shared" si="18"/>
        <v>187080.4102394022</v>
      </c>
      <c r="S94" s="95">
        <f t="shared" si="19"/>
        <v>34999079895.343025</v>
      </c>
      <c r="T94"/>
    </row>
    <row r="95" spans="1:20" x14ac:dyDescent="0.25">
      <c r="A95" s="183">
        <v>45199</v>
      </c>
      <c r="B95" s="185">
        <v>23431411.390000001</v>
      </c>
      <c r="C95" s="185"/>
      <c r="D95" s="185">
        <f t="shared" si="14"/>
        <v>23431411.390000001</v>
      </c>
      <c r="E95" s="185"/>
      <c r="F95" s="185"/>
      <c r="G95" s="185">
        <f t="shared" si="20"/>
        <v>23431411.390000001</v>
      </c>
      <c r="H95" s="185">
        <v>26</v>
      </c>
      <c r="I95" s="185">
        <v>47</v>
      </c>
      <c r="J95" s="188">
        <v>30</v>
      </c>
      <c r="K95" s="187">
        <v>1</v>
      </c>
      <c r="L95" s="185">
        <v>21889</v>
      </c>
      <c r="M95" s="185">
        <f t="shared" si="15"/>
        <v>23098986.595545739</v>
      </c>
      <c r="N95" s="26">
        <f t="shared" si="12"/>
        <v>-332424.79445426166</v>
      </c>
      <c r="O95" s="34">
        <f t="shared" si="13"/>
        <v>-1.4187143442675122E-2</v>
      </c>
      <c r="P95" s="94">
        <f t="shared" si="16"/>
        <v>1.4187143442675122E-2</v>
      </c>
      <c r="Q95" s="95">
        <f t="shared" si="17"/>
        <v>110506243967.95811</v>
      </c>
      <c r="R95" s="95">
        <f t="shared" si="18"/>
        <v>-230378.49047490209</v>
      </c>
      <c r="S95" s="95">
        <f t="shared" si="19"/>
        <v>53074248873.494553</v>
      </c>
      <c r="T95"/>
    </row>
    <row r="96" spans="1:20" x14ac:dyDescent="0.25">
      <c r="A96" s="183">
        <v>45230</v>
      </c>
      <c r="B96" s="185">
        <v>23160515.342999998</v>
      </c>
      <c r="C96" s="185"/>
      <c r="D96" s="185">
        <f t="shared" si="14"/>
        <v>23160515.342999998</v>
      </c>
      <c r="E96" s="185"/>
      <c r="F96" s="185"/>
      <c r="G96" s="185">
        <f t="shared" si="20"/>
        <v>23160515.342999998</v>
      </c>
      <c r="H96" s="185">
        <v>188.8</v>
      </c>
      <c r="I96" s="185">
        <v>21.8</v>
      </c>
      <c r="J96" s="188">
        <v>31</v>
      </c>
      <c r="K96" s="187">
        <v>1</v>
      </c>
      <c r="L96" s="185">
        <v>22078</v>
      </c>
      <c r="M96" s="185">
        <f t="shared" si="15"/>
        <v>24687512.054010112</v>
      </c>
      <c r="N96" s="26">
        <f t="shared" si="12"/>
        <v>1526996.7110101134</v>
      </c>
      <c r="O96" s="34">
        <f t="shared" si="13"/>
        <v>6.5931033415956811E-2</v>
      </c>
      <c r="P96" s="94">
        <f t="shared" si="16"/>
        <v>6.5931033415956811E-2</v>
      </c>
      <c r="Q96" s="95">
        <f t="shared" si="17"/>
        <v>2331718955435.7036</v>
      </c>
      <c r="R96" s="95">
        <f t="shared" si="18"/>
        <v>1859421.505464375</v>
      </c>
      <c r="S96" s="95">
        <f t="shared" si="19"/>
        <v>3457448334983.4028</v>
      </c>
      <c r="T96"/>
    </row>
    <row r="97" spans="1:20" x14ac:dyDescent="0.25">
      <c r="A97" s="183">
        <v>45260</v>
      </c>
      <c r="B97" s="185">
        <v>25412591.949999999</v>
      </c>
      <c r="C97" s="185"/>
      <c r="D97" s="185">
        <f t="shared" si="14"/>
        <v>25412591.949999999</v>
      </c>
      <c r="E97" s="185"/>
      <c r="F97" s="185"/>
      <c r="G97" s="185">
        <f t="shared" si="20"/>
        <v>25412591.949999999</v>
      </c>
      <c r="H97" s="185">
        <v>422.1</v>
      </c>
      <c r="I97" s="185">
        <v>0</v>
      </c>
      <c r="J97" s="188">
        <v>30</v>
      </c>
      <c r="K97" s="187">
        <v>1</v>
      </c>
      <c r="L97" s="185">
        <v>22191</v>
      </c>
      <c r="M97" s="185">
        <f t="shared" si="15"/>
        <v>26015938.12592949</v>
      </c>
      <c r="N97" s="26">
        <f t="shared" si="12"/>
        <v>603346.17592949048</v>
      </c>
      <c r="O97" s="34">
        <f t="shared" si="13"/>
        <v>2.3742016442737966E-2</v>
      </c>
      <c r="P97" s="94">
        <f t="shared" si="16"/>
        <v>2.3742016442737966E-2</v>
      </c>
      <c r="Q97" s="95">
        <f t="shared" si="17"/>
        <v>364026608008.73969</v>
      </c>
      <c r="R97" s="95">
        <f t="shared" si="18"/>
        <v>-923650.53508062288</v>
      </c>
      <c r="S97" s="95">
        <f t="shared" si="19"/>
        <v>853130310954.72095</v>
      </c>
      <c r="T97"/>
    </row>
    <row r="98" spans="1:20" x14ac:dyDescent="0.25">
      <c r="A98" s="183">
        <v>45291</v>
      </c>
      <c r="B98" s="185">
        <v>28044242.27</v>
      </c>
      <c r="C98" s="185"/>
      <c r="D98" s="185">
        <f t="shared" si="14"/>
        <v>28044242.27</v>
      </c>
      <c r="E98" s="185"/>
      <c r="F98" s="185"/>
      <c r="G98" s="185">
        <f t="shared" si="20"/>
        <v>28044242.27</v>
      </c>
      <c r="H98" s="185">
        <v>473.7</v>
      </c>
      <c r="I98" s="185">
        <v>0</v>
      </c>
      <c r="J98" s="188">
        <v>31</v>
      </c>
      <c r="K98" s="187">
        <v>0</v>
      </c>
      <c r="L98" s="185">
        <v>22337</v>
      </c>
      <c r="M98" s="185">
        <f t="shared" si="15"/>
        <v>28435456.617616028</v>
      </c>
      <c r="N98" s="26">
        <f t="shared" si="12"/>
        <v>391214.34761602804</v>
      </c>
      <c r="O98" s="34">
        <f t="shared" si="13"/>
        <v>1.3949899014904924E-2</v>
      </c>
      <c r="P98" s="94">
        <f t="shared" si="16"/>
        <v>1.3949899014904924E-2</v>
      </c>
      <c r="Q98" s="95">
        <f t="shared" si="17"/>
        <v>153048665780.63443</v>
      </c>
      <c r="R98" s="95">
        <f t="shared" si="18"/>
        <v>-212131.82831346244</v>
      </c>
      <c r="S98" s="95">
        <f t="shared" si="19"/>
        <v>44999912583.612305</v>
      </c>
      <c r="T98"/>
    </row>
    <row r="99" spans="1:20" x14ac:dyDescent="0.25">
      <c r="A99" s="183">
        <v>45322</v>
      </c>
      <c r="B99" s="185">
        <v>30258212.252999999</v>
      </c>
      <c r="C99" s="185"/>
      <c r="D99" s="185">
        <f t="shared" si="14"/>
        <v>30258212.252999999</v>
      </c>
      <c r="E99" s="185"/>
      <c r="F99" s="185"/>
      <c r="G99" s="185">
        <f t="shared" si="20"/>
        <v>30258212.252999999</v>
      </c>
      <c r="H99" s="185">
        <v>623.4</v>
      </c>
      <c r="I99" s="185">
        <v>0</v>
      </c>
      <c r="J99" s="185">
        <v>31</v>
      </c>
      <c r="K99" s="187">
        <v>0</v>
      </c>
      <c r="L99" s="185">
        <v>22480</v>
      </c>
      <c r="M99" s="185">
        <f t="shared" si="15"/>
        <v>30433676.029999115</v>
      </c>
      <c r="N99" s="26">
        <f t="shared" ref="N99:N130" si="21">M99-G99</f>
        <v>175463.77699911594</v>
      </c>
      <c r="O99" s="34">
        <f t="shared" ref="O99:O110" si="22">N99/G99</f>
        <v>5.7988811609885945E-3</v>
      </c>
      <c r="P99" s="94">
        <f t="shared" si="16"/>
        <v>5.7988811609885945E-3</v>
      </c>
      <c r="Q99" s="95">
        <f t="shared" si="17"/>
        <v>30787537038.79549</v>
      </c>
      <c r="R99" s="95">
        <f t="shared" si="18"/>
        <v>-215750.5706169121</v>
      </c>
      <c r="S99" s="95">
        <f t="shared" si="19"/>
        <v>46548308721.52317</v>
      </c>
      <c r="T99"/>
    </row>
    <row r="100" spans="1:20" x14ac:dyDescent="0.25">
      <c r="A100" s="183">
        <v>45351</v>
      </c>
      <c r="B100" s="185">
        <v>26987081.115000002</v>
      </c>
      <c r="C100" s="185"/>
      <c r="D100" s="185">
        <f t="shared" si="14"/>
        <v>26987081.115000002</v>
      </c>
      <c r="E100" s="185"/>
      <c r="F100" s="185"/>
      <c r="G100" s="185">
        <f t="shared" si="20"/>
        <v>26987081.115000002</v>
      </c>
      <c r="H100" s="185">
        <v>517.4</v>
      </c>
      <c r="I100" s="185">
        <v>0</v>
      </c>
      <c r="J100" s="185">
        <v>29</v>
      </c>
      <c r="K100" s="187">
        <v>0</v>
      </c>
      <c r="L100" s="185">
        <v>22616</v>
      </c>
      <c r="M100" s="185">
        <f t="shared" si="15"/>
        <v>28014199.777104754</v>
      </c>
      <c r="N100" s="26">
        <f t="shared" si="21"/>
        <v>1027118.6621047519</v>
      </c>
      <c r="O100" s="34">
        <f t="shared" si="22"/>
        <v>3.8059642601876539E-2</v>
      </c>
      <c r="P100" s="94">
        <f t="shared" si="16"/>
        <v>3.8059642601876539E-2</v>
      </c>
      <c r="Q100" s="95">
        <f t="shared" si="17"/>
        <v>1054972746043.8556</v>
      </c>
      <c r="R100" s="95">
        <f t="shared" si="18"/>
        <v>851654.88510563597</v>
      </c>
      <c r="S100" s="95">
        <f t="shared" si="19"/>
        <v>725316043324.29395</v>
      </c>
      <c r="T100"/>
    </row>
    <row r="101" spans="1:20" x14ac:dyDescent="0.25">
      <c r="A101" s="183">
        <v>45382</v>
      </c>
      <c r="B101" s="185">
        <v>26960112.859999999</v>
      </c>
      <c r="C101" s="185"/>
      <c r="D101" s="185">
        <f t="shared" si="14"/>
        <v>26960112.859999999</v>
      </c>
      <c r="E101" s="185"/>
      <c r="F101" s="185"/>
      <c r="G101" s="185">
        <f t="shared" si="20"/>
        <v>26960112.859999999</v>
      </c>
      <c r="H101" s="185">
        <v>443.6</v>
      </c>
      <c r="I101" s="185">
        <v>0</v>
      </c>
      <c r="J101" s="185">
        <v>31</v>
      </c>
      <c r="K101" s="187">
        <v>1</v>
      </c>
      <c r="L101" s="185">
        <v>22842</v>
      </c>
      <c r="M101" s="185">
        <f t="shared" si="15"/>
        <v>27519210.484384496</v>
      </c>
      <c r="N101" s="26">
        <f t="shared" si="21"/>
        <v>559097.62438449636</v>
      </c>
      <c r="O101" s="34">
        <f t="shared" si="22"/>
        <v>2.0737955634229359E-2</v>
      </c>
      <c r="P101" s="94">
        <f t="shared" si="16"/>
        <v>2.0737955634229359E-2</v>
      </c>
      <c r="Q101" s="95">
        <f t="shared" si="17"/>
        <v>312590153592.38739</v>
      </c>
      <c r="R101" s="95">
        <f t="shared" si="18"/>
        <v>-468021.03772025555</v>
      </c>
      <c r="S101" s="95">
        <f t="shared" si="19"/>
        <v>219043691748.74487</v>
      </c>
      <c r="T101"/>
    </row>
    <row r="102" spans="1:20" x14ac:dyDescent="0.25">
      <c r="A102" s="183">
        <v>45412</v>
      </c>
      <c r="B102" s="185">
        <v>23858192.226999998</v>
      </c>
      <c r="C102" s="185"/>
      <c r="D102" s="185">
        <f t="shared" si="14"/>
        <v>23858192.226999998</v>
      </c>
      <c r="E102" s="185"/>
      <c r="F102" s="185"/>
      <c r="G102" s="185">
        <f t="shared" si="20"/>
        <v>23858192.226999998</v>
      </c>
      <c r="H102" s="185">
        <v>284.7</v>
      </c>
      <c r="I102" s="185">
        <v>0</v>
      </c>
      <c r="J102" s="185">
        <v>30</v>
      </c>
      <c r="K102" s="187">
        <v>1</v>
      </c>
      <c r="L102" s="185">
        <v>22955</v>
      </c>
      <c r="M102" s="185">
        <f t="shared" si="15"/>
        <v>25035216.180776656</v>
      </c>
      <c r="N102" s="26">
        <f t="shared" si="21"/>
        <v>1177023.9537766576</v>
      </c>
      <c r="O102" s="34">
        <f t="shared" si="22"/>
        <v>4.9334163400889829E-2</v>
      </c>
      <c r="P102" s="94">
        <f t="shared" si="16"/>
        <v>4.9334163400889829E-2</v>
      </c>
      <c r="Q102" s="95">
        <f t="shared" si="17"/>
        <v>1385385387764.0354</v>
      </c>
      <c r="R102" s="95">
        <f t="shared" si="18"/>
        <v>617926.32939216122</v>
      </c>
      <c r="S102" s="95">
        <f t="shared" si="19"/>
        <v>381832948556.0697</v>
      </c>
      <c r="T102"/>
    </row>
    <row r="103" spans="1:20" x14ac:dyDescent="0.25">
      <c r="A103" s="183">
        <v>45443</v>
      </c>
      <c r="B103" s="185">
        <v>23467027.705000002</v>
      </c>
      <c r="C103" s="185"/>
      <c r="D103" s="185">
        <f t="shared" si="14"/>
        <v>23467027.705000002</v>
      </c>
      <c r="E103" s="185"/>
      <c r="F103" s="185"/>
      <c r="G103" s="185">
        <f t="shared" si="20"/>
        <v>23467027.705000002</v>
      </c>
      <c r="H103" s="185">
        <v>70.3</v>
      </c>
      <c r="I103" s="185">
        <v>20.8</v>
      </c>
      <c r="J103" s="185">
        <v>31</v>
      </c>
      <c r="K103" s="187">
        <v>1</v>
      </c>
      <c r="L103" s="185">
        <v>23059</v>
      </c>
      <c r="M103" s="185">
        <f t="shared" si="15"/>
        <v>24099815.049124803</v>
      </c>
      <c r="N103" s="26">
        <f t="shared" si="21"/>
        <v>632787.34412480146</v>
      </c>
      <c r="O103" s="34">
        <f t="shared" si="22"/>
        <v>2.6964954918000827E-2</v>
      </c>
      <c r="P103" s="94">
        <f t="shared" si="16"/>
        <v>2.6964954918000827E-2</v>
      </c>
      <c r="Q103" s="95">
        <f t="shared" si="17"/>
        <v>400419822884.5199</v>
      </c>
      <c r="R103" s="95">
        <f t="shared" si="18"/>
        <v>-544236.60965185612</v>
      </c>
      <c r="S103" s="95">
        <f t="shared" si="19"/>
        <v>296193487285.3468</v>
      </c>
      <c r="T103"/>
    </row>
    <row r="104" spans="1:20" x14ac:dyDescent="0.25">
      <c r="A104" s="183">
        <v>45473</v>
      </c>
      <c r="B104" s="185">
        <v>26576956.670000002</v>
      </c>
      <c r="C104" s="185"/>
      <c r="D104" s="185">
        <f t="shared" si="14"/>
        <v>26576956.670000002</v>
      </c>
      <c r="E104" s="185"/>
      <c r="F104" s="185"/>
      <c r="G104" s="185">
        <f t="shared" si="20"/>
        <v>26576956.670000002</v>
      </c>
      <c r="H104" s="185">
        <v>20.7</v>
      </c>
      <c r="I104" s="185">
        <v>82.4</v>
      </c>
      <c r="J104" s="185">
        <v>30</v>
      </c>
      <c r="K104" s="187">
        <v>0</v>
      </c>
      <c r="L104" s="185">
        <v>23128</v>
      </c>
      <c r="M104" s="185">
        <f t="shared" si="15"/>
        <v>26967673.994398803</v>
      </c>
      <c r="N104" s="26">
        <f t="shared" si="21"/>
        <v>390717.32439880073</v>
      </c>
      <c r="O104" s="34">
        <f t="shared" si="22"/>
        <v>1.4701356865281772E-2</v>
      </c>
      <c r="P104" s="94">
        <f t="shared" si="16"/>
        <v>1.4701356865281772E-2</v>
      </c>
      <c r="Q104" s="95">
        <f t="shared" si="17"/>
        <v>152660027585.3577</v>
      </c>
      <c r="R104" s="95">
        <f t="shared" si="18"/>
        <v>-242070.01972600073</v>
      </c>
      <c r="S104" s="95">
        <f t="shared" si="19"/>
        <v>58597894450.146378</v>
      </c>
      <c r="T104"/>
    </row>
    <row r="105" spans="1:20" x14ac:dyDescent="0.25">
      <c r="A105" s="183">
        <v>45504</v>
      </c>
      <c r="B105" s="185">
        <v>31188046.25</v>
      </c>
      <c r="C105" s="185"/>
      <c r="D105" s="185">
        <f t="shared" si="14"/>
        <v>31188046.25</v>
      </c>
      <c r="E105" s="185"/>
      <c r="F105" s="185"/>
      <c r="G105" s="185">
        <f t="shared" si="20"/>
        <v>31188046.25</v>
      </c>
      <c r="H105" s="185">
        <v>0.4</v>
      </c>
      <c r="I105" s="185">
        <v>140.5</v>
      </c>
      <c r="J105" s="185">
        <v>31</v>
      </c>
      <c r="K105" s="187">
        <v>0</v>
      </c>
      <c r="L105" s="185">
        <v>23209</v>
      </c>
      <c r="M105" s="185">
        <f t="shared" si="15"/>
        <v>30247803.26536065</v>
      </c>
      <c r="N105" s="26">
        <f t="shared" si="21"/>
        <v>-940242.98463935032</v>
      </c>
      <c r="O105" s="34">
        <f t="shared" si="22"/>
        <v>-3.0147543616630051E-2</v>
      </c>
      <c r="P105" s="94">
        <f t="shared" si="16"/>
        <v>3.0147543616630051E-2</v>
      </c>
      <c r="Q105" s="95">
        <f t="shared" si="17"/>
        <v>884056870163.51355</v>
      </c>
      <c r="R105" s="95">
        <f t="shared" si="18"/>
        <v>-1330960.3090381511</v>
      </c>
      <c r="S105" s="95">
        <f t="shared" si="19"/>
        <v>1771455344234.9307</v>
      </c>
      <c r="T105"/>
    </row>
    <row r="106" spans="1:20" x14ac:dyDescent="0.25">
      <c r="A106" s="183">
        <v>45535</v>
      </c>
      <c r="B106" s="185">
        <v>29636389.199999999</v>
      </c>
      <c r="C106" s="185"/>
      <c r="D106" s="185">
        <f t="shared" si="14"/>
        <v>29636389.199999999</v>
      </c>
      <c r="E106" s="185"/>
      <c r="F106" s="185"/>
      <c r="G106" s="185">
        <f t="shared" si="20"/>
        <v>29636389.199999999</v>
      </c>
      <c r="H106" s="185">
        <v>6.8</v>
      </c>
      <c r="I106" s="185">
        <v>97.4</v>
      </c>
      <c r="J106" s="185">
        <v>31</v>
      </c>
      <c r="K106" s="187">
        <v>0</v>
      </c>
      <c r="L106" s="185">
        <v>23286</v>
      </c>
      <c r="M106" s="185">
        <f t="shared" si="15"/>
        <v>28293978.096637852</v>
      </c>
      <c r="N106" s="26">
        <f t="shared" si="21"/>
        <v>-1342411.1033621468</v>
      </c>
      <c r="O106" s="34">
        <f t="shared" si="22"/>
        <v>-4.529604110348729E-2</v>
      </c>
      <c r="P106" s="94">
        <f t="shared" si="16"/>
        <v>4.529604110348729E-2</v>
      </c>
      <c r="Q106" s="95">
        <f t="shared" si="17"/>
        <v>1802067570429.9763</v>
      </c>
      <c r="R106" s="95">
        <f t="shared" si="18"/>
        <v>-402168.11872279644</v>
      </c>
      <c r="S106" s="95">
        <f t="shared" si="19"/>
        <v>161739195717.03329</v>
      </c>
      <c r="T106"/>
    </row>
    <row r="107" spans="1:20" x14ac:dyDescent="0.25">
      <c r="A107" s="183">
        <v>45565</v>
      </c>
      <c r="B107" s="185">
        <v>25156585.809999999</v>
      </c>
      <c r="C107" s="185"/>
      <c r="D107" s="185">
        <f t="shared" si="14"/>
        <v>25156585.809999999</v>
      </c>
      <c r="E107" s="185"/>
      <c r="F107" s="185"/>
      <c r="G107" s="185">
        <f t="shared" si="20"/>
        <v>25156585.809999999</v>
      </c>
      <c r="H107" s="185">
        <v>19.3</v>
      </c>
      <c r="I107" s="185">
        <v>43.8</v>
      </c>
      <c r="J107" s="185">
        <v>30</v>
      </c>
      <c r="K107" s="187">
        <v>1</v>
      </c>
      <c r="L107" s="185">
        <v>23309</v>
      </c>
      <c r="M107" s="185">
        <f t="shared" si="15"/>
        <v>24212715.739656147</v>
      </c>
      <c r="N107" s="26">
        <f t="shared" si="21"/>
        <v>-943870.07034385204</v>
      </c>
      <c r="O107" s="34">
        <f t="shared" si="22"/>
        <v>-3.7519800082277226E-2</v>
      </c>
      <c r="P107" s="94">
        <f t="shared" si="16"/>
        <v>3.7519800082277226E-2</v>
      </c>
      <c r="Q107" s="95">
        <f t="shared" si="17"/>
        <v>890890709690.9082</v>
      </c>
      <c r="R107" s="95">
        <f t="shared" si="18"/>
        <v>398541.03301829472</v>
      </c>
      <c r="S107" s="95">
        <f t="shared" si="19"/>
        <v>158834954999.28949</v>
      </c>
      <c r="T107"/>
    </row>
    <row r="108" spans="1:20" x14ac:dyDescent="0.25">
      <c r="A108" s="183">
        <v>45596</v>
      </c>
      <c r="B108" s="185">
        <v>24192596.690000001</v>
      </c>
      <c r="C108" s="185"/>
      <c r="D108" s="185">
        <f t="shared" si="14"/>
        <v>24192596.690000001</v>
      </c>
      <c r="E108" s="185"/>
      <c r="F108" s="185"/>
      <c r="G108" s="185">
        <f t="shared" si="20"/>
        <v>24192596.690000001</v>
      </c>
      <c r="H108" s="185">
        <v>194.6</v>
      </c>
      <c r="I108" s="185">
        <v>3</v>
      </c>
      <c r="J108" s="185">
        <v>31</v>
      </c>
      <c r="K108" s="187">
        <v>1</v>
      </c>
      <c r="L108" s="185">
        <v>23403</v>
      </c>
      <c r="M108" s="185">
        <f t="shared" si="15"/>
        <v>25103600.888667937</v>
      </c>
      <c r="N108" s="26">
        <f t="shared" si="21"/>
        <v>911004.19866793603</v>
      </c>
      <c r="O108" s="34">
        <f t="shared" si="22"/>
        <v>3.7656321491297343E-2</v>
      </c>
      <c r="P108" s="94">
        <f t="shared" si="16"/>
        <v>3.7656321491297343E-2</v>
      </c>
      <c r="Q108" s="95">
        <f t="shared" si="17"/>
        <v>829928649990.60828</v>
      </c>
      <c r="R108" s="95">
        <f t="shared" si="18"/>
        <v>1854874.2690117881</v>
      </c>
      <c r="S108" s="95">
        <f t="shared" si="19"/>
        <v>3440558553842.0151</v>
      </c>
      <c r="T108"/>
    </row>
    <row r="109" spans="1:20" x14ac:dyDescent="0.25">
      <c r="A109" s="183">
        <v>45626</v>
      </c>
      <c r="B109" s="185">
        <v>25649642.219999999</v>
      </c>
      <c r="C109" s="185"/>
      <c r="D109" s="185">
        <f t="shared" si="14"/>
        <v>25649642.219999999</v>
      </c>
      <c r="E109" s="185"/>
      <c r="F109" s="185"/>
      <c r="G109" s="185">
        <f t="shared" si="20"/>
        <v>25649642.219999999</v>
      </c>
      <c r="H109" s="185">
        <v>353.4</v>
      </c>
      <c r="I109" s="185">
        <v>1.7</v>
      </c>
      <c r="J109" s="185">
        <v>30</v>
      </c>
      <c r="K109" s="187">
        <v>1</v>
      </c>
      <c r="L109" s="185">
        <v>23505</v>
      </c>
      <c r="M109" s="185">
        <f t="shared" si="15"/>
        <v>26497019.943763278</v>
      </c>
      <c r="N109" s="26">
        <f t="shared" si="21"/>
        <v>847377.72376327962</v>
      </c>
      <c r="O109" s="34">
        <f t="shared" si="22"/>
        <v>3.3036629380449878E-2</v>
      </c>
      <c r="P109" s="94">
        <f t="shared" si="16"/>
        <v>3.3036629380449878E-2</v>
      </c>
      <c r="Q109" s="95">
        <f>N109*N109</f>
        <v>718049006730.23706</v>
      </c>
      <c r="R109" s="95">
        <f t="shared" si="18"/>
        <v>-63626.47490465641</v>
      </c>
      <c r="S109" s="95">
        <f t="shared" si="19"/>
        <v>4048328308.792872</v>
      </c>
      <c r="T109"/>
    </row>
    <row r="110" spans="1:20" x14ac:dyDescent="0.25">
      <c r="A110" s="183">
        <v>45657</v>
      </c>
      <c r="B110" s="185">
        <v>30765166.719999999</v>
      </c>
      <c r="C110" s="185"/>
      <c r="D110" s="185">
        <f t="shared" si="14"/>
        <v>30765166.719999999</v>
      </c>
      <c r="E110" s="185"/>
      <c r="F110" s="185"/>
      <c r="G110" s="185">
        <f t="shared" si="20"/>
        <v>30765166.719999999</v>
      </c>
      <c r="H110" s="185">
        <v>577</v>
      </c>
      <c r="I110" s="185">
        <v>0</v>
      </c>
      <c r="J110" s="185">
        <v>31</v>
      </c>
      <c r="K110" s="187">
        <v>0</v>
      </c>
      <c r="L110" s="185">
        <v>23506</v>
      </c>
      <c r="M110" s="185">
        <f t="shared" si="15"/>
        <v>30834508.598621748</v>
      </c>
      <c r="N110" s="26">
        <f t="shared" si="21"/>
        <v>69341.87862174958</v>
      </c>
      <c r="O110" s="34">
        <f t="shared" si="22"/>
        <v>2.2539087550814867E-3</v>
      </c>
      <c r="P110" s="94">
        <f t="shared" si="16"/>
        <v>2.2539087550814867E-3</v>
      </c>
      <c r="Q110" s="95">
        <f>N110*N110</f>
        <v>4808296130.7934513</v>
      </c>
      <c r="R110" s="95">
        <f>N110-N109</f>
        <v>-778035.84514153004</v>
      </c>
      <c r="S110" s="95">
        <f>R110*R110</f>
        <v>605339776325.09485</v>
      </c>
      <c r="T110"/>
    </row>
    <row r="111" spans="1:20" x14ac:dyDescent="0.25">
      <c r="A111" s="183">
        <v>45688</v>
      </c>
      <c r="B111" s="185">
        <v>33201030.52</v>
      </c>
      <c r="C111" s="185"/>
      <c r="D111" s="185">
        <f t="shared" si="14"/>
        <v>33201030.52</v>
      </c>
      <c r="E111" s="185"/>
      <c r="F111" s="185"/>
      <c r="G111" s="185">
        <f t="shared" si="20"/>
        <v>33201030.52</v>
      </c>
      <c r="H111" s="185">
        <v>726.2</v>
      </c>
      <c r="I111" s="185">
        <v>0</v>
      </c>
      <c r="J111" s="188">
        <v>31</v>
      </c>
      <c r="K111" s="187">
        <v>0</v>
      </c>
      <c r="L111" s="185">
        <v>23630</v>
      </c>
      <c r="M111" s="185">
        <f t="shared" si="15"/>
        <v>32808399.179988503</v>
      </c>
      <c r="N111" s="26">
        <f t="shared" si="21"/>
        <v>-392631.3400114961</v>
      </c>
      <c r="O111" s="34"/>
      <c r="P111" s="94"/>
      <c r="Q111" s="95"/>
      <c r="R111" s="95"/>
      <c r="S111" s="95"/>
      <c r="T111"/>
    </row>
    <row r="112" spans="1:20" x14ac:dyDescent="0.25">
      <c r="A112" s="183">
        <v>45716</v>
      </c>
      <c r="B112" s="185">
        <v>29519019.879999999</v>
      </c>
      <c r="C112" s="185"/>
      <c r="D112" s="185">
        <f t="shared" si="14"/>
        <v>29519019.879999999</v>
      </c>
      <c r="E112" s="185"/>
      <c r="F112" s="185"/>
      <c r="G112" s="185">
        <f t="shared" si="20"/>
        <v>29519019.879999999</v>
      </c>
      <c r="H112" s="185">
        <v>643.5</v>
      </c>
      <c r="I112" s="185">
        <v>0</v>
      </c>
      <c r="J112" s="188">
        <v>28</v>
      </c>
      <c r="K112" s="187">
        <v>0</v>
      </c>
      <c r="L112" s="185">
        <v>23629</v>
      </c>
      <c r="M112" s="185">
        <f t="shared" si="15"/>
        <v>29932780.948555287</v>
      </c>
      <c r="N112" s="26">
        <f t="shared" si="21"/>
        <v>413761.06855528802</v>
      </c>
      <c r="O112" s="34"/>
      <c r="P112" s="94"/>
      <c r="Q112" s="95"/>
      <c r="R112" s="95"/>
      <c r="S112" s="95"/>
      <c r="T112"/>
    </row>
    <row r="113" spans="1:20" x14ac:dyDescent="0.25">
      <c r="A113" s="183">
        <v>45747</v>
      </c>
      <c r="B113" s="185">
        <v>28188056.210000001</v>
      </c>
      <c r="C113" s="185"/>
      <c r="D113" s="185">
        <f t="shared" si="14"/>
        <v>28188056.210000001</v>
      </c>
      <c r="E113" s="185"/>
      <c r="F113" s="185"/>
      <c r="G113" s="185">
        <f t="shared" si="20"/>
        <v>28188056.210000001</v>
      </c>
      <c r="H113" s="185">
        <v>486.7</v>
      </c>
      <c r="I113" s="185">
        <v>0</v>
      </c>
      <c r="J113" s="188">
        <v>31</v>
      </c>
      <c r="K113" s="187">
        <v>1</v>
      </c>
      <c r="L113" s="185">
        <v>23808</v>
      </c>
      <c r="M113" s="185">
        <f t="shared" si="15"/>
        <v>28976024.223368388</v>
      </c>
      <c r="N113" s="26">
        <f t="shared" si="21"/>
        <v>787968.01336838678</v>
      </c>
      <c r="O113" s="34"/>
      <c r="P113" s="94"/>
      <c r="Q113" s="95"/>
      <c r="R113" s="95"/>
      <c r="S113" s="95"/>
      <c r="T113"/>
    </row>
    <row r="114" spans="1:20" x14ac:dyDescent="0.25">
      <c r="A114" s="183">
        <v>45777</v>
      </c>
      <c r="B114" s="185">
        <v>25907144.830000002</v>
      </c>
      <c r="C114" s="185"/>
      <c r="D114" s="185">
        <f t="shared" si="14"/>
        <v>25907144.830000002</v>
      </c>
      <c r="E114" s="185"/>
      <c r="F114" s="185"/>
      <c r="G114" s="185">
        <f t="shared" si="20"/>
        <v>25907144.830000002</v>
      </c>
      <c r="H114" s="185">
        <v>319.60000000000002</v>
      </c>
      <c r="I114" s="185">
        <v>0</v>
      </c>
      <c r="J114" s="188">
        <v>30</v>
      </c>
      <c r="K114" s="187">
        <v>1</v>
      </c>
      <c r="L114" s="185">
        <v>23843</v>
      </c>
      <c r="M114" s="185">
        <f t="shared" si="15"/>
        <v>26315694.782584447</v>
      </c>
      <c r="N114" s="26">
        <f t="shared" si="21"/>
        <v>408549.95258444548</v>
      </c>
      <c r="O114" s="34"/>
      <c r="P114" s="94"/>
      <c r="Q114" s="95"/>
      <c r="R114" s="95"/>
      <c r="S114" s="95"/>
      <c r="T114"/>
    </row>
    <row r="115" spans="1:20" x14ac:dyDescent="0.25">
      <c r="A115" s="183">
        <v>45808</v>
      </c>
      <c r="B115" s="185">
        <v>24336479.93</v>
      </c>
      <c r="C115" s="185"/>
      <c r="D115" s="185">
        <f t="shared" si="14"/>
        <v>24336479.93</v>
      </c>
      <c r="E115" s="185"/>
      <c r="F115" s="185"/>
      <c r="G115" s="185">
        <f t="shared" si="20"/>
        <v>24336479.93</v>
      </c>
      <c r="H115" s="185">
        <v>154.19999999999999</v>
      </c>
      <c r="I115" s="185">
        <v>5.0999999999999996</v>
      </c>
      <c r="J115" s="188">
        <v>31</v>
      </c>
      <c r="K115" s="187">
        <v>1</v>
      </c>
      <c r="L115" s="185">
        <v>23871</v>
      </c>
      <c r="M115" s="185">
        <f t="shared" si="15"/>
        <v>25149849.75106369</v>
      </c>
      <c r="N115" s="26">
        <f t="shared" si="21"/>
        <v>813369.82106368989</v>
      </c>
      <c r="O115" s="34"/>
      <c r="P115" s="94"/>
      <c r="Q115" s="95"/>
      <c r="R115" s="95"/>
      <c r="S115" s="95"/>
      <c r="T115"/>
    </row>
    <row r="116" spans="1:20" x14ac:dyDescent="0.25">
      <c r="A116" s="183">
        <v>45838</v>
      </c>
      <c r="B116" s="185">
        <v>28531695.16</v>
      </c>
      <c r="C116" s="185"/>
      <c r="D116" s="185">
        <f t="shared" si="14"/>
        <v>28531695.16</v>
      </c>
      <c r="E116" s="185"/>
      <c r="F116" s="185"/>
      <c r="G116" s="185">
        <f t="shared" si="20"/>
        <v>28531695.16</v>
      </c>
      <c r="H116" s="185">
        <v>12.8</v>
      </c>
      <c r="I116" s="185">
        <v>98.8</v>
      </c>
      <c r="J116" s="188">
        <v>30</v>
      </c>
      <c r="K116" s="187">
        <v>0</v>
      </c>
      <c r="L116" s="185">
        <v>24073</v>
      </c>
      <c r="M116" s="185">
        <f t="shared" si="15"/>
        <v>28571817.476522103</v>
      </c>
      <c r="N116" s="26">
        <f t="shared" si="21"/>
        <v>40122.316522102803</v>
      </c>
      <c r="O116" s="34"/>
      <c r="P116" s="94"/>
      <c r="Q116" s="95"/>
      <c r="R116" s="95"/>
      <c r="S116" s="95"/>
      <c r="T116"/>
    </row>
    <row r="117" spans="1:20" x14ac:dyDescent="0.25">
      <c r="A117" s="183">
        <v>45869</v>
      </c>
      <c r="B117" s="185">
        <v>35219494.310000002</v>
      </c>
      <c r="C117" s="185"/>
      <c r="D117" s="185">
        <f t="shared" si="14"/>
        <v>35219494.310000002</v>
      </c>
      <c r="E117" s="185"/>
      <c r="F117" s="185"/>
      <c r="G117" s="185">
        <f t="shared" si="20"/>
        <v>35219494.310000002</v>
      </c>
      <c r="H117" s="185">
        <v>0</v>
      </c>
      <c r="I117" s="185">
        <v>183.6</v>
      </c>
      <c r="J117" s="188">
        <v>31</v>
      </c>
      <c r="K117" s="187">
        <v>0</v>
      </c>
      <c r="L117" s="185">
        <v>24104</v>
      </c>
      <c r="M117" s="185">
        <f t="shared" si="15"/>
        <v>33202723.903153844</v>
      </c>
      <c r="N117" s="26">
        <f t="shared" si="21"/>
        <v>-2016770.4068461582</v>
      </c>
      <c r="O117" s="34"/>
      <c r="P117" s="94"/>
      <c r="Q117" s="95"/>
      <c r="R117" s="95"/>
      <c r="S117" s="95"/>
      <c r="T117"/>
    </row>
    <row r="118" spans="1:20" x14ac:dyDescent="0.25">
      <c r="A118" s="183">
        <v>45900</v>
      </c>
      <c r="B118" s="185">
        <v>31952622.859999999</v>
      </c>
      <c r="C118" s="185"/>
      <c r="D118" s="185">
        <f t="shared" si="14"/>
        <v>31952622.859999999</v>
      </c>
      <c r="E118" s="185"/>
      <c r="F118" s="185"/>
      <c r="G118" s="185">
        <f t="shared" si="20"/>
        <v>31952622.859999999</v>
      </c>
      <c r="H118" s="185">
        <v>16.3</v>
      </c>
      <c r="I118" s="185">
        <v>121</v>
      </c>
      <c r="J118" s="188">
        <v>31</v>
      </c>
      <c r="K118" s="187">
        <v>0</v>
      </c>
      <c r="L118" s="185">
        <v>24158</v>
      </c>
      <c r="M118" s="185">
        <f t="shared" si="15"/>
        <v>30396907.610664796</v>
      </c>
      <c r="N118" s="26">
        <f t="shared" si="21"/>
        <v>-1555715.2493352033</v>
      </c>
      <c r="O118" s="34"/>
      <c r="P118" s="94"/>
      <c r="Q118" s="95"/>
      <c r="R118" s="95"/>
      <c r="S118" s="95"/>
      <c r="T118"/>
    </row>
    <row r="119" spans="1:20" x14ac:dyDescent="0.25">
      <c r="A119" s="183">
        <v>45930</v>
      </c>
      <c r="B119" s="185">
        <v>25218657.690000001</v>
      </c>
      <c r="C119" s="185"/>
      <c r="D119" s="185">
        <f t="shared" si="14"/>
        <v>25218657.690000001</v>
      </c>
      <c r="E119" s="185"/>
      <c r="F119" s="185"/>
      <c r="G119" s="185">
        <f t="shared" si="20"/>
        <v>25218657.690000001</v>
      </c>
      <c r="H119" s="185">
        <v>20.2</v>
      </c>
      <c r="I119" s="185">
        <v>35.299999999999997</v>
      </c>
      <c r="J119" s="188">
        <v>30</v>
      </c>
      <c r="K119" s="187">
        <v>1</v>
      </c>
      <c r="L119" s="185">
        <v>24210</v>
      </c>
      <c r="M119" s="185">
        <f t="shared" si="15"/>
        <v>24667206.908334281</v>
      </c>
      <c r="N119" s="26">
        <f t="shared" si="21"/>
        <v>-551450.78166572005</v>
      </c>
      <c r="O119" s="34"/>
      <c r="P119" s="94"/>
      <c r="Q119" s="95"/>
      <c r="R119" s="95"/>
      <c r="S119" s="95"/>
      <c r="T119"/>
    </row>
    <row r="120" spans="1:20" x14ac:dyDescent="0.25">
      <c r="A120" s="183">
        <v>45961</v>
      </c>
      <c r="B120" s="185">
        <v>25484179.57</v>
      </c>
      <c r="C120" s="185"/>
      <c r="D120" s="185">
        <f t="shared" si="14"/>
        <v>25484179.57</v>
      </c>
      <c r="E120" s="185"/>
      <c r="F120" s="185"/>
      <c r="G120" s="185">
        <f t="shared" si="20"/>
        <v>25484179.57</v>
      </c>
      <c r="H120" s="185">
        <v>203.7</v>
      </c>
      <c r="I120" s="185">
        <v>9.9</v>
      </c>
      <c r="J120" s="188">
        <v>31</v>
      </c>
      <c r="K120" s="187">
        <v>1</v>
      </c>
      <c r="L120" s="185">
        <v>24273</v>
      </c>
      <c r="M120" s="185">
        <f t="shared" si="15"/>
        <v>26383317.623755481</v>
      </c>
      <c r="N120" s="26">
        <f t="shared" si="21"/>
        <v>899138.0537554808</v>
      </c>
      <c r="O120" s="34"/>
      <c r="P120" s="94"/>
      <c r="Q120" s="95"/>
      <c r="R120" s="95"/>
      <c r="S120" s="95"/>
      <c r="T120"/>
    </row>
    <row r="121" spans="1:20" x14ac:dyDescent="0.25">
      <c r="A121" s="183">
        <v>45991</v>
      </c>
      <c r="B121" s="185">
        <v>28123203.390000001</v>
      </c>
      <c r="C121" s="185"/>
      <c r="D121" s="185">
        <f t="shared" si="14"/>
        <v>28123203.390000001</v>
      </c>
      <c r="E121" s="185"/>
      <c r="F121" s="185"/>
      <c r="G121" s="185">
        <f t="shared" si="20"/>
        <v>28123203.390000001</v>
      </c>
      <c r="H121" s="185">
        <v>433.8</v>
      </c>
      <c r="I121" s="185">
        <v>0</v>
      </c>
      <c r="J121" s="188">
        <v>30</v>
      </c>
      <c r="K121" s="187">
        <v>1</v>
      </c>
      <c r="L121" s="185">
        <v>24307</v>
      </c>
      <c r="M121" s="185">
        <f t="shared" si="15"/>
        <v>28178340.92907171</v>
      </c>
      <c r="N121" s="26">
        <f t="shared" si="21"/>
        <v>55137.539071708918</v>
      </c>
      <c r="O121" s="34"/>
      <c r="P121" s="94"/>
      <c r="Q121" s="95"/>
      <c r="R121" s="95"/>
      <c r="S121" s="95"/>
      <c r="T121"/>
    </row>
    <row r="122" spans="1:20" x14ac:dyDescent="0.25">
      <c r="A122" s="183">
        <v>46022</v>
      </c>
      <c r="B122" s="185">
        <v>33367453.830000002</v>
      </c>
      <c r="C122" s="185"/>
      <c r="D122" s="185">
        <f t="shared" si="14"/>
        <v>33367453.830000002</v>
      </c>
      <c r="E122" s="185"/>
      <c r="F122" s="185"/>
      <c r="G122" s="185">
        <f t="shared" si="20"/>
        <v>33367453.830000002</v>
      </c>
      <c r="H122" s="185">
        <v>665.2</v>
      </c>
      <c r="I122" s="185">
        <v>0</v>
      </c>
      <c r="J122" s="188">
        <v>31</v>
      </c>
      <c r="K122" s="187">
        <v>0</v>
      </c>
      <c r="L122" s="185">
        <v>24347</v>
      </c>
      <c r="M122" s="185">
        <f t="shared" si="15"/>
        <v>32733116.101122037</v>
      </c>
      <c r="N122" s="26">
        <f t="shared" si="21"/>
        <v>-634337.72887796536</v>
      </c>
      <c r="O122" s="34"/>
      <c r="P122" s="94"/>
      <c r="Q122" s="95"/>
      <c r="R122" s="95"/>
      <c r="S122" s="95"/>
      <c r="T122"/>
    </row>
    <row r="123" spans="1:20" x14ac:dyDescent="0.25">
      <c r="A123" s="183">
        <v>46053</v>
      </c>
      <c r="B123" s="185"/>
      <c r="C123" s="185"/>
      <c r="D123" s="185"/>
      <c r="E123" s="185"/>
      <c r="F123" s="185"/>
      <c r="G123" s="185"/>
      <c r="H123" s="189">
        <f>AVERAGE(H3,H15,H27,H39,H51,H63,H75,H87,H99,H111)</f>
        <v>667.41000000000008</v>
      </c>
      <c r="I123" s="189">
        <f>AVERAGE(I3,I15,I27,I39,I51,I63,I75,I87,I99,I111)</f>
        <v>0</v>
      </c>
      <c r="J123" s="188">
        <v>31</v>
      </c>
      <c r="K123" s="187">
        <v>0</v>
      </c>
      <c r="L123" s="190" cm="1">
        <f t="array" ref="L123:L134">'Rate Class Customer Model'!P12:P23</f>
        <v>24458.193466658046</v>
      </c>
      <c r="M123" s="185">
        <f t="shared" si="15"/>
        <v>32866588.265650731</v>
      </c>
      <c r="N123" s="26">
        <f t="shared" si="21"/>
        <v>32866588.265650731</v>
      </c>
      <c r="O123"/>
      <c r="P123" s="5">
        <f>AVERAGE(P3:P110)</f>
        <v>2.0546446757717843E-2</v>
      </c>
      <c r="Q123" s="5">
        <f t="shared" ref="Q123:S123" si="23">AVERAGE(Q3:Q110)</f>
        <v>406085483606.13171</v>
      </c>
      <c r="R123" s="5"/>
      <c r="S123" s="5">
        <f t="shared" si="23"/>
        <v>438497787827.08405</v>
      </c>
      <c r="T123"/>
    </row>
    <row r="124" spans="1:20" ht="12.6" customHeight="1" x14ac:dyDescent="0.25">
      <c r="A124" s="183">
        <v>46081</v>
      </c>
      <c r="B124" s="185"/>
      <c r="C124" s="185"/>
      <c r="D124" s="185"/>
      <c r="E124" s="185"/>
      <c r="F124" s="185"/>
      <c r="G124" s="185"/>
      <c r="H124" s="189">
        <f t="shared" ref="H124:I124" si="24">AVERAGE(H4,H16,H28,H40,H52,H64,H76,H88,H100,H112)</f>
        <v>577.75</v>
      </c>
      <c r="I124" s="189">
        <f t="shared" si="24"/>
        <v>0</v>
      </c>
      <c r="J124" s="185">
        <v>28</v>
      </c>
      <c r="K124" s="187">
        <v>0</v>
      </c>
      <c r="L124" s="190">
        <v>24569.894757155882</v>
      </c>
      <c r="M124" s="185">
        <f t="shared" si="15"/>
        <v>30011826.043011807</v>
      </c>
      <c r="N124" s="26">
        <f t="shared" si="21"/>
        <v>30011826.043011807</v>
      </c>
      <c r="O124"/>
      <c r="P124"/>
      <c r="Q124" s="95"/>
      <c r="R124" s="95"/>
      <c r="S124" s="95"/>
      <c r="T124"/>
    </row>
    <row r="125" spans="1:20" x14ac:dyDescent="0.25">
      <c r="A125" s="183">
        <v>46112</v>
      </c>
      <c r="B125" s="185"/>
      <c r="C125" s="185"/>
      <c r="D125" s="185"/>
      <c r="E125" s="185"/>
      <c r="F125" s="185"/>
      <c r="G125" s="185"/>
      <c r="H125" s="189">
        <f t="shared" ref="H125:I125" si="25">AVERAGE(H5,H17,H29,H41,H53,H65,H77,H89,H101,H113)</f>
        <v>510.25</v>
      </c>
      <c r="I125" s="189">
        <f t="shared" si="25"/>
        <v>0</v>
      </c>
      <c r="J125" s="188">
        <v>31</v>
      </c>
      <c r="K125" s="187">
        <v>1</v>
      </c>
      <c r="L125" s="190">
        <v>24682.106190739956</v>
      </c>
      <c r="M125" s="185">
        <f t="shared" si="15"/>
        <v>30102092.380131647</v>
      </c>
      <c r="N125" s="26">
        <f t="shared" si="21"/>
        <v>30102092.380131647</v>
      </c>
      <c r="O125"/>
      <c r="P125"/>
      <c r="Q125" s="95"/>
      <c r="R125" s="95"/>
      <c r="S125" s="95"/>
      <c r="T125"/>
    </row>
    <row r="126" spans="1:20" x14ac:dyDescent="0.25">
      <c r="A126" s="183">
        <v>46142</v>
      </c>
      <c r="B126" s="185"/>
      <c r="C126" s="185"/>
      <c r="D126" s="185"/>
      <c r="E126" s="185"/>
      <c r="F126" s="185"/>
      <c r="G126" s="185"/>
      <c r="H126" s="189">
        <f t="shared" ref="H126:I126" si="26">AVERAGE(H6,H18,H30,H42,H54,H66,H78,H90,H102,H114)</f>
        <v>329.05999999999995</v>
      </c>
      <c r="I126" s="189">
        <f t="shared" si="26"/>
        <v>0.71</v>
      </c>
      <c r="J126" s="188">
        <v>30</v>
      </c>
      <c r="K126" s="187">
        <v>1</v>
      </c>
      <c r="L126" s="190">
        <v>24794.830097248781</v>
      </c>
      <c r="M126" s="185">
        <f t="shared" si="15"/>
        <v>27375305.760494314</v>
      </c>
      <c r="N126" s="26">
        <f t="shared" si="21"/>
        <v>27375305.760494314</v>
      </c>
      <c r="O126"/>
      <c r="P126"/>
      <c r="Q126" s="95"/>
      <c r="R126" s="95"/>
      <c r="S126" s="95"/>
      <c r="T126"/>
    </row>
    <row r="127" spans="1:20" x14ac:dyDescent="0.25">
      <c r="A127" s="183">
        <v>46173</v>
      </c>
      <c r="B127" s="185"/>
      <c r="C127" s="185"/>
      <c r="D127" s="185"/>
      <c r="E127" s="185"/>
      <c r="F127" s="185"/>
      <c r="G127" s="185"/>
      <c r="H127" s="189">
        <f t="shared" ref="H127:I127" si="27">AVERAGE(H7,H19,H31,H43,H55,H67,H79,H91,H103,H115)</f>
        <v>142.47</v>
      </c>
      <c r="I127" s="189">
        <f t="shared" si="27"/>
        <v>21.69</v>
      </c>
      <c r="J127" s="188">
        <v>31</v>
      </c>
      <c r="K127" s="187">
        <v>1</v>
      </c>
      <c r="L127" s="190">
        <v>24908.068817161311</v>
      </c>
      <c r="M127" s="185">
        <f t="shared" si="15"/>
        <v>26803400.717684697</v>
      </c>
      <c r="N127" s="26">
        <f t="shared" si="21"/>
        <v>26803400.717684697</v>
      </c>
      <c r="O127"/>
      <c r="P127"/>
      <c r="Q127" s="95"/>
      <c r="R127" s="95"/>
      <c r="S127" s="95"/>
      <c r="T127"/>
    </row>
    <row r="128" spans="1:20" x14ac:dyDescent="0.25">
      <c r="A128" s="183">
        <v>46203</v>
      </c>
      <c r="B128" s="185"/>
      <c r="C128" s="185"/>
      <c r="D128" s="185"/>
      <c r="E128" s="185"/>
      <c r="F128" s="185"/>
      <c r="G128" s="185"/>
      <c r="H128" s="189">
        <f t="shared" ref="H128:I128" si="28">AVERAGE(H8,H20,H32,H44,H56,H68,H80,H92,H104,H116)</f>
        <v>19.93</v>
      </c>
      <c r="I128" s="189">
        <f t="shared" si="28"/>
        <v>77.789999999999992</v>
      </c>
      <c r="J128" s="188">
        <v>30</v>
      </c>
      <c r="K128" s="187">
        <v>0</v>
      </c>
      <c r="L128" s="190">
        <v>25021.824701645532</v>
      </c>
      <c r="M128" s="185">
        <f t="shared" si="15"/>
        <v>28537864.448446259</v>
      </c>
      <c r="N128" s="26">
        <f t="shared" si="21"/>
        <v>28537864.448446259</v>
      </c>
      <c r="O128"/>
      <c r="P128"/>
      <c r="Q128" s="95"/>
      <c r="R128" s="95"/>
      <c r="S128" s="95"/>
      <c r="T128"/>
    </row>
    <row r="129" spans="1:20" x14ac:dyDescent="0.25">
      <c r="A129" s="183">
        <v>46234</v>
      </c>
      <c r="B129" s="185"/>
      <c r="C129" s="185"/>
      <c r="D129" s="185"/>
      <c r="E129" s="185"/>
      <c r="F129" s="185"/>
      <c r="G129" s="185"/>
      <c r="H129" s="189">
        <f t="shared" ref="H129:I129" si="29">AVERAGE(H9,H21,H33,H45,H57,H69,H81,H93,H105,H117)</f>
        <v>0.48000000000000009</v>
      </c>
      <c r="I129" s="189">
        <f t="shared" si="29"/>
        <v>154.26</v>
      </c>
      <c r="J129" s="188">
        <v>31</v>
      </c>
      <c r="K129" s="187">
        <v>0</v>
      </c>
      <c r="L129" s="190">
        <v>25136.100112607288</v>
      </c>
      <c r="M129" s="185">
        <f t="shared" si="15"/>
        <v>32758246.991448212</v>
      </c>
      <c r="N129" s="26">
        <f t="shared" si="21"/>
        <v>32758246.991448212</v>
      </c>
      <c r="O129"/>
      <c r="P129"/>
      <c r="Q129" s="95"/>
      <c r="R129" s="95"/>
      <c r="S129" s="95"/>
      <c r="T129"/>
    </row>
    <row r="130" spans="1:20" x14ac:dyDescent="0.25">
      <c r="A130" s="183">
        <v>46265</v>
      </c>
      <c r="B130" s="185"/>
      <c r="C130" s="185"/>
      <c r="D130" s="185"/>
      <c r="E130" s="185"/>
      <c r="F130" s="185"/>
      <c r="G130" s="185"/>
      <c r="H130" s="189">
        <f t="shared" ref="H130:I130" si="30">AVERAGE(H10,H22,H34,H46,H58,H70,H82,H94,H106,H118)</f>
        <v>4.46</v>
      </c>
      <c r="I130" s="189">
        <f t="shared" si="30"/>
        <v>127.12</v>
      </c>
      <c r="J130" s="188">
        <v>31</v>
      </c>
      <c r="K130" s="187">
        <v>0</v>
      </c>
      <c r="L130" s="190">
        <v>25250.897422739316</v>
      </c>
      <c r="M130" s="185">
        <f t="shared" si="15"/>
        <v>31590508.119384013</v>
      </c>
      <c r="N130" s="26">
        <f t="shared" si="21"/>
        <v>31590508.119384013</v>
      </c>
      <c r="O130"/>
      <c r="P130"/>
      <c r="Q130" s="95"/>
      <c r="R130" s="95"/>
      <c r="S130" s="95"/>
      <c r="T130"/>
    </row>
    <row r="131" spans="1:20" x14ac:dyDescent="0.25">
      <c r="A131" s="183">
        <v>46295</v>
      </c>
      <c r="B131" s="185"/>
      <c r="C131" s="185"/>
      <c r="D131" s="185"/>
      <c r="E131" s="185"/>
      <c r="F131" s="185"/>
      <c r="G131" s="185"/>
      <c r="H131" s="189">
        <f t="shared" ref="H131:I131" si="31">AVERAGE(H11,H23,H35,H47,H59,H71,H83,H95,H107,H119)</f>
        <v>37.730000000000004</v>
      </c>
      <c r="I131" s="189">
        <f t="shared" si="31"/>
        <v>47.269999999999996</v>
      </c>
      <c r="J131" s="188">
        <v>30</v>
      </c>
      <c r="K131" s="187">
        <v>1</v>
      </c>
      <c r="L131" s="190">
        <v>25366.21901557051</v>
      </c>
      <c r="M131" s="185">
        <f t="shared" si="15"/>
        <v>26572417.394414116</v>
      </c>
      <c r="N131" s="26">
        <f t="shared" ref="N131:N146" si="32">M131-G131</f>
        <v>26572417.394414116</v>
      </c>
      <c r="O131"/>
      <c r="P131"/>
      <c r="Q131" s="95"/>
      <c r="R131" s="95"/>
      <c r="S131" s="95"/>
      <c r="T131"/>
    </row>
    <row r="132" spans="1:20" x14ac:dyDescent="0.25">
      <c r="A132" s="183">
        <v>46326</v>
      </c>
      <c r="B132" s="185"/>
      <c r="C132" s="185"/>
      <c r="D132" s="185"/>
      <c r="E132" s="185"/>
      <c r="F132" s="185"/>
      <c r="G132" s="185"/>
      <c r="H132" s="189">
        <f t="shared" ref="H132:I132" si="33">AVERAGE(H12,H24,H36,H48,H60,H72,H84,H96,H108,H120)</f>
        <v>211.34</v>
      </c>
      <c r="I132" s="189">
        <f t="shared" si="33"/>
        <v>6.6</v>
      </c>
      <c r="J132" s="188">
        <v>31</v>
      </c>
      <c r="K132" s="187">
        <v>1</v>
      </c>
      <c r="L132" s="190">
        <v>25482.067285515412</v>
      </c>
      <c r="M132" s="185">
        <f t="shared" ref="M132:M146" si="34">$V$30+$V$31*H132+$V$32*I132+$V$33*J132+$V$34*K132+$V$35*L132</f>
        <v>27469462.423816852</v>
      </c>
      <c r="N132" s="26">
        <f t="shared" si="32"/>
        <v>27469462.423816852</v>
      </c>
      <c r="O132"/>
      <c r="P132"/>
      <c r="Q132" s="95"/>
      <c r="R132" s="95"/>
      <c r="S132" s="95"/>
      <c r="T132"/>
    </row>
    <row r="133" spans="1:20" x14ac:dyDescent="0.25">
      <c r="A133" s="183">
        <v>46356</v>
      </c>
      <c r="B133" s="185"/>
      <c r="C133" s="185"/>
      <c r="D133" s="185"/>
      <c r="E133" s="185"/>
      <c r="F133" s="185"/>
      <c r="G133" s="185"/>
      <c r="H133" s="189">
        <f t="shared" ref="H133:I133" si="35">AVERAGE(H13,H25,H37,H49,H61,H73,H85,H97,H109,H121)</f>
        <v>409.7299999999999</v>
      </c>
      <c r="I133" s="189">
        <f t="shared" si="35"/>
        <v>0.26</v>
      </c>
      <c r="J133" s="188">
        <v>30</v>
      </c>
      <c r="K133" s="187">
        <v>1</v>
      </c>
      <c r="L133" s="190">
        <v>25598.444637923923</v>
      </c>
      <c r="M133" s="185">
        <f t="shared" si="34"/>
        <v>29122626.476079881</v>
      </c>
      <c r="N133" s="26">
        <f t="shared" si="32"/>
        <v>29122626.476079881</v>
      </c>
      <c r="Q133" s="95"/>
      <c r="R133" s="95"/>
      <c r="S133" s="95"/>
      <c r="T133"/>
    </row>
    <row r="134" spans="1:20" x14ac:dyDescent="0.25">
      <c r="A134" s="183">
        <v>46387</v>
      </c>
      <c r="B134" s="185"/>
      <c r="C134" s="185"/>
      <c r="D134" s="185"/>
      <c r="E134" s="185"/>
      <c r="F134" s="185"/>
      <c r="G134" s="185"/>
      <c r="H134" s="189">
        <f t="shared" ref="H134:I134" si="36">AVERAGE(H14,H26,H38,H50,H62,H74,H86,H98,H110,H122)</f>
        <v>577.68000000000006</v>
      </c>
      <c r="I134" s="189">
        <f t="shared" si="36"/>
        <v>0</v>
      </c>
      <c r="J134" s="188">
        <v>31</v>
      </c>
      <c r="K134" s="187">
        <v>0</v>
      </c>
      <c r="L134" s="190">
        <v>25715.353489131252</v>
      </c>
      <c r="M134" s="185">
        <f t="shared" si="34"/>
        <v>32948828.997293066</v>
      </c>
      <c r="N134" s="26">
        <f t="shared" si="32"/>
        <v>32948828.997293066</v>
      </c>
      <c r="Q134" s="95"/>
      <c r="R134" s="95"/>
      <c r="S134" s="95"/>
      <c r="T134"/>
    </row>
    <row r="135" spans="1:20" x14ac:dyDescent="0.25">
      <c r="A135" s="183">
        <v>46418</v>
      </c>
      <c r="B135" s="185"/>
      <c r="C135" s="185"/>
      <c r="D135" s="185"/>
      <c r="E135" s="185"/>
      <c r="F135" s="185"/>
      <c r="G135" s="185"/>
      <c r="H135" s="189">
        <f>H123</f>
        <v>667.41000000000008</v>
      </c>
      <c r="I135" s="189">
        <f>I123</f>
        <v>0</v>
      </c>
      <c r="J135" s="188">
        <v>31</v>
      </c>
      <c r="K135" s="187">
        <v>0</v>
      </c>
      <c r="L135" s="190" cm="1">
        <f t="array" ref="L135:L146">'Rate Class Customer Model'!Q12:Q23</f>
        <v>25787.625996666535</v>
      </c>
      <c r="M135" s="185">
        <f t="shared" si="34"/>
        <v>34133747.418586195</v>
      </c>
      <c r="N135" s="26">
        <f t="shared" si="32"/>
        <v>34133747.418586195</v>
      </c>
      <c r="Q135" s="95"/>
      <c r="R135" s="95"/>
      <c r="S135" s="95"/>
      <c r="T135"/>
    </row>
    <row r="136" spans="1:20" x14ac:dyDescent="0.25">
      <c r="A136" s="183">
        <v>46446</v>
      </c>
      <c r="B136" s="185"/>
      <c r="C136" s="185"/>
      <c r="D136" s="185"/>
      <c r="E136" s="185"/>
      <c r="F136" s="185"/>
      <c r="G136" s="185"/>
      <c r="H136" s="189">
        <f t="shared" ref="H136:I136" si="37">H124</f>
        <v>577.75</v>
      </c>
      <c r="I136" s="189">
        <f t="shared" si="37"/>
        <v>0</v>
      </c>
      <c r="J136" s="185">
        <v>28</v>
      </c>
      <c r="K136" s="187">
        <v>0</v>
      </c>
      <c r="L136" s="190">
        <v>25860.101624697425</v>
      </c>
      <c r="M136" s="185">
        <f t="shared" si="34"/>
        <v>31241596.944867969</v>
      </c>
      <c r="N136" s="26">
        <f t="shared" si="32"/>
        <v>31241596.944867969</v>
      </c>
      <c r="Q136" s="95"/>
      <c r="R136" s="95"/>
      <c r="S136" s="95"/>
      <c r="T136"/>
    </row>
    <row r="137" spans="1:20" x14ac:dyDescent="0.25">
      <c r="A137" s="183">
        <v>46477</v>
      </c>
      <c r="B137" s="185"/>
      <c r="C137" s="185"/>
      <c r="D137" s="185"/>
      <c r="E137" s="185"/>
      <c r="F137" s="185"/>
      <c r="G137" s="185"/>
      <c r="H137" s="189">
        <f t="shared" ref="H137:I137" si="38">H125</f>
        <v>510.25</v>
      </c>
      <c r="I137" s="189">
        <f t="shared" si="38"/>
        <v>0</v>
      </c>
      <c r="J137" s="188">
        <v>31</v>
      </c>
      <c r="K137" s="187">
        <v>1</v>
      </c>
      <c r="L137" s="190">
        <v>25932.78094409018</v>
      </c>
      <c r="M137" s="185">
        <f t="shared" si="34"/>
        <v>31294182.934018508</v>
      </c>
      <c r="N137" s="26">
        <f t="shared" si="32"/>
        <v>31294182.934018508</v>
      </c>
      <c r="Q137" s="95"/>
      <c r="R137" s="95"/>
      <c r="S137" s="95"/>
      <c r="T137"/>
    </row>
    <row r="138" spans="1:20" x14ac:dyDescent="0.25">
      <c r="A138" s="183">
        <v>46507</v>
      </c>
      <c r="B138" s="185"/>
      <c r="C138" s="185"/>
      <c r="D138" s="185"/>
      <c r="E138" s="185"/>
      <c r="F138" s="185"/>
      <c r="G138" s="185"/>
      <c r="H138" s="189">
        <f t="shared" ref="H138:I138" si="39">H126</f>
        <v>329.05999999999995</v>
      </c>
      <c r="I138" s="189">
        <f t="shared" si="39"/>
        <v>0.71</v>
      </c>
      <c r="J138" s="188">
        <v>30</v>
      </c>
      <c r="K138" s="187">
        <v>1</v>
      </c>
      <c r="L138" s="190">
        <v>26005.664527315461</v>
      </c>
      <c r="M138" s="185">
        <f t="shared" si="34"/>
        <v>28529422.194472793</v>
      </c>
      <c r="N138" s="26">
        <f t="shared" si="32"/>
        <v>28529422.194472793</v>
      </c>
      <c r="Q138" s="95"/>
      <c r="R138" s="95"/>
      <c r="S138" s="95"/>
      <c r="T138"/>
    </row>
    <row r="139" spans="1:20" x14ac:dyDescent="0.25">
      <c r="A139" s="183">
        <v>46538</v>
      </c>
      <c r="B139" s="185"/>
      <c r="C139" s="185"/>
      <c r="D139" s="185"/>
      <c r="E139" s="185"/>
      <c r="F139" s="185"/>
      <c r="G139" s="185"/>
      <c r="H139" s="189">
        <f t="shared" ref="H139:I139" si="40">H127</f>
        <v>142.47</v>
      </c>
      <c r="I139" s="189">
        <f t="shared" si="40"/>
        <v>21.69</v>
      </c>
      <c r="J139" s="188">
        <v>31</v>
      </c>
      <c r="K139" s="187">
        <v>1</v>
      </c>
      <c r="L139" s="190">
        <v>26078.75294845285</v>
      </c>
      <c r="M139" s="185">
        <f t="shared" si="34"/>
        <v>27919247.57615814</v>
      </c>
      <c r="N139" s="26">
        <f t="shared" si="32"/>
        <v>27919247.57615814</v>
      </c>
      <c r="Q139" s="95"/>
      <c r="R139" s="95"/>
      <c r="S139" s="95"/>
      <c r="T139"/>
    </row>
    <row r="140" spans="1:20" x14ac:dyDescent="0.25">
      <c r="A140" s="183">
        <v>46568</v>
      </c>
      <c r="B140" s="185"/>
      <c r="C140" s="185"/>
      <c r="D140" s="185"/>
      <c r="E140" s="185"/>
      <c r="F140" s="185"/>
      <c r="G140" s="185"/>
      <c r="H140" s="189">
        <f t="shared" ref="H140:I140" si="41">H128</f>
        <v>19.93</v>
      </c>
      <c r="I140" s="189">
        <f t="shared" si="41"/>
        <v>77.789999999999992</v>
      </c>
      <c r="J140" s="188">
        <v>30</v>
      </c>
      <c r="K140" s="187">
        <v>0</v>
      </c>
      <c r="L140" s="190">
        <v>26152.046783195368</v>
      </c>
      <c r="M140" s="185">
        <f t="shared" si="34"/>
        <v>29615144.583509974</v>
      </c>
      <c r="N140" s="26">
        <f t="shared" si="32"/>
        <v>29615144.583509974</v>
      </c>
      <c r="Q140" s="95"/>
      <c r="R140" s="95"/>
      <c r="S140" s="95"/>
      <c r="T140"/>
    </row>
    <row r="141" spans="1:20" x14ac:dyDescent="0.25">
      <c r="A141" s="183">
        <v>46599</v>
      </c>
      <c r="B141" s="185"/>
      <c r="C141" s="185"/>
      <c r="D141" s="185"/>
      <c r="E141" s="185"/>
      <c r="F141" s="185"/>
      <c r="G141" s="185"/>
      <c r="H141" s="189">
        <f t="shared" ref="H141:I141" si="42">H129</f>
        <v>0.48000000000000009</v>
      </c>
      <c r="I141" s="189">
        <f t="shared" si="42"/>
        <v>154.26</v>
      </c>
      <c r="J141" s="188">
        <v>31</v>
      </c>
      <c r="K141" s="187">
        <v>0</v>
      </c>
      <c r="L141" s="190">
        <v>26225.546608854012</v>
      </c>
      <c r="M141" s="185">
        <f t="shared" si="34"/>
        <v>33796661.55419679</v>
      </c>
      <c r="N141" s="26">
        <f t="shared" si="32"/>
        <v>33796661.55419679</v>
      </c>
      <c r="Q141" s="95"/>
      <c r="R141" s="95"/>
      <c r="S141" s="95"/>
      <c r="T141"/>
    </row>
    <row r="142" spans="1:20" x14ac:dyDescent="0.25">
      <c r="A142" s="183">
        <v>46630</v>
      </c>
      <c r="B142" s="185"/>
      <c r="C142" s="185"/>
      <c r="D142" s="185"/>
      <c r="E142" s="185"/>
      <c r="F142" s="185"/>
      <c r="G142" s="185"/>
      <c r="H142" s="189">
        <f t="shared" ref="H142:I142" si="43">H130</f>
        <v>4.46</v>
      </c>
      <c r="I142" s="189">
        <f t="shared" si="43"/>
        <v>127.12</v>
      </c>
      <c r="J142" s="188">
        <v>31</v>
      </c>
      <c r="K142" s="187">
        <v>0</v>
      </c>
      <c r="L142" s="190">
        <v>26299.253004362301</v>
      </c>
      <c r="M142" s="185">
        <f t="shared" si="34"/>
        <v>32589756.551176235</v>
      </c>
      <c r="N142" s="26">
        <f t="shared" si="32"/>
        <v>32589756.551176235</v>
      </c>
      <c r="Q142" s="95"/>
      <c r="R142" s="95"/>
      <c r="S142" s="95"/>
      <c r="T142"/>
    </row>
    <row r="143" spans="1:20" x14ac:dyDescent="0.25">
      <c r="A143" s="183">
        <v>46660</v>
      </c>
      <c r="B143" s="185"/>
      <c r="C143" s="185"/>
      <c r="D143" s="185"/>
      <c r="E143" s="185"/>
      <c r="F143" s="185"/>
      <c r="G143" s="185"/>
      <c r="H143" s="189">
        <f t="shared" ref="H143:I143" si="44">H131</f>
        <v>37.730000000000004</v>
      </c>
      <c r="I143" s="189">
        <f t="shared" si="44"/>
        <v>47.269999999999996</v>
      </c>
      <c r="J143" s="188">
        <v>30</v>
      </c>
      <c r="K143" s="187">
        <v>1</v>
      </c>
      <c r="L143" s="190">
        <v>26373.166550280828</v>
      </c>
      <c r="M143" s="185">
        <f t="shared" si="34"/>
        <v>27532197.418095216</v>
      </c>
      <c r="N143" s="26">
        <f t="shared" si="32"/>
        <v>27532197.418095216</v>
      </c>
      <c r="Q143" s="95"/>
      <c r="R143" s="95"/>
      <c r="S143" s="95"/>
      <c r="T143"/>
    </row>
    <row r="144" spans="1:20" x14ac:dyDescent="0.25">
      <c r="A144" s="183">
        <v>46691</v>
      </c>
      <c r="B144" s="185"/>
      <c r="C144" s="185"/>
      <c r="D144" s="185"/>
      <c r="E144" s="185"/>
      <c r="F144" s="185"/>
      <c r="G144" s="185"/>
      <c r="H144" s="189">
        <f t="shared" ref="H144:I144" si="45">H132</f>
        <v>211.34</v>
      </c>
      <c r="I144" s="189">
        <f t="shared" si="45"/>
        <v>6.6</v>
      </c>
      <c r="J144" s="188">
        <v>31</v>
      </c>
      <c r="K144" s="187">
        <v>1</v>
      </c>
      <c r="L144" s="190">
        <v>26447.287828801851</v>
      </c>
      <c r="M144" s="185">
        <f t="shared" si="34"/>
        <v>28389470.034898054</v>
      </c>
      <c r="N144" s="26">
        <f t="shared" si="32"/>
        <v>28389470.034898054</v>
      </c>
      <c r="Q144" s="95"/>
      <c r="R144" s="95"/>
      <c r="S144" s="95"/>
      <c r="T144"/>
    </row>
    <row r="145" spans="1:20" x14ac:dyDescent="0.25">
      <c r="A145" s="183">
        <v>46721</v>
      </c>
      <c r="B145" s="185"/>
      <c r="C145" s="185"/>
      <c r="D145" s="185"/>
      <c r="E145" s="185"/>
      <c r="F145" s="185"/>
      <c r="G145" s="185"/>
      <c r="H145" s="189">
        <f t="shared" ref="H145:I145" si="46">H133</f>
        <v>409.7299999999999</v>
      </c>
      <c r="I145" s="189">
        <f t="shared" si="46"/>
        <v>0.26</v>
      </c>
      <c r="J145" s="188">
        <v>30</v>
      </c>
      <c r="K145" s="187">
        <v>1</v>
      </c>
      <c r="L145" s="190">
        <v>26521.617423753862</v>
      </c>
      <c r="M145" s="185">
        <f t="shared" si="34"/>
        <v>30002555.933874827</v>
      </c>
      <c r="N145" s="26">
        <f t="shared" si="32"/>
        <v>30002555.933874827</v>
      </c>
      <c r="Q145" s="95"/>
      <c r="R145" s="95"/>
      <c r="S145" s="95"/>
      <c r="T145"/>
    </row>
    <row r="146" spans="1:20" x14ac:dyDescent="0.25">
      <c r="A146" s="183">
        <v>46752</v>
      </c>
      <c r="B146" s="185"/>
      <c r="C146" s="185"/>
      <c r="D146" s="185"/>
      <c r="E146" s="185"/>
      <c r="F146" s="185"/>
      <c r="G146" s="185"/>
      <c r="H146" s="189">
        <f t="shared" ref="H146:I146" si="47">H134</f>
        <v>577.68000000000006</v>
      </c>
      <c r="I146" s="189">
        <f t="shared" si="47"/>
        <v>0</v>
      </c>
      <c r="J146" s="188">
        <v>31</v>
      </c>
      <c r="K146" s="187">
        <v>0</v>
      </c>
      <c r="L146" s="190">
        <v>26596.15592060619</v>
      </c>
      <c r="M146" s="185">
        <f t="shared" si="34"/>
        <v>33788372.816011079</v>
      </c>
      <c r="N146" s="26">
        <f t="shared" si="32"/>
        <v>33788372.816011079</v>
      </c>
      <c r="Q146" s="95"/>
      <c r="R146" s="95"/>
      <c r="S146" s="95"/>
      <c r="T146"/>
    </row>
    <row r="147" spans="1:20" x14ac:dyDescent="0.25">
      <c r="A147" s="27"/>
      <c r="K147" s="191"/>
    </row>
    <row r="148" spans="1:20" x14ac:dyDescent="0.25">
      <c r="A148" s="27"/>
      <c r="K148" s="191"/>
      <c r="S148" s="246" t="s">
        <v>197</v>
      </c>
    </row>
    <row r="149" spans="1:20" ht="12.6" customHeight="1" x14ac:dyDescent="0.25">
      <c r="A149" s="27"/>
      <c r="H149" s="75" t="s">
        <v>198</v>
      </c>
      <c r="I149" s="73"/>
      <c r="J149" s="73"/>
      <c r="K149" s="191"/>
      <c r="S149" s="246"/>
    </row>
    <row r="150" spans="1:20" x14ac:dyDescent="0.25">
      <c r="A150" s="27"/>
      <c r="H150" s="76" t="s">
        <v>199</v>
      </c>
      <c r="I150" s="74"/>
      <c r="J150" s="74"/>
      <c r="K150" s="191"/>
      <c r="N150" s="26">
        <f>SUM(M3:M146)</f>
        <v>3663965000.1025095</v>
      </c>
      <c r="S150" s="246"/>
    </row>
    <row r="151" spans="1:20" x14ac:dyDescent="0.25">
      <c r="A151" s="27"/>
      <c r="K151" s="191"/>
      <c r="O151" s="42" t="s">
        <v>200</v>
      </c>
      <c r="P151" s="42" t="s">
        <v>201</v>
      </c>
      <c r="Q151" s="42" t="s">
        <v>202</v>
      </c>
      <c r="R151" s="42" t="s">
        <v>156</v>
      </c>
      <c r="S151" s="246"/>
    </row>
    <row r="152" spans="1:20" x14ac:dyDescent="0.25">
      <c r="A152" s="21">
        <v>2016</v>
      </c>
      <c r="B152" s="6">
        <f>SUM(B3:B14)</f>
        <v>259382036</v>
      </c>
      <c r="D152" s="6">
        <f t="shared" ref="D152:G152" si="48">SUM(D3:D14)</f>
        <v>259382036</v>
      </c>
      <c r="E152" s="6">
        <f t="shared" si="48"/>
        <v>0</v>
      </c>
      <c r="F152" s="6">
        <f t="shared" si="48"/>
        <v>0</v>
      </c>
      <c r="G152" s="6">
        <f t="shared" si="48"/>
        <v>259382036</v>
      </c>
      <c r="H152" s="6"/>
      <c r="I152" s="6"/>
      <c r="J152" s="6"/>
      <c r="K152" s="6"/>
      <c r="L152" s="6"/>
      <c r="M152" s="6"/>
      <c r="N152" s="6">
        <f>SUM(M3:M14)</f>
        <v>262328706.65662685</v>
      </c>
      <c r="O152" s="6">
        <f t="shared" ref="O152:O163" si="49">E152</f>
        <v>0</v>
      </c>
      <c r="P152" s="6">
        <f t="shared" ref="P152:P163" si="50">F152</f>
        <v>0</v>
      </c>
      <c r="Q152" s="6">
        <f>N152+O152+P152</f>
        <v>262328706.65662685</v>
      </c>
      <c r="R152" s="46" cm="1">
        <f t="array" ref="R152:R163">'Power Purchased Model (WN)'!Q152:Q163</f>
        <v>256263068.41917378</v>
      </c>
      <c r="S152" s="5">
        <f>R152/Q152</f>
        <v>0.97687771836045134</v>
      </c>
      <c r="T152" s="204">
        <f>ROUND(S152,5)</f>
        <v>0.97687999999999997</v>
      </c>
    </row>
    <row r="153" spans="1:20" x14ac:dyDescent="0.25">
      <c r="A153" s="21">
        <v>2017</v>
      </c>
      <c r="B153" s="6">
        <f>SUM(B15:B26)</f>
        <v>256769434.55879995</v>
      </c>
      <c r="D153" s="6">
        <f t="shared" ref="D153:G153" si="51">SUM(D15:D26)</f>
        <v>256769434.55879995</v>
      </c>
      <c r="E153" s="6">
        <f t="shared" si="51"/>
        <v>0</v>
      </c>
      <c r="F153" s="6">
        <f t="shared" si="51"/>
        <v>0</v>
      </c>
      <c r="G153" s="6">
        <f t="shared" si="51"/>
        <v>256769434.55879995</v>
      </c>
      <c r="H153" s="6"/>
      <c r="I153" s="6"/>
      <c r="J153" s="6"/>
      <c r="K153" s="6"/>
      <c r="L153" s="6"/>
      <c r="M153" s="6"/>
      <c r="N153" s="6">
        <f>SUM(M15:M26)</f>
        <v>256761569.05551386</v>
      </c>
      <c r="O153" s="6">
        <f t="shared" si="49"/>
        <v>0</v>
      </c>
      <c r="P153" s="6">
        <f t="shared" si="50"/>
        <v>0</v>
      </c>
      <c r="Q153" s="6">
        <f t="shared" ref="Q153:Q163" si="52">N153+O153+P153</f>
        <v>256761569.05551386</v>
      </c>
      <c r="R153" s="46">
        <v>260854813.3279475</v>
      </c>
      <c r="S153" s="5">
        <f t="shared" ref="S153:S163" si="53">R153/Q153</f>
        <v>1.0159418104800124</v>
      </c>
      <c r="T153" s="204">
        <f t="shared" ref="T153:T163" si="54">ROUND(S153,5)</f>
        <v>1.0159400000000001</v>
      </c>
    </row>
    <row r="154" spans="1:20" x14ac:dyDescent="0.25">
      <c r="A154" s="21">
        <v>2018</v>
      </c>
      <c r="B154" s="6">
        <f>SUM(B27:B38)</f>
        <v>278813235.74599999</v>
      </c>
      <c r="D154" s="6">
        <f t="shared" ref="D154:G154" si="55">SUM(D27:D38)</f>
        <v>278813235.74599999</v>
      </c>
      <c r="E154" s="6">
        <f t="shared" si="55"/>
        <v>0</v>
      </c>
      <c r="F154" s="6">
        <f t="shared" si="55"/>
        <v>0</v>
      </c>
      <c r="G154" s="6">
        <f t="shared" si="55"/>
        <v>278813235.74599999</v>
      </c>
      <c r="H154" s="6"/>
      <c r="I154" s="6"/>
      <c r="J154" s="6"/>
      <c r="K154" s="6"/>
      <c r="L154" s="6"/>
      <c r="M154" s="6"/>
      <c r="N154" s="6">
        <f>SUM(M27:M38)</f>
        <v>278488834.05253017</v>
      </c>
      <c r="O154" s="6">
        <f t="shared" si="49"/>
        <v>0</v>
      </c>
      <c r="P154" s="6">
        <f t="shared" si="50"/>
        <v>0</v>
      </c>
      <c r="Q154" s="6">
        <f t="shared" si="52"/>
        <v>278488834.05253017</v>
      </c>
      <c r="R154" s="46">
        <v>271320487.35440034</v>
      </c>
      <c r="S154" s="5">
        <f t="shared" si="53"/>
        <v>0.97425984161082124</v>
      </c>
      <c r="T154" s="204">
        <f t="shared" si="54"/>
        <v>0.97426000000000001</v>
      </c>
    </row>
    <row r="155" spans="1:20" x14ac:dyDescent="0.25">
      <c r="A155" s="21">
        <v>2019</v>
      </c>
      <c r="B155" s="6">
        <f>SUM(B39:B50)</f>
        <v>280581536.88999999</v>
      </c>
      <c r="D155" s="6">
        <f t="shared" ref="D155:G155" si="56">SUM(D39:D50)</f>
        <v>280581536.88999999</v>
      </c>
      <c r="E155" s="6">
        <f t="shared" si="56"/>
        <v>0</v>
      </c>
      <c r="F155" s="6">
        <f t="shared" si="56"/>
        <v>0</v>
      </c>
      <c r="G155" s="6">
        <f t="shared" si="56"/>
        <v>280581536.88999999</v>
      </c>
      <c r="H155" s="6"/>
      <c r="I155" s="6"/>
      <c r="J155" s="6"/>
      <c r="K155" s="6"/>
      <c r="L155" s="6"/>
      <c r="M155" s="6"/>
      <c r="N155" s="6">
        <f>SUM(M39:M50)</f>
        <v>281617875.12627798</v>
      </c>
      <c r="O155" s="6">
        <f t="shared" si="49"/>
        <v>0</v>
      </c>
      <c r="P155" s="6">
        <f t="shared" si="50"/>
        <v>0</v>
      </c>
      <c r="Q155" s="6">
        <f t="shared" si="52"/>
        <v>281617875.12627798</v>
      </c>
      <c r="R155" s="46">
        <v>280892099.24635291</v>
      </c>
      <c r="S155" s="5">
        <f t="shared" si="53"/>
        <v>0.99742283447171232</v>
      </c>
      <c r="T155" s="204">
        <f t="shared" si="54"/>
        <v>0.99741999999999997</v>
      </c>
    </row>
    <row r="156" spans="1:20" x14ac:dyDescent="0.25">
      <c r="A156" s="21">
        <v>2020</v>
      </c>
      <c r="B156" s="6">
        <f>SUM(B51:B62)</f>
        <v>291404251.64599001</v>
      </c>
      <c r="D156" s="6">
        <f t="shared" ref="D156:G156" si="57">SUM(D51:D62)</f>
        <v>291404251.64599001</v>
      </c>
      <c r="E156" s="6">
        <f t="shared" si="57"/>
        <v>0</v>
      </c>
      <c r="F156" s="6">
        <f t="shared" si="57"/>
        <v>0</v>
      </c>
      <c r="G156" s="6">
        <f t="shared" si="57"/>
        <v>291404251.64599001</v>
      </c>
      <c r="H156" s="6"/>
      <c r="I156" s="6"/>
      <c r="J156" s="6"/>
      <c r="K156" s="6"/>
      <c r="L156" s="6"/>
      <c r="M156" s="6"/>
      <c r="N156" s="6">
        <f>SUM(M51:M62)</f>
        <v>288446343.72079241</v>
      </c>
      <c r="O156" s="6">
        <f t="shared" si="49"/>
        <v>0</v>
      </c>
      <c r="P156" s="6">
        <f t="shared" si="50"/>
        <v>0</v>
      </c>
      <c r="Q156" s="6">
        <f t="shared" si="52"/>
        <v>288446343.72079241</v>
      </c>
      <c r="R156" s="46">
        <v>285125643.57354701</v>
      </c>
      <c r="S156" s="5">
        <f t="shared" si="53"/>
        <v>0.98848763307445575</v>
      </c>
      <c r="T156" s="204">
        <f t="shared" si="54"/>
        <v>0.98848999999999998</v>
      </c>
    </row>
    <row r="157" spans="1:20" x14ac:dyDescent="0.25">
      <c r="A157" s="21">
        <v>2021</v>
      </c>
      <c r="B157" s="6">
        <f>SUM(B63:B74)</f>
        <v>295240254.13</v>
      </c>
      <c r="D157" s="6">
        <f t="shared" ref="D157:G157" si="58">SUM(D63:D74)</f>
        <v>295240254.13</v>
      </c>
      <c r="E157" s="6">
        <f t="shared" si="58"/>
        <v>0</v>
      </c>
      <c r="F157" s="6">
        <f t="shared" si="58"/>
        <v>0</v>
      </c>
      <c r="G157" s="6">
        <f t="shared" si="58"/>
        <v>295240254.13</v>
      </c>
      <c r="H157" s="6"/>
      <c r="I157" s="6"/>
      <c r="J157" s="6"/>
      <c r="K157" s="6"/>
      <c r="L157" s="6"/>
      <c r="M157" s="6"/>
      <c r="N157" s="6">
        <f>SUM(M63:M74)</f>
        <v>290224914.6949873</v>
      </c>
      <c r="O157" s="6">
        <f t="shared" si="49"/>
        <v>0</v>
      </c>
      <c r="P157" s="6">
        <f t="shared" si="50"/>
        <v>0</v>
      </c>
      <c r="Q157" s="6">
        <f t="shared" si="52"/>
        <v>290224914.6949873</v>
      </c>
      <c r="R157" s="46">
        <v>292579721.73381782</v>
      </c>
      <c r="S157" s="5">
        <f t="shared" si="53"/>
        <v>1.0081137315220001</v>
      </c>
      <c r="T157" s="204">
        <f t="shared" si="54"/>
        <v>1.0081100000000001</v>
      </c>
    </row>
    <row r="158" spans="1:20" x14ac:dyDescent="0.25">
      <c r="A158" s="21">
        <v>2022</v>
      </c>
      <c r="B158" s="6">
        <f>SUM(B75:B86)</f>
        <v>299934504.296</v>
      </c>
      <c r="D158" s="6">
        <f t="shared" ref="D158:G158" si="59">SUM(D75:D86)</f>
        <v>299934504.296</v>
      </c>
      <c r="E158" s="6">
        <f t="shared" si="59"/>
        <v>0</v>
      </c>
      <c r="F158" s="6">
        <f t="shared" si="59"/>
        <v>0</v>
      </c>
      <c r="G158" s="6">
        <f t="shared" si="59"/>
        <v>299934504.296</v>
      </c>
      <c r="H158" s="6"/>
      <c r="I158" s="6"/>
      <c r="J158" s="6"/>
      <c r="K158" s="6"/>
      <c r="L158" s="6"/>
      <c r="M158" s="6"/>
      <c r="N158" s="6">
        <f>SUM(M75:M86)</f>
        <v>299300057.07384056</v>
      </c>
      <c r="O158" s="6">
        <f t="shared" si="49"/>
        <v>0</v>
      </c>
      <c r="P158" s="6">
        <f t="shared" si="50"/>
        <v>0</v>
      </c>
      <c r="Q158" s="6">
        <f t="shared" si="52"/>
        <v>299300057.07384056</v>
      </c>
      <c r="R158" s="46">
        <v>298947769.83679885</v>
      </c>
      <c r="S158" s="5">
        <f t="shared" si="53"/>
        <v>0.99882296301415407</v>
      </c>
      <c r="T158" s="204">
        <f t="shared" si="54"/>
        <v>0.99882000000000004</v>
      </c>
    </row>
    <row r="159" spans="1:20" x14ac:dyDescent="0.25">
      <c r="A159" s="21">
        <v>2023</v>
      </c>
      <c r="B159" s="6">
        <f>SUM(B87:B98)</f>
        <v>303103174.95799994</v>
      </c>
      <c r="D159" s="6">
        <f t="shared" ref="D159:G159" si="60">SUM(D87:D98)</f>
        <v>303103174.95799994</v>
      </c>
      <c r="E159" s="6">
        <f t="shared" si="60"/>
        <v>0</v>
      </c>
      <c r="F159" s="6">
        <f t="shared" si="60"/>
        <v>0</v>
      </c>
      <c r="G159" s="6">
        <f t="shared" si="60"/>
        <v>303103174.95799994</v>
      </c>
      <c r="H159" s="6">
        <f>SUM(H87:H98)</f>
        <v>3222.6</v>
      </c>
      <c r="I159" s="6">
        <f>SUM(I87:I98)</f>
        <v>349.1</v>
      </c>
      <c r="J159" s="6"/>
      <c r="K159" s="6"/>
      <c r="L159" s="6"/>
      <c r="M159" s="6"/>
      <c r="N159" s="6">
        <f>SUM(M87:M98)</f>
        <v>307229578.2575382</v>
      </c>
      <c r="O159" s="6">
        <f t="shared" si="49"/>
        <v>0</v>
      </c>
      <c r="P159" s="6">
        <f t="shared" si="50"/>
        <v>0</v>
      </c>
      <c r="Q159" s="6">
        <f t="shared" si="52"/>
        <v>307229578.2575382</v>
      </c>
      <c r="R159" s="46">
        <v>314767331.93306822</v>
      </c>
      <c r="S159" s="5">
        <f t="shared" si="53"/>
        <v>1.0245345963050843</v>
      </c>
      <c r="T159" s="204">
        <f t="shared" si="54"/>
        <v>1.0245299999999999</v>
      </c>
    </row>
    <row r="160" spans="1:20" x14ac:dyDescent="0.25">
      <c r="A160" s="21">
        <v>2024</v>
      </c>
      <c r="B160" s="6">
        <f>SUM(B99:B110)</f>
        <v>324696009.72000003</v>
      </c>
      <c r="D160" s="6">
        <f t="shared" ref="D160:G160" si="61">SUM(D99:D110)</f>
        <v>324696009.72000003</v>
      </c>
      <c r="E160" s="6">
        <f t="shared" si="61"/>
        <v>0</v>
      </c>
      <c r="F160" s="6">
        <f t="shared" si="61"/>
        <v>0</v>
      </c>
      <c r="G160" s="6">
        <f t="shared" si="61"/>
        <v>324696009.72000003</v>
      </c>
      <c r="H160" s="6">
        <f>SUM(H99:H110)</f>
        <v>3111.6000000000004</v>
      </c>
      <c r="I160" s="6">
        <f>SUM(I99:I110)</f>
        <v>389.6</v>
      </c>
      <c r="J160" s="6"/>
      <c r="K160" s="6"/>
      <c r="L160" s="6"/>
      <c r="M160" s="6"/>
      <c r="N160" s="6">
        <f>SUM(M99:M110)</f>
        <v>327259418.04849619</v>
      </c>
      <c r="O160" s="6">
        <f t="shared" si="49"/>
        <v>0</v>
      </c>
      <c r="P160" s="6">
        <f t="shared" si="50"/>
        <v>0</v>
      </c>
      <c r="Q160" s="6">
        <f t="shared" si="52"/>
        <v>327259418.04849619</v>
      </c>
      <c r="R160" s="46">
        <v>334198026.23091483</v>
      </c>
      <c r="S160" s="5">
        <f t="shared" si="53"/>
        <v>1.0212021650096268</v>
      </c>
      <c r="T160" s="204">
        <f t="shared" si="54"/>
        <v>1.0212000000000001</v>
      </c>
    </row>
    <row r="161" spans="1:20" x14ac:dyDescent="0.25">
      <c r="A161" s="21">
        <v>2025</v>
      </c>
      <c r="B161" s="6">
        <f>SUM(B111:B122)</f>
        <v>349049038.17999995</v>
      </c>
      <c r="D161" s="6">
        <f t="shared" ref="D161:I161" si="62">SUM(D111:D122)</f>
        <v>349049038.17999995</v>
      </c>
      <c r="E161" s="6">
        <f t="shared" si="62"/>
        <v>0</v>
      </c>
      <c r="F161" s="6">
        <f t="shared" si="62"/>
        <v>0</v>
      </c>
      <c r="G161" s="6">
        <f t="shared" si="62"/>
        <v>349049038.17999995</v>
      </c>
      <c r="H161" s="6">
        <f>SUM(H111:H122)</f>
        <v>3682.2</v>
      </c>
      <c r="I161" s="6">
        <f t="shared" si="62"/>
        <v>453.7</v>
      </c>
      <c r="J161" s="6"/>
      <c r="K161" s="6"/>
      <c r="L161" s="6"/>
      <c r="M161" s="6"/>
      <c r="N161" s="6">
        <f>SUM(M111:M122)</f>
        <v>347316179.43818456</v>
      </c>
      <c r="O161" s="6">
        <f t="shared" si="49"/>
        <v>0</v>
      </c>
      <c r="P161" s="6">
        <f t="shared" si="50"/>
        <v>0</v>
      </c>
      <c r="Q161" s="6">
        <f t="shared" si="52"/>
        <v>347316179.43818456</v>
      </c>
      <c r="R161" s="46">
        <v>344024514.46876693</v>
      </c>
      <c r="S161" s="5">
        <f t="shared" si="53"/>
        <v>0.99052256945028538</v>
      </c>
      <c r="T161" s="204">
        <f t="shared" si="54"/>
        <v>0.99051999999999996</v>
      </c>
    </row>
    <row r="162" spans="1:20" x14ac:dyDescent="0.25">
      <c r="A162" s="21">
        <v>2026</v>
      </c>
      <c r="H162" s="12">
        <f>SUM(H123:H134)</f>
        <v>3488.29</v>
      </c>
      <c r="I162" s="12">
        <f>SUM(I123:I134)</f>
        <v>435.7</v>
      </c>
      <c r="J162" s="6"/>
      <c r="K162" s="6"/>
      <c r="L162" s="6"/>
      <c r="M162" s="6"/>
      <c r="N162" s="12">
        <f>SUM(M123:M134)</f>
        <v>356159168.01785558</v>
      </c>
      <c r="O162" s="6">
        <f t="shared" si="49"/>
        <v>0</v>
      </c>
      <c r="P162" s="6">
        <f t="shared" si="50"/>
        <v>0</v>
      </c>
      <c r="Q162" s="6">
        <f t="shared" si="52"/>
        <v>356159168.01785558</v>
      </c>
      <c r="R162" s="46">
        <v>356159168.01785558</v>
      </c>
      <c r="S162" s="5">
        <f t="shared" si="53"/>
        <v>1</v>
      </c>
      <c r="T162" s="204">
        <f t="shared" si="54"/>
        <v>1</v>
      </c>
    </row>
    <row r="163" spans="1:20" x14ac:dyDescent="0.25">
      <c r="A163" s="21">
        <v>2027</v>
      </c>
      <c r="H163" s="12">
        <f>SUM(H135:H146)</f>
        <v>3488.29</v>
      </c>
      <c r="I163" s="12">
        <f>SUM(I135:I146)</f>
        <v>435.7</v>
      </c>
      <c r="J163" s="6"/>
      <c r="K163" s="6"/>
      <c r="L163" s="6"/>
      <c r="M163" s="6"/>
      <c r="N163" s="12">
        <f>SUM(M135:M146)</f>
        <v>368832355.95986581</v>
      </c>
      <c r="O163" s="6">
        <f t="shared" si="49"/>
        <v>0</v>
      </c>
      <c r="P163" s="6">
        <f t="shared" si="50"/>
        <v>0</v>
      </c>
      <c r="Q163" s="6">
        <f t="shared" si="52"/>
        <v>368832355.95986581</v>
      </c>
      <c r="R163" s="46">
        <v>368832355.95986581</v>
      </c>
      <c r="S163" s="5">
        <f t="shared" si="53"/>
        <v>1</v>
      </c>
      <c r="T163" s="204">
        <f t="shared" si="54"/>
        <v>1</v>
      </c>
    </row>
    <row r="164" spans="1:20" x14ac:dyDescent="0.25">
      <c r="N164" s="6"/>
    </row>
    <row r="165" spans="1:20" x14ac:dyDescent="0.25">
      <c r="A165" s="35" t="s">
        <v>74</v>
      </c>
      <c r="B165" s="6">
        <f>SUM(B152:B161)</f>
        <v>2938973476.1247897</v>
      </c>
      <c r="D165" s="6">
        <f t="shared" ref="D165:G165" si="63">SUM(D152:D161)</f>
        <v>2938973476.1247897</v>
      </c>
      <c r="E165" s="6">
        <f t="shared" si="63"/>
        <v>0</v>
      </c>
      <c r="F165" s="6">
        <f t="shared" si="63"/>
        <v>0</v>
      </c>
      <c r="G165" s="6">
        <f t="shared" si="63"/>
        <v>2938973476.1247897</v>
      </c>
      <c r="L165" s="1" t="s">
        <v>203</v>
      </c>
      <c r="N165" s="6">
        <f>SUM(N152:N161)</f>
        <v>2938973476.1247883</v>
      </c>
      <c r="Q165" s="6">
        <f>SUM(Q152:Q161)</f>
        <v>2938973476.1247883</v>
      </c>
      <c r="R165" s="6"/>
    </row>
    <row r="166" spans="1:20" x14ac:dyDescent="0.25">
      <c r="N166" s="26">
        <f>N165-G165</f>
        <v>0</v>
      </c>
      <c r="Q166" s="46">
        <f>Q165-G165</f>
        <v>0</v>
      </c>
    </row>
    <row r="168" spans="1:20" x14ac:dyDescent="0.25">
      <c r="O168"/>
      <c r="P168"/>
      <c r="Q168"/>
      <c r="R168"/>
      <c r="S168"/>
      <c r="T168"/>
    </row>
    <row r="169" spans="1:20" x14ac:dyDescent="0.25">
      <c r="N169" s="6">
        <f>SUM(N152:N163)</f>
        <v>3663965000.1025095</v>
      </c>
    </row>
    <row r="170" spans="1:20" x14ac:dyDescent="0.25">
      <c r="N170" s="26">
        <f>N150-N169</f>
        <v>0</v>
      </c>
    </row>
    <row r="171" spans="1:20" x14ac:dyDescent="0.25">
      <c r="A171"/>
      <c r="B171"/>
      <c r="C171"/>
      <c r="D171"/>
      <c r="E171"/>
      <c r="F171"/>
      <c r="G171"/>
      <c r="H171"/>
      <c r="I171"/>
      <c r="J171"/>
      <c r="L171"/>
      <c r="M171"/>
      <c r="N171"/>
      <c r="O171"/>
    </row>
    <row r="172" spans="1:20" x14ac:dyDescent="0.25">
      <c r="A172"/>
      <c r="B172"/>
      <c r="C172"/>
      <c r="D172"/>
      <c r="E172"/>
      <c r="F172"/>
      <c r="G172"/>
      <c r="H172"/>
      <c r="I172"/>
      <c r="J172"/>
      <c r="L172"/>
      <c r="M172"/>
      <c r="N172"/>
      <c r="O172"/>
    </row>
    <row r="173" spans="1:20" x14ac:dyDescent="0.25">
      <c r="A173"/>
      <c r="B173"/>
      <c r="C173"/>
      <c r="D173"/>
      <c r="E173"/>
      <c r="F173"/>
      <c r="G173"/>
      <c r="H173"/>
      <c r="I173"/>
      <c r="J173"/>
      <c r="L173"/>
      <c r="M173"/>
      <c r="N173"/>
      <c r="O173"/>
    </row>
    <row r="174" spans="1:20" x14ac:dyDescent="0.25">
      <c r="A174"/>
      <c r="B174"/>
      <c r="C174"/>
      <c r="D174"/>
      <c r="E174"/>
      <c r="F174"/>
      <c r="G174"/>
      <c r="H174"/>
      <c r="I174"/>
      <c r="J174"/>
      <c r="L174"/>
      <c r="M174"/>
      <c r="N174"/>
      <c r="O174"/>
    </row>
    <row r="175" spans="1:20" x14ac:dyDescent="0.25">
      <c r="A175"/>
      <c r="B175"/>
      <c r="C175"/>
      <c r="H175" s="6"/>
      <c r="I175" s="6"/>
      <c r="J175" s="6"/>
      <c r="L175"/>
      <c r="M175"/>
      <c r="N175"/>
      <c r="O175"/>
    </row>
    <row r="176" spans="1:20" x14ac:dyDescent="0.25">
      <c r="A176"/>
      <c r="B176"/>
      <c r="C176"/>
      <c r="H176" s="6"/>
      <c r="I176" s="6"/>
      <c r="J176" s="6"/>
      <c r="L176"/>
      <c r="M176"/>
      <c r="N176"/>
      <c r="O176"/>
    </row>
    <row r="177" spans="1:20" x14ac:dyDescent="0.25">
      <c r="A177"/>
      <c r="B177"/>
      <c r="C177"/>
      <c r="H177" s="6"/>
      <c r="I177" s="6"/>
      <c r="J177" s="6"/>
      <c r="L177"/>
      <c r="M177"/>
      <c r="N177"/>
      <c r="O177"/>
    </row>
    <row r="178" spans="1:20" x14ac:dyDescent="0.25">
      <c r="A178"/>
      <c r="B178"/>
      <c r="C178"/>
      <c r="H178" s="6"/>
      <c r="I178" s="6"/>
      <c r="J178" s="6"/>
      <c r="L178"/>
      <c r="M178"/>
      <c r="N178"/>
      <c r="O178"/>
    </row>
    <row r="179" spans="1:20" x14ac:dyDescent="0.25">
      <c r="A179"/>
      <c r="B179"/>
      <c r="C179"/>
      <c r="H179" s="6"/>
      <c r="I179" s="6"/>
      <c r="J179" s="6"/>
      <c r="L179"/>
      <c r="M179"/>
      <c r="N179"/>
      <c r="O179"/>
      <c r="P179"/>
      <c r="Q179"/>
      <c r="R179"/>
      <c r="S179"/>
      <c r="T179"/>
    </row>
    <row r="180" spans="1:20" x14ac:dyDescent="0.25">
      <c r="A180"/>
      <c r="B180"/>
      <c r="C180"/>
      <c r="H180" s="6"/>
      <c r="I180" s="6"/>
      <c r="J180" s="6"/>
      <c r="L180"/>
      <c r="M180"/>
      <c r="N180"/>
      <c r="O180"/>
      <c r="P180"/>
      <c r="Q180"/>
      <c r="R180"/>
      <c r="S180"/>
      <c r="T180"/>
    </row>
    <row r="181" spans="1:20" x14ac:dyDescent="0.25">
      <c r="A181"/>
      <c r="B181"/>
      <c r="C181"/>
      <c r="H181" s="6"/>
      <c r="I181" s="6"/>
      <c r="J181" s="6"/>
      <c r="L181"/>
      <c r="M181"/>
      <c r="N181"/>
      <c r="O181"/>
      <c r="P181"/>
      <c r="Q181"/>
      <c r="R181"/>
      <c r="S181"/>
      <c r="T181"/>
    </row>
    <row r="182" spans="1:20" x14ac:dyDescent="0.25">
      <c r="A182"/>
      <c r="B182"/>
      <c r="C182"/>
      <c r="H182" s="6"/>
      <c r="I182" s="6"/>
      <c r="J182" s="6"/>
      <c r="L182"/>
      <c r="M182"/>
      <c r="N182"/>
      <c r="O182"/>
      <c r="P182"/>
      <c r="Q182"/>
      <c r="R182"/>
      <c r="S182"/>
      <c r="T182"/>
    </row>
    <row r="183" spans="1:20" x14ac:dyDescent="0.25">
      <c r="A183"/>
      <c r="B183"/>
      <c r="C183"/>
      <c r="H183" s="6"/>
      <c r="I183" s="6"/>
      <c r="J183" s="6"/>
      <c r="L183"/>
      <c r="M183"/>
      <c r="N183"/>
      <c r="O183"/>
      <c r="P183"/>
      <c r="Q183"/>
      <c r="R183"/>
      <c r="S183"/>
      <c r="T183"/>
    </row>
    <row r="184" spans="1:20" x14ac:dyDescent="0.25">
      <c r="A184"/>
      <c r="H184" s="6"/>
      <c r="I184" s="6"/>
      <c r="J184" s="6"/>
      <c r="P184"/>
      <c r="Q184"/>
      <c r="R184"/>
      <c r="S184"/>
      <c r="T184"/>
    </row>
    <row r="185" spans="1:20" x14ac:dyDescent="0.25">
      <c r="A185"/>
      <c r="H185" s="6"/>
      <c r="I185" s="6"/>
      <c r="J185" s="6"/>
      <c r="P185"/>
      <c r="Q185"/>
      <c r="R185"/>
      <c r="S185"/>
      <c r="T185"/>
    </row>
    <row r="186" spans="1:20" x14ac:dyDescent="0.25">
      <c r="A186"/>
      <c r="H186" s="6"/>
      <c r="I186" s="6"/>
      <c r="J186" s="6"/>
      <c r="P186"/>
      <c r="Q186"/>
      <c r="R186"/>
      <c r="S186"/>
      <c r="T186"/>
    </row>
    <row r="187" spans="1:20" x14ac:dyDescent="0.25">
      <c r="A187"/>
      <c r="H187" s="6"/>
      <c r="I187" s="6"/>
      <c r="J187" s="6"/>
      <c r="K187" s="6"/>
      <c r="P187"/>
      <c r="Q187"/>
      <c r="R187"/>
      <c r="S187"/>
      <c r="T187"/>
    </row>
    <row r="188" spans="1:20" x14ac:dyDescent="0.25">
      <c r="A188"/>
      <c r="P188"/>
      <c r="Q188"/>
      <c r="R188"/>
      <c r="S188"/>
      <c r="T188"/>
    </row>
    <row r="189" spans="1:20" x14ac:dyDescent="0.25">
      <c r="A189"/>
      <c r="P189"/>
      <c r="Q189"/>
      <c r="R189"/>
      <c r="S189"/>
      <c r="T189"/>
    </row>
    <row r="190" spans="1:20" x14ac:dyDescent="0.25">
      <c r="A190"/>
      <c r="P190"/>
      <c r="Q190"/>
      <c r="R190"/>
      <c r="S190"/>
      <c r="T190"/>
    </row>
    <row r="191" spans="1:20" x14ac:dyDescent="0.25">
      <c r="A191"/>
      <c r="P191"/>
      <c r="Q191"/>
      <c r="R191"/>
      <c r="S191"/>
      <c r="T191"/>
    </row>
    <row r="192" spans="1:20" x14ac:dyDescent="0.25">
      <c r="A192"/>
      <c r="P192"/>
      <c r="Q192"/>
      <c r="R192"/>
      <c r="S192"/>
      <c r="T192"/>
    </row>
    <row r="193" spans="1:20" x14ac:dyDescent="0.25">
      <c r="A193"/>
      <c r="P193"/>
      <c r="Q193"/>
      <c r="R193"/>
      <c r="S193"/>
      <c r="T193"/>
    </row>
    <row r="194" spans="1:20" x14ac:dyDescent="0.25">
      <c r="A194"/>
      <c r="P194"/>
      <c r="Q194"/>
      <c r="R194"/>
      <c r="S194"/>
      <c r="T194"/>
    </row>
    <row r="195" spans="1:20" customFormat="1" x14ac:dyDescent="0.25">
      <c r="K195" s="44"/>
    </row>
    <row r="196" spans="1:20" customFormat="1" x14ac:dyDescent="0.25">
      <c r="K196" s="44"/>
    </row>
  </sheetData>
  <mergeCells count="1">
    <mergeCell ref="S148:S151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E88E-C1BC-4D84-B26D-3F6823A2F109}">
  <sheetPr>
    <tabColor rgb="FF00B0F0"/>
    <pageSetUpPr fitToPage="1"/>
  </sheetPr>
  <dimension ref="A1:AI196"/>
  <sheetViews>
    <sheetView zoomScale="70" zoomScaleNormal="70" workbookViewId="0">
      <pane xSplit="1" ySplit="2" topLeftCell="B113" activePane="bottomRight" state="frozen"/>
      <selection pane="topRight" activeCell="C1" sqref="C1"/>
      <selection pane="bottomLeft" activeCell="A3" sqref="A3"/>
      <selection pane="bottomRight" activeCell="L150" sqref="L150"/>
    </sheetView>
  </sheetViews>
  <sheetFormatPr defaultRowHeight="13.2" x14ac:dyDescent="0.25"/>
  <cols>
    <col min="1" max="1" width="11.6640625" style="21" customWidth="1"/>
    <col min="2" max="7" width="16.6640625" style="6" customWidth="1"/>
    <col min="8" max="8" width="11.5546875" style="1" customWidth="1"/>
    <col min="9" max="10" width="13.44140625" style="1" customWidth="1"/>
    <col min="11" max="11" width="10.33203125" style="44" customWidth="1"/>
    <col min="12" max="13" width="13" style="1" customWidth="1"/>
    <col min="14" max="14" width="14.6640625" style="1" bestFit="1" customWidth="1"/>
    <col min="15" max="15" width="11.6640625" style="1" bestFit="1" customWidth="1"/>
    <col min="16" max="16" width="16.44140625" style="1" bestFit="1" customWidth="1"/>
    <col min="17" max="17" width="21.5546875" style="1" bestFit="1" customWidth="1"/>
    <col min="18" max="18" width="15.5546875" style="1" bestFit="1" customWidth="1"/>
    <col min="19" max="19" width="21" style="1" customWidth="1"/>
    <col min="20" max="20" width="18.44140625" style="1" bestFit="1" customWidth="1"/>
    <col min="21" max="21" width="25.33203125" customWidth="1"/>
    <col min="22" max="22" width="21" customWidth="1"/>
    <col min="23" max="23" width="18.44140625" customWidth="1"/>
    <col min="24" max="28" width="12.5546875" customWidth="1"/>
    <col min="29" max="29" width="12.6640625" bestFit="1" customWidth="1"/>
    <col min="30" max="30" width="12.5546875" customWidth="1"/>
    <col min="31" max="31" width="42.44140625" bestFit="1" customWidth="1"/>
    <col min="32" max="32" width="15.5546875" bestFit="1" customWidth="1"/>
    <col min="33" max="33" width="26.109375" bestFit="1" customWidth="1"/>
    <col min="34" max="34" width="23" bestFit="1" customWidth="1"/>
    <col min="37" max="37" width="40.5546875" bestFit="1" customWidth="1"/>
    <col min="38" max="38" width="42.6640625" bestFit="1" customWidth="1"/>
  </cols>
  <sheetData>
    <row r="1" spans="1:35" x14ac:dyDescent="0.25">
      <c r="D1" s="112"/>
      <c r="E1" s="106"/>
      <c r="H1" s="73" t="s">
        <v>161</v>
      </c>
      <c r="I1" s="117"/>
      <c r="AF1" s="77"/>
      <c r="AG1" s="77"/>
      <c r="AH1" s="77"/>
      <c r="AI1" s="77"/>
    </row>
    <row r="2" spans="1:35" ht="39.6" x14ac:dyDescent="0.25">
      <c r="A2" s="177"/>
      <c r="B2" s="178" t="s">
        <v>130</v>
      </c>
      <c r="C2" s="178" t="s">
        <v>131</v>
      </c>
      <c r="D2" s="178" t="s">
        <v>162</v>
      </c>
      <c r="E2" s="178" t="s">
        <v>163</v>
      </c>
      <c r="F2" s="178" t="s">
        <v>164</v>
      </c>
      <c r="G2" s="178" t="s">
        <v>165</v>
      </c>
      <c r="H2" s="179" t="s">
        <v>35</v>
      </c>
      <c r="I2" s="179" t="s">
        <v>36</v>
      </c>
      <c r="J2" s="179" t="s">
        <v>37</v>
      </c>
      <c r="K2" s="180" t="s">
        <v>38</v>
      </c>
      <c r="L2" s="179" t="s">
        <v>39</v>
      </c>
      <c r="M2" s="179" t="s">
        <v>166</v>
      </c>
      <c r="N2" s="181" t="s">
        <v>167</v>
      </c>
      <c r="O2" s="179" t="s">
        <v>168</v>
      </c>
      <c r="P2" s="182" t="s">
        <v>169</v>
      </c>
      <c r="Q2" s="93" t="s">
        <v>170</v>
      </c>
      <c r="R2" s="93" t="s">
        <v>171</v>
      </c>
      <c r="S2" s="93" t="s">
        <v>172</v>
      </c>
      <c r="T2"/>
      <c r="U2" s="36" t="s">
        <v>173</v>
      </c>
      <c r="AE2" s="77"/>
      <c r="AF2" s="77"/>
      <c r="AG2" s="77"/>
      <c r="AH2" s="77"/>
    </row>
    <row r="3" spans="1:35" x14ac:dyDescent="0.25">
      <c r="A3" s="183">
        <v>42400</v>
      </c>
      <c r="B3" s="184" cm="1">
        <f t="array" ref="B3:B122">Inputs!D24:D143</f>
        <v>25159552</v>
      </c>
      <c r="C3" s="178"/>
      <c r="D3" s="185">
        <f>B3+C3</f>
        <v>25159552</v>
      </c>
      <c r="E3" s="178"/>
      <c r="F3" s="178"/>
      <c r="G3" s="185">
        <f>D3-E3-F3</f>
        <v>25159552</v>
      </c>
      <c r="H3" s="186">
        <v>667.41000000000008</v>
      </c>
      <c r="I3" s="186">
        <v>0</v>
      </c>
      <c r="J3" s="185">
        <v>31</v>
      </c>
      <c r="K3" s="187">
        <v>0</v>
      </c>
      <c r="L3" s="185" cm="1">
        <f t="array" ref="L3:L122">Inputs!C24:C143</f>
        <v>16198</v>
      </c>
      <c r="M3" s="185">
        <f>$V$30+$V$31*H3+$V$32*I3+$V$33*J3+$V$34*K3+$V$35*L3</f>
        <v>24993319.393384919</v>
      </c>
      <c r="N3" s="26">
        <f t="shared" ref="N3:N66" si="0">M3-G3</f>
        <v>-166232.60661508143</v>
      </c>
      <c r="O3" s="34">
        <f t="shared" ref="O3:O66" si="1">N3/G3</f>
        <v>-6.60713698777631E-3</v>
      </c>
      <c r="P3" s="94">
        <f>ABS(O3)</f>
        <v>6.60713698777631E-3</v>
      </c>
      <c r="Q3" s="95">
        <f>N3*N3</f>
        <v>27633279502.044415</v>
      </c>
      <c r="R3" s="95"/>
      <c r="S3" s="95"/>
      <c r="T3"/>
      <c r="U3" s="36"/>
      <c r="AE3" s="77"/>
      <c r="AF3" s="77"/>
      <c r="AG3" s="77"/>
      <c r="AH3" s="77"/>
    </row>
    <row r="4" spans="1:35" x14ac:dyDescent="0.25">
      <c r="A4" s="183">
        <v>42429</v>
      </c>
      <c r="B4" s="184">
        <v>23014941</v>
      </c>
      <c r="C4" s="178"/>
      <c r="D4" s="185">
        <f t="shared" ref="D4:D67" si="2">B4+C4</f>
        <v>23014941</v>
      </c>
      <c r="E4" s="178"/>
      <c r="F4" s="178"/>
      <c r="G4" s="185">
        <f t="shared" ref="G4:G62" si="3">D4-E4-F4</f>
        <v>23014941</v>
      </c>
      <c r="H4" s="186">
        <v>577.75</v>
      </c>
      <c r="I4" s="186">
        <v>0</v>
      </c>
      <c r="J4" s="185">
        <v>29</v>
      </c>
      <c r="K4" s="187">
        <v>0</v>
      </c>
      <c r="L4" s="185">
        <v>16213</v>
      </c>
      <c r="M4" s="185">
        <f t="shared" ref="M4:M67" si="4">$V$30+$V$31*H4+$V$32*I4+$V$33*J4+$V$34*K4+$V$35*L4</f>
        <v>22661742.409715783</v>
      </c>
      <c r="N4" s="26">
        <f t="shared" si="0"/>
        <v>-353198.59028421715</v>
      </c>
      <c r="O4" s="34">
        <f t="shared" si="1"/>
        <v>-1.5346491232987178E-2</v>
      </c>
      <c r="P4" s="94">
        <f t="shared" ref="P4:P67" si="5">ABS(O4)</f>
        <v>1.5346491232987178E-2</v>
      </c>
      <c r="Q4" s="95">
        <f t="shared" ref="Q4:Q67" si="6">N4*N4</f>
        <v>124749244178.75829</v>
      </c>
      <c r="R4" s="95">
        <f>N4-N3</f>
        <v>-186965.98366913572</v>
      </c>
      <c r="S4" s="95">
        <f>R4*R4</f>
        <v>34956279049.367523</v>
      </c>
      <c r="T4"/>
      <c r="U4" s="36"/>
      <c r="AE4" s="77"/>
      <c r="AF4" s="77"/>
      <c r="AG4" s="77"/>
      <c r="AH4" s="77"/>
    </row>
    <row r="5" spans="1:35" x14ac:dyDescent="0.25">
      <c r="A5" s="183">
        <v>42460</v>
      </c>
      <c r="B5" s="184">
        <v>21970551</v>
      </c>
      <c r="C5" s="178"/>
      <c r="D5" s="185">
        <f t="shared" si="2"/>
        <v>21970551</v>
      </c>
      <c r="E5" s="178"/>
      <c r="F5" s="178"/>
      <c r="G5" s="185">
        <f t="shared" si="3"/>
        <v>21970551</v>
      </c>
      <c r="H5" s="186">
        <v>510.25</v>
      </c>
      <c r="I5" s="186">
        <v>0</v>
      </c>
      <c r="J5" s="185">
        <v>31</v>
      </c>
      <c r="K5" s="187">
        <v>1</v>
      </c>
      <c r="L5" s="185">
        <v>16244</v>
      </c>
      <c r="M5" s="185">
        <f t="shared" si="4"/>
        <v>22059244.584787548</v>
      </c>
      <c r="N5" s="26">
        <f t="shared" si="0"/>
        <v>88693.584787547588</v>
      </c>
      <c r="O5" s="34">
        <f t="shared" si="1"/>
        <v>4.0369303795588733E-3</v>
      </c>
      <c r="P5" s="94">
        <f t="shared" si="5"/>
        <v>4.0369303795588733E-3</v>
      </c>
      <c r="Q5" s="95">
        <f t="shared" si="6"/>
        <v>7866551982.4658928</v>
      </c>
      <c r="R5" s="95">
        <f t="shared" ref="R5:R68" si="7">N5-N4</f>
        <v>441892.17507176474</v>
      </c>
      <c r="S5" s="95">
        <f t="shared" ref="S5:S68" si="8">R5*R5</f>
        <v>195268694389.65518</v>
      </c>
      <c r="T5"/>
      <c r="U5" s="36"/>
      <c r="AE5" s="77"/>
      <c r="AF5" s="77"/>
      <c r="AG5" s="77"/>
      <c r="AH5" s="77"/>
    </row>
    <row r="6" spans="1:35" x14ac:dyDescent="0.25">
      <c r="A6" s="183">
        <v>42490</v>
      </c>
      <c r="B6" s="184">
        <v>19763963</v>
      </c>
      <c r="C6" s="178"/>
      <c r="D6" s="185">
        <f t="shared" si="2"/>
        <v>19763963</v>
      </c>
      <c r="E6" s="178"/>
      <c r="F6" s="178"/>
      <c r="G6" s="185">
        <f t="shared" si="3"/>
        <v>19763963</v>
      </c>
      <c r="H6" s="186">
        <v>329.05999999999995</v>
      </c>
      <c r="I6" s="186">
        <v>0.71</v>
      </c>
      <c r="J6" s="185">
        <v>30</v>
      </c>
      <c r="K6" s="187">
        <v>1</v>
      </c>
      <c r="L6" s="185">
        <v>16250</v>
      </c>
      <c r="M6" s="185">
        <f t="shared" si="4"/>
        <v>19230733.22777763</v>
      </c>
      <c r="N6" s="26">
        <f t="shared" si="0"/>
        <v>-533229.77222236991</v>
      </c>
      <c r="O6" s="34">
        <f t="shared" si="1"/>
        <v>-2.6979901359983821E-2</v>
      </c>
      <c r="P6" s="94">
        <f t="shared" si="5"/>
        <v>2.6979901359983821E-2</v>
      </c>
      <c r="Q6" s="95">
        <f t="shared" si="6"/>
        <v>284333989984.3205</v>
      </c>
      <c r="R6" s="95">
        <f t="shared" si="7"/>
        <v>-621923.3570099175</v>
      </c>
      <c r="S6" s="95">
        <f t="shared" si="8"/>
        <v>386788661994.48529</v>
      </c>
      <c r="T6"/>
      <c r="U6" s="36"/>
      <c r="AE6" s="77"/>
      <c r="AF6" s="77"/>
      <c r="AG6" s="77"/>
      <c r="AH6" s="77"/>
    </row>
    <row r="7" spans="1:35" x14ac:dyDescent="0.25">
      <c r="A7" s="183">
        <v>42521</v>
      </c>
      <c r="B7" s="184">
        <v>18836973</v>
      </c>
      <c r="C7" s="178"/>
      <c r="D7" s="185">
        <f t="shared" si="2"/>
        <v>18836973</v>
      </c>
      <c r="E7" s="178"/>
      <c r="F7" s="178"/>
      <c r="G7" s="185">
        <f t="shared" si="3"/>
        <v>18836973</v>
      </c>
      <c r="H7" s="186">
        <v>142.47</v>
      </c>
      <c r="I7" s="186">
        <v>21.69</v>
      </c>
      <c r="J7" s="185">
        <v>31</v>
      </c>
      <c r="K7" s="187">
        <v>1</v>
      </c>
      <c r="L7" s="185">
        <v>16262</v>
      </c>
      <c r="M7" s="185">
        <f t="shared" si="4"/>
        <v>18562331.696674764</v>
      </c>
      <c r="N7" s="26">
        <f t="shared" si="0"/>
        <v>-274641.30332523584</v>
      </c>
      <c r="O7" s="34">
        <f t="shared" si="1"/>
        <v>-1.4579906406684122E-2</v>
      </c>
      <c r="P7" s="94">
        <f t="shared" si="5"/>
        <v>1.4579906406684122E-2</v>
      </c>
      <c r="Q7" s="95">
        <f t="shared" si="6"/>
        <v>75427845492.184204</v>
      </c>
      <c r="R7" s="95">
        <f t="shared" si="7"/>
        <v>258588.46889713407</v>
      </c>
      <c r="S7" s="95">
        <f t="shared" si="8"/>
        <v>66867996246.564072</v>
      </c>
      <c r="T7"/>
      <c r="U7" s="36"/>
      <c r="AE7" s="77"/>
      <c r="AF7" s="77"/>
      <c r="AG7" s="77"/>
      <c r="AH7" s="77"/>
    </row>
    <row r="8" spans="1:35" x14ac:dyDescent="0.25">
      <c r="A8" s="183">
        <v>42551</v>
      </c>
      <c r="B8" s="184">
        <v>19211234</v>
      </c>
      <c r="C8" s="178"/>
      <c r="D8" s="185">
        <f t="shared" si="2"/>
        <v>19211234</v>
      </c>
      <c r="E8" s="178"/>
      <c r="F8" s="178"/>
      <c r="G8" s="185">
        <f t="shared" si="3"/>
        <v>19211234</v>
      </c>
      <c r="H8" s="186">
        <v>19.93</v>
      </c>
      <c r="I8" s="186">
        <v>77.789999999999992</v>
      </c>
      <c r="J8" s="185">
        <v>30</v>
      </c>
      <c r="K8" s="187">
        <v>0</v>
      </c>
      <c r="L8" s="185">
        <v>16270</v>
      </c>
      <c r="M8" s="185">
        <f t="shared" si="4"/>
        <v>20195993.367928945</v>
      </c>
      <c r="N8" s="26">
        <f t="shared" si="0"/>
        <v>984759.36792894453</v>
      </c>
      <c r="O8" s="34">
        <f t="shared" si="1"/>
        <v>5.1259558231862908E-2</v>
      </c>
      <c r="P8" s="94">
        <f t="shared" si="5"/>
        <v>5.1259558231862908E-2</v>
      </c>
      <c r="Q8" s="95">
        <f t="shared" si="6"/>
        <v>969751012723.81433</v>
      </c>
      <c r="R8" s="95">
        <f t="shared" si="7"/>
        <v>1259400.6712541804</v>
      </c>
      <c r="S8" s="95">
        <f t="shared" si="8"/>
        <v>1586090050755.48</v>
      </c>
      <c r="T8"/>
      <c r="U8" s="36"/>
      <c r="AE8" s="77"/>
      <c r="AF8" s="77"/>
      <c r="AG8" s="77"/>
      <c r="AH8" s="77"/>
    </row>
    <row r="9" spans="1:35" x14ac:dyDescent="0.25">
      <c r="A9" s="183">
        <v>42582</v>
      </c>
      <c r="B9" s="184">
        <v>23404500</v>
      </c>
      <c r="C9" s="178"/>
      <c r="D9" s="185">
        <f t="shared" si="2"/>
        <v>23404500</v>
      </c>
      <c r="E9" s="178"/>
      <c r="F9" s="178"/>
      <c r="G9" s="185">
        <f t="shared" si="3"/>
        <v>23404500</v>
      </c>
      <c r="H9" s="186">
        <v>0.48000000000000009</v>
      </c>
      <c r="I9" s="186">
        <v>154.26</v>
      </c>
      <c r="J9" s="185">
        <v>31</v>
      </c>
      <c r="K9" s="187">
        <v>0</v>
      </c>
      <c r="L9" s="185">
        <v>16282</v>
      </c>
      <c r="M9" s="185">
        <f t="shared" si="4"/>
        <v>24318891.292347357</v>
      </c>
      <c r="N9" s="26">
        <f t="shared" si="0"/>
        <v>914391.29234735668</v>
      </c>
      <c r="O9" s="34">
        <f t="shared" si="1"/>
        <v>3.9069037678538601E-2</v>
      </c>
      <c r="P9" s="94">
        <f t="shared" si="5"/>
        <v>3.9069037678538601E-2</v>
      </c>
      <c r="Q9" s="95">
        <f t="shared" si="6"/>
        <v>836111435520.66907</v>
      </c>
      <c r="R9" s="95">
        <f t="shared" si="7"/>
        <v>-70368.075581587851</v>
      </c>
      <c r="S9" s="95">
        <f t="shared" si="8"/>
        <v>4951666061.0560608</v>
      </c>
      <c r="T9"/>
      <c r="U9" s="36"/>
      <c r="AE9" s="77"/>
      <c r="AF9" s="77"/>
      <c r="AG9" s="77"/>
      <c r="AH9" s="77"/>
    </row>
    <row r="10" spans="1:35" x14ac:dyDescent="0.25">
      <c r="A10" s="183">
        <v>42613</v>
      </c>
      <c r="B10" s="184">
        <v>24564804</v>
      </c>
      <c r="C10" s="178"/>
      <c r="D10" s="185">
        <f t="shared" si="2"/>
        <v>24564804</v>
      </c>
      <c r="E10" s="178"/>
      <c r="F10" s="178"/>
      <c r="G10" s="185">
        <f t="shared" si="3"/>
        <v>24564804</v>
      </c>
      <c r="H10" s="186">
        <v>4.46</v>
      </c>
      <c r="I10" s="186">
        <v>127.12</v>
      </c>
      <c r="J10" s="185">
        <v>31</v>
      </c>
      <c r="K10" s="187">
        <v>0</v>
      </c>
      <c r="L10" s="185">
        <v>16293</v>
      </c>
      <c r="M10" s="185">
        <f t="shared" si="4"/>
        <v>23052217.191443048</v>
      </c>
      <c r="N10" s="26">
        <f t="shared" si="0"/>
        <v>-1512586.8085569516</v>
      </c>
      <c r="O10" s="34">
        <f t="shared" si="1"/>
        <v>-6.1575366469724391E-2</v>
      </c>
      <c r="P10" s="94">
        <f t="shared" si="5"/>
        <v>6.1575366469724391E-2</v>
      </c>
      <c r="Q10" s="95">
        <f t="shared" si="6"/>
        <v>2287918853420.5039</v>
      </c>
      <c r="R10" s="95">
        <f t="shared" si="7"/>
        <v>-2426978.1009043083</v>
      </c>
      <c r="S10" s="95">
        <f t="shared" si="8"/>
        <v>5890222702269.083</v>
      </c>
      <c r="T10"/>
      <c r="U10" s="36"/>
      <c r="AE10" s="77"/>
      <c r="AF10" s="77"/>
      <c r="AG10" s="77"/>
      <c r="AH10" s="77"/>
    </row>
    <row r="11" spans="1:35" x14ac:dyDescent="0.25">
      <c r="A11" s="183">
        <v>42643</v>
      </c>
      <c r="B11" s="184">
        <v>19239594</v>
      </c>
      <c r="C11" s="178"/>
      <c r="D11" s="185">
        <f t="shared" si="2"/>
        <v>19239594</v>
      </c>
      <c r="E11" s="178"/>
      <c r="F11" s="178"/>
      <c r="G11" s="185">
        <f t="shared" si="3"/>
        <v>19239594</v>
      </c>
      <c r="H11" s="186">
        <v>37.730000000000004</v>
      </c>
      <c r="I11" s="186">
        <v>47.269999999999996</v>
      </c>
      <c r="J11" s="185">
        <v>30</v>
      </c>
      <c r="K11" s="187">
        <v>1</v>
      </c>
      <c r="L11" s="185">
        <v>16324</v>
      </c>
      <c r="M11" s="185">
        <f t="shared" si="4"/>
        <v>17953754.671941038</v>
      </c>
      <c r="N11" s="26">
        <f t="shared" si="0"/>
        <v>-1285839.3280589618</v>
      </c>
      <c r="O11" s="34">
        <f t="shared" si="1"/>
        <v>-6.6832976208279743E-2</v>
      </c>
      <c r="P11" s="94">
        <f t="shared" si="5"/>
        <v>6.6832976208279743E-2</v>
      </c>
      <c r="Q11" s="95">
        <f t="shared" si="6"/>
        <v>1653382777583.1223</v>
      </c>
      <c r="R11" s="95">
        <f t="shared" si="7"/>
        <v>226747.4804979898</v>
      </c>
      <c r="S11" s="95">
        <f t="shared" si="8"/>
        <v>51414419912.186264</v>
      </c>
      <c r="T11"/>
      <c r="U11" s="36"/>
      <c r="AE11" s="77"/>
      <c r="AF11" s="77"/>
      <c r="AG11" s="77"/>
      <c r="AH11" s="77"/>
    </row>
    <row r="12" spans="1:35" x14ac:dyDescent="0.25">
      <c r="A12" s="183">
        <v>42674</v>
      </c>
      <c r="B12" s="184">
        <v>19360398</v>
      </c>
      <c r="C12" s="178"/>
      <c r="D12" s="185">
        <f t="shared" si="2"/>
        <v>19360398</v>
      </c>
      <c r="E12" s="178"/>
      <c r="F12" s="178"/>
      <c r="G12" s="185">
        <f t="shared" si="3"/>
        <v>19360398</v>
      </c>
      <c r="H12" s="186">
        <v>211.34</v>
      </c>
      <c r="I12" s="186">
        <v>6.6</v>
      </c>
      <c r="J12" s="185">
        <v>31</v>
      </c>
      <c r="K12" s="187">
        <v>1</v>
      </c>
      <c r="L12" s="185">
        <v>16371</v>
      </c>
      <c r="M12" s="185">
        <f t="shared" si="4"/>
        <v>18785176.427160848</v>
      </c>
      <c r="N12" s="26">
        <f t="shared" si="0"/>
        <v>-575221.57283915207</v>
      </c>
      <c r="O12" s="34">
        <f t="shared" si="1"/>
        <v>-2.9711247301793697E-2</v>
      </c>
      <c r="P12" s="94">
        <f t="shared" si="5"/>
        <v>2.9711247301793697E-2</v>
      </c>
      <c r="Q12" s="95">
        <f t="shared" si="6"/>
        <v>330879857859.54791</v>
      </c>
      <c r="R12" s="95">
        <f t="shared" si="7"/>
        <v>710617.75521980971</v>
      </c>
      <c r="S12" s="95">
        <f t="shared" si="8"/>
        <v>504977594033.64142</v>
      </c>
      <c r="T12"/>
      <c r="U12" s="36"/>
      <c r="AE12" s="77"/>
      <c r="AF12" s="77"/>
      <c r="AG12" s="77"/>
      <c r="AH12" s="77"/>
    </row>
    <row r="13" spans="1:35" x14ac:dyDescent="0.25">
      <c r="A13" s="183">
        <v>42704</v>
      </c>
      <c r="B13" s="184">
        <v>20317470</v>
      </c>
      <c r="C13" s="178"/>
      <c r="D13" s="185">
        <f t="shared" si="2"/>
        <v>20317470</v>
      </c>
      <c r="E13" s="178"/>
      <c r="F13" s="178"/>
      <c r="G13" s="185">
        <f t="shared" si="3"/>
        <v>20317470</v>
      </c>
      <c r="H13" s="186">
        <v>409.7299999999999</v>
      </c>
      <c r="I13" s="186">
        <v>0.26</v>
      </c>
      <c r="J13" s="185">
        <v>30</v>
      </c>
      <c r="K13" s="187">
        <v>1</v>
      </c>
      <c r="L13" s="185">
        <v>16400</v>
      </c>
      <c r="M13" s="185">
        <f t="shared" si="4"/>
        <v>20355056.06343098</v>
      </c>
      <c r="N13" s="26">
        <f t="shared" si="0"/>
        <v>37586.063430979848</v>
      </c>
      <c r="O13" s="34">
        <f t="shared" si="1"/>
        <v>1.8499381778823766E-3</v>
      </c>
      <c r="P13" s="94">
        <f t="shared" si="5"/>
        <v>1.8499381778823766E-3</v>
      </c>
      <c r="Q13" s="95">
        <f t="shared" si="6"/>
        <v>1412712164.2376406</v>
      </c>
      <c r="R13" s="95">
        <f t="shared" si="7"/>
        <v>612807.63627013192</v>
      </c>
      <c r="S13" s="95">
        <f t="shared" si="8"/>
        <v>375533199070.98627</v>
      </c>
      <c r="T13"/>
      <c r="U13" s="36"/>
      <c r="AE13" s="77"/>
      <c r="AF13" s="77"/>
      <c r="AG13" s="77"/>
      <c r="AH13" s="77"/>
    </row>
    <row r="14" spans="1:35" x14ac:dyDescent="0.25">
      <c r="A14" s="183">
        <v>42735</v>
      </c>
      <c r="B14" s="184">
        <v>24538056</v>
      </c>
      <c r="C14" s="178"/>
      <c r="D14" s="185">
        <f t="shared" si="2"/>
        <v>24538056</v>
      </c>
      <c r="E14" s="178"/>
      <c r="F14" s="178"/>
      <c r="G14" s="185">
        <f t="shared" si="3"/>
        <v>24538056</v>
      </c>
      <c r="H14" s="186">
        <v>577.68000000000006</v>
      </c>
      <c r="I14" s="186">
        <v>0</v>
      </c>
      <c r="J14" s="185">
        <v>31</v>
      </c>
      <c r="K14" s="187">
        <v>0</v>
      </c>
      <c r="L14" s="185">
        <v>16426</v>
      </c>
      <c r="M14" s="185">
        <f t="shared" si="4"/>
        <v>24094608.092580851</v>
      </c>
      <c r="N14" s="26">
        <f t="shared" si="0"/>
        <v>-443447.90741914883</v>
      </c>
      <c r="O14" s="34">
        <f t="shared" si="1"/>
        <v>-1.8071843483409965E-2</v>
      </c>
      <c r="P14" s="94">
        <f t="shared" si="5"/>
        <v>1.8071843483409965E-2</v>
      </c>
      <c r="Q14" s="95">
        <f t="shared" si="6"/>
        <v>196646046594.422</v>
      </c>
      <c r="R14" s="95">
        <f t="shared" si="7"/>
        <v>-481033.97085012868</v>
      </c>
      <c r="S14" s="95">
        <f t="shared" si="8"/>
        <v>231393681111.84244</v>
      </c>
      <c r="T14"/>
      <c r="AE14" s="77"/>
      <c r="AF14" s="77"/>
      <c r="AG14" s="77"/>
      <c r="AH14" s="77"/>
    </row>
    <row r="15" spans="1:35" ht="13.8" thickBot="1" x14ac:dyDescent="0.3">
      <c r="A15" s="183">
        <v>42766</v>
      </c>
      <c r="B15" s="185">
        <v>24383250.957844518</v>
      </c>
      <c r="C15" s="185"/>
      <c r="D15" s="185">
        <f t="shared" si="2"/>
        <v>24383250.957844518</v>
      </c>
      <c r="E15" s="185"/>
      <c r="F15" s="185"/>
      <c r="G15" s="185">
        <f t="shared" si="3"/>
        <v>24383250.957844518</v>
      </c>
      <c r="H15" s="185">
        <f>H3</f>
        <v>667.41000000000008</v>
      </c>
      <c r="I15" s="185">
        <f>I3</f>
        <v>0</v>
      </c>
      <c r="J15" s="185">
        <v>31</v>
      </c>
      <c r="K15" s="187">
        <v>0</v>
      </c>
      <c r="L15" s="185">
        <v>16479</v>
      </c>
      <c r="M15" s="185">
        <f t="shared" si="4"/>
        <v>25261156.770564631</v>
      </c>
      <c r="N15" s="26">
        <f t="shared" si="0"/>
        <v>877905.8127201125</v>
      </c>
      <c r="O15" s="34">
        <f t="shared" si="1"/>
        <v>3.6004461186816224E-2</v>
      </c>
      <c r="P15" s="94">
        <f t="shared" si="5"/>
        <v>3.6004461186816224E-2</v>
      </c>
      <c r="Q15" s="95">
        <f t="shared" si="6"/>
        <v>770718616007.76123</v>
      </c>
      <c r="R15" s="95">
        <f t="shared" si="7"/>
        <v>1321353.7201392613</v>
      </c>
      <c r="S15" s="95">
        <f t="shared" si="8"/>
        <v>1745975653725.8655</v>
      </c>
      <c r="T15"/>
      <c r="AE15" s="77"/>
      <c r="AF15" s="77"/>
      <c r="AG15" s="77"/>
      <c r="AH15" s="77"/>
    </row>
    <row r="16" spans="1:35" x14ac:dyDescent="0.25">
      <c r="A16" s="183">
        <v>42794</v>
      </c>
      <c r="B16" s="185">
        <v>21070773.226623036</v>
      </c>
      <c r="C16" s="185"/>
      <c r="D16" s="185">
        <f t="shared" si="2"/>
        <v>21070773.226623036</v>
      </c>
      <c r="E16" s="185"/>
      <c r="F16" s="185"/>
      <c r="G16" s="185">
        <f t="shared" si="3"/>
        <v>21070773.226623036</v>
      </c>
      <c r="H16" s="185">
        <f t="shared" ref="H16:I16" si="9">H4</f>
        <v>577.75</v>
      </c>
      <c r="I16" s="185">
        <f t="shared" si="9"/>
        <v>0</v>
      </c>
      <c r="J16" s="185">
        <v>28</v>
      </c>
      <c r="K16" s="187">
        <v>0</v>
      </c>
      <c r="L16" s="185">
        <v>16483</v>
      </c>
      <c r="M16" s="185">
        <f t="shared" si="4"/>
        <v>22303738.209257342</v>
      </c>
      <c r="N16" s="26">
        <f t="shared" si="0"/>
        <v>1232964.982634306</v>
      </c>
      <c r="O16" s="34">
        <f t="shared" si="1"/>
        <v>5.8515412290444477E-2</v>
      </c>
      <c r="P16" s="94">
        <f t="shared" si="5"/>
        <v>5.8515412290444477E-2</v>
      </c>
      <c r="Q16" s="95">
        <f t="shared" si="6"/>
        <v>1520202648402.4143</v>
      </c>
      <c r="R16" s="95">
        <f t="shared" si="7"/>
        <v>355059.16991419345</v>
      </c>
      <c r="S16" s="95">
        <f t="shared" si="8"/>
        <v>126067014140.1561</v>
      </c>
      <c r="T16"/>
      <c r="U16" s="122" t="s">
        <v>174</v>
      </c>
      <c r="V16" s="122"/>
      <c r="AE16" s="77"/>
      <c r="AF16" s="77"/>
      <c r="AG16" s="77"/>
      <c r="AH16" s="77"/>
    </row>
    <row r="17" spans="1:34" x14ac:dyDescent="0.25">
      <c r="A17" s="183">
        <v>42825</v>
      </c>
      <c r="B17" s="185">
        <v>23393184.032128658</v>
      </c>
      <c r="C17" s="185"/>
      <c r="D17" s="185">
        <f t="shared" si="2"/>
        <v>23393184.032128658</v>
      </c>
      <c r="E17" s="185"/>
      <c r="F17" s="185"/>
      <c r="G17" s="185">
        <f t="shared" si="3"/>
        <v>23393184.032128658</v>
      </c>
      <c r="H17" s="185">
        <f t="shared" ref="H17:I17" si="10">H5</f>
        <v>510.25</v>
      </c>
      <c r="I17" s="185">
        <f t="shared" si="10"/>
        <v>0</v>
      </c>
      <c r="J17" s="185">
        <v>31</v>
      </c>
      <c r="K17" s="187">
        <v>1</v>
      </c>
      <c r="L17" s="185">
        <v>16497</v>
      </c>
      <c r="M17" s="185">
        <f t="shared" si="4"/>
        <v>22300393.540041883</v>
      </c>
      <c r="N17" s="26">
        <f t="shared" si="0"/>
        <v>-1092790.4920867756</v>
      </c>
      <c r="O17" s="34">
        <f t="shared" si="1"/>
        <v>-4.6714055281483514E-2</v>
      </c>
      <c r="P17" s="94">
        <f t="shared" si="5"/>
        <v>4.6714055281483514E-2</v>
      </c>
      <c r="Q17" s="95">
        <f t="shared" si="6"/>
        <v>1194191059595.2571</v>
      </c>
      <c r="R17" s="95">
        <f t="shared" si="7"/>
        <v>-2325755.4747210816</v>
      </c>
      <c r="S17" s="95">
        <f t="shared" si="8"/>
        <v>5409138528195.083</v>
      </c>
      <c r="T17"/>
      <c r="U17" t="s">
        <v>28</v>
      </c>
      <c r="V17" s="203">
        <v>0.98053867505605607</v>
      </c>
      <c r="AE17" s="77"/>
      <c r="AF17" s="77"/>
      <c r="AG17" s="77"/>
      <c r="AH17" s="77"/>
    </row>
    <row r="18" spans="1:34" x14ac:dyDescent="0.25">
      <c r="A18" s="183">
        <v>42855</v>
      </c>
      <c r="B18" s="185">
        <v>18825985.160844527</v>
      </c>
      <c r="C18" s="185"/>
      <c r="D18" s="185">
        <f t="shared" si="2"/>
        <v>18825985.160844527</v>
      </c>
      <c r="E18" s="185"/>
      <c r="F18" s="185"/>
      <c r="G18" s="185">
        <f t="shared" si="3"/>
        <v>18825985.160844527</v>
      </c>
      <c r="H18" s="185">
        <f t="shared" ref="H18:I18" si="11">H6</f>
        <v>329.05999999999995</v>
      </c>
      <c r="I18" s="185">
        <f t="shared" si="11"/>
        <v>0.71</v>
      </c>
      <c r="J18" s="185">
        <v>30</v>
      </c>
      <c r="K18" s="187">
        <v>1</v>
      </c>
      <c r="L18" s="185">
        <v>16510</v>
      </c>
      <c r="M18" s="185">
        <f t="shared" si="4"/>
        <v>19478554.28851331</v>
      </c>
      <c r="N18" s="26">
        <f t="shared" si="0"/>
        <v>652569.12766878307</v>
      </c>
      <c r="O18" s="34">
        <f t="shared" si="1"/>
        <v>3.4663212686794079E-2</v>
      </c>
      <c r="P18" s="94">
        <f t="shared" si="5"/>
        <v>3.4663212686794079E-2</v>
      </c>
      <c r="Q18" s="95">
        <f t="shared" si="6"/>
        <v>425846466386.39648</v>
      </c>
      <c r="R18" s="95">
        <f t="shared" si="7"/>
        <v>1745359.6197555587</v>
      </c>
      <c r="S18" s="95">
        <f t="shared" si="8"/>
        <v>3046280202273.2686</v>
      </c>
      <c r="T18"/>
      <c r="U18" t="s">
        <v>29</v>
      </c>
      <c r="V18" s="203">
        <v>0.96145609328068582</v>
      </c>
      <c r="AE18" s="77"/>
      <c r="AF18" s="77"/>
      <c r="AG18" s="77"/>
      <c r="AH18" s="77"/>
    </row>
    <row r="19" spans="1:34" x14ac:dyDescent="0.25">
      <c r="A19" s="183">
        <v>42886</v>
      </c>
      <c r="B19" s="185">
        <v>18786333.0832728</v>
      </c>
      <c r="C19" s="185"/>
      <c r="D19" s="185">
        <f t="shared" si="2"/>
        <v>18786333.0832728</v>
      </c>
      <c r="E19" s="185"/>
      <c r="F19" s="185"/>
      <c r="G19" s="185">
        <f t="shared" si="3"/>
        <v>18786333.0832728</v>
      </c>
      <c r="H19" s="185">
        <f t="shared" ref="H19:I19" si="12">H7</f>
        <v>142.47</v>
      </c>
      <c r="I19" s="185">
        <f t="shared" si="12"/>
        <v>21.69</v>
      </c>
      <c r="J19" s="185">
        <v>31</v>
      </c>
      <c r="K19" s="187">
        <v>1</v>
      </c>
      <c r="L19" s="185">
        <v>16550</v>
      </c>
      <c r="M19" s="185">
        <f t="shared" si="4"/>
        <v>18836841.179335825</v>
      </c>
      <c r="N19" s="26">
        <f t="shared" si="0"/>
        <v>50508.096063025296</v>
      </c>
      <c r="O19" s="34">
        <f t="shared" si="1"/>
        <v>2.6885553364321695E-3</v>
      </c>
      <c r="P19" s="94">
        <f t="shared" si="5"/>
        <v>2.6885553364321695E-3</v>
      </c>
      <c r="Q19" s="95">
        <f t="shared" si="6"/>
        <v>2551067767.9117913</v>
      </c>
      <c r="R19" s="95">
        <f t="shared" si="7"/>
        <v>-602061.03160575777</v>
      </c>
      <c r="S19" s="95">
        <f t="shared" si="8"/>
        <v>362477485778.18927</v>
      </c>
      <c r="T19"/>
      <c r="U19" t="s">
        <v>30</v>
      </c>
      <c r="V19" s="203">
        <v>0.95976557105615445</v>
      </c>
      <c r="AE19" s="77"/>
      <c r="AF19" s="77"/>
      <c r="AG19" s="77"/>
      <c r="AH19" s="77"/>
    </row>
    <row r="20" spans="1:34" x14ac:dyDescent="0.25">
      <c r="A20" s="183">
        <v>42916</v>
      </c>
      <c r="B20" s="185">
        <v>19567266.152046304</v>
      </c>
      <c r="C20" s="185"/>
      <c r="D20" s="185">
        <f t="shared" si="2"/>
        <v>19567266.152046304</v>
      </c>
      <c r="E20" s="185"/>
      <c r="F20" s="185"/>
      <c r="G20" s="185">
        <f t="shared" si="3"/>
        <v>19567266.152046304</v>
      </c>
      <c r="H20" s="185">
        <f t="shared" ref="H20:I20" si="13">H8</f>
        <v>19.93</v>
      </c>
      <c r="I20" s="185">
        <f t="shared" si="13"/>
        <v>77.789999999999992</v>
      </c>
      <c r="J20" s="185">
        <v>30</v>
      </c>
      <c r="K20" s="187">
        <v>0</v>
      </c>
      <c r="L20" s="185">
        <v>16589</v>
      </c>
      <c r="M20" s="185">
        <f t="shared" si="4"/>
        <v>20500050.746293101</v>
      </c>
      <c r="N20" s="26">
        <f t="shared" si="0"/>
        <v>932784.59424679726</v>
      </c>
      <c r="O20" s="34">
        <f t="shared" si="1"/>
        <v>4.7670665232365565E-2</v>
      </c>
      <c r="P20" s="94">
        <f t="shared" si="5"/>
        <v>4.7670665232365565E-2</v>
      </c>
      <c r="Q20" s="95">
        <f t="shared" si="6"/>
        <v>870087099264.16223</v>
      </c>
      <c r="R20" s="95">
        <f t="shared" si="7"/>
        <v>882276.49818377197</v>
      </c>
      <c r="S20" s="95">
        <f t="shared" si="8"/>
        <v>778411819247.41943</v>
      </c>
      <c r="T20"/>
      <c r="U20" t="s">
        <v>175</v>
      </c>
      <c r="V20">
        <v>685943.84493557818</v>
      </c>
      <c r="AE20" s="77"/>
      <c r="AF20" s="77"/>
      <c r="AG20" s="77"/>
      <c r="AH20" s="77"/>
    </row>
    <row r="21" spans="1:34" ht="13.8" thickBot="1" x14ac:dyDescent="0.3">
      <c r="A21" s="183">
        <v>42947</v>
      </c>
      <c r="B21" s="185">
        <v>22381676.491002649</v>
      </c>
      <c r="C21" s="185"/>
      <c r="D21" s="185">
        <f t="shared" si="2"/>
        <v>22381676.491002649</v>
      </c>
      <c r="E21" s="185"/>
      <c r="F21" s="185"/>
      <c r="G21" s="185">
        <f t="shared" si="3"/>
        <v>22381676.491002649</v>
      </c>
      <c r="H21" s="185">
        <f t="shared" ref="H21:I21" si="14">H9</f>
        <v>0.48000000000000009</v>
      </c>
      <c r="I21" s="185">
        <f t="shared" si="14"/>
        <v>154.26</v>
      </c>
      <c r="J21" s="185">
        <v>31</v>
      </c>
      <c r="K21" s="187">
        <v>0</v>
      </c>
      <c r="L21" s="185">
        <v>16719</v>
      </c>
      <c r="M21" s="185">
        <f t="shared" si="4"/>
        <v>24735421.305968478</v>
      </c>
      <c r="N21" s="26">
        <f t="shared" si="0"/>
        <v>2353744.8149658293</v>
      </c>
      <c r="O21" s="34">
        <f t="shared" si="1"/>
        <v>0.10516391906173901</v>
      </c>
      <c r="P21" s="94">
        <f t="shared" si="5"/>
        <v>0.10516391906173901</v>
      </c>
      <c r="Q21" s="95">
        <f t="shared" si="6"/>
        <v>5540114653978.5254</v>
      </c>
      <c r="R21" s="95">
        <f t="shared" si="7"/>
        <v>1420960.220719032</v>
      </c>
      <c r="S21" s="95">
        <f t="shared" si="8"/>
        <v>2019127948865.8801</v>
      </c>
      <c r="T21"/>
      <c r="U21" s="120" t="s">
        <v>176</v>
      </c>
      <c r="V21" s="120">
        <v>120</v>
      </c>
      <c r="AE21" s="77"/>
      <c r="AF21" s="77"/>
      <c r="AG21" s="77"/>
      <c r="AH21" s="77"/>
    </row>
    <row r="22" spans="1:34" x14ac:dyDescent="0.25">
      <c r="A22" s="183">
        <v>42978</v>
      </c>
      <c r="B22" s="185">
        <v>21132315.915526163</v>
      </c>
      <c r="C22" s="185"/>
      <c r="D22" s="185">
        <f t="shared" si="2"/>
        <v>21132315.915526163</v>
      </c>
      <c r="E22" s="185"/>
      <c r="F22" s="185"/>
      <c r="G22" s="185">
        <f t="shared" si="3"/>
        <v>21132315.915526163</v>
      </c>
      <c r="H22" s="185">
        <f t="shared" ref="H22:I22" si="15">H10</f>
        <v>4.46</v>
      </c>
      <c r="I22" s="185">
        <f t="shared" si="15"/>
        <v>127.12</v>
      </c>
      <c r="J22" s="185">
        <v>31</v>
      </c>
      <c r="K22" s="187">
        <v>0</v>
      </c>
      <c r="L22" s="185">
        <v>16775</v>
      </c>
      <c r="M22" s="185">
        <f t="shared" si="4"/>
        <v>23511639.31172996</v>
      </c>
      <c r="N22" s="26">
        <f t="shared" si="0"/>
        <v>2379323.3962037973</v>
      </c>
      <c r="O22" s="34">
        <f t="shared" si="1"/>
        <v>0.11259170105703749</v>
      </c>
      <c r="P22" s="94">
        <f t="shared" si="5"/>
        <v>0.11259170105703749</v>
      </c>
      <c r="Q22" s="95">
        <f t="shared" si="6"/>
        <v>5661179823722.7725</v>
      </c>
      <c r="R22" s="95">
        <f t="shared" si="7"/>
        <v>25578.581237968057</v>
      </c>
      <c r="S22" s="95">
        <f t="shared" si="8"/>
        <v>654263818.14733148</v>
      </c>
      <c r="T22"/>
      <c r="AE22" s="77"/>
      <c r="AF22" s="77"/>
      <c r="AG22" s="77"/>
      <c r="AH22" s="77"/>
    </row>
    <row r="23" spans="1:34" ht="13.8" thickBot="1" x14ac:dyDescent="0.3">
      <c r="A23" s="183">
        <v>43008</v>
      </c>
      <c r="B23" s="185">
        <v>19954544.032724753</v>
      </c>
      <c r="C23" s="185"/>
      <c r="D23" s="185">
        <f t="shared" si="2"/>
        <v>19954544.032724753</v>
      </c>
      <c r="E23" s="185"/>
      <c r="F23" s="185"/>
      <c r="G23" s="185">
        <f t="shared" si="3"/>
        <v>19954544.032724753</v>
      </c>
      <c r="H23" s="185">
        <f t="shared" ref="H23:I23" si="16">H11</f>
        <v>37.730000000000004</v>
      </c>
      <c r="I23" s="185">
        <f t="shared" si="16"/>
        <v>47.269999999999996</v>
      </c>
      <c r="J23" s="185">
        <v>30</v>
      </c>
      <c r="K23" s="187">
        <v>1</v>
      </c>
      <c r="L23" s="185">
        <v>16851</v>
      </c>
      <c r="M23" s="185">
        <f t="shared" si="4"/>
        <v>18456068.89889374</v>
      </c>
      <c r="N23" s="26">
        <f t="shared" si="0"/>
        <v>-1498475.133831013</v>
      </c>
      <c r="O23" s="34">
        <f t="shared" si="1"/>
        <v>-7.5094431191891242E-2</v>
      </c>
      <c r="P23" s="94">
        <f t="shared" si="5"/>
        <v>7.5094431191891242E-2</v>
      </c>
      <c r="Q23" s="95">
        <f t="shared" si="6"/>
        <v>2245427726709.8721</v>
      </c>
      <c r="R23" s="95">
        <f t="shared" si="7"/>
        <v>-3877798.5300348103</v>
      </c>
      <c r="S23" s="95">
        <f t="shared" si="8"/>
        <v>15037321439540.135</v>
      </c>
      <c r="T23"/>
      <c r="U23" t="s">
        <v>177</v>
      </c>
    </row>
    <row r="24" spans="1:34" x14ac:dyDescent="0.25">
      <c r="A24" s="183">
        <v>43039</v>
      </c>
      <c r="B24" s="185">
        <v>19246234.531076949</v>
      </c>
      <c r="C24" s="185"/>
      <c r="D24" s="185">
        <f t="shared" si="2"/>
        <v>19246234.531076949</v>
      </c>
      <c r="E24" s="185"/>
      <c r="F24" s="185"/>
      <c r="G24" s="185">
        <f t="shared" si="3"/>
        <v>19246234.531076949</v>
      </c>
      <c r="H24" s="185">
        <f t="shared" ref="H24:I24" si="17">H12</f>
        <v>211.34</v>
      </c>
      <c r="I24" s="185">
        <f t="shared" si="17"/>
        <v>6.6</v>
      </c>
      <c r="J24" s="185">
        <v>31</v>
      </c>
      <c r="K24" s="187">
        <v>1</v>
      </c>
      <c r="L24" s="185">
        <v>17087</v>
      </c>
      <c r="M24" s="185">
        <f t="shared" si="4"/>
        <v>19467637.502109867</v>
      </c>
      <c r="N24" s="26">
        <f t="shared" si="0"/>
        <v>221402.9710329175</v>
      </c>
      <c r="O24" s="34">
        <f t="shared" si="1"/>
        <v>1.150370326597743E-2</v>
      </c>
      <c r="P24" s="94">
        <f t="shared" si="5"/>
        <v>1.150370326597743E-2</v>
      </c>
      <c r="Q24" s="95">
        <f t="shared" si="6"/>
        <v>49019275582.202904</v>
      </c>
      <c r="R24" s="95">
        <f t="shared" si="7"/>
        <v>1719878.1048639305</v>
      </c>
      <c r="S24" s="95">
        <f t="shared" si="8"/>
        <v>2957980695590.3452</v>
      </c>
      <c r="T24"/>
      <c r="U24" s="121"/>
      <c r="V24" s="121" t="s">
        <v>178</v>
      </c>
      <c r="W24" s="121" t="s">
        <v>179</v>
      </c>
      <c r="X24" s="121" t="s">
        <v>180</v>
      </c>
      <c r="Y24" s="121" t="s">
        <v>181</v>
      </c>
      <c r="Z24" s="121" t="s">
        <v>182</v>
      </c>
    </row>
    <row r="25" spans="1:34" x14ac:dyDescent="0.25">
      <c r="A25" s="183">
        <v>43069</v>
      </c>
      <c r="B25" s="185">
        <v>21849761.600563686</v>
      </c>
      <c r="C25" s="185"/>
      <c r="D25" s="185">
        <f t="shared" si="2"/>
        <v>21849761.600563686</v>
      </c>
      <c r="E25" s="185"/>
      <c r="F25" s="185"/>
      <c r="G25" s="185">
        <f t="shared" si="3"/>
        <v>21849761.600563686</v>
      </c>
      <c r="H25" s="185">
        <f t="shared" ref="H25:I25" si="18">H13</f>
        <v>409.7299999999999</v>
      </c>
      <c r="I25" s="185">
        <f t="shared" si="18"/>
        <v>0.26</v>
      </c>
      <c r="J25" s="185">
        <v>30</v>
      </c>
      <c r="K25" s="187">
        <v>1</v>
      </c>
      <c r="L25" s="185">
        <v>17227</v>
      </c>
      <c r="M25" s="185">
        <f t="shared" si="4"/>
        <v>21143317.668155618</v>
      </c>
      <c r="N25" s="26">
        <f t="shared" si="0"/>
        <v>-706443.93240806833</v>
      </c>
      <c r="O25" s="34">
        <f t="shared" si="1"/>
        <v>-3.2331882851748976E-2</v>
      </c>
      <c r="P25" s="94">
        <f t="shared" si="5"/>
        <v>3.2331882851748976E-2</v>
      </c>
      <c r="Q25" s="95">
        <f t="shared" si="6"/>
        <v>499063029636.17542</v>
      </c>
      <c r="R25" s="95">
        <f t="shared" si="7"/>
        <v>-927846.90344098583</v>
      </c>
      <c r="S25" s="95">
        <f t="shared" si="8"/>
        <v>860899876225.02612</v>
      </c>
      <c r="T25"/>
      <c r="U25" t="s">
        <v>183</v>
      </c>
      <c r="V25">
        <v>5</v>
      </c>
      <c r="W25">
        <v>1337998734941181.3</v>
      </c>
      <c r="X25">
        <v>267599746988236.25</v>
      </c>
      <c r="Y25">
        <v>568.7331874901771</v>
      </c>
      <c r="Z25">
        <v>7.9180596977249995E-79</v>
      </c>
    </row>
    <row r="26" spans="1:34" x14ac:dyDescent="0.25">
      <c r="A26" s="183">
        <v>43100</v>
      </c>
      <c r="B26" s="185">
        <v>26178109.375145946</v>
      </c>
      <c r="C26" s="185"/>
      <c r="D26" s="185">
        <f t="shared" si="2"/>
        <v>26178109.375145946</v>
      </c>
      <c r="E26" s="185"/>
      <c r="F26" s="185"/>
      <c r="G26" s="185">
        <f t="shared" si="3"/>
        <v>26178109.375145946</v>
      </c>
      <c r="H26" s="185">
        <f t="shared" ref="H26:I26" si="19">H14</f>
        <v>577.68000000000006</v>
      </c>
      <c r="I26" s="185">
        <f t="shared" si="19"/>
        <v>0</v>
      </c>
      <c r="J26" s="185">
        <v>31</v>
      </c>
      <c r="K26" s="187">
        <v>0</v>
      </c>
      <c r="L26" s="185">
        <v>17229</v>
      </c>
      <c r="M26" s="185">
        <f t="shared" si="4"/>
        <v>24859993.907083735</v>
      </c>
      <c r="N26" s="26">
        <f t="shared" si="0"/>
        <v>-1318115.4680622108</v>
      </c>
      <c r="O26" s="34">
        <f t="shared" si="1"/>
        <v>-5.0351820644223368E-2</v>
      </c>
      <c r="P26" s="94">
        <f t="shared" si="5"/>
        <v>5.0351820644223368E-2</v>
      </c>
      <c r="Q26" s="95">
        <f t="shared" si="6"/>
        <v>1737428387144.8611</v>
      </c>
      <c r="R26" s="95">
        <f t="shared" si="7"/>
        <v>-611671.5356541425</v>
      </c>
      <c r="S26" s="95">
        <f t="shared" si="8"/>
        <v>374142067529.49695</v>
      </c>
      <c r="T26"/>
      <c r="U26" t="s">
        <v>184</v>
      </c>
      <c r="V26">
        <v>114</v>
      </c>
      <c r="W26">
        <v>53639161258170.508</v>
      </c>
      <c r="X26">
        <v>470518958405.00446</v>
      </c>
    </row>
    <row r="27" spans="1:34" ht="13.8" thickBot="1" x14ac:dyDescent="0.3">
      <c r="A27" s="183">
        <v>43131</v>
      </c>
      <c r="B27" s="185">
        <v>27156877.702999998</v>
      </c>
      <c r="C27" s="185"/>
      <c r="D27" s="185">
        <f t="shared" si="2"/>
        <v>27156877.702999998</v>
      </c>
      <c r="E27" s="185"/>
      <c r="F27" s="185"/>
      <c r="G27" s="185">
        <f t="shared" si="3"/>
        <v>27156877.702999998</v>
      </c>
      <c r="H27" s="185">
        <f t="shared" ref="H27:I27" si="20">H15</f>
        <v>667.41000000000008</v>
      </c>
      <c r="I27" s="185">
        <f t="shared" si="20"/>
        <v>0</v>
      </c>
      <c r="J27" s="185">
        <v>31</v>
      </c>
      <c r="K27" s="187">
        <v>0</v>
      </c>
      <c r="L27" s="185">
        <v>17402</v>
      </c>
      <c r="M27" s="185">
        <f t="shared" si="4"/>
        <v>26140921.536176287</v>
      </c>
      <c r="N27" s="26">
        <f t="shared" si="0"/>
        <v>-1015956.1668237112</v>
      </c>
      <c r="O27" s="34">
        <f t="shared" si="1"/>
        <v>-3.741063968894625E-2</v>
      </c>
      <c r="P27" s="94">
        <f t="shared" si="5"/>
        <v>3.741063968894625E-2</v>
      </c>
      <c r="Q27" s="95">
        <f t="shared" si="6"/>
        <v>1032166932907.1285</v>
      </c>
      <c r="R27" s="95">
        <f t="shared" si="7"/>
        <v>302159.30123849958</v>
      </c>
      <c r="S27" s="95">
        <f t="shared" si="8"/>
        <v>91300243324.938339</v>
      </c>
      <c r="T27"/>
      <c r="U27" s="120" t="s">
        <v>74</v>
      </c>
      <c r="V27" s="120">
        <v>119</v>
      </c>
      <c r="W27" s="120">
        <v>1391637896199351.8</v>
      </c>
      <c r="X27" s="120"/>
      <c r="Y27" s="120"/>
      <c r="Z27" s="120"/>
    </row>
    <row r="28" spans="1:34" ht="13.8" thickBot="1" x14ac:dyDescent="0.3">
      <c r="A28" s="183">
        <v>43159</v>
      </c>
      <c r="B28" s="185">
        <v>22662310.571999997</v>
      </c>
      <c r="C28" s="185"/>
      <c r="D28" s="185">
        <f t="shared" si="2"/>
        <v>22662310.571999997</v>
      </c>
      <c r="E28" s="185"/>
      <c r="F28" s="185"/>
      <c r="G28" s="185">
        <f t="shared" si="3"/>
        <v>22662310.571999997</v>
      </c>
      <c r="H28" s="185">
        <f t="shared" ref="H28:I28" si="21">H16</f>
        <v>577.75</v>
      </c>
      <c r="I28" s="185">
        <f t="shared" si="21"/>
        <v>0</v>
      </c>
      <c r="J28" s="185">
        <v>28</v>
      </c>
      <c r="K28" s="187">
        <v>0</v>
      </c>
      <c r="L28" s="185">
        <v>17449</v>
      </c>
      <c r="M28" s="185">
        <f t="shared" si="4"/>
        <v>23224488.765682973</v>
      </c>
      <c r="N28" s="26">
        <f t="shared" si="0"/>
        <v>562178.19368297607</v>
      </c>
      <c r="O28" s="34">
        <f t="shared" si="1"/>
        <v>2.4806746509668128E-2</v>
      </c>
      <c r="P28" s="94">
        <f t="shared" si="5"/>
        <v>2.4806746509668128E-2</v>
      </c>
      <c r="Q28" s="95">
        <f t="shared" si="6"/>
        <v>316044321452.65375</v>
      </c>
      <c r="R28" s="95">
        <f t="shared" si="7"/>
        <v>1578134.3605066873</v>
      </c>
      <c r="S28" s="95">
        <f t="shared" si="8"/>
        <v>2490508059811.8511</v>
      </c>
      <c r="T28"/>
    </row>
    <row r="29" spans="1:34" x14ac:dyDescent="0.25">
      <c r="A29" s="183">
        <v>43190</v>
      </c>
      <c r="B29" s="185">
        <v>23534615.378000002</v>
      </c>
      <c r="C29" s="185"/>
      <c r="D29" s="185">
        <f t="shared" si="2"/>
        <v>23534615.378000002</v>
      </c>
      <c r="E29" s="185"/>
      <c r="F29" s="185"/>
      <c r="G29" s="185">
        <f t="shared" si="3"/>
        <v>23534615.378000002</v>
      </c>
      <c r="H29" s="185">
        <f t="shared" ref="H29:I29" si="22">H17</f>
        <v>510.25</v>
      </c>
      <c r="I29" s="185">
        <f t="shared" si="22"/>
        <v>0</v>
      </c>
      <c r="J29" s="185">
        <v>31</v>
      </c>
      <c r="K29" s="187">
        <v>1</v>
      </c>
      <c r="L29" s="185">
        <v>17480</v>
      </c>
      <c r="M29" s="185">
        <f t="shared" si="4"/>
        <v>23237347.781207927</v>
      </c>
      <c r="N29" s="26">
        <f t="shared" si="0"/>
        <v>-297267.59679207578</v>
      </c>
      <c r="O29" s="34">
        <f t="shared" si="1"/>
        <v>-1.2631079455411857E-2</v>
      </c>
      <c r="P29" s="94">
        <f t="shared" si="5"/>
        <v>1.2631079455411857E-2</v>
      </c>
      <c r="Q29" s="95">
        <f t="shared" si="6"/>
        <v>88368024102.536148</v>
      </c>
      <c r="R29" s="95">
        <f t="shared" si="7"/>
        <v>-859445.79047505185</v>
      </c>
      <c r="S29" s="95">
        <f t="shared" si="8"/>
        <v>738647066765.28674</v>
      </c>
      <c r="T29"/>
      <c r="U29" s="121"/>
      <c r="V29" s="121" t="s">
        <v>185</v>
      </c>
      <c r="W29" s="121" t="s">
        <v>175</v>
      </c>
      <c r="X29" s="121" t="s">
        <v>186</v>
      </c>
      <c r="Y29" s="121" t="s">
        <v>187</v>
      </c>
      <c r="Z29" s="121" t="s">
        <v>188</v>
      </c>
      <c r="AA29" s="121" t="s">
        <v>189</v>
      </c>
      <c r="AB29" s="121" t="s">
        <v>190</v>
      </c>
      <c r="AC29" s="121" t="s">
        <v>191</v>
      </c>
    </row>
    <row r="30" spans="1:34" x14ac:dyDescent="0.25">
      <c r="A30" s="183">
        <v>43220</v>
      </c>
      <c r="B30" s="185">
        <v>21736721.348000001</v>
      </c>
      <c r="C30" s="185"/>
      <c r="D30" s="185">
        <f t="shared" si="2"/>
        <v>21736721.348000001</v>
      </c>
      <c r="E30" s="185"/>
      <c r="F30" s="185"/>
      <c r="G30" s="185">
        <f t="shared" si="3"/>
        <v>21736721.348000001</v>
      </c>
      <c r="H30" s="185">
        <f t="shared" ref="H30:I30" si="23">H18</f>
        <v>329.05999999999995</v>
      </c>
      <c r="I30" s="185">
        <f t="shared" si="23"/>
        <v>0.71</v>
      </c>
      <c r="J30" s="185">
        <v>30</v>
      </c>
      <c r="K30" s="187">
        <v>1</v>
      </c>
      <c r="L30" s="185">
        <v>17527</v>
      </c>
      <c r="M30" s="185">
        <f t="shared" si="4"/>
        <v>20447915.899160173</v>
      </c>
      <c r="N30" s="26">
        <f t="shared" si="0"/>
        <v>-1288805.4488398284</v>
      </c>
      <c r="O30" s="34">
        <f t="shared" si="1"/>
        <v>-5.9291621225038685E-2</v>
      </c>
      <c r="P30" s="94">
        <f t="shared" si="5"/>
        <v>5.9291621225038685E-2</v>
      </c>
      <c r="Q30" s="95">
        <f t="shared" si="6"/>
        <v>1661019484959.2314</v>
      </c>
      <c r="R30" s="95">
        <f t="shared" si="7"/>
        <v>-991537.85204775259</v>
      </c>
      <c r="S30" s="95">
        <f t="shared" si="8"/>
        <v>983147312043.47095</v>
      </c>
      <c r="T30"/>
      <c r="U30" t="s">
        <v>192</v>
      </c>
      <c r="V30">
        <v>-17823013.971206669</v>
      </c>
      <c r="W30">
        <v>2488622.7442698479</v>
      </c>
      <c r="X30">
        <v>-7.1617982324741112</v>
      </c>
      <c r="Y30">
        <v>8.3559271101647604E-11</v>
      </c>
      <c r="Z30">
        <v>-22752956.460172784</v>
      </c>
      <c r="AA30">
        <v>-12893071.482240554</v>
      </c>
      <c r="AB30">
        <v>-22752956.460172784</v>
      </c>
      <c r="AC30">
        <v>-12893071.482240554</v>
      </c>
    </row>
    <row r="31" spans="1:34" x14ac:dyDescent="0.25">
      <c r="A31" s="183">
        <v>43251</v>
      </c>
      <c r="B31" s="185">
        <v>19774022.555</v>
      </c>
      <c r="C31" s="185"/>
      <c r="D31" s="185">
        <f t="shared" si="2"/>
        <v>19774022.555</v>
      </c>
      <c r="E31" s="185"/>
      <c r="F31" s="185"/>
      <c r="G31" s="185">
        <f t="shared" si="3"/>
        <v>19774022.555</v>
      </c>
      <c r="H31" s="185">
        <f t="shared" ref="H31:I31" si="24">H19</f>
        <v>142.47</v>
      </c>
      <c r="I31" s="185">
        <f t="shared" si="24"/>
        <v>21.69</v>
      </c>
      <c r="J31" s="185">
        <v>31</v>
      </c>
      <c r="K31" s="187">
        <v>1</v>
      </c>
      <c r="L31" s="185">
        <v>17556</v>
      </c>
      <c r="M31" s="185">
        <f t="shared" si="4"/>
        <v>19795718.052797716</v>
      </c>
      <c r="N31" s="26">
        <f t="shared" si="0"/>
        <v>21695.497797716409</v>
      </c>
      <c r="O31" s="34">
        <f t="shared" si="1"/>
        <v>1.0971716926777022E-3</v>
      </c>
      <c r="P31" s="94">
        <f t="shared" si="5"/>
        <v>1.0971716926777022E-3</v>
      </c>
      <c r="Q31" s="95">
        <f t="shared" si="6"/>
        <v>470694624.69071758</v>
      </c>
      <c r="R31" s="95">
        <f t="shared" si="7"/>
        <v>1310500.9466375448</v>
      </c>
      <c r="S31" s="95">
        <f t="shared" si="8"/>
        <v>1717412731137.9009</v>
      </c>
      <c r="T31"/>
      <c r="U31" t="s">
        <v>35</v>
      </c>
      <c r="V31">
        <v>12437.660848219519</v>
      </c>
      <c r="W31">
        <v>474.90223220615917</v>
      </c>
      <c r="X31">
        <v>26.189939749157091</v>
      </c>
      <c r="Y31">
        <v>4.7363442603266242E-50</v>
      </c>
      <c r="Z31">
        <v>11496.883183927574</v>
      </c>
      <c r="AA31">
        <v>13378.438512511464</v>
      </c>
      <c r="AB31">
        <v>11496.883183927574</v>
      </c>
      <c r="AC31">
        <v>13378.438512511464</v>
      </c>
    </row>
    <row r="32" spans="1:34" x14ac:dyDescent="0.25">
      <c r="A32" s="183">
        <v>43281</v>
      </c>
      <c r="B32" s="185">
        <v>21054153.723000001</v>
      </c>
      <c r="C32" s="185"/>
      <c r="D32" s="185">
        <f t="shared" si="2"/>
        <v>21054153.723000001</v>
      </c>
      <c r="E32" s="185"/>
      <c r="F32" s="185"/>
      <c r="G32" s="185">
        <f t="shared" si="3"/>
        <v>21054153.723000001</v>
      </c>
      <c r="H32" s="185">
        <f t="shared" ref="H32:I32" si="25">H20</f>
        <v>19.93</v>
      </c>
      <c r="I32" s="185">
        <f t="shared" si="25"/>
        <v>77.789999999999992</v>
      </c>
      <c r="J32" s="185">
        <v>30</v>
      </c>
      <c r="K32" s="187">
        <v>0</v>
      </c>
      <c r="L32" s="185">
        <v>17628</v>
      </c>
      <c r="M32" s="185">
        <f t="shared" si="4"/>
        <v>21490381.831309907</v>
      </c>
      <c r="N32" s="26">
        <f t="shared" si="0"/>
        <v>436228.10830990598</v>
      </c>
      <c r="O32" s="34">
        <f t="shared" si="1"/>
        <v>2.0719337098472936E-2</v>
      </c>
      <c r="P32" s="94">
        <f t="shared" si="5"/>
        <v>2.0719337098472936E-2</v>
      </c>
      <c r="Q32" s="95">
        <f t="shared" si="6"/>
        <v>190294962479.63907</v>
      </c>
      <c r="R32" s="95">
        <f t="shared" si="7"/>
        <v>414532.61051218957</v>
      </c>
      <c r="S32" s="95">
        <f t="shared" si="8"/>
        <v>171837285178.05066</v>
      </c>
      <c r="T32"/>
      <c r="U32" t="s">
        <v>36</v>
      </c>
      <c r="V32">
        <v>48882.119685526668</v>
      </c>
      <c r="W32">
        <v>2390.0553348713956</v>
      </c>
      <c r="X32">
        <v>20.452296217717873</v>
      </c>
      <c r="Y32">
        <v>5.9797059111329595E-40</v>
      </c>
      <c r="Z32">
        <v>44147.438475410323</v>
      </c>
      <c r="AA32">
        <v>53616.800895643013</v>
      </c>
      <c r="AB32">
        <v>44147.438475410323</v>
      </c>
      <c r="AC32">
        <v>53616.800895643013</v>
      </c>
    </row>
    <row r="33" spans="1:29" x14ac:dyDescent="0.25">
      <c r="A33" s="183">
        <v>43312</v>
      </c>
      <c r="B33" s="185">
        <v>26045488.691000003</v>
      </c>
      <c r="C33" s="185"/>
      <c r="D33" s="185">
        <f t="shared" si="2"/>
        <v>26045488.691000003</v>
      </c>
      <c r="E33" s="185"/>
      <c r="F33" s="185"/>
      <c r="G33" s="185">
        <f t="shared" si="3"/>
        <v>26045488.691000003</v>
      </c>
      <c r="H33" s="185">
        <f t="shared" ref="H33:I33" si="26">H21</f>
        <v>0.48000000000000009</v>
      </c>
      <c r="I33" s="185">
        <f t="shared" si="26"/>
        <v>154.26</v>
      </c>
      <c r="J33" s="185">
        <v>31</v>
      </c>
      <c r="K33" s="187">
        <v>0</v>
      </c>
      <c r="L33" s="185">
        <v>17635</v>
      </c>
      <c r="M33" s="185">
        <f t="shared" si="4"/>
        <v>25608513.966098789</v>
      </c>
      <c r="N33" s="26">
        <f t="shared" si="0"/>
        <v>-436974.72490121424</v>
      </c>
      <c r="O33" s="34">
        <f t="shared" si="1"/>
        <v>-1.6777367093603834E-2</v>
      </c>
      <c r="P33" s="94">
        <f t="shared" si="5"/>
        <v>1.6777367093603834E-2</v>
      </c>
      <c r="Q33" s="95">
        <f t="shared" si="6"/>
        <v>190946910202.49185</v>
      </c>
      <c r="R33" s="95">
        <f t="shared" si="7"/>
        <v>-873202.83321112022</v>
      </c>
      <c r="S33" s="95">
        <f t="shared" si="8"/>
        <v>762483187927.92749</v>
      </c>
      <c r="T33"/>
      <c r="U33" t="s">
        <v>37</v>
      </c>
      <c r="V33">
        <v>615356.84045318293</v>
      </c>
      <c r="W33">
        <v>81968.296385343012</v>
      </c>
      <c r="X33">
        <v>7.507254238398648</v>
      </c>
      <c r="Y33">
        <v>1.4496032448192719E-11</v>
      </c>
      <c r="Z33">
        <v>452978.27663561597</v>
      </c>
      <c r="AA33">
        <v>777735.40427074989</v>
      </c>
      <c r="AB33">
        <v>452978.27663561597</v>
      </c>
      <c r="AC33">
        <v>777735.40427074989</v>
      </c>
    </row>
    <row r="34" spans="1:29" x14ac:dyDescent="0.25">
      <c r="A34" s="183">
        <v>43343</v>
      </c>
      <c r="B34" s="185">
        <v>25645894.579999998</v>
      </c>
      <c r="C34" s="185"/>
      <c r="D34" s="185">
        <f t="shared" si="2"/>
        <v>25645894.579999998</v>
      </c>
      <c r="E34" s="185"/>
      <c r="F34" s="185"/>
      <c r="G34" s="185">
        <f t="shared" si="3"/>
        <v>25645894.579999998</v>
      </c>
      <c r="H34" s="185">
        <f t="shared" ref="H34:I34" si="27">H22</f>
        <v>4.46</v>
      </c>
      <c r="I34" s="185">
        <f t="shared" si="27"/>
        <v>127.12</v>
      </c>
      <c r="J34" s="185">
        <v>31</v>
      </c>
      <c r="K34" s="187">
        <v>0</v>
      </c>
      <c r="L34" s="185">
        <v>17692</v>
      </c>
      <c r="M34" s="185">
        <f t="shared" si="4"/>
        <v>24385685.129786178</v>
      </c>
      <c r="N34" s="26">
        <f t="shared" si="0"/>
        <v>-1260209.4502138197</v>
      </c>
      <c r="O34" s="34">
        <f t="shared" si="1"/>
        <v>-4.9138837652268778E-2</v>
      </c>
      <c r="P34" s="94">
        <f t="shared" si="5"/>
        <v>4.9138837652268778E-2</v>
      </c>
      <c r="Q34" s="95">
        <f t="shared" si="6"/>
        <v>1588127858408.2178</v>
      </c>
      <c r="R34" s="95">
        <f t="shared" si="7"/>
        <v>-823234.7253126055</v>
      </c>
      <c r="S34" s="95">
        <f t="shared" si="8"/>
        <v>677715412960.521</v>
      </c>
      <c r="T34"/>
      <c r="U34" t="s">
        <v>38</v>
      </c>
      <c r="V34">
        <v>-1023217.2942828839</v>
      </c>
      <c r="W34">
        <v>179897.2028094636</v>
      </c>
      <c r="X34">
        <v>-5.6877887943961785</v>
      </c>
      <c r="Y34">
        <v>1.0092333532819154E-7</v>
      </c>
      <c r="Z34">
        <v>-1379592.2674758325</v>
      </c>
      <c r="AA34">
        <v>-666842.32108993526</v>
      </c>
      <c r="AB34">
        <v>-1379592.2674758325</v>
      </c>
      <c r="AC34">
        <v>-666842.32108993526</v>
      </c>
    </row>
    <row r="35" spans="1:29" ht="13.8" thickBot="1" x14ac:dyDescent="0.3">
      <c r="A35" s="183">
        <v>43373</v>
      </c>
      <c r="B35" s="185">
        <v>21607296.151000001</v>
      </c>
      <c r="C35" s="185"/>
      <c r="D35" s="185">
        <f t="shared" si="2"/>
        <v>21607296.151000001</v>
      </c>
      <c r="E35" s="185"/>
      <c r="F35" s="185"/>
      <c r="G35" s="185">
        <f t="shared" si="3"/>
        <v>21607296.151000001</v>
      </c>
      <c r="H35" s="185">
        <f t="shared" ref="H35:I35" si="28">H23</f>
        <v>37.730000000000004</v>
      </c>
      <c r="I35" s="185">
        <f t="shared" si="28"/>
        <v>47.269999999999996</v>
      </c>
      <c r="J35" s="185">
        <v>30</v>
      </c>
      <c r="K35" s="187">
        <v>1</v>
      </c>
      <c r="L35" s="185">
        <v>17722</v>
      </c>
      <c r="M35" s="185">
        <f t="shared" si="4"/>
        <v>19286269.452358261</v>
      </c>
      <c r="N35" s="26">
        <f t="shared" si="0"/>
        <v>-2321026.6986417398</v>
      </c>
      <c r="O35" s="34">
        <f t="shared" si="1"/>
        <v>-0.10741865536629493</v>
      </c>
      <c r="P35" s="94">
        <f t="shared" si="5"/>
        <v>0.10741865536629493</v>
      </c>
      <c r="Q35" s="95">
        <f t="shared" si="6"/>
        <v>5387164935807.7734</v>
      </c>
      <c r="R35" s="95">
        <f t="shared" si="7"/>
        <v>-1060817.24842792</v>
      </c>
      <c r="S35" s="95">
        <f t="shared" si="8"/>
        <v>1125333234562.1833</v>
      </c>
      <c r="T35"/>
      <c r="U35" s="120" t="s">
        <v>39</v>
      </c>
      <c r="V35" s="120">
        <v>953.15792590645287</v>
      </c>
      <c r="W35" s="120">
        <v>25.591572904300001</v>
      </c>
      <c r="X35" s="120">
        <v>37.244991914752504</v>
      </c>
      <c r="Y35" s="120">
        <v>1.1916020313913063E-65</v>
      </c>
      <c r="Z35" s="120">
        <v>902.4612170899469</v>
      </c>
      <c r="AA35" s="120">
        <v>1003.8546347229588</v>
      </c>
      <c r="AB35" s="120">
        <v>902.4612170899469</v>
      </c>
      <c r="AC35" s="120">
        <v>1003.8546347229588</v>
      </c>
    </row>
    <row r="36" spans="1:29" x14ac:dyDescent="0.25">
      <c r="A36" s="183">
        <v>43404</v>
      </c>
      <c r="B36" s="185">
        <v>21087346.497000001</v>
      </c>
      <c r="C36" s="185"/>
      <c r="D36" s="185">
        <f t="shared" si="2"/>
        <v>21087346.497000001</v>
      </c>
      <c r="E36" s="185"/>
      <c r="F36" s="185"/>
      <c r="G36" s="185">
        <f t="shared" si="3"/>
        <v>21087346.497000001</v>
      </c>
      <c r="H36" s="185">
        <f t="shared" ref="H36:I36" si="29">H24</f>
        <v>211.34</v>
      </c>
      <c r="I36" s="185">
        <f t="shared" si="29"/>
        <v>6.6</v>
      </c>
      <c r="J36" s="185">
        <v>31</v>
      </c>
      <c r="K36" s="187">
        <v>1</v>
      </c>
      <c r="L36" s="185">
        <v>17815</v>
      </c>
      <c r="M36" s="185">
        <f t="shared" si="4"/>
        <v>20161536.472169764</v>
      </c>
      <c r="N36" s="26">
        <f t="shared" si="0"/>
        <v>-925810.02483023703</v>
      </c>
      <c r="O36" s="34">
        <f t="shared" si="1"/>
        <v>-4.3903580991659988E-2</v>
      </c>
      <c r="P36" s="94">
        <f t="shared" si="5"/>
        <v>4.3903580991659988E-2</v>
      </c>
      <c r="Q36" s="95">
        <f t="shared" si="6"/>
        <v>857124202076.16406</v>
      </c>
      <c r="R36" s="95">
        <f t="shared" si="7"/>
        <v>1395216.6738115028</v>
      </c>
      <c r="S36" s="95">
        <f t="shared" si="8"/>
        <v>1946629566881.6333</v>
      </c>
      <c r="T36"/>
    </row>
    <row r="37" spans="1:29" x14ac:dyDescent="0.25">
      <c r="A37" s="183">
        <v>43434</v>
      </c>
      <c r="B37" s="185">
        <v>23149553.112999998</v>
      </c>
      <c r="C37" s="185"/>
      <c r="D37" s="185">
        <f t="shared" si="2"/>
        <v>23149553.112999998</v>
      </c>
      <c r="E37" s="185"/>
      <c r="F37" s="185"/>
      <c r="G37" s="185">
        <f t="shared" si="3"/>
        <v>23149553.112999998</v>
      </c>
      <c r="H37" s="185">
        <f t="shared" ref="H37:I37" si="30">H25</f>
        <v>409.7299999999999</v>
      </c>
      <c r="I37" s="185">
        <f t="shared" si="30"/>
        <v>0.26</v>
      </c>
      <c r="J37" s="185">
        <v>30</v>
      </c>
      <c r="K37" s="187">
        <v>1</v>
      </c>
      <c r="L37" s="185">
        <v>17906</v>
      </c>
      <c r="M37" s="185">
        <f t="shared" si="4"/>
        <v>21790511.899846099</v>
      </c>
      <c r="N37" s="26">
        <f t="shared" si="0"/>
        <v>-1359041.2131538987</v>
      </c>
      <c r="O37" s="34">
        <f t="shared" si="1"/>
        <v>-5.8707017216272209E-2</v>
      </c>
      <c r="P37" s="94">
        <f t="shared" si="5"/>
        <v>5.8707017216272209E-2</v>
      </c>
      <c r="Q37" s="95">
        <f t="shared" si="6"/>
        <v>1846993019050.8208</v>
      </c>
      <c r="R37" s="95">
        <f t="shared" si="7"/>
        <v>-433231.18832366168</v>
      </c>
      <c r="S37" s="95">
        <f t="shared" si="8"/>
        <v>187689262536.33203</v>
      </c>
      <c r="T37"/>
    </row>
    <row r="38" spans="1:29" x14ac:dyDescent="0.25">
      <c r="A38" s="183">
        <v>43465</v>
      </c>
      <c r="B38" s="185">
        <v>25358955.434999999</v>
      </c>
      <c r="C38" s="185"/>
      <c r="D38" s="185">
        <f t="shared" si="2"/>
        <v>25358955.434999999</v>
      </c>
      <c r="E38" s="185"/>
      <c r="F38" s="185"/>
      <c r="G38" s="185">
        <f t="shared" si="3"/>
        <v>25358955.434999999</v>
      </c>
      <c r="H38" s="185">
        <f t="shared" ref="H38:I38" si="31">H26</f>
        <v>577.68000000000006</v>
      </c>
      <c r="I38" s="185">
        <f t="shared" si="31"/>
        <v>0</v>
      </c>
      <c r="J38" s="185">
        <v>31</v>
      </c>
      <c r="K38" s="187">
        <v>0</v>
      </c>
      <c r="L38" s="185">
        <v>18164</v>
      </c>
      <c r="M38" s="185">
        <f t="shared" si="4"/>
        <v>25751196.567806266</v>
      </c>
      <c r="N38" s="26">
        <f t="shared" si="0"/>
        <v>392241.13280626759</v>
      </c>
      <c r="O38" s="34">
        <f t="shared" si="1"/>
        <v>1.5467558741197323E-2</v>
      </c>
      <c r="P38" s="94">
        <f t="shared" si="5"/>
        <v>1.5467558741197323E-2</v>
      </c>
      <c r="Q38" s="95">
        <f t="shared" si="6"/>
        <v>153853106265.14404</v>
      </c>
      <c r="R38" s="95">
        <f t="shared" si="7"/>
        <v>1751282.3459601663</v>
      </c>
      <c r="S38" s="95">
        <f t="shared" si="8"/>
        <v>3066989855271.7437</v>
      </c>
      <c r="T38"/>
    </row>
    <row r="39" spans="1:29" x14ac:dyDescent="0.25">
      <c r="A39" s="183">
        <v>43496</v>
      </c>
      <c r="B39" s="185">
        <v>27894969.359999999</v>
      </c>
      <c r="C39" s="185"/>
      <c r="D39" s="185">
        <f t="shared" si="2"/>
        <v>27894969.359999999</v>
      </c>
      <c r="E39" s="185"/>
      <c r="F39" s="185"/>
      <c r="G39" s="185">
        <f t="shared" si="3"/>
        <v>27894969.359999999</v>
      </c>
      <c r="H39" s="185">
        <f t="shared" ref="H39:I39" si="32">H27</f>
        <v>667.41000000000008</v>
      </c>
      <c r="I39" s="185">
        <f t="shared" si="32"/>
        <v>0</v>
      </c>
      <c r="J39" s="185">
        <v>31</v>
      </c>
      <c r="K39" s="187">
        <v>0</v>
      </c>
      <c r="L39" s="185">
        <v>18298</v>
      </c>
      <c r="M39" s="185">
        <f t="shared" si="4"/>
        <v>26994951.037788466</v>
      </c>
      <c r="N39" s="26">
        <f t="shared" si="0"/>
        <v>-900018.32221153378</v>
      </c>
      <c r="O39" s="34">
        <f t="shared" si="1"/>
        <v>-3.2264538834809238E-2</v>
      </c>
      <c r="P39" s="94">
        <f t="shared" si="5"/>
        <v>3.2264538834809238E-2</v>
      </c>
      <c r="Q39" s="95">
        <f t="shared" si="6"/>
        <v>810032980316.46423</v>
      </c>
      <c r="R39" s="95">
        <f t="shared" si="7"/>
        <v>-1292259.4550178014</v>
      </c>
      <c r="S39" s="95">
        <f t="shared" si="8"/>
        <v>1669934499082.905</v>
      </c>
      <c r="T39"/>
      <c r="U39" s="36" t="s">
        <v>193</v>
      </c>
      <c r="V39" s="101">
        <f>P123</f>
        <v>3.5468927306021074E-2</v>
      </c>
    </row>
    <row r="40" spans="1:29" x14ac:dyDescent="0.25">
      <c r="A40" s="183">
        <v>43524</v>
      </c>
      <c r="B40" s="185">
        <v>24435650.726</v>
      </c>
      <c r="C40" s="185"/>
      <c r="D40" s="185">
        <f t="shared" si="2"/>
        <v>24435650.726</v>
      </c>
      <c r="E40" s="185"/>
      <c r="F40" s="185"/>
      <c r="G40" s="185">
        <f t="shared" si="3"/>
        <v>24435650.726</v>
      </c>
      <c r="H40" s="185">
        <f t="shared" ref="H40:I40" si="33">H28</f>
        <v>577.75</v>
      </c>
      <c r="I40" s="185">
        <f t="shared" si="33"/>
        <v>0</v>
      </c>
      <c r="J40" s="185">
        <v>28</v>
      </c>
      <c r="K40" s="187">
        <v>0</v>
      </c>
      <c r="L40" s="185">
        <v>18380</v>
      </c>
      <c r="M40" s="185">
        <f t="shared" si="4"/>
        <v>24111878.794701882</v>
      </c>
      <c r="N40" s="26">
        <f t="shared" si="0"/>
        <v>-323771.93129811808</v>
      </c>
      <c r="O40" s="34">
        <f t="shared" si="1"/>
        <v>-1.3249981959908215E-2</v>
      </c>
      <c r="P40" s="94">
        <f t="shared" si="5"/>
        <v>1.3249981959908215E-2</v>
      </c>
      <c r="Q40" s="95">
        <f t="shared" si="6"/>
        <v>104828263496.51329</v>
      </c>
      <c r="R40" s="95">
        <f t="shared" si="7"/>
        <v>576246.3909134157</v>
      </c>
      <c r="S40" s="95">
        <f t="shared" si="8"/>
        <v>332059903040.73712</v>
      </c>
      <c r="T40"/>
    </row>
    <row r="41" spans="1:29" x14ac:dyDescent="0.25">
      <c r="A41" s="183">
        <v>43555</v>
      </c>
      <c r="B41" s="185">
        <v>25143357.008000001</v>
      </c>
      <c r="C41" s="185"/>
      <c r="D41" s="185">
        <f t="shared" si="2"/>
        <v>25143357.008000001</v>
      </c>
      <c r="E41" s="185"/>
      <c r="F41" s="185"/>
      <c r="G41" s="185">
        <f t="shared" si="3"/>
        <v>25143357.008000001</v>
      </c>
      <c r="H41" s="185">
        <f t="shared" ref="H41:I41" si="34">H29</f>
        <v>510.25</v>
      </c>
      <c r="I41" s="185">
        <f t="shared" si="34"/>
        <v>0</v>
      </c>
      <c r="J41" s="185">
        <v>31</v>
      </c>
      <c r="K41" s="187">
        <v>1</v>
      </c>
      <c r="L41" s="185">
        <v>18471</v>
      </c>
      <c r="M41" s="185">
        <f t="shared" si="4"/>
        <v>24181927.28578122</v>
      </c>
      <c r="N41" s="26">
        <f t="shared" si="0"/>
        <v>-961429.72221878171</v>
      </c>
      <c r="O41" s="34">
        <f t="shared" si="1"/>
        <v>-3.8237921925575742E-2</v>
      </c>
      <c r="P41" s="94">
        <f t="shared" si="5"/>
        <v>3.8237921925575742E-2</v>
      </c>
      <c r="Q41" s="95">
        <f t="shared" si="6"/>
        <v>924347110765.68372</v>
      </c>
      <c r="R41" s="95">
        <f t="shared" si="7"/>
        <v>-637657.79092066363</v>
      </c>
      <c r="S41" s="95">
        <f t="shared" si="8"/>
        <v>406607458321.82074</v>
      </c>
      <c r="T41"/>
      <c r="U41" t="s">
        <v>194</v>
      </c>
      <c r="V41" s="99">
        <f>S123</f>
        <v>1770048330137.6411</v>
      </c>
    </row>
    <row r="42" spans="1:29" x14ac:dyDescent="0.25">
      <c r="A42" s="183">
        <v>43585</v>
      </c>
      <c r="B42" s="185">
        <v>21419957.239</v>
      </c>
      <c r="C42" s="185"/>
      <c r="D42" s="185">
        <f t="shared" si="2"/>
        <v>21419957.239</v>
      </c>
      <c r="E42" s="185"/>
      <c r="F42" s="185"/>
      <c r="G42" s="185">
        <f t="shared" si="3"/>
        <v>21419957.239</v>
      </c>
      <c r="H42" s="185">
        <f t="shared" ref="H42:I42" si="35">H30</f>
        <v>329.05999999999995</v>
      </c>
      <c r="I42" s="185">
        <f t="shared" si="35"/>
        <v>0.71</v>
      </c>
      <c r="J42" s="185">
        <v>30</v>
      </c>
      <c r="K42" s="187">
        <v>1</v>
      </c>
      <c r="L42" s="185">
        <v>18480</v>
      </c>
      <c r="M42" s="185">
        <f t="shared" si="4"/>
        <v>21356275.402549021</v>
      </c>
      <c r="N42" s="26">
        <f t="shared" si="0"/>
        <v>-63681.836450979114</v>
      </c>
      <c r="O42" s="34">
        <f t="shared" si="1"/>
        <v>-2.9730141727375421E-3</v>
      </c>
      <c r="P42" s="94">
        <f t="shared" si="5"/>
        <v>2.9730141727375421E-3</v>
      </c>
      <c r="Q42" s="95">
        <f t="shared" si="6"/>
        <v>4055376293.7692523</v>
      </c>
      <c r="R42" s="95">
        <f t="shared" si="7"/>
        <v>897747.8857678026</v>
      </c>
      <c r="S42" s="95">
        <f t="shared" si="8"/>
        <v>805951266400.55957</v>
      </c>
      <c r="T42"/>
      <c r="U42" t="s">
        <v>195</v>
      </c>
      <c r="V42" s="99">
        <f>Q123</f>
        <v>1188904486911.8809</v>
      </c>
    </row>
    <row r="43" spans="1:29" x14ac:dyDescent="0.25">
      <c r="A43" s="183">
        <v>43616</v>
      </c>
      <c r="B43" s="185">
        <v>20126479.741</v>
      </c>
      <c r="C43" s="185"/>
      <c r="D43" s="185">
        <f t="shared" si="2"/>
        <v>20126479.741</v>
      </c>
      <c r="E43" s="185"/>
      <c r="F43" s="185"/>
      <c r="G43" s="185">
        <f t="shared" si="3"/>
        <v>20126479.741</v>
      </c>
      <c r="H43" s="185">
        <f t="shared" ref="H43:I43" si="36">H31</f>
        <v>142.47</v>
      </c>
      <c r="I43" s="185">
        <f t="shared" si="36"/>
        <v>21.69</v>
      </c>
      <c r="J43" s="185">
        <v>31</v>
      </c>
      <c r="K43" s="187">
        <v>1</v>
      </c>
      <c r="L43" s="185">
        <v>18492</v>
      </c>
      <c r="M43" s="185">
        <f t="shared" si="4"/>
        <v>20687873.871446155</v>
      </c>
      <c r="N43" s="26">
        <f t="shared" si="0"/>
        <v>561394.13044615462</v>
      </c>
      <c r="O43" s="34">
        <f t="shared" si="1"/>
        <v>2.789330959365581E-2</v>
      </c>
      <c r="P43" s="94">
        <f t="shared" si="5"/>
        <v>2.789330959365581E-2</v>
      </c>
      <c r="Q43" s="95">
        <f t="shared" si="6"/>
        <v>315163369699.3941</v>
      </c>
      <c r="R43" s="95">
        <f t="shared" si="7"/>
        <v>625075.96689713374</v>
      </c>
      <c r="S43" s="95">
        <f t="shared" si="8"/>
        <v>390719964392.38666</v>
      </c>
      <c r="T43"/>
    </row>
    <row r="44" spans="1:29" x14ac:dyDescent="0.25">
      <c r="A44" s="183">
        <v>43646</v>
      </c>
      <c r="B44" s="185">
        <v>20273580.334999997</v>
      </c>
      <c r="C44" s="185"/>
      <c r="D44" s="185">
        <f t="shared" si="2"/>
        <v>20273580.334999997</v>
      </c>
      <c r="E44" s="185"/>
      <c r="F44" s="185"/>
      <c r="G44" s="185">
        <f t="shared" si="3"/>
        <v>20273580.334999997</v>
      </c>
      <c r="H44" s="185">
        <f t="shared" ref="H44:I44" si="37">H32</f>
        <v>19.93</v>
      </c>
      <c r="I44" s="185">
        <f t="shared" si="37"/>
        <v>77.789999999999992</v>
      </c>
      <c r="J44" s="185">
        <v>30</v>
      </c>
      <c r="K44" s="187">
        <v>0</v>
      </c>
      <c r="L44" s="185">
        <v>18504</v>
      </c>
      <c r="M44" s="185">
        <f t="shared" si="4"/>
        <v>22325348.174403958</v>
      </c>
      <c r="N44" s="26">
        <f t="shared" si="0"/>
        <v>2051767.8394039609</v>
      </c>
      <c r="O44" s="34">
        <f t="shared" si="1"/>
        <v>0.10120402047889984</v>
      </c>
      <c r="P44" s="94">
        <f t="shared" si="5"/>
        <v>0.10120402047889984</v>
      </c>
      <c r="Q44" s="95">
        <f t="shared" si="6"/>
        <v>4209751266812.3975</v>
      </c>
      <c r="R44" s="95">
        <f t="shared" si="7"/>
        <v>1490373.7089578062</v>
      </c>
      <c r="S44" s="95">
        <f t="shared" si="8"/>
        <v>2221213792352.6479</v>
      </c>
      <c r="T44"/>
      <c r="U44" t="s">
        <v>196</v>
      </c>
      <c r="V44" s="102">
        <f>V41/V42</f>
        <v>1.488806165359214</v>
      </c>
    </row>
    <row r="45" spans="1:29" x14ac:dyDescent="0.25">
      <c r="A45" s="183">
        <v>43677</v>
      </c>
      <c r="B45" s="185">
        <v>26858420.012999997</v>
      </c>
      <c r="C45" s="185"/>
      <c r="D45" s="185">
        <f t="shared" si="2"/>
        <v>26858420.012999997</v>
      </c>
      <c r="E45" s="185"/>
      <c r="F45" s="185"/>
      <c r="G45" s="185">
        <f t="shared" si="3"/>
        <v>26858420.012999997</v>
      </c>
      <c r="H45" s="185">
        <f t="shared" ref="H45:I45" si="38">H33</f>
        <v>0.48000000000000009</v>
      </c>
      <c r="I45" s="185">
        <f t="shared" si="38"/>
        <v>154.26</v>
      </c>
      <c r="J45" s="185">
        <v>31</v>
      </c>
      <c r="K45" s="187">
        <v>0</v>
      </c>
      <c r="L45" s="185">
        <v>18534</v>
      </c>
      <c r="M45" s="185">
        <f t="shared" si="4"/>
        <v>26465402.941488691</v>
      </c>
      <c r="N45" s="26">
        <f t="shared" si="0"/>
        <v>-393017.07151130587</v>
      </c>
      <c r="O45" s="34">
        <f t="shared" si="1"/>
        <v>-1.4632918515723485E-2</v>
      </c>
      <c r="P45" s="94">
        <f t="shared" si="5"/>
        <v>1.4632918515723485E-2</v>
      </c>
      <c r="Q45" s="95">
        <f t="shared" si="6"/>
        <v>154462418499.32291</v>
      </c>
      <c r="R45" s="95">
        <f t="shared" si="7"/>
        <v>-2444784.9109152667</v>
      </c>
      <c r="S45" s="95">
        <f t="shared" si="8"/>
        <v>5976973260638.9688</v>
      </c>
      <c r="T45"/>
    </row>
    <row r="46" spans="1:29" x14ac:dyDescent="0.25">
      <c r="A46" s="183">
        <v>43708</v>
      </c>
      <c r="B46" s="185">
        <v>23828311.434</v>
      </c>
      <c r="C46" s="185"/>
      <c r="D46" s="185">
        <f t="shared" si="2"/>
        <v>23828311.434</v>
      </c>
      <c r="E46" s="185"/>
      <c r="F46" s="185"/>
      <c r="G46" s="185">
        <f t="shared" si="3"/>
        <v>23828311.434</v>
      </c>
      <c r="H46" s="185">
        <f t="shared" ref="H46:I46" si="39">H34</f>
        <v>4.46</v>
      </c>
      <c r="I46" s="185">
        <f t="shared" si="39"/>
        <v>127.12</v>
      </c>
      <c r="J46" s="185">
        <v>31</v>
      </c>
      <c r="K46" s="187">
        <v>0</v>
      </c>
      <c r="L46" s="185">
        <v>18540</v>
      </c>
      <c r="M46" s="185">
        <f t="shared" si="4"/>
        <v>25193963.050954849</v>
      </c>
      <c r="N46" s="26">
        <f t="shared" si="0"/>
        <v>1365651.6169548482</v>
      </c>
      <c r="O46" s="34">
        <f t="shared" si="1"/>
        <v>5.7312144032423351E-2</v>
      </c>
      <c r="P46" s="94">
        <f t="shared" si="5"/>
        <v>5.7312144032423351E-2</v>
      </c>
      <c r="Q46" s="95">
        <f t="shared" si="6"/>
        <v>1865004338891.3914</v>
      </c>
      <c r="R46" s="95">
        <f t="shared" si="7"/>
        <v>1758668.688466154</v>
      </c>
      <c r="S46" s="95">
        <f t="shared" si="8"/>
        <v>3092915555791.2622</v>
      </c>
      <c r="T46"/>
    </row>
    <row r="47" spans="1:29" x14ac:dyDescent="0.25">
      <c r="A47" s="183">
        <v>43738</v>
      </c>
      <c r="B47" s="185">
        <v>19656048.893999998</v>
      </c>
      <c r="C47" s="185"/>
      <c r="D47" s="185">
        <f t="shared" si="2"/>
        <v>19656048.893999998</v>
      </c>
      <c r="E47" s="185"/>
      <c r="F47" s="185"/>
      <c r="G47" s="185">
        <f t="shared" si="3"/>
        <v>19656048.893999998</v>
      </c>
      <c r="H47" s="185">
        <f t="shared" ref="H47:I47" si="40">H35</f>
        <v>37.730000000000004</v>
      </c>
      <c r="I47" s="185">
        <f t="shared" si="40"/>
        <v>47.269999999999996</v>
      </c>
      <c r="J47" s="185">
        <v>30</v>
      </c>
      <c r="K47" s="187">
        <v>1</v>
      </c>
      <c r="L47" s="185">
        <v>18551</v>
      </c>
      <c r="M47" s="185">
        <f t="shared" si="4"/>
        <v>20076437.37293471</v>
      </c>
      <c r="N47" s="26">
        <f t="shared" si="0"/>
        <v>420388.47893471271</v>
      </c>
      <c r="O47" s="34">
        <f t="shared" si="1"/>
        <v>2.1387232052675457E-2</v>
      </c>
      <c r="P47" s="94">
        <f t="shared" si="5"/>
        <v>2.1387232052675457E-2</v>
      </c>
      <c r="Q47" s="95">
        <f t="shared" si="6"/>
        <v>176726473221.04138</v>
      </c>
      <c r="R47" s="95">
        <f t="shared" si="7"/>
        <v>-945263.13802013546</v>
      </c>
      <c r="S47" s="95">
        <f t="shared" si="8"/>
        <v>893522400099.67371</v>
      </c>
      <c r="T47"/>
    </row>
    <row r="48" spans="1:29" x14ac:dyDescent="0.25">
      <c r="A48" s="183">
        <v>43769</v>
      </c>
      <c r="B48" s="185">
        <v>20804823.366999999</v>
      </c>
      <c r="C48" s="185"/>
      <c r="D48" s="185">
        <f t="shared" si="2"/>
        <v>20804823.366999999</v>
      </c>
      <c r="E48" s="185"/>
      <c r="F48" s="185"/>
      <c r="G48" s="185">
        <f t="shared" si="3"/>
        <v>20804823.366999999</v>
      </c>
      <c r="H48" s="185">
        <f t="shared" ref="H48:I48" si="41">H36</f>
        <v>211.34</v>
      </c>
      <c r="I48" s="185">
        <f t="shared" si="41"/>
        <v>6.6</v>
      </c>
      <c r="J48" s="185">
        <v>31</v>
      </c>
      <c r="K48" s="187">
        <v>1</v>
      </c>
      <c r="L48" s="185">
        <v>18559</v>
      </c>
      <c r="M48" s="185">
        <f t="shared" si="4"/>
        <v>20870685.969044168</v>
      </c>
      <c r="N48" s="26">
        <f t="shared" si="0"/>
        <v>65862.60204416886</v>
      </c>
      <c r="O48" s="34">
        <f t="shared" si="1"/>
        <v>3.1657371409669448E-3</v>
      </c>
      <c r="P48" s="94">
        <f t="shared" si="5"/>
        <v>3.1657371409669448E-3</v>
      </c>
      <c r="Q48" s="95">
        <f t="shared" si="6"/>
        <v>4337882348.0285559</v>
      </c>
      <c r="R48" s="95">
        <f t="shared" si="7"/>
        <v>-354525.87689054385</v>
      </c>
      <c r="S48" s="95">
        <f t="shared" si="8"/>
        <v>125688597385.00905</v>
      </c>
      <c r="T48"/>
    </row>
    <row r="49" spans="1:20" x14ac:dyDescent="0.25">
      <c r="A49" s="183">
        <v>43799</v>
      </c>
      <c r="B49" s="185">
        <v>23741040.090999998</v>
      </c>
      <c r="C49" s="185"/>
      <c r="D49" s="185">
        <f t="shared" si="2"/>
        <v>23741040.090999998</v>
      </c>
      <c r="E49" s="185"/>
      <c r="F49" s="185"/>
      <c r="G49" s="185">
        <f t="shared" si="3"/>
        <v>23741040.090999998</v>
      </c>
      <c r="H49" s="185">
        <f t="shared" ref="H49:I49" si="42">H37</f>
        <v>409.7299999999999</v>
      </c>
      <c r="I49" s="185">
        <f t="shared" si="42"/>
        <v>0.26</v>
      </c>
      <c r="J49" s="185">
        <v>30</v>
      </c>
      <c r="K49" s="187">
        <v>1</v>
      </c>
      <c r="L49" s="185">
        <v>18576</v>
      </c>
      <c r="M49" s="185">
        <f t="shared" si="4"/>
        <v>22429127.710203424</v>
      </c>
      <c r="N49" s="26">
        <f t="shared" si="0"/>
        <v>-1311912.3807965741</v>
      </c>
      <c r="O49" s="34">
        <f t="shared" si="1"/>
        <v>-5.5259263105912011E-2</v>
      </c>
      <c r="P49" s="94">
        <f t="shared" si="5"/>
        <v>5.5259263105912011E-2</v>
      </c>
      <c r="Q49" s="95">
        <f t="shared" si="6"/>
        <v>1721114094887.3352</v>
      </c>
      <c r="R49" s="95">
        <f t="shared" si="7"/>
        <v>-1377774.9828407429</v>
      </c>
      <c r="S49" s="95">
        <f t="shared" si="8"/>
        <v>1898263903341.8093</v>
      </c>
      <c r="T49"/>
    </row>
    <row r="50" spans="1:20" x14ac:dyDescent="0.25">
      <c r="A50" s="183">
        <v>43830</v>
      </c>
      <c r="B50" s="185">
        <v>26398898.682</v>
      </c>
      <c r="C50" s="185"/>
      <c r="D50" s="185">
        <f t="shared" si="2"/>
        <v>26398898.682</v>
      </c>
      <c r="E50" s="185"/>
      <c r="F50" s="185"/>
      <c r="G50" s="185">
        <f t="shared" si="3"/>
        <v>26398898.682</v>
      </c>
      <c r="H50" s="185">
        <f t="shared" ref="H50:I50" si="43">H38</f>
        <v>577.68000000000006</v>
      </c>
      <c r="I50" s="185">
        <f t="shared" si="43"/>
        <v>0</v>
      </c>
      <c r="J50" s="185">
        <v>31</v>
      </c>
      <c r="K50" s="187">
        <v>0</v>
      </c>
      <c r="L50" s="185">
        <v>18633</v>
      </c>
      <c r="M50" s="185">
        <f t="shared" si="4"/>
        <v>26198227.635056391</v>
      </c>
      <c r="N50" s="26">
        <f t="shared" si="0"/>
        <v>-200671.04694360867</v>
      </c>
      <c r="O50" s="34">
        <f t="shared" si="1"/>
        <v>-7.6014931289703968E-3</v>
      </c>
      <c r="P50" s="94">
        <f t="shared" si="5"/>
        <v>7.6014931289703968E-3</v>
      </c>
      <c r="Q50" s="95">
        <f t="shared" si="6"/>
        <v>40268869081.443993</v>
      </c>
      <c r="R50" s="95">
        <f t="shared" si="7"/>
        <v>1111241.3338529654</v>
      </c>
      <c r="S50" s="95">
        <f t="shared" si="8"/>
        <v>1234857302063.3176</v>
      </c>
      <c r="T50"/>
    </row>
    <row r="51" spans="1:20" x14ac:dyDescent="0.25">
      <c r="A51" s="183">
        <v>43861</v>
      </c>
      <c r="B51" s="185">
        <v>26523401.686000001</v>
      </c>
      <c r="C51" s="185"/>
      <c r="D51" s="185">
        <f t="shared" si="2"/>
        <v>26523401.686000001</v>
      </c>
      <c r="E51" s="185"/>
      <c r="F51" s="185"/>
      <c r="G51" s="185">
        <f t="shared" si="3"/>
        <v>26523401.686000001</v>
      </c>
      <c r="H51" s="185">
        <f t="shared" ref="H51:I51" si="44">H39</f>
        <v>667.41000000000008</v>
      </c>
      <c r="I51" s="185">
        <f t="shared" si="44"/>
        <v>0</v>
      </c>
      <c r="J51" s="185">
        <v>31</v>
      </c>
      <c r="K51" s="187">
        <v>0</v>
      </c>
      <c r="L51" s="185">
        <v>18668</v>
      </c>
      <c r="M51" s="185">
        <f t="shared" si="4"/>
        <v>27347619.470373854</v>
      </c>
      <c r="N51" s="26">
        <f t="shared" si="0"/>
        <v>824217.78437385336</v>
      </c>
      <c r="O51" s="34">
        <f t="shared" si="1"/>
        <v>3.1075116010059335E-2</v>
      </c>
      <c r="P51" s="94">
        <f t="shared" si="5"/>
        <v>3.1075116010059335E-2</v>
      </c>
      <c r="Q51" s="95">
        <f t="shared" si="6"/>
        <v>679334956078.1438</v>
      </c>
      <c r="R51" s="95">
        <f t="shared" si="7"/>
        <v>1024888.831317462</v>
      </c>
      <c r="S51" s="95">
        <f t="shared" si="8"/>
        <v>1050397116559.2732</v>
      </c>
      <c r="T51"/>
    </row>
    <row r="52" spans="1:20" x14ac:dyDescent="0.25">
      <c r="A52" s="183">
        <v>43890</v>
      </c>
      <c r="B52" s="185">
        <v>24898397.280999999</v>
      </c>
      <c r="C52" s="185"/>
      <c r="D52" s="185">
        <f t="shared" si="2"/>
        <v>24898397.280999999</v>
      </c>
      <c r="E52" s="185"/>
      <c r="F52" s="185"/>
      <c r="G52" s="185">
        <f t="shared" si="3"/>
        <v>24898397.280999999</v>
      </c>
      <c r="H52" s="185">
        <f t="shared" ref="H52:I52" si="45">H40</f>
        <v>577.75</v>
      </c>
      <c r="I52" s="185">
        <f t="shared" si="45"/>
        <v>0</v>
      </c>
      <c r="J52" s="185">
        <v>29</v>
      </c>
      <c r="K52" s="187">
        <v>0</v>
      </c>
      <c r="L52" s="185">
        <v>18678</v>
      </c>
      <c r="M52" s="185">
        <f t="shared" si="4"/>
        <v>25011276.697075188</v>
      </c>
      <c r="N52" s="26">
        <f t="shared" si="0"/>
        <v>112879.41607518867</v>
      </c>
      <c r="O52" s="34">
        <f t="shared" si="1"/>
        <v>4.5336016933638975E-3</v>
      </c>
      <c r="P52" s="94">
        <f t="shared" si="5"/>
        <v>4.5336016933638975E-3</v>
      </c>
      <c r="Q52" s="95">
        <f t="shared" si="6"/>
        <v>12741762573.475561</v>
      </c>
      <c r="R52" s="95">
        <f t="shared" si="7"/>
        <v>-711338.36829866469</v>
      </c>
      <c r="S52" s="95">
        <f t="shared" si="8"/>
        <v>506002274213.8067</v>
      </c>
      <c r="T52"/>
    </row>
    <row r="53" spans="1:20" x14ac:dyDescent="0.25">
      <c r="A53" s="183">
        <v>43921</v>
      </c>
      <c r="B53" s="185">
        <v>24574269.381999999</v>
      </c>
      <c r="C53" s="185"/>
      <c r="D53" s="185">
        <f t="shared" si="2"/>
        <v>24574269.381999999</v>
      </c>
      <c r="E53" s="185"/>
      <c r="F53" s="185"/>
      <c r="G53" s="185">
        <f t="shared" si="3"/>
        <v>24574269.381999999</v>
      </c>
      <c r="H53" s="185">
        <f t="shared" ref="H53:I53" si="46">H41</f>
        <v>510.25</v>
      </c>
      <c r="I53" s="185">
        <f t="shared" si="46"/>
        <v>0</v>
      </c>
      <c r="J53" s="185">
        <v>31</v>
      </c>
      <c r="K53" s="187">
        <v>1</v>
      </c>
      <c r="L53" s="185">
        <v>18695</v>
      </c>
      <c r="M53" s="185">
        <f t="shared" si="4"/>
        <v>24395434.661184266</v>
      </c>
      <c r="N53" s="26">
        <f t="shared" si="0"/>
        <v>-178834.72081573308</v>
      </c>
      <c r="O53" s="34">
        <f t="shared" si="1"/>
        <v>-7.2773158801101431E-3</v>
      </c>
      <c r="P53" s="94">
        <f t="shared" si="5"/>
        <v>7.2773158801101431E-3</v>
      </c>
      <c r="Q53" s="95">
        <f t="shared" si="6"/>
        <v>31981857369.241192</v>
      </c>
      <c r="R53" s="95">
        <f t="shared" si="7"/>
        <v>-291714.13689092174</v>
      </c>
      <c r="S53" s="95">
        <f t="shared" si="8"/>
        <v>85097137662.015427</v>
      </c>
      <c r="T53"/>
    </row>
    <row r="54" spans="1:20" x14ac:dyDescent="0.25">
      <c r="A54" s="183">
        <v>43951</v>
      </c>
      <c r="B54" s="185">
        <v>21967925.707000002</v>
      </c>
      <c r="C54" s="185"/>
      <c r="D54" s="185">
        <f t="shared" si="2"/>
        <v>21967925.707000002</v>
      </c>
      <c r="E54" s="185"/>
      <c r="F54" s="185"/>
      <c r="G54" s="185">
        <f t="shared" si="3"/>
        <v>21967925.707000002</v>
      </c>
      <c r="H54" s="185">
        <f t="shared" ref="H54:I54" si="47">H42</f>
        <v>329.05999999999995</v>
      </c>
      <c r="I54" s="185">
        <f t="shared" si="47"/>
        <v>0.71</v>
      </c>
      <c r="J54" s="185">
        <v>30</v>
      </c>
      <c r="K54" s="187">
        <v>1</v>
      </c>
      <c r="L54" s="185">
        <v>18695</v>
      </c>
      <c r="M54" s="185">
        <f t="shared" si="4"/>
        <v>21561204.356618907</v>
      </c>
      <c r="N54" s="26">
        <f t="shared" si="0"/>
        <v>-406721.35038109496</v>
      </c>
      <c r="O54" s="34">
        <f t="shared" si="1"/>
        <v>-1.8514326559812364E-2</v>
      </c>
      <c r="P54" s="94">
        <f t="shared" si="5"/>
        <v>1.8514326559812364E-2</v>
      </c>
      <c r="Q54" s="95">
        <f t="shared" si="6"/>
        <v>165422256855.82141</v>
      </c>
      <c r="R54" s="95">
        <f t="shared" si="7"/>
        <v>-227886.62956536189</v>
      </c>
      <c r="S54" s="95">
        <f t="shared" si="8"/>
        <v>51932315934.660469</v>
      </c>
      <c r="T54"/>
    </row>
    <row r="55" spans="1:20" x14ac:dyDescent="0.25">
      <c r="A55" s="183">
        <v>43982</v>
      </c>
      <c r="B55" s="185">
        <v>21748680.120000001</v>
      </c>
      <c r="C55" s="185"/>
      <c r="D55" s="185">
        <f t="shared" si="2"/>
        <v>21748680.120000001</v>
      </c>
      <c r="E55" s="185"/>
      <c r="F55" s="185"/>
      <c r="G55" s="185">
        <f t="shared" si="3"/>
        <v>21748680.120000001</v>
      </c>
      <c r="H55" s="185">
        <f t="shared" ref="H55:I55" si="48">H43</f>
        <v>142.47</v>
      </c>
      <c r="I55" s="185">
        <f t="shared" si="48"/>
        <v>21.69</v>
      </c>
      <c r="J55" s="185">
        <v>31</v>
      </c>
      <c r="K55" s="187">
        <v>1</v>
      </c>
      <c r="L55" s="185">
        <v>18714</v>
      </c>
      <c r="M55" s="185">
        <f t="shared" si="4"/>
        <v>20899474.930997387</v>
      </c>
      <c r="N55" s="26">
        <f t="shared" si="0"/>
        <v>-849205.18900261447</v>
      </c>
      <c r="O55" s="34">
        <f t="shared" si="1"/>
        <v>-3.9046286225971422E-2</v>
      </c>
      <c r="P55" s="94">
        <f t="shared" si="5"/>
        <v>3.9046286225971422E-2</v>
      </c>
      <c r="Q55" s="95">
        <f t="shared" si="6"/>
        <v>721149453028.96619</v>
      </c>
      <c r="R55" s="95">
        <f t="shared" si="7"/>
        <v>-442483.83862151951</v>
      </c>
      <c r="S55" s="95">
        <f t="shared" si="8"/>
        <v>195791947441.23492</v>
      </c>
      <c r="T55"/>
    </row>
    <row r="56" spans="1:20" x14ac:dyDescent="0.25">
      <c r="A56" s="183">
        <v>44012</v>
      </c>
      <c r="B56" s="185">
        <v>23703342.888</v>
      </c>
      <c r="C56" s="185"/>
      <c r="D56" s="185">
        <f t="shared" si="2"/>
        <v>23703342.888</v>
      </c>
      <c r="E56" s="185"/>
      <c r="F56" s="185"/>
      <c r="G56" s="185">
        <f t="shared" si="3"/>
        <v>23703342.888</v>
      </c>
      <c r="H56" s="185">
        <f t="shared" ref="H56:I56" si="49">H44</f>
        <v>19.93</v>
      </c>
      <c r="I56" s="185">
        <f t="shared" si="49"/>
        <v>77.789999999999992</v>
      </c>
      <c r="J56" s="185">
        <v>30</v>
      </c>
      <c r="K56" s="187">
        <v>0</v>
      </c>
      <c r="L56" s="185">
        <v>18752</v>
      </c>
      <c r="M56" s="185">
        <f t="shared" si="4"/>
        <v>22561731.340028759</v>
      </c>
      <c r="N56" s="26">
        <f t="shared" si="0"/>
        <v>-1141611.5479712412</v>
      </c>
      <c r="O56" s="34">
        <f t="shared" si="1"/>
        <v>-4.8162470304945505E-2</v>
      </c>
      <c r="P56" s="94">
        <f t="shared" si="5"/>
        <v>4.8162470304945505E-2</v>
      </c>
      <c r="Q56" s="95">
        <f t="shared" si="6"/>
        <v>1303276926461.2935</v>
      </c>
      <c r="R56" s="95">
        <f t="shared" si="7"/>
        <v>-292406.35896862671</v>
      </c>
      <c r="S56" s="95">
        <f t="shared" si="8"/>
        <v>85501478765.289383</v>
      </c>
      <c r="T56"/>
    </row>
    <row r="57" spans="1:20" x14ac:dyDescent="0.25">
      <c r="A57" s="183">
        <v>44043</v>
      </c>
      <c r="B57" s="185">
        <v>29815954.280999999</v>
      </c>
      <c r="C57" s="185"/>
      <c r="D57" s="185">
        <f t="shared" si="2"/>
        <v>29815954.280999999</v>
      </c>
      <c r="E57" s="185"/>
      <c r="F57" s="185"/>
      <c r="G57" s="185">
        <f t="shared" si="3"/>
        <v>29815954.280999999</v>
      </c>
      <c r="H57" s="185">
        <f t="shared" ref="H57:I57" si="50">H45</f>
        <v>0.48000000000000009</v>
      </c>
      <c r="I57" s="185">
        <f t="shared" si="50"/>
        <v>154.26</v>
      </c>
      <c r="J57" s="185">
        <v>31</v>
      </c>
      <c r="K57" s="187">
        <v>0</v>
      </c>
      <c r="L57" s="185">
        <v>18766</v>
      </c>
      <c r="M57" s="185">
        <f t="shared" si="4"/>
        <v>26686535.580298986</v>
      </c>
      <c r="N57" s="26">
        <f t="shared" si="0"/>
        <v>-3129418.7007010132</v>
      </c>
      <c r="O57" s="34">
        <f t="shared" si="1"/>
        <v>-0.1049578581724353</v>
      </c>
      <c r="P57" s="94">
        <f t="shared" si="5"/>
        <v>0.1049578581724353</v>
      </c>
      <c r="Q57" s="95">
        <f t="shared" si="6"/>
        <v>9793261404297.2168</v>
      </c>
      <c r="R57" s="95">
        <f t="shared" si="7"/>
        <v>-1987807.152729772</v>
      </c>
      <c r="S57" s="95">
        <f t="shared" si="8"/>
        <v>3951377276443.6431</v>
      </c>
      <c r="T57"/>
    </row>
    <row r="58" spans="1:20" x14ac:dyDescent="0.25">
      <c r="A58" s="183">
        <v>44074</v>
      </c>
      <c r="B58" s="185">
        <v>26121737.241</v>
      </c>
      <c r="C58" s="185"/>
      <c r="D58" s="185">
        <f t="shared" si="2"/>
        <v>26121737.241</v>
      </c>
      <c r="E58" s="185"/>
      <c r="F58" s="185"/>
      <c r="G58" s="185">
        <f t="shared" si="3"/>
        <v>26121737.241</v>
      </c>
      <c r="H58" s="185">
        <f t="shared" ref="H58:I58" si="51">H46</f>
        <v>4.46</v>
      </c>
      <c r="I58" s="185">
        <f t="shared" si="51"/>
        <v>127.12</v>
      </c>
      <c r="J58" s="185">
        <v>31</v>
      </c>
      <c r="K58" s="187">
        <v>0</v>
      </c>
      <c r="L58" s="185">
        <v>18799</v>
      </c>
      <c r="M58" s="185">
        <f t="shared" si="4"/>
        <v>25440830.953764625</v>
      </c>
      <c r="N58" s="26">
        <f t="shared" si="0"/>
        <v>-680906.28723537549</v>
      </c>
      <c r="O58" s="34">
        <f t="shared" si="1"/>
        <v>-2.6066654026618209E-2</v>
      </c>
      <c r="P58" s="94">
        <f t="shared" si="5"/>
        <v>2.6066654026618209E-2</v>
      </c>
      <c r="Q58" s="95">
        <f t="shared" si="6"/>
        <v>463633371996.6637</v>
      </c>
      <c r="R58" s="95">
        <f t="shared" si="7"/>
        <v>2448512.4134656377</v>
      </c>
      <c r="S58" s="95">
        <f t="shared" si="8"/>
        <v>5995213038895.3223</v>
      </c>
      <c r="T58"/>
    </row>
    <row r="59" spans="1:20" x14ac:dyDescent="0.25">
      <c r="A59" s="183">
        <v>44104</v>
      </c>
      <c r="B59" s="185">
        <v>20682425.02699</v>
      </c>
      <c r="C59" s="185"/>
      <c r="D59" s="185">
        <f t="shared" si="2"/>
        <v>20682425.02699</v>
      </c>
      <c r="E59" s="185"/>
      <c r="F59" s="185"/>
      <c r="G59" s="185">
        <f t="shared" si="3"/>
        <v>20682425.02699</v>
      </c>
      <c r="H59" s="185">
        <f t="shared" ref="H59:I59" si="52">H47</f>
        <v>37.730000000000004</v>
      </c>
      <c r="I59" s="185">
        <f t="shared" si="52"/>
        <v>47.269999999999996</v>
      </c>
      <c r="J59" s="185">
        <v>30</v>
      </c>
      <c r="K59" s="187">
        <v>1</v>
      </c>
      <c r="L59" s="185">
        <v>18824</v>
      </c>
      <c r="M59" s="185">
        <f t="shared" si="4"/>
        <v>20336649.48670717</v>
      </c>
      <c r="N59" s="26">
        <f t="shared" si="0"/>
        <v>-345775.5402828306</v>
      </c>
      <c r="O59" s="34">
        <f t="shared" si="1"/>
        <v>-1.6718326783808135E-2</v>
      </c>
      <c r="P59" s="94">
        <f t="shared" si="5"/>
        <v>1.6718326783808135E-2</v>
      </c>
      <c r="Q59" s="95">
        <f t="shared" si="6"/>
        <v>119560724257.88341</v>
      </c>
      <c r="R59" s="95">
        <f t="shared" si="7"/>
        <v>335130.7469525449</v>
      </c>
      <c r="S59" s="95">
        <f t="shared" si="8"/>
        <v>112312617552.97069</v>
      </c>
      <c r="T59"/>
    </row>
    <row r="60" spans="1:20" x14ac:dyDescent="0.25">
      <c r="A60" s="183">
        <v>44135</v>
      </c>
      <c r="B60" s="185">
        <v>21791036.214000002</v>
      </c>
      <c r="C60" s="185"/>
      <c r="D60" s="185">
        <f t="shared" si="2"/>
        <v>21791036.214000002</v>
      </c>
      <c r="E60" s="185"/>
      <c r="F60" s="185"/>
      <c r="G60" s="185">
        <f t="shared" si="3"/>
        <v>21791036.214000002</v>
      </c>
      <c r="H60" s="185">
        <f t="shared" ref="H60:I60" si="53">H48</f>
        <v>211.34</v>
      </c>
      <c r="I60" s="185">
        <f t="shared" si="53"/>
        <v>6.6</v>
      </c>
      <c r="J60" s="185">
        <v>31</v>
      </c>
      <c r="K60" s="187">
        <v>1</v>
      </c>
      <c r="L60" s="185">
        <v>18971</v>
      </c>
      <c r="M60" s="185">
        <f t="shared" si="4"/>
        <v>21263387.034517623</v>
      </c>
      <c r="N60" s="26">
        <f t="shared" si="0"/>
        <v>-527649.17948237807</v>
      </c>
      <c r="O60" s="34">
        <f t="shared" si="1"/>
        <v>-2.4214047202738408E-2</v>
      </c>
      <c r="P60" s="94">
        <f t="shared" si="5"/>
        <v>2.4214047202738408E-2</v>
      </c>
      <c r="Q60" s="95">
        <f t="shared" si="6"/>
        <v>278413656608.42682</v>
      </c>
      <c r="R60" s="95">
        <f t="shared" si="7"/>
        <v>-181873.63919954747</v>
      </c>
      <c r="S60" s="95">
        <f t="shared" si="8"/>
        <v>33078020635.687168</v>
      </c>
      <c r="T60"/>
    </row>
    <row r="61" spans="1:20" x14ac:dyDescent="0.25">
      <c r="A61" s="183">
        <v>44165</v>
      </c>
      <c r="B61" s="185">
        <v>22640626.522999998</v>
      </c>
      <c r="C61" s="185"/>
      <c r="D61" s="185">
        <f t="shared" si="2"/>
        <v>22640626.522999998</v>
      </c>
      <c r="E61" s="185"/>
      <c r="F61" s="185"/>
      <c r="G61" s="185">
        <f t="shared" si="3"/>
        <v>22640626.522999998</v>
      </c>
      <c r="H61" s="185">
        <f t="shared" ref="H61:I61" si="54">H49</f>
        <v>409.7299999999999</v>
      </c>
      <c r="I61" s="185">
        <f t="shared" si="54"/>
        <v>0.26</v>
      </c>
      <c r="J61" s="185">
        <v>30</v>
      </c>
      <c r="K61" s="187">
        <v>1</v>
      </c>
      <c r="L61" s="185">
        <v>18970</v>
      </c>
      <c r="M61" s="185">
        <f t="shared" si="4"/>
        <v>22804671.933010567</v>
      </c>
      <c r="N61" s="26">
        <f t="shared" si="0"/>
        <v>164045.4100105688</v>
      </c>
      <c r="O61" s="34">
        <f t="shared" si="1"/>
        <v>7.2456214868400178E-3</v>
      </c>
      <c r="P61" s="94">
        <f t="shared" si="5"/>
        <v>7.2456214868400178E-3</v>
      </c>
      <c r="Q61" s="95">
        <f t="shared" si="6"/>
        <v>26910896545.535625</v>
      </c>
      <c r="R61" s="95">
        <f t="shared" si="7"/>
        <v>691694.58949294686</v>
      </c>
      <c r="S61" s="95">
        <f t="shared" si="8"/>
        <v>478441405133.81628</v>
      </c>
      <c r="T61"/>
    </row>
    <row r="62" spans="1:20" x14ac:dyDescent="0.25">
      <c r="A62" s="183">
        <v>44196</v>
      </c>
      <c r="B62" s="185">
        <v>26936455.295999996</v>
      </c>
      <c r="C62" s="185"/>
      <c r="D62" s="185">
        <f t="shared" si="2"/>
        <v>26936455.295999996</v>
      </c>
      <c r="E62" s="185"/>
      <c r="F62" s="185"/>
      <c r="G62" s="185">
        <f t="shared" si="3"/>
        <v>26936455.295999996</v>
      </c>
      <c r="H62" s="185">
        <f t="shared" ref="H62:I62" si="55">H50</f>
        <v>577.68000000000006</v>
      </c>
      <c r="I62" s="185">
        <f t="shared" si="55"/>
        <v>0</v>
      </c>
      <c r="J62" s="185">
        <v>31</v>
      </c>
      <c r="K62" s="187">
        <v>0</v>
      </c>
      <c r="L62" s="185">
        <v>19282</v>
      </c>
      <c r="M62" s="185">
        <f t="shared" si="4"/>
        <v>26816827.128969681</v>
      </c>
      <c r="N62" s="26">
        <f t="shared" si="0"/>
        <v>-119628.16703031585</v>
      </c>
      <c r="O62" s="34">
        <f t="shared" si="1"/>
        <v>-4.4411250743924113E-3</v>
      </c>
      <c r="P62" s="94">
        <f t="shared" si="5"/>
        <v>4.4411250743924113E-3</v>
      </c>
      <c r="Q62" s="95">
        <f t="shared" si="6"/>
        <v>14310898347.033148</v>
      </c>
      <c r="R62" s="95">
        <f t="shared" si="7"/>
        <v>-283673.57704088464</v>
      </c>
      <c r="S62" s="95">
        <f t="shared" si="8"/>
        <v>80470698311.170715</v>
      </c>
      <c r="T62"/>
    </row>
    <row r="63" spans="1:20" x14ac:dyDescent="0.25">
      <c r="A63" s="183">
        <v>44227</v>
      </c>
      <c r="B63" s="185">
        <v>27383194.68</v>
      </c>
      <c r="C63" s="185"/>
      <c r="D63" s="185">
        <f t="shared" si="2"/>
        <v>27383194.68</v>
      </c>
      <c r="E63" s="185"/>
      <c r="F63" s="185"/>
      <c r="G63" s="185">
        <f>D63-E63-F63</f>
        <v>27383194.68</v>
      </c>
      <c r="H63" s="185">
        <f t="shared" ref="H63:I63" si="56">H51</f>
        <v>667.41000000000008</v>
      </c>
      <c r="I63" s="185">
        <f t="shared" si="56"/>
        <v>0</v>
      </c>
      <c r="J63" s="185">
        <v>31</v>
      </c>
      <c r="K63" s="187">
        <v>0</v>
      </c>
      <c r="L63" s="185">
        <v>19313</v>
      </c>
      <c r="M63" s="185">
        <f t="shared" si="4"/>
        <v>27962406.332583517</v>
      </c>
      <c r="N63" s="26">
        <f t="shared" si="0"/>
        <v>579211.65258351713</v>
      </c>
      <c r="O63" s="34">
        <f t="shared" si="1"/>
        <v>2.1152084676466142E-2</v>
      </c>
      <c r="P63" s="94">
        <f t="shared" si="5"/>
        <v>2.1152084676466142E-2</v>
      </c>
      <c r="Q63" s="95">
        <f t="shared" si="6"/>
        <v>335486138488.52893</v>
      </c>
      <c r="R63" s="95">
        <f t="shared" si="7"/>
        <v>698839.81961383298</v>
      </c>
      <c r="S63" s="95">
        <f t="shared" si="8"/>
        <v>488377093477.89459</v>
      </c>
      <c r="T63"/>
    </row>
    <row r="64" spans="1:20" x14ac:dyDescent="0.25">
      <c r="A64" s="183">
        <v>44255</v>
      </c>
      <c r="B64" s="185">
        <v>26118374.440000001</v>
      </c>
      <c r="C64" s="185"/>
      <c r="D64" s="185">
        <f t="shared" si="2"/>
        <v>26118374.440000001</v>
      </c>
      <c r="E64" s="185"/>
      <c r="F64" s="185"/>
      <c r="G64" s="185">
        <f t="shared" ref="G64:G122" si="57">D64-E64-F64</f>
        <v>26118374.440000001</v>
      </c>
      <c r="H64" s="185">
        <f t="shared" ref="H64:I64" si="58">H52</f>
        <v>577.75</v>
      </c>
      <c r="I64" s="185">
        <f t="shared" si="58"/>
        <v>0</v>
      </c>
      <c r="J64" s="185">
        <v>28</v>
      </c>
      <c r="K64" s="187">
        <v>0</v>
      </c>
      <c r="L64" s="185">
        <v>19329</v>
      </c>
      <c r="M64" s="185">
        <f t="shared" si="4"/>
        <v>25016425.666387103</v>
      </c>
      <c r="N64" s="26">
        <f t="shared" si="0"/>
        <v>-1101948.7736128978</v>
      </c>
      <c r="O64" s="34">
        <f t="shared" si="1"/>
        <v>-4.2190557308393419E-2</v>
      </c>
      <c r="P64" s="94">
        <f t="shared" si="5"/>
        <v>4.2190557308393419E-2</v>
      </c>
      <c r="Q64" s="95">
        <f t="shared" si="6"/>
        <v>1214291099666.9695</v>
      </c>
      <c r="R64" s="95">
        <f t="shared" si="7"/>
        <v>-1681160.426196415</v>
      </c>
      <c r="S64" s="95">
        <f t="shared" si="8"/>
        <v>2826300378608.9116</v>
      </c>
      <c r="T64"/>
    </row>
    <row r="65" spans="1:20" x14ac:dyDescent="0.25">
      <c r="A65" s="183">
        <v>44286</v>
      </c>
      <c r="B65" s="185">
        <v>25209899.25</v>
      </c>
      <c r="C65" s="185"/>
      <c r="D65" s="185">
        <f t="shared" si="2"/>
        <v>25209899.25</v>
      </c>
      <c r="E65" s="185"/>
      <c r="F65" s="185"/>
      <c r="G65" s="185">
        <f t="shared" si="57"/>
        <v>25209899.25</v>
      </c>
      <c r="H65" s="185">
        <f t="shared" ref="H65:I65" si="59">H53</f>
        <v>510.25</v>
      </c>
      <c r="I65" s="185">
        <f t="shared" si="59"/>
        <v>0</v>
      </c>
      <c r="J65" s="185">
        <v>31</v>
      </c>
      <c r="K65" s="187">
        <v>1</v>
      </c>
      <c r="L65" s="185">
        <v>19350</v>
      </c>
      <c r="M65" s="185">
        <f t="shared" si="4"/>
        <v>25019753.102652989</v>
      </c>
      <c r="N65" s="26">
        <f t="shared" si="0"/>
        <v>-190146.14734701067</v>
      </c>
      <c r="O65" s="34">
        <f t="shared" si="1"/>
        <v>-7.5425191295443467E-3</v>
      </c>
      <c r="P65" s="94">
        <f t="shared" si="5"/>
        <v>7.5425191295443467E-3</v>
      </c>
      <c r="Q65" s="95">
        <f t="shared" si="6"/>
        <v>36155557350.911095</v>
      </c>
      <c r="R65" s="95">
        <f t="shared" si="7"/>
        <v>911802.62626588717</v>
      </c>
      <c r="S65" s="95">
        <f t="shared" si="8"/>
        <v>831384029265.36914</v>
      </c>
      <c r="T65"/>
    </row>
    <row r="66" spans="1:20" x14ac:dyDescent="0.25">
      <c r="A66" s="183">
        <v>44316</v>
      </c>
      <c r="B66" s="185">
        <v>21444082.049999997</v>
      </c>
      <c r="C66" s="185"/>
      <c r="D66" s="185">
        <f t="shared" si="2"/>
        <v>21444082.049999997</v>
      </c>
      <c r="E66" s="185"/>
      <c r="F66" s="185"/>
      <c r="G66" s="185">
        <f t="shared" si="57"/>
        <v>21444082.049999997</v>
      </c>
      <c r="H66" s="185">
        <f t="shared" ref="H66:I66" si="60">H54</f>
        <v>329.05999999999995</v>
      </c>
      <c r="I66" s="185">
        <f t="shared" si="60"/>
        <v>0.71</v>
      </c>
      <c r="J66" s="185">
        <v>30</v>
      </c>
      <c r="K66" s="187">
        <v>1</v>
      </c>
      <c r="L66" s="185">
        <v>19360</v>
      </c>
      <c r="M66" s="185">
        <f t="shared" si="4"/>
        <v>22195054.377346702</v>
      </c>
      <c r="N66" s="26">
        <f t="shared" si="0"/>
        <v>750972.3273467049</v>
      </c>
      <c r="O66" s="34">
        <f t="shared" si="1"/>
        <v>3.5020026765226121E-2</v>
      </c>
      <c r="P66" s="94">
        <f t="shared" si="5"/>
        <v>3.5020026765226121E-2</v>
      </c>
      <c r="Q66" s="95">
        <f t="shared" si="6"/>
        <v>563959436440.52649</v>
      </c>
      <c r="R66" s="95">
        <f t="shared" si="7"/>
        <v>941118.47469371557</v>
      </c>
      <c r="S66" s="95">
        <f t="shared" si="8"/>
        <v>885703983409.82581</v>
      </c>
      <c r="T66"/>
    </row>
    <row r="67" spans="1:20" x14ac:dyDescent="0.25">
      <c r="A67" s="183">
        <v>44347</v>
      </c>
      <c r="B67" s="185">
        <v>21915007.870000001</v>
      </c>
      <c r="C67" s="185"/>
      <c r="D67" s="185">
        <f t="shared" si="2"/>
        <v>21915007.870000001</v>
      </c>
      <c r="E67" s="185"/>
      <c r="F67" s="185"/>
      <c r="G67" s="185">
        <f t="shared" si="57"/>
        <v>21915007.870000001</v>
      </c>
      <c r="H67" s="185">
        <f t="shared" ref="H67:I67" si="61">H55</f>
        <v>142.47</v>
      </c>
      <c r="I67" s="185">
        <f t="shared" si="61"/>
        <v>21.69</v>
      </c>
      <c r="J67" s="185">
        <v>31</v>
      </c>
      <c r="K67" s="187">
        <v>1</v>
      </c>
      <c r="L67" s="185">
        <v>19530</v>
      </c>
      <c r="M67" s="185">
        <f t="shared" si="4"/>
        <v>21677251.798537053</v>
      </c>
      <c r="N67" s="26">
        <f t="shared" ref="N67:N130" si="62">M67-G67</f>
        <v>-237756.07146294788</v>
      </c>
      <c r="O67" s="34">
        <f t="shared" ref="O67:O110" si="63">N67/G67</f>
        <v>-1.0849006893965941E-2</v>
      </c>
      <c r="P67" s="94">
        <f t="shared" si="5"/>
        <v>1.0849006893965941E-2</v>
      </c>
      <c r="Q67" s="95">
        <f t="shared" si="6"/>
        <v>56527949517.494377</v>
      </c>
      <c r="R67" s="95">
        <f t="shared" si="7"/>
        <v>-988728.39880965278</v>
      </c>
      <c r="S67" s="95">
        <f t="shared" si="8"/>
        <v>977583846612.69983</v>
      </c>
      <c r="T67"/>
    </row>
    <row r="68" spans="1:20" x14ac:dyDescent="0.25">
      <c r="A68" s="183">
        <v>44377</v>
      </c>
      <c r="B68" s="185">
        <v>24946416.130000003</v>
      </c>
      <c r="C68" s="185"/>
      <c r="D68" s="185">
        <f t="shared" ref="D68:D122" si="64">B68+C68</f>
        <v>24946416.130000003</v>
      </c>
      <c r="E68" s="185"/>
      <c r="F68" s="185"/>
      <c r="G68" s="185">
        <f t="shared" si="57"/>
        <v>24946416.130000003</v>
      </c>
      <c r="H68" s="185">
        <f t="shared" ref="H68:I68" si="65">H56</f>
        <v>19.93</v>
      </c>
      <c r="I68" s="185">
        <f t="shared" si="65"/>
        <v>77.789999999999992</v>
      </c>
      <c r="J68" s="185">
        <v>30</v>
      </c>
      <c r="K68" s="187">
        <v>0</v>
      </c>
      <c r="L68" s="185">
        <v>19557</v>
      </c>
      <c r="M68" s="185">
        <f t="shared" ref="M68:M131" si="66">$V$30+$V$31*H68+$V$32*I68+$V$33*J68+$V$34*K68+$V$35*L68</f>
        <v>23329023.470383454</v>
      </c>
      <c r="N68" s="26">
        <f t="shared" si="62"/>
        <v>-1617392.6596165486</v>
      </c>
      <c r="O68" s="34">
        <f t="shared" si="63"/>
        <v>-6.4834670085997179E-2</v>
      </c>
      <c r="P68" s="94">
        <f t="shared" ref="P68:P110" si="67">ABS(O68)</f>
        <v>6.4834670085997179E-2</v>
      </c>
      <c r="Q68" s="95">
        <f t="shared" ref="Q68:Q108" si="68">N68*N68</f>
        <v>2615959015381.4927</v>
      </c>
      <c r="R68" s="95">
        <f t="shared" si="7"/>
        <v>-1379636.5881536007</v>
      </c>
      <c r="S68" s="95">
        <f t="shared" si="8"/>
        <v>1903397115372.1079</v>
      </c>
      <c r="T68"/>
    </row>
    <row r="69" spans="1:20" x14ac:dyDescent="0.25">
      <c r="A69" s="183">
        <v>44408</v>
      </c>
      <c r="B69" s="185">
        <v>25413113.779999997</v>
      </c>
      <c r="C69" s="185"/>
      <c r="D69" s="185">
        <f t="shared" si="64"/>
        <v>25413113.779999997</v>
      </c>
      <c r="E69" s="185"/>
      <c r="F69" s="185"/>
      <c r="G69" s="185">
        <f t="shared" si="57"/>
        <v>25413113.779999997</v>
      </c>
      <c r="H69" s="185">
        <f t="shared" ref="H69:I69" si="69">H57</f>
        <v>0.48000000000000009</v>
      </c>
      <c r="I69" s="185">
        <f t="shared" si="69"/>
        <v>154.26</v>
      </c>
      <c r="J69" s="185">
        <v>31</v>
      </c>
      <c r="K69" s="187">
        <v>0</v>
      </c>
      <c r="L69" s="185">
        <v>19600</v>
      </c>
      <c r="M69" s="185">
        <f t="shared" si="66"/>
        <v>27481469.29050497</v>
      </c>
      <c r="N69" s="26">
        <f t="shared" si="62"/>
        <v>2068355.5105049722</v>
      </c>
      <c r="O69" s="34">
        <f t="shared" si="63"/>
        <v>8.1389298785289291E-2</v>
      </c>
      <c r="P69" s="94">
        <f t="shared" si="67"/>
        <v>8.1389298785289291E-2</v>
      </c>
      <c r="Q69" s="95">
        <f t="shared" si="68"/>
        <v>4278094517836.2842</v>
      </c>
      <c r="R69" s="95">
        <f t="shared" ref="R69:R109" si="70">N69-N68</f>
        <v>3685748.1701215208</v>
      </c>
      <c r="S69" s="95">
        <f t="shared" ref="S69:S109" si="71">R69*R69</f>
        <v>13584739573554.139</v>
      </c>
      <c r="T69"/>
    </row>
    <row r="70" spans="1:20" x14ac:dyDescent="0.25">
      <c r="A70" s="183">
        <v>44439</v>
      </c>
      <c r="B70" s="185">
        <v>29121956.240000002</v>
      </c>
      <c r="C70" s="185"/>
      <c r="D70" s="185">
        <f t="shared" si="64"/>
        <v>29121956.240000002</v>
      </c>
      <c r="E70" s="185"/>
      <c r="F70" s="185"/>
      <c r="G70" s="185">
        <f t="shared" si="57"/>
        <v>29121956.240000002</v>
      </c>
      <c r="H70" s="185">
        <f t="shared" ref="H70:I70" si="72">H58</f>
        <v>4.46</v>
      </c>
      <c r="I70" s="185">
        <f t="shared" si="72"/>
        <v>127.12</v>
      </c>
      <c r="J70" s="185">
        <v>31</v>
      </c>
      <c r="K70" s="187">
        <v>0</v>
      </c>
      <c r="L70" s="185">
        <v>19594</v>
      </c>
      <c r="M70" s="185">
        <f t="shared" si="66"/>
        <v>26198591.504860252</v>
      </c>
      <c r="N70" s="26">
        <f t="shared" si="62"/>
        <v>-2923364.7351397499</v>
      </c>
      <c r="O70" s="34">
        <f t="shared" si="63"/>
        <v>-0.10038352887586613</v>
      </c>
      <c r="P70" s="94">
        <f t="shared" si="67"/>
        <v>0.10038352887586613</v>
      </c>
      <c r="Q70" s="95">
        <f t="shared" si="68"/>
        <v>8546061374658.7002</v>
      </c>
      <c r="R70" s="95">
        <f t="shared" si="70"/>
        <v>-4991720.2456447221</v>
      </c>
      <c r="S70" s="95">
        <f t="shared" si="71"/>
        <v>24917271010779.406</v>
      </c>
      <c r="T70"/>
    </row>
    <row r="71" spans="1:20" x14ac:dyDescent="0.25">
      <c r="A71" s="183">
        <v>44469</v>
      </c>
      <c r="B71" s="185">
        <v>21448441.290000003</v>
      </c>
      <c r="C71" s="185"/>
      <c r="D71" s="185">
        <f t="shared" si="64"/>
        <v>21448441.290000003</v>
      </c>
      <c r="E71" s="185"/>
      <c r="F71" s="185"/>
      <c r="G71" s="185">
        <f t="shared" si="57"/>
        <v>21448441.290000003</v>
      </c>
      <c r="H71" s="185">
        <f t="shared" ref="H71:I71" si="73">H59</f>
        <v>37.730000000000004</v>
      </c>
      <c r="I71" s="185">
        <f t="shared" si="73"/>
        <v>47.269999999999996</v>
      </c>
      <c r="J71" s="185">
        <v>30</v>
      </c>
      <c r="K71" s="187">
        <v>1</v>
      </c>
      <c r="L71" s="185">
        <v>19630</v>
      </c>
      <c r="M71" s="185">
        <f t="shared" si="66"/>
        <v>21104894.774987772</v>
      </c>
      <c r="N71" s="26">
        <f t="shared" si="62"/>
        <v>-343546.51501223072</v>
      </c>
      <c r="O71" s="34">
        <f t="shared" si="63"/>
        <v>-1.6017318478634801E-2</v>
      </c>
      <c r="P71" s="94">
        <f t="shared" si="67"/>
        <v>1.6017318478634801E-2</v>
      </c>
      <c r="Q71" s="95">
        <f t="shared" si="68"/>
        <v>118024207977.04887</v>
      </c>
      <c r="R71" s="95">
        <f t="shared" si="70"/>
        <v>2579818.2201275192</v>
      </c>
      <c r="S71" s="95">
        <f t="shared" si="71"/>
        <v>6655462048901.9209</v>
      </c>
      <c r="T71"/>
    </row>
    <row r="72" spans="1:20" x14ac:dyDescent="0.25">
      <c r="A72" s="183">
        <v>44500</v>
      </c>
      <c r="B72" s="185">
        <v>21738524.600000001</v>
      </c>
      <c r="C72" s="185"/>
      <c r="D72" s="185">
        <f t="shared" si="64"/>
        <v>21738524.600000001</v>
      </c>
      <c r="E72" s="185"/>
      <c r="F72" s="185"/>
      <c r="G72" s="185">
        <f t="shared" si="57"/>
        <v>21738524.600000001</v>
      </c>
      <c r="H72" s="185">
        <f t="shared" ref="H72:I72" si="74">H60</f>
        <v>211.34</v>
      </c>
      <c r="I72" s="185">
        <f t="shared" si="74"/>
        <v>6.6</v>
      </c>
      <c r="J72" s="185">
        <v>31</v>
      </c>
      <c r="K72" s="187">
        <v>1</v>
      </c>
      <c r="L72" s="185">
        <v>19656</v>
      </c>
      <c r="M72" s="185">
        <f t="shared" si="66"/>
        <v>21916300.213763546</v>
      </c>
      <c r="N72" s="26">
        <f t="shared" si="62"/>
        <v>177775.61376354471</v>
      </c>
      <c r="O72" s="34">
        <f t="shared" si="63"/>
        <v>8.1779061382824796E-3</v>
      </c>
      <c r="P72" s="94">
        <f t="shared" si="67"/>
        <v>8.1779061382824796E-3</v>
      </c>
      <c r="Q72" s="95">
        <f t="shared" si="68"/>
        <v>31604168849.005028</v>
      </c>
      <c r="R72" s="95">
        <f t="shared" si="70"/>
        <v>521322.12877577543</v>
      </c>
      <c r="S72" s="95">
        <f t="shared" si="71"/>
        <v>271776761951.30618</v>
      </c>
      <c r="T72"/>
    </row>
    <row r="73" spans="1:20" x14ac:dyDescent="0.25">
      <c r="A73" s="183">
        <v>44530</v>
      </c>
      <c r="B73" s="185">
        <v>23740519.789999999</v>
      </c>
      <c r="C73" s="185"/>
      <c r="D73" s="185">
        <f t="shared" si="64"/>
        <v>23740519.789999999</v>
      </c>
      <c r="E73" s="185"/>
      <c r="F73" s="185"/>
      <c r="G73" s="185">
        <f t="shared" si="57"/>
        <v>23740519.789999999</v>
      </c>
      <c r="H73" s="185">
        <f t="shared" ref="H73:I73" si="75">H61</f>
        <v>409.7299999999999</v>
      </c>
      <c r="I73" s="185">
        <f t="shared" si="75"/>
        <v>0.26</v>
      </c>
      <c r="J73" s="185">
        <v>30</v>
      </c>
      <c r="K73" s="187">
        <v>1</v>
      </c>
      <c r="L73" s="185">
        <v>19657</v>
      </c>
      <c r="M73" s="185">
        <f t="shared" si="66"/>
        <v>23459491.428108297</v>
      </c>
      <c r="N73" s="26">
        <f t="shared" si="62"/>
        <v>-281028.36189170182</v>
      </c>
      <c r="O73" s="34">
        <f t="shared" si="63"/>
        <v>-1.1837498267838129E-2</v>
      </c>
      <c r="P73" s="94">
        <f t="shared" si="67"/>
        <v>1.1837498267838129E-2</v>
      </c>
      <c r="Q73" s="95">
        <f t="shared" si="68"/>
        <v>78976940187.533325</v>
      </c>
      <c r="R73" s="95">
        <f t="shared" si="70"/>
        <v>-458803.97565524653</v>
      </c>
      <c r="S73" s="95">
        <f t="shared" si="71"/>
        <v>210501088077.06006</v>
      </c>
      <c r="T73"/>
    </row>
    <row r="74" spans="1:20" x14ac:dyDescent="0.25">
      <c r="A74" s="183">
        <v>44561</v>
      </c>
      <c r="B74" s="185">
        <v>26760724.010000002</v>
      </c>
      <c r="C74" s="185"/>
      <c r="D74" s="185">
        <f t="shared" si="64"/>
        <v>26760724.010000002</v>
      </c>
      <c r="E74" s="185"/>
      <c r="F74" s="185"/>
      <c r="G74" s="185">
        <f t="shared" si="57"/>
        <v>26760724.010000002</v>
      </c>
      <c r="H74" s="185">
        <f t="shared" ref="H74:I74" si="76">H62</f>
        <v>577.68000000000006</v>
      </c>
      <c r="I74" s="185">
        <f t="shared" si="76"/>
        <v>0</v>
      </c>
      <c r="J74" s="185">
        <v>31</v>
      </c>
      <c r="K74" s="187">
        <v>0</v>
      </c>
      <c r="L74" s="185">
        <v>19704</v>
      </c>
      <c r="M74" s="185">
        <f t="shared" si="66"/>
        <v>27219059.773702204</v>
      </c>
      <c r="N74" s="26">
        <f t="shared" si="62"/>
        <v>458335.76370220259</v>
      </c>
      <c r="O74" s="34">
        <f t="shared" si="63"/>
        <v>1.7127180995960004E-2</v>
      </c>
      <c r="P74" s="94">
        <f t="shared" si="67"/>
        <v>1.7127180995960004E-2</v>
      </c>
      <c r="Q74" s="95">
        <f t="shared" si="68"/>
        <v>210071672288.48129</v>
      </c>
      <c r="R74" s="95">
        <f t="shared" si="70"/>
        <v>739364.12559390441</v>
      </c>
      <c r="S74" s="95">
        <f t="shared" si="71"/>
        <v>546659310215.23883</v>
      </c>
      <c r="T74"/>
    </row>
    <row r="75" spans="1:20" x14ac:dyDescent="0.25">
      <c r="A75" s="183">
        <v>44592</v>
      </c>
      <c r="B75" s="185">
        <v>30693913.289999999</v>
      </c>
      <c r="C75" s="185"/>
      <c r="D75" s="185">
        <f t="shared" si="64"/>
        <v>30693913.289999999</v>
      </c>
      <c r="E75" s="185"/>
      <c r="F75" s="185"/>
      <c r="G75" s="185">
        <f t="shared" si="57"/>
        <v>30693913.289999999</v>
      </c>
      <c r="H75" s="185">
        <f t="shared" ref="H75:I75" si="77">H63</f>
        <v>667.41000000000008</v>
      </c>
      <c r="I75" s="185">
        <f t="shared" si="77"/>
        <v>0</v>
      </c>
      <c r="J75" s="185">
        <v>31</v>
      </c>
      <c r="K75" s="187">
        <v>0</v>
      </c>
      <c r="L75" s="185">
        <v>19788</v>
      </c>
      <c r="M75" s="185">
        <f t="shared" si="66"/>
        <v>28415156.347389083</v>
      </c>
      <c r="N75" s="26">
        <f t="shared" si="62"/>
        <v>-2278756.9426109158</v>
      </c>
      <c r="O75" s="34">
        <f t="shared" si="63"/>
        <v>-7.4241329904106076E-2</v>
      </c>
      <c r="P75" s="94">
        <f t="shared" si="67"/>
        <v>7.4241329904106076E-2</v>
      </c>
      <c r="Q75" s="95">
        <f t="shared" si="68"/>
        <v>5192733203497.4482</v>
      </c>
      <c r="R75" s="95">
        <f t="shared" si="70"/>
        <v>-2737092.7063131183</v>
      </c>
      <c r="S75" s="95">
        <f t="shared" si="71"/>
        <v>7491676482952.4707</v>
      </c>
      <c r="T75"/>
    </row>
    <row r="76" spans="1:20" x14ac:dyDescent="0.25">
      <c r="A76" s="183">
        <v>44620</v>
      </c>
      <c r="B76" s="185">
        <v>26556495.73</v>
      </c>
      <c r="C76" s="185"/>
      <c r="D76" s="185">
        <f t="shared" si="64"/>
        <v>26556495.73</v>
      </c>
      <c r="E76" s="185"/>
      <c r="F76" s="185"/>
      <c r="G76" s="185">
        <f t="shared" si="57"/>
        <v>26556495.73</v>
      </c>
      <c r="H76" s="185">
        <f t="shared" ref="H76:I76" si="78">H64</f>
        <v>577.75</v>
      </c>
      <c r="I76" s="185">
        <f t="shared" si="78"/>
        <v>0</v>
      </c>
      <c r="J76" s="185">
        <v>28</v>
      </c>
      <c r="K76" s="187">
        <v>0</v>
      </c>
      <c r="L76" s="185">
        <v>19810</v>
      </c>
      <c r="M76" s="185">
        <f t="shared" si="66"/>
        <v>25474894.628748108</v>
      </c>
      <c r="N76" s="26">
        <f t="shared" si="62"/>
        <v>-1081601.1012518927</v>
      </c>
      <c r="O76" s="34">
        <f t="shared" si="63"/>
        <v>-4.072830663535338E-2</v>
      </c>
      <c r="P76" s="94">
        <f t="shared" si="67"/>
        <v>4.072830663535338E-2</v>
      </c>
      <c r="Q76" s="95">
        <f t="shared" si="68"/>
        <v>1169860942229.3071</v>
      </c>
      <c r="R76" s="95">
        <f t="shared" si="70"/>
        <v>1197155.841359023</v>
      </c>
      <c r="S76" s="95">
        <f t="shared" si="71"/>
        <v>1433182108500.0303</v>
      </c>
      <c r="T76"/>
    </row>
    <row r="77" spans="1:20" x14ac:dyDescent="0.25">
      <c r="A77" s="183">
        <v>44651</v>
      </c>
      <c r="B77" s="185">
        <v>26436228.200000003</v>
      </c>
      <c r="C77" s="185"/>
      <c r="D77" s="185">
        <f t="shared" si="64"/>
        <v>26436228.200000003</v>
      </c>
      <c r="E77" s="185"/>
      <c r="F77" s="185"/>
      <c r="G77" s="185">
        <f t="shared" si="57"/>
        <v>26436228.200000003</v>
      </c>
      <c r="H77" s="185">
        <f t="shared" ref="H77:I77" si="79">H65</f>
        <v>510.25</v>
      </c>
      <c r="I77" s="185">
        <f t="shared" si="79"/>
        <v>0</v>
      </c>
      <c r="J77" s="185">
        <v>31</v>
      </c>
      <c r="K77" s="187">
        <v>1</v>
      </c>
      <c r="L77" s="185">
        <v>19854</v>
      </c>
      <c r="M77" s="185">
        <f t="shared" si="66"/>
        <v>25500144.697309844</v>
      </c>
      <c r="N77" s="26">
        <f t="shared" si="62"/>
        <v>-936083.50269015878</v>
      </c>
      <c r="O77" s="34">
        <f t="shared" si="63"/>
        <v>-3.5409117201150454E-2</v>
      </c>
      <c r="P77" s="94">
        <f t="shared" si="67"/>
        <v>3.5409117201150454E-2</v>
      </c>
      <c r="Q77" s="95">
        <f t="shared" si="68"/>
        <v>876252324008.67651</v>
      </c>
      <c r="R77" s="95">
        <f t="shared" si="70"/>
        <v>145517.59856173396</v>
      </c>
      <c r="S77" s="95">
        <f t="shared" si="71"/>
        <v>21175371491.173958</v>
      </c>
      <c r="T77"/>
    </row>
    <row r="78" spans="1:20" x14ac:dyDescent="0.25">
      <c r="A78" s="183">
        <v>44681</v>
      </c>
      <c r="B78" s="185">
        <v>22507686.228</v>
      </c>
      <c r="C78" s="185"/>
      <c r="D78" s="185">
        <f t="shared" si="64"/>
        <v>22507686.228</v>
      </c>
      <c r="E78" s="185"/>
      <c r="F78" s="185"/>
      <c r="G78" s="185">
        <f t="shared" si="57"/>
        <v>22507686.228</v>
      </c>
      <c r="H78" s="185">
        <f t="shared" ref="H78:I78" si="80">H66</f>
        <v>329.05999999999995</v>
      </c>
      <c r="I78" s="185">
        <f t="shared" si="80"/>
        <v>0.71</v>
      </c>
      <c r="J78" s="185">
        <v>30</v>
      </c>
      <c r="K78" s="187">
        <v>1</v>
      </c>
      <c r="L78" s="185">
        <v>19919</v>
      </c>
      <c r="M78" s="185">
        <f t="shared" si="66"/>
        <v>22727869.657928407</v>
      </c>
      <c r="N78" s="26">
        <f t="shared" si="62"/>
        <v>220183.42992840707</v>
      </c>
      <c r="O78" s="34">
        <f t="shared" si="63"/>
        <v>9.7825883877168413E-3</v>
      </c>
      <c r="P78" s="94">
        <f t="shared" si="67"/>
        <v>9.7825883877168413E-3</v>
      </c>
      <c r="Q78" s="95">
        <f t="shared" si="68"/>
        <v>48480742815.03775</v>
      </c>
      <c r="R78" s="95">
        <f t="shared" si="70"/>
        <v>1156266.9326185659</v>
      </c>
      <c r="S78" s="95">
        <f t="shared" si="71"/>
        <v>1336953219467.1472</v>
      </c>
      <c r="T78"/>
    </row>
    <row r="79" spans="1:20" x14ac:dyDescent="0.25">
      <c r="A79" s="183">
        <v>44712</v>
      </c>
      <c r="B79" s="185">
        <v>22133009.34</v>
      </c>
      <c r="C79" s="185"/>
      <c r="D79" s="185">
        <f t="shared" si="64"/>
        <v>22133009.34</v>
      </c>
      <c r="E79" s="185"/>
      <c r="F79" s="185"/>
      <c r="G79" s="185">
        <f t="shared" si="57"/>
        <v>22133009.34</v>
      </c>
      <c r="H79" s="185">
        <f t="shared" ref="H79:I79" si="81">H67</f>
        <v>142.47</v>
      </c>
      <c r="I79" s="185">
        <f t="shared" si="81"/>
        <v>21.69</v>
      </c>
      <c r="J79" s="185">
        <v>31</v>
      </c>
      <c r="K79" s="187">
        <v>1</v>
      </c>
      <c r="L79" s="185">
        <v>19961</v>
      </c>
      <c r="M79" s="185">
        <f t="shared" si="66"/>
        <v>22088062.864602733</v>
      </c>
      <c r="N79" s="26">
        <f t="shared" si="62"/>
        <v>-44946.475397266448</v>
      </c>
      <c r="O79" s="34">
        <f t="shared" si="63"/>
        <v>-2.0307439764206256E-3</v>
      </c>
      <c r="P79" s="94">
        <f t="shared" si="67"/>
        <v>2.0307439764206256E-3</v>
      </c>
      <c r="Q79" s="95">
        <f t="shared" si="68"/>
        <v>2020185650.637078</v>
      </c>
      <c r="R79" s="95">
        <f t="shared" si="70"/>
        <v>-265129.90532567352</v>
      </c>
      <c r="S79" s="95">
        <f t="shared" si="71"/>
        <v>70293866698.00061</v>
      </c>
      <c r="T79"/>
    </row>
    <row r="80" spans="1:20" x14ac:dyDescent="0.25">
      <c r="A80" s="183">
        <v>44742</v>
      </c>
      <c r="B80" s="185">
        <v>23221729.140000001</v>
      </c>
      <c r="C80" s="185"/>
      <c r="D80" s="185">
        <f t="shared" si="64"/>
        <v>23221729.140000001</v>
      </c>
      <c r="E80" s="185"/>
      <c r="F80" s="185"/>
      <c r="G80" s="185">
        <f t="shared" si="57"/>
        <v>23221729.140000001</v>
      </c>
      <c r="H80" s="185">
        <f t="shared" ref="H80:I80" si="82">H68</f>
        <v>19.93</v>
      </c>
      <c r="I80" s="185">
        <f t="shared" si="82"/>
        <v>77.789999999999992</v>
      </c>
      <c r="J80" s="185">
        <v>30</v>
      </c>
      <c r="K80" s="187">
        <v>0</v>
      </c>
      <c r="L80" s="185">
        <v>20015</v>
      </c>
      <c r="M80" s="185">
        <f t="shared" si="66"/>
        <v>23765569.800448611</v>
      </c>
      <c r="N80" s="26">
        <f t="shared" si="62"/>
        <v>543840.66044861078</v>
      </c>
      <c r="O80" s="34">
        <f t="shared" si="63"/>
        <v>2.3419473079282105E-2</v>
      </c>
      <c r="P80" s="94">
        <f t="shared" si="67"/>
        <v>2.3419473079282105E-2</v>
      </c>
      <c r="Q80" s="95">
        <f t="shared" si="68"/>
        <v>295762663957.18115</v>
      </c>
      <c r="R80" s="95">
        <f t="shared" si="70"/>
        <v>588787.13584587723</v>
      </c>
      <c r="S80" s="95">
        <f t="shared" si="71"/>
        <v>346670291337.59149</v>
      </c>
      <c r="T80"/>
    </row>
    <row r="81" spans="1:20" x14ac:dyDescent="0.25">
      <c r="A81" s="183">
        <v>44773</v>
      </c>
      <c r="B81" s="185">
        <v>26415918.866999999</v>
      </c>
      <c r="C81" s="185"/>
      <c r="D81" s="185">
        <f t="shared" si="64"/>
        <v>26415918.866999999</v>
      </c>
      <c r="E81" s="185"/>
      <c r="F81" s="185"/>
      <c r="G81" s="185">
        <f t="shared" si="57"/>
        <v>26415918.866999999</v>
      </c>
      <c r="H81" s="185">
        <f t="shared" ref="H81:I81" si="83">H69</f>
        <v>0.48000000000000009</v>
      </c>
      <c r="I81" s="185">
        <f t="shared" si="83"/>
        <v>154.26</v>
      </c>
      <c r="J81" s="185">
        <v>31</v>
      </c>
      <c r="K81" s="187">
        <v>0</v>
      </c>
      <c r="L81" s="185">
        <v>20061</v>
      </c>
      <c r="M81" s="185">
        <f t="shared" si="66"/>
        <v>27920875.094347842</v>
      </c>
      <c r="N81" s="26">
        <f t="shared" si="62"/>
        <v>1504956.2273478433</v>
      </c>
      <c r="O81" s="34">
        <f t="shared" si="63"/>
        <v>5.6971564567754068E-2</v>
      </c>
      <c r="P81" s="94">
        <f t="shared" si="67"/>
        <v>5.6971564567754068E-2</v>
      </c>
      <c r="Q81" s="95">
        <f t="shared" si="68"/>
        <v>2264893246233.0537</v>
      </c>
      <c r="R81" s="95">
        <f t="shared" si="70"/>
        <v>961115.56689923257</v>
      </c>
      <c r="S81" s="95">
        <f t="shared" si="71"/>
        <v>923743132936.0332</v>
      </c>
      <c r="T81"/>
    </row>
    <row r="82" spans="1:20" x14ac:dyDescent="0.25">
      <c r="A82" s="183">
        <v>44804</v>
      </c>
      <c r="B82" s="185">
        <v>27237589.953000002</v>
      </c>
      <c r="C82" s="185"/>
      <c r="D82" s="185">
        <f t="shared" si="64"/>
        <v>27237589.953000002</v>
      </c>
      <c r="E82" s="185"/>
      <c r="F82" s="185"/>
      <c r="G82" s="185">
        <f t="shared" si="57"/>
        <v>27237589.953000002</v>
      </c>
      <c r="H82" s="185">
        <f t="shared" ref="H82:I82" si="84">H70</f>
        <v>4.46</v>
      </c>
      <c r="I82" s="185">
        <f t="shared" si="84"/>
        <v>127.12</v>
      </c>
      <c r="J82" s="185">
        <v>31</v>
      </c>
      <c r="K82" s="187">
        <v>0</v>
      </c>
      <c r="L82" s="185">
        <v>20154</v>
      </c>
      <c r="M82" s="185">
        <f t="shared" si="66"/>
        <v>26732359.943367869</v>
      </c>
      <c r="N82" s="26">
        <f t="shared" si="62"/>
        <v>-505230.00963213295</v>
      </c>
      <c r="O82" s="34">
        <f t="shared" si="63"/>
        <v>-1.8548998296249258E-2</v>
      </c>
      <c r="P82" s="94">
        <f t="shared" si="67"/>
        <v>1.8548998296249258E-2</v>
      </c>
      <c r="Q82" s="95">
        <f t="shared" si="68"/>
        <v>255257362632.88516</v>
      </c>
      <c r="R82" s="95">
        <f t="shared" si="70"/>
        <v>-2010186.2369799763</v>
      </c>
      <c r="S82" s="95">
        <f t="shared" si="71"/>
        <v>4040848707343.7173</v>
      </c>
      <c r="T82"/>
    </row>
    <row r="83" spans="1:20" x14ac:dyDescent="0.25">
      <c r="A83" s="183">
        <v>44834</v>
      </c>
      <c r="B83" s="185">
        <v>22039776.68</v>
      </c>
      <c r="C83" s="185"/>
      <c r="D83" s="185">
        <f t="shared" si="64"/>
        <v>22039776.68</v>
      </c>
      <c r="E83" s="185"/>
      <c r="F83" s="185"/>
      <c r="G83" s="185">
        <f t="shared" si="57"/>
        <v>22039776.68</v>
      </c>
      <c r="H83" s="185">
        <f t="shared" ref="H83:I83" si="85">H71</f>
        <v>37.730000000000004</v>
      </c>
      <c r="I83" s="185">
        <f t="shared" si="85"/>
        <v>47.269999999999996</v>
      </c>
      <c r="J83" s="185">
        <v>30</v>
      </c>
      <c r="K83" s="187">
        <v>1</v>
      </c>
      <c r="L83" s="185">
        <v>20167</v>
      </c>
      <c r="M83" s="185">
        <f t="shared" si="66"/>
        <v>21616740.581199538</v>
      </c>
      <c r="N83" s="26">
        <f t="shared" si="62"/>
        <v>-423036.09880046174</v>
      </c>
      <c r="O83" s="34">
        <f t="shared" si="63"/>
        <v>-1.9194209857141879E-2</v>
      </c>
      <c r="P83" s="94">
        <f t="shared" si="67"/>
        <v>1.9194209857141879E-2</v>
      </c>
      <c r="Q83" s="95">
        <f t="shared" si="68"/>
        <v>178959540888.31403</v>
      </c>
      <c r="R83" s="95">
        <f t="shared" si="70"/>
        <v>82193.910831671208</v>
      </c>
      <c r="S83" s="95">
        <f t="shared" si="71"/>
        <v>6755838977.804718</v>
      </c>
      <c r="T83"/>
    </row>
    <row r="84" spans="1:20" x14ac:dyDescent="0.25">
      <c r="A84" s="183">
        <v>44865</v>
      </c>
      <c r="B84" s="185">
        <v>21742886.627999999</v>
      </c>
      <c r="C84" s="185"/>
      <c r="D84" s="185">
        <f t="shared" si="64"/>
        <v>21742886.627999999</v>
      </c>
      <c r="E84" s="185"/>
      <c r="F84" s="185"/>
      <c r="G84" s="185">
        <f t="shared" si="57"/>
        <v>21742886.627999999</v>
      </c>
      <c r="H84" s="185">
        <f t="shared" ref="H84:I84" si="86">H72</f>
        <v>211.34</v>
      </c>
      <c r="I84" s="185">
        <f t="shared" si="86"/>
        <v>6.6</v>
      </c>
      <c r="J84" s="185">
        <v>31</v>
      </c>
      <c r="K84" s="187">
        <v>1</v>
      </c>
      <c r="L84" s="185">
        <v>20305</v>
      </c>
      <c r="M84" s="185">
        <f t="shared" si="66"/>
        <v>22534899.707676832</v>
      </c>
      <c r="N84" s="26">
        <f t="shared" si="62"/>
        <v>792013.079676833</v>
      </c>
      <c r="O84" s="34">
        <f t="shared" si="63"/>
        <v>3.6426307749629544E-2</v>
      </c>
      <c r="P84" s="94">
        <f t="shared" si="67"/>
        <v>3.6426307749629544E-2</v>
      </c>
      <c r="Q84" s="95">
        <f t="shared" si="68"/>
        <v>627284718379.1814</v>
      </c>
      <c r="R84" s="95">
        <f t="shared" si="70"/>
        <v>1215049.1784772947</v>
      </c>
      <c r="S84" s="95">
        <f t="shared" si="71"/>
        <v>1476344506118.3489</v>
      </c>
      <c r="T84"/>
    </row>
    <row r="85" spans="1:20" x14ac:dyDescent="0.25">
      <c r="A85" s="183">
        <v>44895</v>
      </c>
      <c r="B85" s="185">
        <v>23454128.573000003</v>
      </c>
      <c r="C85" s="185"/>
      <c r="D85" s="185">
        <f t="shared" si="64"/>
        <v>23454128.573000003</v>
      </c>
      <c r="E85" s="185"/>
      <c r="F85" s="185"/>
      <c r="G85" s="185">
        <f t="shared" si="57"/>
        <v>23454128.573000003</v>
      </c>
      <c r="H85" s="185">
        <f t="shared" ref="H85:I85" si="87">H73</f>
        <v>409.7299999999999</v>
      </c>
      <c r="I85" s="185">
        <f t="shared" si="87"/>
        <v>0.26</v>
      </c>
      <c r="J85" s="185">
        <v>30</v>
      </c>
      <c r="K85" s="187">
        <v>1</v>
      </c>
      <c r="L85" s="185">
        <v>20413</v>
      </c>
      <c r="M85" s="185">
        <f t="shared" si="66"/>
        <v>24180078.820093576</v>
      </c>
      <c r="N85" s="26">
        <f t="shared" si="62"/>
        <v>725950.24709357321</v>
      </c>
      <c r="O85" s="34">
        <f t="shared" si="63"/>
        <v>3.0951917264121886E-2</v>
      </c>
      <c r="P85" s="94">
        <f t="shared" si="67"/>
        <v>3.0951917264121886E-2</v>
      </c>
      <c r="Q85" s="95">
        <f t="shared" si="68"/>
        <v>527003761255.22003</v>
      </c>
      <c r="R85" s="95">
        <f t="shared" si="70"/>
        <v>-66062.832583259791</v>
      </c>
      <c r="S85" s="95">
        <f t="shared" si="71"/>
        <v>4364297848.9238119</v>
      </c>
      <c r="T85"/>
    </row>
    <row r="86" spans="1:20" x14ac:dyDescent="0.25">
      <c r="A86" s="183">
        <v>44926</v>
      </c>
      <c r="B86" s="185">
        <v>27495141.667000003</v>
      </c>
      <c r="C86" s="185"/>
      <c r="D86" s="185">
        <f t="shared" si="64"/>
        <v>27495141.667000003</v>
      </c>
      <c r="E86" s="185"/>
      <c r="F86" s="185"/>
      <c r="G86" s="185">
        <f t="shared" si="57"/>
        <v>27495141.667000003</v>
      </c>
      <c r="H86" s="185">
        <f t="shared" ref="H86:I86" si="88">H74</f>
        <v>577.68000000000006</v>
      </c>
      <c r="I86" s="185">
        <f t="shared" si="88"/>
        <v>0</v>
      </c>
      <c r="J86" s="185">
        <v>31</v>
      </c>
      <c r="K86" s="187">
        <v>0</v>
      </c>
      <c r="L86" s="185">
        <v>20514</v>
      </c>
      <c r="M86" s="185">
        <f t="shared" si="66"/>
        <v>27991117.693686429</v>
      </c>
      <c r="N86" s="26">
        <f t="shared" si="62"/>
        <v>495976.02668642625</v>
      </c>
      <c r="O86" s="34">
        <f t="shared" si="63"/>
        <v>1.803867871252697E-2</v>
      </c>
      <c r="P86" s="94">
        <f t="shared" si="67"/>
        <v>1.803867871252697E-2</v>
      </c>
      <c r="Q86" s="95">
        <f t="shared" si="68"/>
        <v>245992219047.6546</v>
      </c>
      <c r="R86" s="95">
        <f t="shared" si="70"/>
        <v>-229974.22040714696</v>
      </c>
      <c r="S86" s="95">
        <f t="shared" si="71"/>
        <v>52888142051.875008</v>
      </c>
      <c r="T86"/>
    </row>
    <row r="87" spans="1:20" x14ac:dyDescent="0.25">
      <c r="A87" s="183">
        <v>44957</v>
      </c>
      <c r="B87" s="185">
        <v>27816333.475000001</v>
      </c>
      <c r="C87" s="185"/>
      <c r="D87" s="185">
        <f t="shared" si="64"/>
        <v>27816333.475000001</v>
      </c>
      <c r="E87" s="185"/>
      <c r="F87" s="185"/>
      <c r="G87" s="185">
        <f t="shared" si="57"/>
        <v>27816333.475000001</v>
      </c>
      <c r="H87" s="185">
        <f t="shared" ref="H87:I87" si="89">H75</f>
        <v>667.41000000000008</v>
      </c>
      <c r="I87" s="185">
        <f t="shared" si="89"/>
        <v>0</v>
      </c>
      <c r="J87" s="188">
        <v>31</v>
      </c>
      <c r="K87" s="187">
        <v>0</v>
      </c>
      <c r="L87" s="185">
        <v>20697</v>
      </c>
      <c r="M87" s="185">
        <f t="shared" si="66"/>
        <v>29281576.902038049</v>
      </c>
      <c r="N87" s="26">
        <f t="shared" si="62"/>
        <v>1465243.4270380475</v>
      </c>
      <c r="O87" s="34">
        <f t="shared" si="63"/>
        <v>5.2675649303490647E-2</v>
      </c>
      <c r="P87" s="94">
        <f t="shared" si="67"/>
        <v>5.2675649303490647E-2</v>
      </c>
      <c r="Q87" s="95">
        <f t="shared" si="68"/>
        <v>2146938300478.2019</v>
      </c>
      <c r="R87" s="95">
        <f t="shared" si="70"/>
        <v>969267.40035162121</v>
      </c>
      <c r="S87" s="95">
        <f t="shared" si="71"/>
        <v>939479293384.38989</v>
      </c>
      <c r="T87"/>
    </row>
    <row r="88" spans="1:20" x14ac:dyDescent="0.25">
      <c r="A88" s="183">
        <v>44985</v>
      </c>
      <c r="B88" s="185">
        <v>25737050.190000001</v>
      </c>
      <c r="C88" s="185"/>
      <c r="D88" s="185">
        <f t="shared" si="64"/>
        <v>25737050.190000001</v>
      </c>
      <c r="E88" s="185"/>
      <c r="F88" s="185"/>
      <c r="G88" s="185">
        <f t="shared" si="57"/>
        <v>25737050.190000001</v>
      </c>
      <c r="H88" s="185">
        <f t="shared" ref="H88:I88" si="90">H76</f>
        <v>577.75</v>
      </c>
      <c r="I88" s="185">
        <f t="shared" si="90"/>
        <v>0</v>
      </c>
      <c r="J88" s="188">
        <v>28</v>
      </c>
      <c r="K88" s="187">
        <v>0</v>
      </c>
      <c r="L88" s="185">
        <v>20815</v>
      </c>
      <c r="M88" s="185">
        <f t="shared" si="66"/>
        <v>26432818.344284095</v>
      </c>
      <c r="N88" s="26">
        <f t="shared" si="62"/>
        <v>695768.15428409353</v>
      </c>
      <c r="O88" s="34">
        <f t="shared" si="63"/>
        <v>2.7033717894929182E-2</v>
      </c>
      <c r="P88" s="94">
        <f t="shared" si="67"/>
        <v>2.7033717894929182E-2</v>
      </c>
      <c r="Q88" s="95">
        <f t="shared" si="68"/>
        <v>484093324515.89417</v>
      </c>
      <c r="R88" s="95">
        <f t="shared" si="70"/>
        <v>-769475.27275395393</v>
      </c>
      <c r="S88" s="95">
        <f t="shared" si="71"/>
        <v>592092195379.77185</v>
      </c>
      <c r="T88"/>
    </row>
    <row r="89" spans="1:20" x14ac:dyDescent="0.25">
      <c r="A89" s="183">
        <v>45016</v>
      </c>
      <c r="B89" s="185">
        <v>26997986.940000001</v>
      </c>
      <c r="C89" s="185"/>
      <c r="D89" s="185">
        <f t="shared" si="64"/>
        <v>26997986.940000001</v>
      </c>
      <c r="E89" s="185"/>
      <c r="F89" s="185"/>
      <c r="G89" s="185">
        <f t="shared" si="57"/>
        <v>26997986.940000001</v>
      </c>
      <c r="H89" s="185">
        <f t="shared" ref="H89:I89" si="91">H77</f>
        <v>510.25</v>
      </c>
      <c r="I89" s="185">
        <f t="shared" si="91"/>
        <v>0</v>
      </c>
      <c r="J89" s="188">
        <v>31</v>
      </c>
      <c r="K89" s="187">
        <v>1</v>
      </c>
      <c r="L89" s="185">
        <v>20974</v>
      </c>
      <c r="M89" s="185">
        <f t="shared" si="66"/>
        <v>26567681.57432507</v>
      </c>
      <c r="N89" s="26">
        <f t="shared" si="62"/>
        <v>-430305.36567493156</v>
      </c>
      <c r="O89" s="34">
        <f t="shared" si="63"/>
        <v>-1.5938424099220323E-2</v>
      </c>
      <c r="P89" s="94">
        <f t="shared" si="67"/>
        <v>1.5938424099220323E-2</v>
      </c>
      <c r="Q89" s="95">
        <f t="shared" si="68"/>
        <v>185162707728.63657</v>
      </c>
      <c r="R89" s="95">
        <f t="shared" si="70"/>
        <v>-1126073.5199590251</v>
      </c>
      <c r="S89" s="95">
        <f t="shared" si="71"/>
        <v>1268041572352.9089</v>
      </c>
      <c r="T89"/>
    </row>
    <row r="90" spans="1:20" x14ac:dyDescent="0.25">
      <c r="A90" s="183">
        <v>45046</v>
      </c>
      <c r="B90" s="185">
        <v>22470351.425000001</v>
      </c>
      <c r="C90" s="185"/>
      <c r="D90" s="185">
        <f t="shared" si="64"/>
        <v>22470351.425000001</v>
      </c>
      <c r="E90" s="185"/>
      <c r="F90" s="185"/>
      <c r="G90" s="185">
        <f t="shared" si="57"/>
        <v>22470351.425000001</v>
      </c>
      <c r="H90" s="185">
        <f t="shared" ref="H90:I90" si="92">H78</f>
        <v>329.05999999999995</v>
      </c>
      <c r="I90" s="185">
        <f t="shared" si="92"/>
        <v>0.71</v>
      </c>
      <c r="J90" s="188">
        <v>30</v>
      </c>
      <c r="K90" s="187">
        <v>1</v>
      </c>
      <c r="L90" s="185">
        <v>21059</v>
      </c>
      <c r="M90" s="185">
        <f t="shared" si="66"/>
        <v>23814469.693461765</v>
      </c>
      <c r="N90" s="26">
        <f t="shared" si="62"/>
        <v>1344118.2684617639</v>
      </c>
      <c r="O90" s="34">
        <f t="shared" si="63"/>
        <v>5.9817411977203368E-2</v>
      </c>
      <c r="P90" s="94">
        <f t="shared" si="67"/>
        <v>5.9817411977203368E-2</v>
      </c>
      <c r="Q90" s="95">
        <f t="shared" si="68"/>
        <v>1806653919612.6504</v>
      </c>
      <c r="R90" s="95">
        <f t="shared" si="70"/>
        <v>1774423.6341366954</v>
      </c>
      <c r="S90" s="95">
        <f t="shared" si="71"/>
        <v>3148579233382.877</v>
      </c>
      <c r="T90"/>
    </row>
    <row r="91" spans="1:20" x14ac:dyDescent="0.25">
      <c r="A91" s="183">
        <v>45077</v>
      </c>
      <c r="B91" s="185">
        <v>22071224.705000002</v>
      </c>
      <c r="C91" s="185"/>
      <c r="D91" s="185">
        <f t="shared" si="64"/>
        <v>22071224.705000002</v>
      </c>
      <c r="E91" s="185"/>
      <c r="F91" s="185"/>
      <c r="G91" s="185">
        <f t="shared" si="57"/>
        <v>22071224.705000002</v>
      </c>
      <c r="H91" s="185">
        <f t="shared" ref="H91:I91" si="93">H79</f>
        <v>142.47</v>
      </c>
      <c r="I91" s="185">
        <f t="shared" si="93"/>
        <v>21.69</v>
      </c>
      <c r="J91" s="188">
        <v>31</v>
      </c>
      <c r="K91" s="187">
        <v>1</v>
      </c>
      <c r="L91" s="185">
        <v>21114</v>
      </c>
      <c r="M91" s="185">
        <f t="shared" si="66"/>
        <v>23187053.953172874</v>
      </c>
      <c r="N91" s="26">
        <f t="shared" si="62"/>
        <v>1115829.2481728718</v>
      </c>
      <c r="O91" s="34">
        <f t="shared" si="63"/>
        <v>5.0555837434797739E-2</v>
      </c>
      <c r="P91" s="94">
        <f t="shared" si="67"/>
        <v>5.0555837434797739E-2</v>
      </c>
      <c r="Q91" s="95">
        <f t="shared" si="68"/>
        <v>1245074911078.0361</v>
      </c>
      <c r="R91" s="95">
        <f t="shared" si="70"/>
        <v>-228289.02028889209</v>
      </c>
      <c r="S91" s="95">
        <f t="shared" si="71"/>
        <v>52115876784.462181</v>
      </c>
      <c r="T91"/>
    </row>
    <row r="92" spans="1:20" x14ac:dyDescent="0.25">
      <c r="A92" s="183">
        <v>45107</v>
      </c>
      <c r="B92" s="185">
        <v>24243663.09</v>
      </c>
      <c r="C92" s="185"/>
      <c r="D92" s="185">
        <f t="shared" si="64"/>
        <v>24243663.09</v>
      </c>
      <c r="E92" s="185"/>
      <c r="F92" s="185"/>
      <c r="G92" s="185">
        <f t="shared" si="57"/>
        <v>24243663.09</v>
      </c>
      <c r="H92" s="185">
        <f t="shared" ref="H92:I92" si="94">H80</f>
        <v>19.93</v>
      </c>
      <c r="I92" s="185">
        <f t="shared" si="94"/>
        <v>77.789999999999992</v>
      </c>
      <c r="J92" s="188">
        <v>30</v>
      </c>
      <c r="K92" s="187">
        <v>0</v>
      </c>
      <c r="L92" s="185">
        <v>21388</v>
      </c>
      <c r="M92" s="185">
        <f t="shared" si="66"/>
        <v>25074255.632718168</v>
      </c>
      <c r="N92" s="26">
        <f t="shared" si="62"/>
        <v>830592.54271816835</v>
      </c>
      <c r="O92" s="34">
        <f t="shared" si="63"/>
        <v>3.4260191606967604E-2</v>
      </c>
      <c r="P92" s="94">
        <f t="shared" si="67"/>
        <v>3.4260191606967604E-2</v>
      </c>
      <c r="Q92" s="95">
        <f t="shared" si="68"/>
        <v>689883972019.03235</v>
      </c>
      <c r="R92" s="95">
        <f t="shared" si="70"/>
        <v>-285236.70545470342</v>
      </c>
      <c r="S92" s="95">
        <f t="shared" si="71"/>
        <v>81359978138.653229</v>
      </c>
      <c r="T92"/>
    </row>
    <row r="93" spans="1:20" x14ac:dyDescent="0.25">
      <c r="A93" s="183">
        <v>45138</v>
      </c>
      <c r="B93" s="185">
        <v>28251363</v>
      </c>
      <c r="C93" s="185"/>
      <c r="D93" s="185">
        <f t="shared" si="64"/>
        <v>28251363</v>
      </c>
      <c r="E93" s="185"/>
      <c r="F93" s="185"/>
      <c r="G93" s="185">
        <f t="shared" si="57"/>
        <v>28251363</v>
      </c>
      <c r="H93" s="185">
        <f t="shared" ref="H93:I93" si="95">H81</f>
        <v>0.48000000000000009</v>
      </c>
      <c r="I93" s="185">
        <f t="shared" si="95"/>
        <v>154.26</v>
      </c>
      <c r="J93" s="188">
        <v>31</v>
      </c>
      <c r="K93" s="187">
        <v>0</v>
      </c>
      <c r="L93" s="185">
        <v>21442</v>
      </c>
      <c r="M93" s="185">
        <f t="shared" si="66"/>
        <v>29237186.190024655</v>
      </c>
      <c r="N93" s="26">
        <f t="shared" si="62"/>
        <v>985823.19002465531</v>
      </c>
      <c r="O93" s="34">
        <f t="shared" si="63"/>
        <v>3.4894712514389317E-2</v>
      </c>
      <c r="P93" s="94">
        <f t="shared" si="67"/>
        <v>3.4894712514389317E-2</v>
      </c>
      <c r="Q93" s="95">
        <f t="shared" si="68"/>
        <v>971847361990.3877</v>
      </c>
      <c r="R93" s="95">
        <f t="shared" si="70"/>
        <v>155230.64730648696</v>
      </c>
      <c r="S93" s="95">
        <f t="shared" si="71"/>
        <v>24096553863.190948</v>
      </c>
      <c r="T93"/>
    </row>
    <row r="94" spans="1:20" x14ac:dyDescent="0.25">
      <c r="A94" s="183">
        <v>45169</v>
      </c>
      <c r="B94" s="185">
        <v>25466441.18</v>
      </c>
      <c r="C94" s="185"/>
      <c r="D94" s="185">
        <f t="shared" si="64"/>
        <v>25466441.18</v>
      </c>
      <c r="E94" s="185"/>
      <c r="F94" s="185"/>
      <c r="G94" s="185">
        <f t="shared" si="57"/>
        <v>25466441.18</v>
      </c>
      <c r="H94" s="185">
        <f t="shared" ref="H94:I94" si="96">H82</f>
        <v>4.46</v>
      </c>
      <c r="I94" s="185">
        <f t="shared" si="96"/>
        <v>127.12</v>
      </c>
      <c r="J94" s="188">
        <v>31</v>
      </c>
      <c r="K94" s="187">
        <v>0</v>
      </c>
      <c r="L94" s="185">
        <v>21574</v>
      </c>
      <c r="M94" s="185">
        <f t="shared" si="66"/>
        <v>28085844.198155031</v>
      </c>
      <c r="N94" s="26">
        <f t="shared" si="62"/>
        <v>2619403.0181550309</v>
      </c>
      <c r="O94" s="34">
        <f t="shared" si="63"/>
        <v>0.10285705017205828</v>
      </c>
      <c r="P94" s="94">
        <f t="shared" si="67"/>
        <v>0.10285705017205828</v>
      </c>
      <c r="Q94" s="95">
        <f t="shared" si="68"/>
        <v>6861272171519.6855</v>
      </c>
      <c r="R94" s="95">
        <f t="shared" si="70"/>
        <v>1633579.8281303756</v>
      </c>
      <c r="S94" s="95">
        <f t="shared" si="71"/>
        <v>2668583054874.4673</v>
      </c>
      <c r="T94"/>
    </row>
    <row r="95" spans="1:20" x14ac:dyDescent="0.25">
      <c r="A95" s="183">
        <v>45199</v>
      </c>
      <c r="B95" s="185">
        <v>23431411.390000001</v>
      </c>
      <c r="C95" s="185"/>
      <c r="D95" s="185">
        <f t="shared" si="64"/>
        <v>23431411.390000001</v>
      </c>
      <c r="E95" s="185"/>
      <c r="F95" s="185"/>
      <c r="G95" s="185">
        <f t="shared" si="57"/>
        <v>23431411.390000001</v>
      </c>
      <c r="H95" s="185">
        <f t="shared" ref="H95:I95" si="97">H83</f>
        <v>37.730000000000004</v>
      </c>
      <c r="I95" s="185">
        <f t="shared" si="97"/>
        <v>47.269999999999996</v>
      </c>
      <c r="J95" s="188">
        <v>30</v>
      </c>
      <c r="K95" s="187">
        <v>1</v>
      </c>
      <c r="L95" s="185">
        <v>21889</v>
      </c>
      <c r="M95" s="185">
        <f t="shared" si="66"/>
        <v>23258078.529610448</v>
      </c>
      <c r="N95" s="26">
        <f t="shared" si="62"/>
        <v>-173332.86038955301</v>
      </c>
      <c r="O95" s="34">
        <f t="shared" si="63"/>
        <v>-7.3974570931534915E-3</v>
      </c>
      <c r="P95" s="94">
        <f t="shared" si="67"/>
        <v>7.3974570931534915E-3</v>
      </c>
      <c r="Q95" s="95">
        <f t="shared" si="68"/>
        <v>30044280490.824276</v>
      </c>
      <c r="R95" s="95">
        <f t="shared" si="70"/>
        <v>-2792735.8785445839</v>
      </c>
      <c r="S95" s="95">
        <f t="shared" si="71"/>
        <v>7799373687310.1895</v>
      </c>
      <c r="T95"/>
    </row>
    <row r="96" spans="1:20" x14ac:dyDescent="0.25">
      <c r="A96" s="183">
        <v>45230</v>
      </c>
      <c r="B96" s="185">
        <v>23160515.342999998</v>
      </c>
      <c r="C96" s="185"/>
      <c r="D96" s="185">
        <f t="shared" si="64"/>
        <v>23160515.342999998</v>
      </c>
      <c r="E96" s="185"/>
      <c r="F96" s="185"/>
      <c r="G96" s="185">
        <f t="shared" si="57"/>
        <v>23160515.342999998</v>
      </c>
      <c r="H96" s="185">
        <f t="shared" ref="H96:I96" si="98">H84</f>
        <v>211.34</v>
      </c>
      <c r="I96" s="185">
        <f t="shared" si="98"/>
        <v>6.6</v>
      </c>
      <c r="J96" s="188">
        <v>31</v>
      </c>
      <c r="K96" s="187">
        <v>1</v>
      </c>
      <c r="L96" s="185">
        <v>22078</v>
      </c>
      <c r="M96" s="185">
        <f t="shared" si="66"/>
        <v>24224848.710308973</v>
      </c>
      <c r="N96" s="26">
        <f t="shared" si="62"/>
        <v>1064333.3673089743</v>
      </c>
      <c r="O96" s="34">
        <f t="shared" si="63"/>
        <v>4.5954649607166748E-2</v>
      </c>
      <c r="P96" s="94">
        <f t="shared" si="67"/>
        <v>4.5954649607166748E-2</v>
      </c>
      <c r="Q96" s="95">
        <f t="shared" si="68"/>
        <v>1132805516767.26</v>
      </c>
      <c r="R96" s="95">
        <f t="shared" si="70"/>
        <v>1237666.2276985273</v>
      </c>
      <c r="S96" s="95">
        <f t="shared" si="71"/>
        <v>1531817691185.5027</v>
      </c>
      <c r="T96"/>
    </row>
    <row r="97" spans="1:20" x14ac:dyDescent="0.25">
      <c r="A97" s="183">
        <v>45260</v>
      </c>
      <c r="B97" s="185">
        <v>25412591.949999999</v>
      </c>
      <c r="C97" s="185"/>
      <c r="D97" s="185">
        <f t="shared" si="64"/>
        <v>25412591.949999999</v>
      </c>
      <c r="E97" s="185"/>
      <c r="F97" s="185"/>
      <c r="G97" s="185">
        <f t="shared" si="57"/>
        <v>25412591.949999999</v>
      </c>
      <c r="H97" s="185">
        <f t="shared" ref="H97:I97" si="99">H85</f>
        <v>409.7299999999999</v>
      </c>
      <c r="I97" s="185">
        <f t="shared" si="99"/>
        <v>0.26</v>
      </c>
      <c r="J97" s="188">
        <v>30</v>
      </c>
      <c r="K97" s="187">
        <v>1</v>
      </c>
      <c r="L97" s="185">
        <v>22191</v>
      </c>
      <c r="M97" s="185">
        <f t="shared" si="66"/>
        <v>25874793.612355251</v>
      </c>
      <c r="N97" s="26">
        <f t="shared" si="62"/>
        <v>462201.66235525161</v>
      </c>
      <c r="O97" s="34">
        <f t="shared" si="63"/>
        <v>1.8187899261305047E-2</v>
      </c>
      <c r="P97" s="94">
        <f t="shared" si="67"/>
        <v>1.8187899261305047E-2</v>
      </c>
      <c r="Q97" s="95">
        <f t="shared" si="68"/>
        <v>213630376683.95801</v>
      </c>
      <c r="R97" s="95">
        <f t="shared" si="70"/>
        <v>-602131.70495372266</v>
      </c>
      <c r="S97" s="95">
        <f t="shared" si="71"/>
        <v>362562590110.47693</v>
      </c>
      <c r="T97"/>
    </row>
    <row r="98" spans="1:20" x14ac:dyDescent="0.25">
      <c r="A98" s="183">
        <v>45291</v>
      </c>
      <c r="B98" s="185">
        <v>28044242.27</v>
      </c>
      <c r="C98" s="185"/>
      <c r="D98" s="185">
        <f t="shared" si="64"/>
        <v>28044242.27</v>
      </c>
      <c r="E98" s="185"/>
      <c r="F98" s="185"/>
      <c r="G98" s="185">
        <f t="shared" si="57"/>
        <v>28044242.27</v>
      </c>
      <c r="H98" s="185">
        <f t="shared" ref="H98:I98" si="100">H86</f>
        <v>577.68000000000006</v>
      </c>
      <c r="I98" s="185">
        <f t="shared" si="100"/>
        <v>0</v>
      </c>
      <c r="J98" s="188">
        <v>31</v>
      </c>
      <c r="K98" s="187">
        <v>0</v>
      </c>
      <c r="L98" s="185">
        <v>22337</v>
      </c>
      <c r="M98" s="185">
        <f t="shared" si="66"/>
        <v>29728724.592613894</v>
      </c>
      <c r="N98" s="26">
        <f t="shared" si="62"/>
        <v>1684482.3226138949</v>
      </c>
      <c r="O98" s="34">
        <f t="shared" si="63"/>
        <v>6.0065175104261959E-2</v>
      </c>
      <c r="P98" s="94">
        <f t="shared" si="67"/>
        <v>6.0065175104261959E-2</v>
      </c>
      <c r="Q98" s="95">
        <f t="shared" si="68"/>
        <v>2837480695198.7021</v>
      </c>
      <c r="R98" s="95">
        <f t="shared" si="70"/>
        <v>1222280.6602586433</v>
      </c>
      <c r="S98" s="95">
        <f t="shared" si="71"/>
        <v>1493970012442.3052</v>
      </c>
      <c r="T98"/>
    </row>
    <row r="99" spans="1:20" x14ac:dyDescent="0.25">
      <c r="A99" s="183">
        <v>45322</v>
      </c>
      <c r="B99" s="185">
        <v>30258212.252999999</v>
      </c>
      <c r="C99" s="185"/>
      <c r="D99" s="185">
        <f t="shared" si="64"/>
        <v>30258212.252999999</v>
      </c>
      <c r="E99" s="185"/>
      <c r="F99" s="185"/>
      <c r="G99" s="185">
        <f t="shared" si="57"/>
        <v>30258212.252999999</v>
      </c>
      <c r="H99" s="185">
        <f t="shared" ref="H99:I99" si="101">H87</f>
        <v>667.41000000000008</v>
      </c>
      <c r="I99" s="185">
        <f t="shared" si="101"/>
        <v>0</v>
      </c>
      <c r="J99" s="185">
        <v>31</v>
      </c>
      <c r="K99" s="187">
        <v>0</v>
      </c>
      <c r="L99" s="185">
        <v>22480</v>
      </c>
      <c r="M99" s="185">
        <f t="shared" si="66"/>
        <v>30981057.483929254</v>
      </c>
      <c r="N99" s="26">
        <f t="shared" si="62"/>
        <v>722845.23092925549</v>
      </c>
      <c r="O99" s="34">
        <f t="shared" si="63"/>
        <v>2.3889224680073023E-2</v>
      </c>
      <c r="P99" s="94">
        <f t="shared" si="67"/>
        <v>2.3889224680073023E-2</v>
      </c>
      <c r="Q99" s="95">
        <f t="shared" si="68"/>
        <v>522505227877.1687</v>
      </c>
      <c r="R99" s="95">
        <f t="shared" si="70"/>
        <v>-961637.09168463945</v>
      </c>
      <c r="S99" s="95">
        <f t="shared" si="71"/>
        <v>924745896103.69165</v>
      </c>
      <c r="T99"/>
    </row>
    <row r="100" spans="1:20" x14ac:dyDescent="0.25">
      <c r="A100" s="183">
        <v>45351</v>
      </c>
      <c r="B100" s="185">
        <v>26987081.115000002</v>
      </c>
      <c r="C100" s="185"/>
      <c r="D100" s="185">
        <f t="shared" si="64"/>
        <v>26987081.115000002</v>
      </c>
      <c r="E100" s="185"/>
      <c r="F100" s="185"/>
      <c r="G100" s="185">
        <f t="shared" si="57"/>
        <v>26987081.115000002</v>
      </c>
      <c r="H100" s="185">
        <f t="shared" ref="H100:I100" si="102">H88</f>
        <v>577.75</v>
      </c>
      <c r="I100" s="185">
        <f t="shared" si="102"/>
        <v>0</v>
      </c>
      <c r="J100" s="185">
        <v>29</v>
      </c>
      <c r="K100" s="187">
        <v>0</v>
      </c>
      <c r="L100" s="185">
        <v>22616</v>
      </c>
      <c r="M100" s="185">
        <f t="shared" si="66"/>
        <v>28764812.609294802</v>
      </c>
      <c r="N100" s="26">
        <f t="shared" si="62"/>
        <v>1777731.4942947999</v>
      </c>
      <c r="O100" s="34">
        <f t="shared" si="63"/>
        <v>6.5873426130056659E-2</v>
      </c>
      <c r="P100" s="94">
        <f t="shared" si="67"/>
        <v>6.5873426130056659E-2</v>
      </c>
      <c r="Q100" s="95">
        <f t="shared" si="68"/>
        <v>3160329265807.6221</v>
      </c>
      <c r="R100" s="95">
        <f t="shared" si="70"/>
        <v>1054886.2633655444</v>
      </c>
      <c r="S100" s="95">
        <f t="shared" si="71"/>
        <v>1112785028637.3206</v>
      </c>
      <c r="T100"/>
    </row>
    <row r="101" spans="1:20" x14ac:dyDescent="0.25">
      <c r="A101" s="183">
        <v>45382</v>
      </c>
      <c r="B101" s="185">
        <v>26960112.859999999</v>
      </c>
      <c r="C101" s="185"/>
      <c r="D101" s="185">
        <f t="shared" si="64"/>
        <v>26960112.859999999</v>
      </c>
      <c r="E101" s="185"/>
      <c r="F101" s="185"/>
      <c r="G101" s="185">
        <f t="shared" si="57"/>
        <v>26960112.859999999</v>
      </c>
      <c r="H101" s="185">
        <f t="shared" ref="H101:I101" si="103">H89</f>
        <v>510.25</v>
      </c>
      <c r="I101" s="185">
        <f t="shared" si="103"/>
        <v>0</v>
      </c>
      <c r="J101" s="185">
        <v>31</v>
      </c>
      <c r="K101" s="187">
        <v>1</v>
      </c>
      <c r="L101" s="185">
        <v>22842</v>
      </c>
      <c r="M101" s="185">
        <f t="shared" si="66"/>
        <v>28348180.579918325</v>
      </c>
      <c r="N101" s="26">
        <f t="shared" si="62"/>
        <v>1388067.7199183255</v>
      </c>
      <c r="O101" s="34">
        <f t="shared" si="63"/>
        <v>5.1485975860945471E-2</v>
      </c>
      <c r="P101" s="94">
        <f t="shared" si="67"/>
        <v>5.1485975860945471E-2</v>
      </c>
      <c r="Q101" s="95">
        <f t="shared" si="68"/>
        <v>1926731995079.259</v>
      </c>
      <c r="R101" s="95">
        <f t="shared" si="70"/>
        <v>-389663.77437647432</v>
      </c>
      <c r="S101" s="95">
        <f t="shared" si="71"/>
        <v>151837857061.31989</v>
      </c>
      <c r="T101"/>
    </row>
    <row r="102" spans="1:20" x14ac:dyDescent="0.25">
      <c r="A102" s="183">
        <v>45412</v>
      </c>
      <c r="B102" s="185">
        <v>23858192.226999998</v>
      </c>
      <c r="C102" s="185"/>
      <c r="D102" s="185">
        <f t="shared" si="64"/>
        <v>23858192.226999998</v>
      </c>
      <c r="E102" s="185"/>
      <c r="F102" s="185"/>
      <c r="G102" s="185">
        <f t="shared" si="57"/>
        <v>23858192.226999998</v>
      </c>
      <c r="H102" s="185">
        <f t="shared" ref="H102:I102" si="104">H90</f>
        <v>329.05999999999995</v>
      </c>
      <c r="I102" s="185">
        <f t="shared" si="104"/>
        <v>0.71</v>
      </c>
      <c r="J102" s="185">
        <v>30</v>
      </c>
      <c r="K102" s="187">
        <v>1</v>
      </c>
      <c r="L102" s="185">
        <v>22955</v>
      </c>
      <c r="M102" s="185">
        <f t="shared" si="66"/>
        <v>25621657.120980397</v>
      </c>
      <c r="N102" s="26">
        <f t="shared" si="62"/>
        <v>1763464.8939803988</v>
      </c>
      <c r="O102" s="34">
        <f t="shared" si="63"/>
        <v>7.3914438998639184E-2</v>
      </c>
      <c r="P102" s="94">
        <f t="shared" si="67"/>
        <v>7.3914438998639184E-2</v>
      </c>
      <c r="Q102" s="95">
        <f t="shared" si="68"/>
        <v>3109808432301.2993</v>
      </c>
      <c r="R102" s="95">
        <f t="shared" si="70"/>
        <v>375397.17406207323</v>
      </c>
      <c r="S102" s="95">
        <f t="shared" si="71"/>
        <v>140923038293.7905</v>
      </c>
      <c r="T102"/>
    </row>
    <row r="103" spans="1:20" x14ac:dyDescent="0.25">
      <c r="A103" s="183">
        <v>45443</v>
      </c>
      <c r="B103" s="185">
        <v>23467027.705000002</v>
      </c>
      <c r="C103" s="185"/>
      <c r="D103" s="185">
        <f t="shared" si="64"/>
        <v>23467027.705000002</v>
      </c>
      <c r="E103" s="185"/>
      <c r="F103" s="185"/>
      <c r="G103" s="185">
        <f t="shared" si="57"/>
        <v>23467027.705000002</v>
      </c>
      <c r="H103" s="185">
        <f t="shared" ref="H103:I103" si="105">H91</f>
        <v>142.47</v>
      </c>
      <c r="I103" s="185">
        <f t="shared" si="105"/>
        <v>21.69</v>
      </c>
      <c r="J103" s="185">
        <v>31</v>
      </c>
      <c r="K103" s="187">
        <v>1</v>
      </c>
      <c r="L103" s="185">
        <v>23059</v>
      </c>
      <c r="M103" s="185">
        <f t="shared" si="66"/>
        <v>25040946.119060926</v>
      </c>
      <c r="N103" s="26">
        <f t="shared" si="62"/>
        <v>1573918.4140609242</v>
      </c>
      <c r="O103" s="34">
        <f t="shared" si="63"/>
        <v>6.7069355090315821E-2</v>
      </c>
      <c r="P103" s="94">
        <f t="shared" si="67"/>
        <v>6.7069355090315821E-2</v>
      </c>
      <c r="Q103" s="95">
        <f t="shared" si="68"/>
        <v>2477219174120.0547</v>
      </c>
      <c r="R103" s="95">
        <f t="shared" si="70"/>
        <v>-189546.47991947457</v>
      </c>
      <c r="S103" s="95">
        <f t="shared" si="71"/>
        <v>35927868049.863777</v>
      </c>
      <c r="T103"/>
    </row>
    <row r="104" spans="1:20" x14ac:dyDescent="0.25">
      <c r="A104" s="183">
        <v>45473</v>
      </c>
      <c r="B104" s="185">
        <v>26576956.670000002</v>
      </c>
      <c r="C104" s="185"/>
      <c r="D104" s="185">
        <f t="shared" si="64"/>
        <v>26576956.670000002</v>
      </c>
      <c r="E104" s="185"/>
      <c r="F104" s="185"/>
      <c r="G104" s="185">
        <f t="shared" si="57"/>
        <v>26576956.670000002</v>
      </c>
      <c r="H104" s="185">
        <f t="shared" ref="H104:I104" si="106">H92</f>
        <v>19.93</v>
      </c>
      <c r="I104" s="185">
        <f t="shared" si="106"/>
        <v>77.789999999999992</v>
      </c>
      <c r="J104" s="185">
        <v>30</v>
      </c>
      <c r="K104" s="187">
        <v>0</v>
      </c>
      <c r="L104" s="185">
        <v>23128</v>
      </c>
      <c r="M104" s="185">
        <f t="shared" si="66"/>
        <v>26732750.423795398</v>
      </c>
      <c r="N104" s="26">
        <f t="shared" si="62"/>
        <v>155793.75379539654</v>
      </c>
      <c r="O104" s="34">
        <f t="shared" si="63"/>
        <v>5.8619862209903107E-3</v>
      </c>
      <c r="P104" s="94">
        <f t="shared" si="67"/>
        <v>5.8619862209903107E-3</v>
      </c>
      <c r="Q104" s="95">
        <f t="shared" si="68"/>
        <v>24271693721.660633</v>
      </c>
      <c r="R104" s="95">
        <f t="shared" si="70"/>
        <v>-1418124.6602655277</v>
      </c>
      <c r="S104" s="95">
        <f t="shared" si="71"/>
        <v>2011077552053.2183</v>
      </c>
      <c r="T104"/>
    </row>
    <row r="105" spans="1:20" x14ac:dyDescent="0.25">
      <c r="A105" s="183">
        <v>45504</v>
      </c>
      <c r="B105" s="185">
        <v>31188046.25</v>
      </c>
      <c r="C105" s="185"/>
      <c r="D105" s="185">
        <f t="shared" si="64"/>
        <v>31188046.25</v>
      </c>
      <c r="E105" s="185"/>
      <c r="F105" s="185"/>
      <c r="G105" s="185">
        <f t="shared" si="57"/>
        <v>31188046.25</v>
      </c>
      <c r="H105" s="185">
        <f t="shared" ref="H105:I105" si="107">H93</f>
        <v>0.48000000000000009</v>
      </c>
      <c r="I105" s="185">
        <f t="shared" si="107"/>
        <v>154.26</v>
      </c>
      <c r="J105" s="185">
        <v>31</v>
      </c>
      <c r="K105" s="187">
        <v>0</v>
      </c>
      <c r="L105" s="185">
        <v>23209</v>
      </c>
      <c r="M105" s="185">
        <f t="shared" si="66"/>
        <v>30921416.245101355</v>
      </c>
      <c r="N105" s="26">
        <f t="shared" si="62"/>
        <v>-266630.00489864498</v>
      </c>
      <c r="O105" s="34">
        <f t="shared" si="63"/>
        <v>-8.5491089362048443E-3</v>
      </c>
      <c r="P105" s="94">
        <f t="shared" si="67"/>
        <v>8.5491089362048443E-3</v>
      </c>
      <c r="Q105" s="95">
        <f t="shared" si="68"/>
        <v>71091559512.25145</v>
      </c>
      <c r="R105" s="95">
        <f t="shared" si="70"/>
        <v>-422423.75869404152</v>
      </c>
      <c r="S105" s="95">
        <f t="shared" si="71"/>
        <v>178441831909.20181</v>
      </c>
      <c r="T105"/>
    </row>
    <row r="106" spans="1:20" x14ac:dyDescent="0.25">
      <c r="A106" s="183">
        <v>45535</v>
      </c>
      <c r="B106" s="185">
        <v>29636389.199999999</v>
      </c>
      <c r="C106" s="185"/>
      <c r="D106" s="185">
        <f t="shared" si="64"/>
        <v>29636389.199999999</v>
      </c>
      <c r="E106" s="185"/>
      <c r="F106" s="185"/>
      <c r="G106" s="185">
        <f t="shared" si="57"/>
        <v>29636389.199999999</v>
      </c>
      <c r="H106" s="185">
        <f t="shared" ref="H106:I106" si="108">H94</f>
        <v>4.46</v>
      </c>
      <c r="I106" s="185">
        <f t="shared" si="108"/>
        <v>127.12</v>
      </c>
      <c r="J106" s="185">
        <v>31</v>
      </c>
      <c r="K106" s="187">
        <v>0</v>
      </c>
      <c r="L106" s="185">
        <v>23286</v>
      </c>
      <c r="M106" s="185">
        <f t="shared" si="66"/>
        <v>29717650.567306876</v>
      </c>
      <c r="N106" s="26">
        <f t="shared" si="62"/>
        <v>81261.367306876928</v>
      </c>
      <c r="O106" s="34">
        <f t="shared" si="63"/>
        <v>2.7419456114740498E-3</v>
      </c>
      <c r="P106" s="94">
        <f t="shared" si="67"/>
        <v>2.7419456114740498E-3</v>
      </c>
      <c r="Q106" s="95">
        <f t="shared" si="68"/>
        <v>6603409816.5831661</v>
      </c>
      <c r="R106" s="95">
        <f t="shared" si="70"/>
        <v>347891.37220552191</v>
      </c>
      <c r="S106" s="95">
        <f t="shared" si="71"/>
        <v>121028406855.04099</v>
      </c>
      <c r="T106"/>
    </row>
    <row r="107" spans="1:20" x14ac:dyDescent="0.25">
      <c r="A107" s="183">
        <v>45565</v>
      </c>
      <c r="B107" s="185">
        <v>25156585.809999999</v>
      </c>
      <c r="C107" s="185"/>
      <c r="D107" s="185">
        <f t="shared" si="64"/>
        <v>25156585.809999999</v>
      </c>
      <c r="E107" s="185"/>
      <c r="F107" s="185"/>
      <c r="G107" s="185">
        <f t="shared" si="57"/>
        <v>25156585.809999999</v>
      </c>
      <c r="H107" s="185">
        <f t="shared" ref="H107:I107" si="109">H95</f>
        <v>37.730000000000004</v>
      </c>
      <c r="I107" s="185">
        <f t="shared" si="109"/>
        <v>47.269999999999996</v>
      </c>
      <c r="J107" s="185">
        <v>30</v>
      </c>
      <c r="K107" s="187">
        <v>1</v>
      </c>
      <c r="L107" s="185">
        <v>23309</v>
      </c>
      <c r="M107" s="185">
        <f t="shared" si="66"/>
        <v>24611562.784397613</v>
      </c>
      <c r="N107" s="26">
        <f t="shared" si="62"/>
        <v>-545023.0256023854</v>
      </c>
      <c r="O107" s="34">
        <f t="shared" si="63"/>
        <v>-2.1665222368360226E-2</v>
      </c>
      <c r="P107" s="94">
        <f t="shared" si="67"/>
        <v>2.1665222368360226E-2</v>
      </c>
      <c r="Q107" s="95">
        <f t="shared" si="68"/>
        <v>297050098436.77844</v>
      </c>
      <c r="R107" s="95">
        <f t="shared" si="70"/>
        <v>-626284.39290926233</v>
      </c>
      <c r="S107" s="95">
        <f t="shared" si="71"/>
        <v>392232140801.72327</v>
      </c>
      <c r="T107"/>
    </row>
    <row r="108" spans="1:20" x14ac:dyDescent="0.25">
      <c r="A108" s="183">
        <v>45596</v>
      </c>
      <c r="B108" s="185">
        <v>24192596.690000001</v>
      </c>
      <c r="C108" s="185"/>
      <c r="D108" s="185">
        <f t="shared" si="64"/>
        <v>24192596.690000001</v>
      </c>
      <c r="E108" s="185"/>
      <c r="F108" s="185"/>
      <c r="G108" s="185">
        <f t="shared" si="57"/>
        <v>24192596.690000001</v>
      </c>
      <c r="H108" s="185">
        <f t="shared" ref="H108:I108" si="110">H96</f>
        <v>211.34</v>
      </c>
      <c r="I108" s="185">
        <f t="shared" si="110"/>
        <v>6.6</v>
      </c>
      <c r="J108" s="185">
        <v>31</v>
      </c>
      <c r="K108" s="187">
        <v>1</v>
      </c>
      <c r="L108" s="185">
        <v>23403</v>
      </c>
      <c r="M108" s="185">
        <f t="shared" si="66"/>
        <v>25487782.962135024</v>
      </c>
      <c r="N108" s="26">
        <f t="shared" si="62"/>
        <v>1295186.272135023</v>
      </c>
      <c r="O108" s="34">
        <f t="shared" si="63"/>
        <v>5.353647186911472E-2</v>
      </c>
      <c r="P108" s="94">
        <f t="shared" si="67"/>
        <v>5.353647186911472E-2</v>
      </c>
      <c r="Q108" s="95">
        <f t="shared" si="68"/>
        <v>1677507479527.0178</v>
      </c>
      <c r="R108" s="95">
        <f t="shared" si="70"/>
        <v>1840209.2977374084</v>
      </c>
      <c r="S108" s="95">
        <f t="shared" si="71"/>
        <v>3386370259479.2061</v>
      </c>
      <c r="T108"/>
    </row>
    <row r="109" spans="1:20" x14ac:dyDescent="0.25">
      <c r="A109" s="183">
        <v>45626</v>
      </c>
      <c r="B109" s="185">
        <v>25649642.219999999</v>
      </c>
      <c r="C109" s="185"/>
      <c r="D109" s="185">
        <f t="shared" si="64"/>
        <v>25649642.219999999</v>
      </c>
      <c r="E109" s="185"/>
      <c r="F109" s="185"/>
      <c r="G109" s="185">
        <f t="shared" si="57"/>
        <v>25649642.219999999</v>
      </c>
      <c r="H109" s="185">
        <f t="shared" ref="H109:I109" si="111">H97</f>
        <v>409.7299999999999</v>
      </c>
      <c r="I109" s="185">
        <f t="shared" si="111"/>
        <v>0.26</v>
      </c>
      <c r="J109" s="185">
        <v>30</v>
      </c>
      <c r="K109" s="187">
        <v>1</v>
      </c>
      <c r="L109" s="185">
        <v>23505</v>
      </c>
      <c r="M109" s="185">
        <f t="shared" si="66"/>
        <v>27127243.126996327</v>
      </c>
      <c r="N109" s="26">
        <f t="shared" si="62"/>
        <v>1477600.9069963284</v>
      </c>
      <c r="O109" s="34">
        <f t="shared" si="63"/>
        <v>5.7607076711744032E-2</v>
      </c>
      <c r="P109" s="94">
        <f t="shared" si="67"/>
        <v>5.7607076711744032E-2</v>
      </c>
      <c r="Q109" s="95">
        <f>N109*N109</f>
        <v>2183304440356.3723</v>
      </c>
      <c r="R109" s="95">
        <f t="shared" si="70"/>
        <v>182414.63486130536</v>
      </c>
      <c r="S109" s="95">
        <f t="shared" si="71"/>
        <v>33275099011.583359</v>
      </c>
      <c r="T109"/>
    </row>
    <row r="110" spans="1:20" x14ac:dyDescent="0.25">
      <c r="A110" s="183">
        <v>45657</v>
      </c>
      <c r="B110" s="185">
        <v>30765166.719999999</v>
      </c>
      <c r="C110" s="185"/>
      <c r="D110" s="185">
        <f t="shared" si="64"/>
        <v>30765166.719999999</v>
      </c>
      <c r="E110" s="185"/>
      <c r="F110" s="185"/>
      <c r="G110" s="185">
        <f t="shared" si="57"/>
        <v>30765166.719999999</v>
      </c>
      <c r="H110" s="185">
        <f t="shared" ref="H110:I110" si="112">H98</f>
        <v>577.68000000000006</v>
      </c>
      <c r="I110" s="185">
        <f t="shared" si="112"/>
        <v>0</v>
      </c>
      <c r="J110" s="185">
        <v>31</v>
      </c>
      <c r="K110" s="187">
        <v>0</v>
      </c>
      <c r="L110" s="185">
        <v>23506</v>
      </c>
      <c r="M110" s="185">
        <f t="shared" si="66"/>
        <v>30842966.207998537</v>
      </c>
      <c r="N110" s="26">
        <f t="shared" si="62"/>
        <v>77799.487998537719</v>
      </c>
      <c r="O110" s="34">
        <f t="shared" si="63"/>
        <v>2.5288173701968394E-3</v>
      </c>
      <c r="P110" s="94">
        <f t="shared" si="67"/>
        <v>2.5288173701968394E-3</v>
      </c>
      <c r="Q110" s="95">
        <f>N110*N110</f>
        <v>6052760332.8346148</v>
      </c>
      <c r="R110" s="95">
        <f>N110-N109</f>
        <v>-1399801.4189977907</v>
      </c>
      <c r="S110" s="95">
        <f>R110*R110</f>
        <v>1959444012628.2283</v>
      </c>
      <c r="T110"/>
    </row>
    <row r="111" spans="1:20" x14ac:dyDescent="0.25">
      <c r="A111" s="183">
        <v>45688</v>
      </c>
      <c r="B111" s="185">
        <v>33201030.52</v>
      </c>
      <c r="C111" s="185"/>
      <c r="D111" s="185">
        <f t="shared" si="64"/>
        <v>33201030.52</v>
      </c>
      <c r="E111" s="185"/>
      <c r="F111" s="185"/>
      <c r="G111" s="185">
        <f t="shared" si="57"/>
        <v>33201030.52</v>
      </c>
      <c r="H111" s="185">
        <f t="shared" ref="H111:I111" si="113">H99</f>
        <v>667.41000000000008</v>
      </c>
      <c r="I111" s="185">
        <f t="shared" si="113"/>
        <v>0</v>
      </c>
      <c r="J111" s="188">
        <v>31</v>
      </c>
      <c r="K111" s="187">
        <v>0</v>
      </c>
      <c r="L111" s="185">
        <v>23630</v>
      </c>
      <c r="M111" s="185">
        <f t="shared" si="66"/>
        <v>32077189.098721676</v>
      </c>
      <c r="N111" s="26">
        <f t="shared" si="62"/>
        <v>-1123841.421278324</v>
      </c>
      <c r="O111" s="34"/>
      <c r="P111" s="94"/>
      <c r="Q111" s="95"/>
      <c r="R111" s="95"/>
      <c r="S111" s="95"/>
      <c r="T111"/>
    </row>
    <row r="112" spans="1:20" x14ac:dyDescent="0.25">
      <c r="A112" s="183">
        <v>45716</v>
      </c>
      <c r="B112" s="185">
        <v>29519019.879999999</v>
      </c>
      <c r="C112" s="185"/>
      <c r="D112" s="185">
        <f t="shared" si="64"/>
        <v>29519019.879999999</v>
      </c>
      <c r="E112" s="185"/>
      <c r="F112" s="185"/>
      <c r="G112" s="185">
        <f t="shared" si="57"/>
        <v>29519019.879999999</v>
      </c>
      <c r="H112" s="185">
        <f t="shared" ref="H112:I112" si="114">H100</f>
        <v>577.75</v>
      </c>
      <c r="I112" s="185">
        <f t="shared" si="114"/>
        <v>0</v>
      </c>
      <c r="J112" s="188">
        <v>28</v>
      </c>
      <c r="K112" s="187">
        <v>0</v>
      </c>
      <c r="L112" s="185">
        <v>23629</v>
      </c>
      <c r="M112" s="185">
        <f t="shared" si="66"/>
        <v>29115004.747784853</v>
      </c>
      <c r="N112" s="26">
        <f t="shared" si="62"/>
        <v>-404015.13221514598</v>
      </c>
      <c r="O112" s="34"/>
      <c r="P112" s="94"/>
      <c r="Q112" s="95"/>
      <c r="R112" s="95"/>
      <c r="S112" s="95"/>
      <c r="T112"/>
    </row>
    <row r="113" spans="1:20" x14ac:dyDescent="0.25">
      <c r="A113" s="183">
        <v>45747</v>
      </c>
      <c r="B113" s="185">
        <v>28188056.210000001</v>
      </c>
      <c r="C113" s="185"/>
      <c r="D113" s="185">
        <f t="shared" si="64"/>
        <v>28188056.210000001</v>
      </c>
      <c r="E113" s="185"/>
      <c r="F113" s="185"/>
      <c r="G113" s="185">
        <f t="shared" si="57"/>
        <v>28188056.210000001</v>
      </c>
      <c r="H113" s="185">
        <f t="shared" ref="H113:I113" si="115">H101</f>
        <v>510.25</v>
      </c>
      <c r="I113" s="185">
        <f t="shared" si="115"/>
        <v>0</v>
      </c>
      <c r="J113" s="188">
        <v>31</v>
      </c>
      <c r="K113" s="187">
        <v>1</v>
      </c>
      <c r="L113" s="185">
        <v>23808</v>
      </c>
      <c r="M113" s="185">
        <f t="shared" si="66"/>
        <v>29268931.136343956</v>
      </c>
      <c r="N113" s="26">
        <f t="shared" si="62"/>
        <v>1080874.9263439551</v>
      </c>
      <c r="O113" s="34"/>
      <c r="P113" s="94"/>
      <c r="Q113" s="95"/>
      <c r="R113" s="95"/>
      <c r="S113" s="95"/>
      <c r="T113"/>
    </row>
    <row r="114" spans="1:20" x14ac:dyDescent="0.25">
      <c r="A114" s="183">
        <v>45777</v>
      </c>
      <c r="B114" s="185">
        <v>25907144.830000002</v>
      </c>
      <c r="C114" s="185"/>
      <c r="D114" s="185">
        <f t="shared" si="64"/>
        <v>25907144.830000002</v>
      </c>
      <c r="E114" s="185"/>
      <c r="F114" s="185"/>
      <c r="G114" s="185">
        <f t="shared" si="57"/>
        <v>25907144.830000002</v>
      </c>
      <c r="H114" s="185">
        <f t="shared" ref="H114:I114" si="116">H102</f>
        <v>329.05999999999995</v>
      </c>
      <c r="I114" s="185">
        <f t="shared" si="116"/>
        <v>0.71</v>
      </c>
      <c r="J114" s="188">
        <v>30</v>
      </c>
      <c r="K114" s="187">
        <v>1</v>
      </c>
      <c r="L114" s="185">
        <v>23843</v>
      </c>
      <c r="M114" s="185">
        <f t="shared" si="66"/>
        <v>26468061.359185327</v>
      </c>
      <c r="N114" s="26">
        <f t="shared" si="62"/>
        <v>560916.52918532491</v>
      </c>
      <c r="O114" s="34"/>
      <c r="P114" s="94"/>
      <c r="Q114" s="95"/>
      <c r="R114" s="95"/>
      <c r="S114" s="95"/>
      <c r="T114"/>
    </row>
    <row r="115" spans="1:20" x14ac:dyDescent="0.25">
      <c r="A115" s="183">
        <v>45808</v>
      </c>
      <c r="B115" s="185">
        <v>24336479.93</v>
      </c>
      <c r="C115" s="185"/>
      <c r="D115" s="185">
        <f t="shared" si="64"/>
        <v>24336479.93</v>
      </c>
      <c r="E115" s="185"/>
      <c r="F115" s="185"/>
      <c r="G115" s="185">
        <f t="shared" si="57"/>
        <v>24336479.93</v>
      </c>
      <c r="H115" s="185">
        <f t="shared" ref="H115:I115" si="117">H103</f>
        <v>142.47</v>
      </c>
      <c r="I115" s="185">
        <f t="shared" si="117"/>
        <v>21.69</v>
      </c>
      <c r="J115" s="188">
        <v>31</v>
      </c>
      <c r="K115" s="187">
        <v>1</v>
      </c>
      <c r="L115" s="185">
        <v>23871</v>
      </c>
      <c r="M115" s="185">
        <f t="shared" si="66"/>
        <v>25814910.354896963</v>
      </c>
      <c r="N115" s="26">
        <f t="shared" si="62"/>
        <v>1478430.4248969629</v>
      </c>
      <c r="O115" s="34"/>
      <c r="P115" s="94"/>
      <c r="Q115" s="95"/>
      <c r="R115" s="95"/>
      <c r="S115" s="95"/>
      <c r="T115"/>
    </row>
    <row r="116" spans="1:20" x14ac:dyDescent="0.25">
      <c r="A116" s="183">
        <v>45838</v>
      </c>
      <c r="B116" s="185">
        <v>28531695.16</v>
      </c>
      <c r="C116" s="185"/>
      <c r="D116" s="185">
        <f t="shared" si="64"/>
        <v>28531695.16</v>
      </c>
      <c r="E116" s="185"/>
      <c r="F116" s="185"/>
      <c r="G116" s="185">
        <f t="shared" si="57"/>
        <v>28531695.16</v>
      </c>
      <c r="H116" s="185">
        <f t="shared" ref="H116:I116" si="118">H104</f>
        <v>19.93</v>
      </c>
      <c r="I116" s="185">
        <f t="shared" si="118"/>
        <v>77.789999999999992</v>
      </c>
      <c r="J116" s="188">
        <v>30</v>
      </c>
      <c r="K116" s="187">
        <v>0</v>
      </c>
      <c r="L116" s="185">
        <v>24073</v>
      </c>
      <c r="M116" s="185">
        <f t="shared" si="66"/>
        <v>27633484.663776994</v>
      </c>
      <c r="N116" s="26">
        <f t="shared" si="62"/>
        <v>-898210.4962230064</v>
      </c>
      <c r="O116" s="34"/>
      <c r="P116" s="94"/>
      <c r="Q116" s="95"/>
      <c r="R116" s="95"/>
      <c r="S116" s="95"/>
      <c r="T116"/>
    </row>
    <row r="117" spans="1:20" x14ac:dyDescent="0.25">
      <c r="A117" s="183">
        <v>45869</v>
      </c>
      <c r="B117" s="185">
        <v>35219494.310000002</v>
      </c>
      <c r="C117" s="185"/>
      <c r="D117" s="185">
        <f t="shared" si="64"/>
        <v>35219494.310000002</v>
      </c>
      <c r="E117" s="185"/>
      <c r="F117" s="185"/>
      <c r="G117" s="185">
        <f t="shared" si="57"/>
        <v>35219494.310000002</v>
      </c>
      <c r="H117" s="185">
        <f t="shared" ref="H117:I117" si="119">H105</f>
        <v>0.48000000000000009</v>
      </c>
      <c r="I117" s="185">
        <f t="shared" si="119"/>
        <v>154.26</v>
      </c>
      <c r="J117" s="188">
        <v>31</v>
      </c>
      <c r="K117" s="187">
        <v>0</v>
      </c>
      <c r="L117" s="185">
        <v>24104</v>
      </c>
      <c r="M117" s="185">
        <f t="shared" si="66"/>
        <v>31774492.588787634</v>
      </c>
      <c r="N117" s="26">
        <f t="shared" si="62"/>
        <v>-3445001.7212123685</v>
      </c>
      <c r="O117" s="34"/>
      <c r="P117" s="94"/>
      <c r="Q117" s="95"/>
      <c r="R117" s="95"/>
      <c r="S117" s="95"/>
      <c r="T117"/>
    </row>
    <row r="118" spans="1:20" x14ac:dyDescent="0.25">
      <c r="A118" s="183">
        <v>45900</v>
      </c>
      <c r="B118" s="185">
        <v>31952622.859999999</v>
      </c>
      <c r="C118" s="185"/>
      <c r="D118" s="185">
        <f t="shared" si="64"/>
        <v>31952622.859999999</v>
      </c>
      <c r="E118" s="185"/>
      <c r="F118" s="185"/>
      <c r="G118" s="185">
        <f t="shared" si="57"/>
        <v>31952622.859999999</v>
      </c>
      <c r="H118" s="185">
        <f t="shared" ref="H118:I118" si="120">H106</f>
        <v>4.46</v>
      </c>
      <c r="I118" s="185">
        <f t="shared" si="120"/>
        <v>127.12</v>
      </c>
      <c r="J118" s="188">
        <v>31</v>
      </c>
      <c r="K118" s="187">
        <v>0</v>
      </c>
      <c r="L118" s="185">
        <v>24158</v>
      </c>
      <c r="M118" s="185">
        <f t="shared" si="66"/>
        <v>30548804.278697304</v>
      </c>
      <c r="N118" s="26">
        <f t="shared" si="62"/>
        <v>-1403818.581302695</v>
      </c>
      <c r="O118" s="34"/>
      <c r="P118" s="94"/>
      <c r="Q118" s="95"/>
      <c r="R118" s="95"/>
      <c r="S118" s="95"/>
      <c r="T118"/>
    </row>
    <row r="119" spans="1:20" x14ac:dyDescent="0.25">
      <c r="A119" s="183">
        <v>45930</v>
      </c>
      <c r="B119" s="185">
        <v>25218657.690000001</v>
      </c>
      <c r="C119" s="185"/>
      <c r="D119" s="185">
        <f t="shared" si="64"/>
        <v>25218657.690000001</v>
      </c>
      <c r="E119" s="185"/>
      <c r="F119" s="185"/>
      <c r="G119" s="185">
        <f t="shared" si="57"/>
        <v>25218657.690000001</v>
      </c>
      <c r="H119" s="185">
        <f t="shared" ref="H119:I119" si="121">H107</f>
        <v>37.730000000000004</v>
      </c>
      <c r="I119" s="185">
        <f t="shared" si="121"/>
        <v>47.269999999999996</v>
      </c>
      <c r="J119" s="188">
        <v>30</v>
      </c>
      <c r="K119" s="187">
        <v>1</v>
      </c>
      <c r="L119" s="185">
        <v>24210</v>
      </c>
      <c r="M119" s="185">
        <f t="shared" si="66"/>
        <v>25470358.075639326</v>
      </c>
      <c r="N119" s="26">
        <f t="shared" si="62"/>
        <v>251700.38563932478</v>
      </c>
      <c r="O119" s="34"/>
      <c r="P119" s="94"/>
      <c r="Q119" s="95"/>
      <c r="R119" s="95"/>
      <c r="S119" s="95"/>
      <c r="T119"/>
    </row>
    <row r="120" spans="1:20" x14ac:dyDescent="0.25">
      <c r="A120" s="183">
        <v>45961</v>
      </c>
      <c r="B120" s="185">
        <v>25484179.57</v>
      </c>
      <c r="C120" s="185"/>
      <c r="D120" s="185">
        <f t="shared" si="64"/>
        <v>25484179.57</v>
      </c>
      <c r="E120" s="185"/>
      <c r="F120" s="185"/>
      <c r="G120" s="185">
        <f t="shared" si="57"/>
        <v>25484179.57</v>
      </c>
      <c r="H120" s="185">
        <f t="shared" ref="H120:I120" si="122">H108</f>
        <v>211.34</v>
      </c>
      <c r="I120" s="185">
        <f t="shared" si="122"/>
        <v>6.6</v>
      </c>
      <c r="J120" s="188">
        <v>31</v>
      </c>
      <c r="K120" s="187">
        <v>1</v>
      </c>
      <c r="L120" s="185">
        <v>24273</v>
      </c>
      <c r="M120" s="185">
        <f t="shared" si="66"/>
        <v>26317030.357673638</v>
      </c>
      <c r="N120" s="26">
        <f t="shared" si="62"/>
        <v>832850.78767363727</v>
      </c>
      <c r="O120" s="34"/>
      <c r="P120" s="94"/>
      <c r="Q120" s="95"/>
      <c r="R120" s="95"/>
      <c r="S120" s="95"/>
      <c r="T120"/>
    </row>
    <row r="121" spans="1:20" x14ac:dyDescent="0.25">
      <c r="A121" s="183">
        <v>45991</v>
      </c>
      <c r="B121" s="185">
        <v>28123203.390000001</v>
      </c>
      <c r="C121" s="185"/>
      <c r="D121" s="185">
        <f t="shared" si="64"/>
        <v>28123203.390000001</v>
      </c>
      <c r="E121" s="185"/>
      <c r="F121" s="185"/>
      <c r="G121" s="185">
        <f t="shared" si="57"/>
        <v>28123203.390000001</v>
      </c>
      <c r="H121" s="185">
        <f t="shared" ref="H121:I121" si="123">H109</f>
        <v>409.7299999999999</v>
      </c>
      <c r="I121" s="185">
        <f t="shared" si="123"/>
        <v>0.26</v>
      </c>
      <c r="J121" s="188">
        <v>30</v>
      </c>
      <c r="K121" s="187">
        <v>1</v>
      </c>
      <c r="L121" s="185">
        <v>24307</v>
      </c>
      <c r="M121" s="185">
        <f t="shared" si="66"/>
        <v>27891675.783573303</v>
      </c>
      <c r="N121" s="26">
        <f t="shared" si="62"/>
        <v>-231527.60642669722</v>
      </c>
      <c r="O121" s="34"/>
      <c r="P121" s="94"/>
      <c r="Q121" s="95"/>
      <c r="R121" s="95"/>
      <c r="S121" s="95"/>
      <c r="T121"/>
    </row>
    <row r="122" spans="1:20" x14ac:dyDescent="0.25">
      <c r="A122" s="183">
        <v>46022</v>
      </c>
      <c r="B122" s="185">
        <v>33367453.830000002</v>
      </c>
      <c r="C122" s="185"/>
      <c r="D122" s="185">
        <f t="shared" si="64"/>
        <v>33367453.830000002</v>
      </c>
      <c r="E122" s="185"/>
      <c r="F122" s="185"/>
      <c r="G122" s="185">
        <f t="shared" si="57"/>
        <v>33367453.830000002</v>
      </c>
      <c r="H122" s="185">
        <f t="shared" ref="H122:I122" si="124">H110</f>
        <v>577.68000000000006</v>
      </c>
      <c r="I122" s="185">
        <f t="shared" si="124"/>
        <v>0</v>
      </c>
      <c r="J122" s="188">
        <v>31</v>
      </c>
      <c r="K122" s="187">
        <v>0</v>
      </c>
      <c r="L122" s="185">
        <v>24347</v>
      </c>
      <c r="M122" s="185">
        <f t="shared" si="66"/>
        <v>31644572.023685865</v>
      </c>
      <c r="N122" s="26">
        <f t="shared" si="62"/>
        <v>-1722881.8063141368</v>
      </c>
      <c r="O122" s="34"/>
      <c r="P122" s="94"/>
      <c r="Q122" s="95"/>
      <c r="R122" s="95"/>
      <c r="S122" s="95"/>
      <c r="T122"/>
    </row>
    <row r="123" spans="1:20" x14ac:dyDescent="0.25">
      <c r="A123" s="183">
        <v>46053</v>
      </c>
      <c r="B123" s="185"/>
      <c r="C123" s="185"/>
      <c r="D123" s="185"/>
      <c r="E123" s="185"/>
      <c r="F123" s="185"/>
      <c r="G123" s="185"/>
      <c r="H123" s="185">
        <f t="shared" ref="H123:I123" si="125">H111</f>
        <v>667.41000000000008</v>
      </c>
      <c r="I123" s="185">
        <f t="shared" si="125"/>
        <v>0</v>
      </c>
      <c r="J123" s="188">
        <v>31</v>
      </c>
      <c r="K123" s="187">
        <v>0</v>
      </c>
      <c r="L123" s="190" cm="1">
        <f t="array" ref="L123:L134">'Rate Class Customer Model'!P12:P23</f>
        <v>24458.193466658046</v>
      </c>
      <c r="M123" s="185">
        <f t="shared" si="66"/>
        <v>32866588.265650731</v>
      </c>
      <c r="N123" s="26">
        <f t="shared" si="62"/>
        <v>32866588.265650731</v>
      </c>
      <c r="O123"/>
      <c r="P123" s="5">
        <f>AVERAGE(P3:P110)</f>
        <v>3.5468927306021074E-2</v>
      </c>
      <c r="Q123" s="5">
        <f t="shared" ref="Q123:S123" si="126">AVERAGE(Q3:Q110)</f>
        <v>1188904486911.8809</v>
      </c>
      <c r="R123" s="5"/>
      <c r="S123" s="5">
        <f t="shared" si="126"/>
        <v>1770048330137.6411</v>
      </c>
      <c r="T123"/>
    </row>
    <row r="124" spans="1:20" ht="12.6" customHeight="1" x14ac:dyDescent="0.25">
      <c r="A124" s="183">
        <v>46081</v>
      </c>
      <c r="B124" s="185"/>
      <c r="C124" s="185"/>
      <c r="D124" s="185"/>
      <c r="E124" s="185"/>
      <c r="F124" s="185"/>
      <c r="G124" s="185"/>
      <c r="H124" s="185">
        <f t="shared" ref="H124:I124" si="127">H112</f>
        <v>577.75</v>
      </c>
      <c r="I124" s="185">
        <f t="shared" si="127"/>
        <v>0</v>
      </c>
      <c r="J124" s="185">
        <v>28</v>
      </c>
      <c r="K124" s="187">
        <v>0</v>
      </c>
      <c r="L124" s="190">
        <v>24569.894757155882</v>
      </c>
      <c r="M124" s="185">
        <f t="shared" si="66"/>
        <v>30011826.043011807</v>
      </c>
      <c r="N124" s="26">
        <f t="shared" si="62"/>
        <v>30011826.043011807</v>
      </c>
      <c r="O124"/>
      <c r="P124"/>
      <c r="Q124" s="95"/>
      <c r="R124" s="95"/>
      <c r="S124" s="95"/>
      <c r="T124"/>
    </row>
    <row r="125" spans="1:20" x14ac:dyDescent="0.25">
      <c r="A125" s="183">
        <v>46112</v>
      </c>
      <c r="B125" s="185"/>
      <c r="C125" s="185"/>
      <c r="D125" s="185"/>
      <c r="E125" s="185"/>
      <c r="F125" s="185"/>
      <c r="G125" s="185"/>
      <c r="H125" s="185">
        <f t="shared" ref="H125:I125" si="128">H113</f>
        <v>510.25</v>
      </c>
      <c r="I125" s="185">
        <f t="shared" si="128"/>
        <v>0</v>
      </c>
      <c r="J125" s="188">
        <v>31</v>
      </c>
      <c r="K125" s="187">
        <v>1</v>
      </c>
      <c r="L125" s="190">
        <v>24682.106190739956</v>
      </c>
      <c r="M125" s="185">
        <f t="shared" si="66"/>
        <v>30102092.380131647</v>
      </c>
      <c r="N125" s="26">
        <f t="shared" si="62"/>
        <v>30102092.380131647</v>
      </c>
      <c r="O125"/>
      <c r="P125"/>
      <c r="Q125" s="95"/>
      <c r="R125" s="95"/>
      <c r="S125" s="95"/>
      <c r="T125"/>
    </row>
    <row r="126" spans="1:20" x14ac:dyDescent="0.25">
      <c r="A126" s="183">
        <v>46142</v>
      </c>
      <c r="B126" s="185"/>
      <c r="C126" s="185"/>
      <c r="D126" s="185"/>
      <c r="E126" s="185"/>
      <c r="F126" s="185"/>
      <c r="G126" s="185"/>
      <c r="H126" s="185">
        <f t="shared" ref="H126:I126" si="129">H114</f>
        <v>329.05999999999995</v>
      </c>
      <c r="I126" s="185">
        <f t="shared" si="129"/>
        <v>0.71</v>
      </c>
      <c r="J126" s="188">
        <v>30</v>
      </c>
      <c r="K126" s="187">
        <v>1</v>
      </c>
      <c r="L126" s="190">
        <v>24794.830097248781</v>
      </c>
      <c r="M126" s="185">
        <f t="shared" si="66"/>
        <v>27375305.760494314</v>
      </c>
      <c r="N126" s="26">
        <f t="shared" si="62"/>
        <v>27375305.760494314</v>
      </c>
      <c r="O126"/>
      <c r="P126"/>
      <c r="Q126" s="95"/>
      <c r="R126" s="95"/>
      <c r="S126" s="95"/>
      <c r="T126"/>
    </row>
    <row r="127" spans="1:20" x14ac:dyDescent="0.25">
      <c r="A127" s="183">
        <v>46173</v>
      </c>
      <c r="B127" s="185"/>
      <c r="C127" s="185"/>
      <c r="D127" s="185"/>
      <c r="E127" s="185"/>
      <c r="F127" s="185"/>
      <c r="G127" s="185"/>
      <c r="H127" s="185">
        <f t="shared" ref="H127:I127" si="130">H115</f>
        <v>142.47</v>
      </c>
      <c r="I127" s="185">
        <f t="shared" si="130"/>
        <v>21.69</v>
      </c>
      <c r="J127" s="188">
        <v>31</v>
      </c>
      <c r="K127" s="187">
        <v>1</v>
      </c>
      <c r="L127" s="190">
        <v>24908.068817161311</v>
      </c>
      <c r="M127" s="185">
        <f t="shared" si="66"/>
        <v>26803400.717684697</v>
      </c>
      <c r="N127" s="26">
        <f t="shared" si="62"/>
        <v>26803400.717684697</v>
      </c>
      <c r="O127"/>
      <c r="P127"/>
      <c r="Q127" s="95"/>
      <c r="R127" s="95"/>
      <c r="S127" s="95"/>
      <c r="T127"/>
    </row>
    <row r="128" spans="1:20" x14ac:dyDescent="0.25">
      <c r="A128" s="183">
        <v>46203</v>
      </c>
      <c r="B128" s="185"/>
      <c r="C128" s="185"/>
      <c r="D128" s="185"/>
      <c r="E128" s="185"/>
      <c r="F128" s="185"/>
      <c r="G128" s="185"/>
      <c r="H128" s="185">
        <f t="shared" ref="H128:I128" si="131">H116</f>
        <v>19.93</v>
      </c>
      <c r="I128" s="185">
        <f t="shared" si="131"/>
        <v>77.789999999999992</v>
      </c>
      <c r="J128" s="188">
        <v>30</v>
      </c>
      <c r="K128" s="187">
        <v>0</v>
      </c>
      <c r="L128" s="190">
        <v>25021.824701645532</v>
      </c>
      <c r="M128" s="185">
        <f t="shared" si="66"/>
        <v>28537864.448446259</v>
      </c>
      <c r="N128" s="26">
        <f t="shared" si="62"/>
        <v>28537864.448446259</v>
      </c>
      <c r="O128"/>
      <c r="P128"/>
      <c r="Q128" s="95"/>
      <c r="R128" s="95"/>
      <c r="S128" s="95"/>
      <c r="T128"/>
    </row>
    <row r="129" spans="1:20" x14ac:dyDescent="0.25">
      <c r="A129" s="183">
        <v>46234</v>
      </c>
      <c r="B129" s="185"/>
      <c r="C129" s="185"/>
      <c r="D129" s="185"/>
      <c r="E129" s="185"/>
      <c r="F129" s="185"/>
      <c r="G129" s="185"/>
      <c r="H129" s="185">
        <f t="shared" ref="H129:I129" si="132">H117</f>
        <v>0.48000000000000009</v>
      </c>
      <c r="I129" s="185">
        <f t="shared" si="132"/>
        <v>154.26</v>
      </c>
      <c r="J129" s="188">
        <v>31</v>
      </c>
      <c r="K129" s="187">
        <v>0</v>
      </c>
      <c r="L129" s="190">
        <v>25136.100112607288</v>
      </c>
      <c r="M129" s="185">
        <f t="shared" si="66"/>
        <v>32758246.991448212</v>
      </c>
      <c r="N129" s="26">
        <f t="shared" si="62"/>
        <v>32758246.991448212</v>
      </c>
      <c r="O129"/>
      <c r="P129"/>
      <c r="Q129" s="95"/>
      <c r="R129" s="95"/>
      <c r="S129" s="95"/>
      <c r="T129"/>
    </row>
    <row r="130" spans="1:20" x14ac:dyDescent="0.25">
      <c r="A130" s="183">
        <v>46265</v>
      </c>
      <c r="B130" s="185"/>
      <c r="C130" s="185"/>
      <c r="D130" s="185"/>
      <c r="E130" s="185"/>
      <c r="F130" s="185"/>
      <c r="G130" s="185"/>
      <c r="H130" s="185">
        <f t="shared" ref="H130:I130" si="133">H118</f>
        <v>4.46</v>
      </c>
      <c r="I130" s="185">
        <f t="shared" si="133"/>
        <v>127.12</v>
      </c>
      <c r="J130" s="188">
        <v>31</v>
      </c>
      <c r="K130" s="187">
        <v>0</v>
      </c>
      <c r="L130" s="190">
        <v>25250.897422739316</v>
      </c>
      <c r="M130" s="185">
        <f t="shared" si="66"/>
        <v>31590508.119384013</v>
      </c>
      <c r="N130" s="26">
        <f t="shared" si="62"/>
        <v>31590508.119384013</v>
      </c>
      <c r="O130"/>
      <c r="P130"/>
      <c r="Q130" s="95"/>
      <c r="R130" s="95"/>
      <c r="S130" s="95"/>
      <c r="T130"/>
    </row>
    <row r="131" spans="1:20" x14ac:dyDescent="0.25">
      <c r="A131" s="183">
        <v>46295</v>
      </c>
      <c r="B131" s="185"/>
      <c r="C131" s="185"/>
      <c r="D131" s="185"/>
      <c r="E131" s="185"/>
      <c r="F131" s="185"/>
      <c r="G131" s="185"/>
      <c r="H131" s="185">
        <f t="shared" ref="H131:I131" si="134">H119</f>
        <v>37.730000000000004</v>
      </c>
      <c r="I131" s="185">
        <f t="shared" si="134"/>
        <v>47.269999999999996</v>
      </c>
      <c r="J131" s="188">
        <v>30</v>
      </c>
      <c r="K131" s="187">
        <v>1</v>
      </c>
      <c r="L131" s="190">
        <v>25366.21901557051</v>
      </c>
      <c r="M131" s="185">
        <f t="shared" si="66"/>
        <v>26572417.394414116</v>
      </c>
      <c r="N131" s="26">
        <f t="shared" ref="N131:N146" si="135">M131-G131</f>
        <v>26572417.394414116</v>
      </c>
      <c r="O131"/>
      <c r="P131"/>
      <c r="Q131" s="95"/>
      <c r="R131" s="95"/>
      <c r="S131" s="95"/>
      <c r="T131"/>
    </row>
    <row r="132" spans="1:20" x14ac:dyDescent="0.25">
      <c r="A132" s="183">
        <v>46326</v>
      </c>
      <c r="B132" s="185"/>
      <c r="C132" s="185"/>
      <c r="D132" s="185"/>
      <c r="E132" s="185"/>
      <c r="F132" s="185"/>
      <c r="G132" s="185"/>
      <c r="H132" s="185">
        <f t="shared" ref="H132:I132" si="136">H120</f>
        <v>211.34</v>
      </c>
      <c r="I132" s="185">
        <f t="shared" si="136"/>
        <v>6.6</v>
      </c>
      <c r="J132" s="188">
        <v>31</v>
      </c>
      <c r="K132" s="187">
        <v>1</v>
      </c>
      <c r="L132" s="190">
        <v>25482.067285515412</v>
      </c>
      <c r="M132" s="185">
        <f t="shared" ref="M132:M146" si="137">$V$30+$V$31*H132+$V$32*I132+$V$33*J132+$V$34*K132+$V$35*L132</f>
        <v>27469462.423816852</v>
      </c>
      <c r="N132" s="26">
        <f t="shared" si="135"/>
        <v>27469462.423816852</v>
      </c>
      <c r="O132"/>
      <c r="P132"/>
      <c r="Q132" s="95"/>
      <c r="R132" s="95"/>
      <c r="S132" s="95"/>
      <c r="T132"/>
    </row>
    <row r="133" spans="1:20" x14ac:dyDescent="0.25">
      <c r="A133" s="183">
        <v>46356</v>
      </c>
      <c r="B133" s="185"/>
      <c r="C133" s="185"/>
      <c r="D133" s="185"/>
      <c r="E133" s="185"/>
      <c r="F133" s="185"/>
      <c r="G133" s="185"/>
      <c r="H133" s="185">
        <f t="shared" ref="H133:I133" si="138">H121</f>
        <v>409.7299999999999</v>
      </c>
      <c r="I133" s="185">
        <f t="shared" si="138"/>
        <v>0.26</v>
      </c>
      <c r="J133" s="188">
        <v>30</v>
      </c>
      <c r="K133" s="187">
        <v>1</v>
      </c>
      <c r="L133" s="190">
        <v>25598.444637923923</v>
      </c>
      <c r="M133" s="185">
        <f t="shared" si="137"/>
        <v>29122626.476079881</v>
      </c>
      <c r="N133" s="26">
        <f t="shared" si="135"/>
        <v>29122626.476079881</v>
      </c>
      <c r="Q133" s="95"/>
      <c r="R133" s="95"/>
      <c r="S133" s="95"/>
      <c r="T133"/>
    </row>
    <row r="134" spans="1:20" x14ac:dyDescent="0.25">
      <c r="A134" s="183">
        <v>46387</v>
      </c>
      <c r="B134" s="185"/>
      <c r="C134" s="185"/>
      <c r="D134" s="185"/>
      <c r="E134" s="185"/>
      <c r="F134" s="185"/>
      <c r="G134" s="185"/>
      <c r="H134" s="185">
        <f t="shared" ref="H134:I134" si="139">H122</f>
        <v>577.68000000000006</v>
      </c>
      <c r="I134" s="185">
        <f t="shared" si="139"/>
        <v>0</v>
      </c>
      <c r="J134" s="188">
        <v>31</v>
      </c>
      <c r="K134" s="187">
        <v>0</v>
      </c>
      <c r="L134" s="190">
        <v>25715.353489131252</v>
      </c>
      <c r="M134" s="185">
        <f t="shared" si="137"/>
        <v>32948828.997293066</v>
      </c>
      <c r="N134" s="26">
        <f t="shared" si="135"/>
        <v>32948828.997293066</v>
      </c>
      <c r="Q134" s="95"/>
      <c r="R134" s="95"/>
      <c r="S134" s="95"/>
      <c r="T134"/>
    </row>
    <row r="135" spans="1:20" x14ac:dyDescent="0.25">
      <c r="A135" s="183">
        <v>46418</v>
      </c>
      <c r="B135" s="185"/>
      <c r="C135" s="185"/>
      <c r="D135" s="185"/>
      <c r="E135" s="185"/>
      <c r="F135" s="185"/>
      <c r="G135" s="185"/>
      <c r="H135" s="185">
        <f t="shared" ref="H135:I135" si="140">H123</f>
        <v>667.41000000000008</v>
      </c>
      <c r="I135" s="185">
        <f t="shared" si="140"/>
        <v>0</v>
      </c>
      <c r="J135" s="188">
        <v>31</v>
      </c>
      <c r="K135" s="187">
        <v>0</v>
      </c>
      <c r="L135" s="190" cm="1">
        <f t="array" ref="L135:L146">'Rate Class Customer Model'!Q12:Q23</f>
        <v>25787.625996666535</v>
      </c>
      <c r="M135" s="185">
        <f t="shared" si="137"/>
        <v>34133747.418586195</v>
      </c>
      <c r="N135" s="26">
        <f t="shared" si="135"/>
        <v>34133747.418586195</v>
      </c>
      <c r="Q135" s="95"/>
      <c r="R135" s="95"/>
      <c r="S135" s="95"/>
      <c r="T135"/>
    </row>
    <row r="136" spans="1:20" x14ac:dyDescent="0.25">
      <c r="A136" s="183">
        <v>46446</v>
      </c>
      <c r="B136" s="185"/>
      <c r="C136" s="185"/>
      <c r="D136" s="185"/>
      <c r="E136" s="185"/>
      <c r="F136" s="185"/>
      <c r="G136" s="185"/>
      <c r="H136" s="185">
        <f t="shared" ref="H136:I136" si="141">H124</f>
        <v>577.75</v>
      </c>
      <c r="I136" s="185">
        <f t="shared" si="141"/>
        <v>0</v>
      </c>
      <c r="J136" s="185">
        <v>28</v>
      </c>
      <c r="K136" s="187">
        <v>0</v>
      </c>
      <c r="L136" s="190">
        <v>25860.101624697425</v>
      </c>
      <c r="M136" s="185">
        <f t="shared" si="137"/>
        <v>31241596.944867969</v>
      </c>
      <c r="N136" s="26">
        <f t="shared" si="135"/>
        <v>31241596.944867969</v>
      </c>
      <c r="Q136" s="95"/>
      <c r="R136" s="95"/>
      <c r="S136" s="95"/>
      <c r="T136"/>
    </row>
    <row r="137" spans="1:20" x14ac:dyDescent="0.25">
      <c r="A137" s="183">
        <v>46477</v>
      </c>
      <c r="B137" s="185"/>
      <c r="C137" s="185"/>
      <c r="D137" s="185"/>
      <c r="E137" s="185"/>
      <c r="F137" s="185"/>
      <c r="G137" s="185"/>
      <c r="H137" s="185">
        <f t="shared" ref="H137:I137" si="142">H125</f>
        <v>510.25</v>
      </c>
      <c r="I137" s="185">
        <f t="shared" si="142"/>
        <v>0</v>
      </c>
      <c r="J137" s="188">
        <v>31</v>
      </c>
      <c r="K137" s="187">
        <v>1</v>
      </c>
      <c r="L137" s="190">
        <v>25932.78094409018</v>
      </c>
      <c r="M137" s="185">
        <f t="shared" si="137"/>
        <v>31294182.934018508</v>
      </c>
      <c r="N137" s="26">
        <f t="shared" si="135"/>
        <v>31294182.934018508</v>
      </c>
      <c r="Q137" s="95"/>
      <c r="R137" s="95"/>
      <c r="S137" s="95"/>
      <c r="T137"/>
    </row>
    <row r="138" spans="1:20" x14ac:dyDescent="0.25">
      <c r="A138" s="183">
        <v>46507</v>
      </c>
      <c r="B138" s="185"/>
      <c r="C138" s="185"/>
      <c r="D138" s="185"/>
      <c r="E138" s="185"/>
      <c r="F138" s="185"/>
      <c r="G138" s="185"/>
      <c r="H138" s="185">
        <f t="shared" ref="H138:I138" si="143">H126</f>
        <v>329.05999999999995</v>
      </c>
      <c r="I138" s="185">
        <f t="shared" si="143"/>
        <v>0.71</v>
      </c>
      <c r="J138" s="188">
        <v>30</v>
      </c>
      <c r="K138" s="187">
        <v>1</v>
      </c>
      <c r="L138" s="190">
        <v>26005.664527315461</v>
      </c>
      <c r="M138" s="185">
        <f t="shared" si="137"/>
        <v>28529422.194472793</v>
      </c>
      <c r="N138" s="26">
        <f t="shared" si="135"/>
        <v>28529422.194472793</v>
      </c>
      <c r="Q138" s="95"/>
      <c r="R138" s="95"/>
      <c r="S138" s="95"/>
      <c r="T138"/>
    </row>
    <row r="139" spans="1:20" x14ac:dyDescent="0.25">
      <c r="A139" s="183">
        <v>46538</v>
      </c>
      <c r="B139" s="185"/>
      <c r="C139" s="185"/>
      <c r="D139" s="185"/>
      <c r="E139" s="185"/>
      <c r="F139" s="185"/>
      <c r="G139" s="185"/>
      <c r="H139" s="185">
        <f t="shared" ref="H139:I139" si="144">H127</f>
        <v>142.47</v>
      </c>
      <c r="I139" s="185">
        <f t="shared" si="144"/>
        <v>21.69</v>
      </c>
      <c r="J139" s="188">
        <v>31</v>
      </c>
      <c r="K139" s="187">
        <v>1</v>
      </c>
      <c r="L139" s="190">
        <v>26078.75294845285</v>
      </c>
      <c r="M139" s="185">
        <f t="shared" si="137"/>
        <v>27919247.57615814</v>
      </c>
      <c r="N139" s="26">
        <f t="shared" si="135"/>
        <v>27919247.57615814</v>
      </c>
      <c r="Q139" s="95"/>
      <c r="R139" s="95"/>
      <c r="S139" s="95"/>
      <c r="T139"/>
    </row>
    <row r="140" spans="1:20" x14ac:dyDescent="0.25">
      <c r="A140" s="183">
        <v>46568</v>
      </c>
      <c r="B140" s="185"/>
      <c r="C140" s="185"/>
      <c r="D140" s="185"/>
      <c r="E140" s="185"/>
      <c r="F140" s="185"/>
      <c r="G140" s="185"/>
      <c r="H140" s="185">
        <f t="shared" ref="H140:I140" si="145">H128</f>
        <v>19.93</v>
      </c>
      <c r="I140" s="185">
        <f t="shared" si="145"/>
        <v>77.789999999999992</v>
      </c>
      <c r="J140" s="188">
        <v>30</v>
      </c>
      <c r="K140" s="187">
        <v>0</v>
      </c>
      <c r="L140" s="190">
        <v>26152.046783195368</v>
      </c>
      <c r="M140" s="185">
        <f t="shared" si="137"/>
        <v>29615144.583509974</v>
      </c>
      <c r="N140" s="26">
        <f t="shared" si="135"/>
        <v>29615144.583509974</v>
      </c>
      <c r="Q140" s="95"/>
      <c r="R140" s="95"/>
      <c r="S140" s="95"/>
      <c r="T140"/>
    </row>
    <row r="141" spans="1:20" x14ac:dyDescent="0.25">
      <c r="A141" s="183">
        <v>46599</v>
      </c>
      <c r="B141" s="185"/>
      <c r="C141" s="185"/>
      <c r="D141" s="185"/>
      <c r="E141" s="185"/>
      <c r="F141" s="185"/>
      <c r="G141" s="185"/>
      <c r="H141" s="185">
        <f t="shared" ref="H141:I141" si="146">H129</f>
        <v>0.48000000000000009</v>
      </c>
      <c r="I141" s="185">
        <f t="shared" si="146"/>
        <v>154.26</v>
      </c>
      <c r="J141" s="188">
        <v>31</v>
      </c>
      <c r="K141" s="187">
        <v>0</v>
      </c>
      <c r="L141" s="190">
        <v>26225.546608854012</v>
      </c>
      <c r="M141" s="185">
        <f t="shared" si="137"/>
        <v>33796661.55419679</v>
      </c>
      <c r="N141" s="26">
        <f t="shared" si="135"/>
        <v>33796661.55419679</v>
      </c>
      <c r="Q141" s="95"/>
      <c r="R141" s="95"/>
      <c r="S141" s="95"/>
      <c r="T141"/>
    </row>
    <row r="142" spans="1:20" x14ac:dyDescent="0.25">
      <c r="A142" s="183">
        <v>46630</v>
      </c>
      <c r="B142" s="185"/>
      <c r="C142" s="185"/>
      <c r="D142" s="185"/>
      <c r="E142" s="185"/>
      <c r="F142" s="185"/>
      <c r="G142" s="185"/>
      <c r="H142" s="185">
        <f t="shared" ref="H142:I142" si="147">H130</f>
        <v>4.46</v>
      </c>
      <c r="I142" s="185">
        <f t="shared" si="147"/>
        <v>127.12</v>
      </c>
      <c r="J142" s="188">
        <v>31</v>
      </c>
      <c r="K142" s="187">
        <v>0</v>
      </c>
      <c r="L142" s="190">
        <v>26299.253004362301</v>
      </c>
      <c r="M142" s="185">
        <f t="shared" si="137"/>
        <v>32589756.551176235</v>
      </c>
      <c r="N142" s="26">
        <f t="shared" si="135"/>
        <v>32589756.551176235</v>
      </c>
      <c r="Q142" s="95"/>
      <c r="R142" s="95"/>
      <c r="S142" s="95"/>
      <c r="T142"/>
    </row>
    <row r="143" spans="1:20" x14ac:dyDescent="0.25">
      <c r="A143" s="183">
        <v>46660</v>
      </c>
      <c r="B143" s="185"/>
      <c r="C143" s="185"/>
      <c r="D143" s="185"/>
      <c r="E143" s="185"/>
      <c r="F143" s="185"/>
      <c r="G143" s="185"/>
      <c r="H143" s="185">
        <f t="shared" ref="H143:I143" si="148">H131</f>
        <v>37.730000000000004</v>
      </c>
      <c r="I143" s="185">
        <f t="shared" si="148"/>
        <v>47.269999999999996</v>
      </c>
      <c r="J143" s="188">
        <v>30</v>
      </c>
      <c r="K143" s="187">
        <v>1</v>
      </c>
      <c r="L143" s="190">
        <v>26373.166550280828</v>
      </c>
      <c r="M143" s="185">
        <f t="shared" si="137"/>
        <v>27532197.418095216</v>
      </c>
      <c r="N143" s="26">
        <f t="shared" si="135"/>
        <v>27532197.418095216</v>
      </c>
      <c r="Q143" s="95"/>
      <c r="R143" s="95"/>
      <c r="S143" s="95"/>
      <c r="T143"/>
    </row>
    <row r="144" spans="1:20" x14ac:dyDescent="0.25">
      <c r="A144" s="183">
        <v>46691</v>
      </c>
      <c r="B144" s="185"/>
      <c r="C144" s="185"/>
      <c r="D144" s="185"/>
      <c r="E144" s="185"/>
      <c r="F144" s="185"/>
      <c r="G144" s="185"/>
      <c r="H144" s="185">
        <f t="shared" ref="H144:I144" si="149">H132</f>
        <v>211.34</v>
      </c>
      <c r="I144" s="185">
        <f t="shared" si="149"/>
        <v>6.6</v>
      </c>
      <c r="J144" s="188">
        <v>31</v>
      </c>
      <c r="K144" s="187">
        <v>1</v>
      </c>
      <c r="L144" s="190">
        <v>26447.287828801851</v>
      </c>
      <c r="M144" s="185">
        <f t="shared" si="137"/>
        <v>28389470.034898054</v>
      </c>
      <c r="N144" s="26">
        <f t="shared" si="135"/>
        <v>28389470.034898054</v>
      </c>
      <c r="Q144" s="95"/>
      <c r="R144" s="95"/>
      <c r="S144" s="95"/>
      <c r="T144"/>
    </row>
    <row r="145" spans="1:20" x14ac:dyDescent="0.25">
      <c r="A145" s="183">
        <v>46721</v>
      </c>
      <c r="B145" s="185"/>
      <c r="C145" s="185"/>
      <c r="D145" s="185"/>
      <c r="E145" s="185"/>
      <c r="F145" s="185"/>
      <c r="G145" s="185"/>
      <c r="H145" s="185">
        <f t="shared" ref="H145:I145" si="150">H133</f>
        <v>409.7299999999999</v>
      </c>
      <c r="I145" s="185">
        <f t="shared" si="150"/>
        <v>0.26</v>
      </c>
      <c r="J145" s="188">
        <v>30</v>
      </c>
      <c r="K145" s="187">
        <v>1</v>
      </c>
      <c r="L145" s="190">
        <v>26521.617423753862</v>
      </c>
      <c r="M145" s="185">
        <f t="shared" si="137"/>
        <v>30002555.933874827</v>
      </c>
      <c r="N145" s="26">
        <f t="shared" si="135"/>
        <v>30002555.933874827</v>
      </c>
      <c r="Q145" s="95"/>
      <c r="R145" s="95"/>
      <c r="S145" s="95"/>
      <c r="T145"/>
    </row>
    <row r="146" spans="1:20" x14ac:dyDescent="0.25">
      <c r="A146" s="183">
        <v>46752</v>
      </c>
      <c r="B146" s="185"/>
      <c r="C146" s="185"/>
      <c r="D146" s="185"/>
      <c r="E146" s="185"/>
      <c r="F146" s="185"/>
      <c r="G146" s="185"/>
      <c r="H146" s="185">
        <f t="shared" ref="H146:I146" si="151">H134</f>
        <v>577.68000000000006</v>
      </c>
      <c r="I146" s="185">
        <f t="shared" si="151"/>
        <v>0</v>
      </c>
      <c r="J146" s="188">
        <v>31</v>
      </c>
      <c r="K146" s="187">
        <v>0</v>
      </c>
      <c r="L146" s="190">
        <v>26596.15592060619</v>
      </c>
      <c r="M146" s="185">
        <f t="shared" si="137"/>
        <v>33788372.816011079</v>
      </c>
      <c r="N146" s="26">
        <f t="shared" si="135"/>
        <v>33788372.816011079</v>
      </c>
      <c r="Q146" s="95"/>
      <c r="R146" s="95"/>
      <c r="S146" s="95"/>
      <c r="T146"/>
    </row>
    <row r="147" spans="1:20" x14ac:dyDescent="0.25">
      <c r="A147" s="27"/>
      <c r="K147" s="191"/>
    </row>
    <row r="148" spans="1:20" x14ac:dyDescent="0.25">
      <c r="A148" s="27"/>
      <c r="K148" s="191"/>
      <c r="S148" s="246"/>
    </row>
    <row r="149" spans="1:20" ht="12.6" customHeight="1" x14ac:dyDescent="0.25">
      <c r="A149" s="27"/>
      <c r="H149" s="75" t="s">
        <v>198</v>
      </c>
      <c r="I149" s="73"/>
      <c r="J149" s="73"/>
      <c r="K149" s="191"/>
      <c r="S149" s="246"/>
    </row>
    <row r="150" spans="1:20" x14ac:dyDescent="0.25">
      <c r="A150" s="27"/>
      <c r="H150" s="76" t="s">
        <v>199</v>
      </c>
      <c r="I150" s="74"/>
      <c r="J150" s="74"/>
      <c r="K150" s="191"/>
      <c r="N150" s="26">
        <f>SUM(M3:M146)</f>
        <v>3663965000.1025081</v>
      </c>
      <c r="S150" s="246"/>
    </row>
    <row r="151" spans="1:20" x14ac:dyDescent="0.25">
      <c r="A151" s="27"/>
      <c r="K151" s="191"/>
      <c r="O151" s="42" t="s">
        <v>200</v>
      </c>
      <c r="P151" s="42" t="s">
        <v>201</v>
      </c>
      <c r="Q151" s="42" t="s">
        <v>156</v>
      </c>
      <c r="R151" s="42"/>
      <c r="S151" s="246"/>
    </row>
    <row r="152" spans="1:20" x14ac:dyDescent="0.25">
      <c r="A152" s="21">
        <v>2016</v>
      </c>
      <c r="B152" s="6">
        <f>SUM(B3:B14)</f>
        <v>259382036</v>
      </c>
      <c r="D152" s="6">
        <f t="shared" ref="D152:G152" si="152">SUM(D3:D14)</f>
        <v>259382036</v>
      </c>
      <c r="E152" s="6">
        <f t="shared" si="152"/>
        <v>0</v>
      </c>
      <c r="F152" s="6">
        <f t="shared" si="152"/>
        <v>0</v>
      </c>
      <c r="G152" s="6">
        <f t="shared" si="152"/>
        <v>259382036</v>
      </c>
      <c r="H152" s="6"/>
      <c r="I152" s="6"/>
      <c r="J152" s="6"/>
      <c r="K152" s="6"/>
      <c r="L152" s="6"/>
      <c r="M152" s="6"/>
      <c r="N152" s="6">
        <f>SUM(M3:M14)</f>
        <v>256263068.41917378</v>
      </c>
      <c r="O152" s="6">
        <f t="shared" ref="O152:P163" si="153">E152</f>
        <v>0</v>
      </c>
      <c r="P152" s="6">
        <f t="shared" si="153"/>
        <v>0</v>
      </c>
      <c r="Q152" s="6">
        <f>N152+O152+P152</f>
        <v>256263068.41917378</v>
      </c>
      <c r="R152" s="46"/>
      <c r="S152" s="5"/>
      <c r="T152" s="6"/>
    </row>
    <row r="153" spans="1:20" x14ac:dyDescent="0.25">
      <c r="A153" s="21">
        <v>2017</v>
      </c>
      <c r="B153" s="6">
        <f>SUM(B15:B26)</f>
        <v>256769434.55879995</v>
      </c>
      <c r="D153" s="6">
        <f t="shared" ref="D153:G153" si="154">SUM(D15:D26)</f>
        <v>256769434.55879995</v>
      </c>
      <c r="E153" s="6">
        <f t="shared" si="154"/>
        <v>0</v>
      </c>
      <c r="F153" s="6">
        <f t="shared" si="154"/>
        <v>0</v>
      </c>
      <c r="G153" s="6">
        <f t="shared" si="154"/>
        <v>256769434.55879995</v>
      </c>
      <c r="H153" s="6"/>
      <c r="I153" s="6"/>
      <c r="J153" s="6"/>
      <c r="K153" s="6"/>
      <c r="L153" s="6"/>
      <c r="M153" s="6"/>
      <c r="N153" s="6">
        <f>SUM(M15:M26)</f>
        <v>260854813.3279475</v>
      </c>
      <c r="O153" s="6">
        <f t="shared" si="153"/>
        <v>0</v>
      </c>
      <c r="P153" s="6">
        <f t="shared" si="153"/>
        <v>0</v>
      </c>
      <c r="Q153" s="6">
        <f>N153+O153+P153</f>
        <v>260854813.3279475</v>
      </c>
      <c r="R153" s="46"/>
      <c r="S153" s="5"/>
      <c r="T153" s="6"/>
    </row>
    <row r="154" spans="1:20" x14ac:dyDescent="0.25">
      <c r="A154" s="21">
        <v>2018</v>
      </c>
      <c r="B154" s="6">
        <f>SUM(B27:B38)</f>
        <v>278813235.74599999</v>
      </c>
      <c r="D154" s="6">
        <f t="shared" ref="D154:G154" si="155">SUM(D27:D38)</f>
        <v>278813235.74599999</v>
      </c>
      <c r="E154" s="6">
        <f t="shared" si="155"/>
        <v>0</v>
      </c>
      <c r="F154" s="6">
        <f t="shared" si="155"/>
        <v>0</v>
      </c>
      <c r="G154" s="6">
        <f t="shared" si="155"/>
        <v>278813235.74599999</v>
      </c>
      <c r="H154" s="6"/>
      <c r="I154" s="6"/>
      <c r="J154" s="6"/>
      <c r="K154" s="6"/>
      <c r="L154" s="6"/>
      <c r="M154" s="6"/>
      <c r="N154" s="6">
        <f>SUM(M27:M38)</f>
        <v>271320487.35440034</v>
      </c>
      <c r="O154" s="6">
        <f t="shared" si="153"/>
        <v>0</v>
      </c>
      <c r="P154" s="6">
        <f t="shared" si="153"/>
        <v>0</v>
      </c>
      <c r="Q154" s="6">
        <f t="shared" ref="Q154:Q163" si="156">N154+O154+P154</f>
        <v>271320487.35440034</v>
      </c>
      <c r="R154" s="46"/>
      <c r="S154" s="5"/>
      <c r="T154" s="6"/>
    </row>
    <row r="155" spans="1:20" x14ac:dyDescent="0.25">
      <c r="A155" s="21">
        <v>2019</v>
      </c>
      <c r="B155" s="6">
        <f>SUM(B39:B50)</f>
        <v>280581536.88999999</v>
      </c>
      <c r="D155" s="6">
        <f t="shared" ref="D155:G155" si="157">SUM(D39:D50)</f>
        <v>280581536.88999999</v>
      </c>
      <c r="E155" s="6">
        <f t="shared" si="157"/>
        <v>0</v>
      </c>
      <c r="F155" s="6">
        <f t="shared" si="157"/>
        <v>0</v>
      </c>
      <c r="G155" s="6">
        <f t="shared" si="157"/>
        <v>280581536.88999999</v>
      </c>
      <c r="H155" s="6"/>
      <c r="I155" s="6"/>
      <c r="J155" s="6"/>
      <c r="K155" s="6"/>
      <c r="L155" s="6"/>
      <c r="M155" s="6"/>
      <c r="N155" s="6">
        <f>SUM(M39:M50)</f>
        <v>280892099.24635291</v>
      </c>
      <c r="O155" s="6">
        <f t="shared" si="153"/>
        <v>0</v>
      </c>
      <c r="P155" s="6">
        <f t="shared" si="153"/>
        <v>0</v>
      </c>
      <c r="Q155" s="6">
        <f t="shared" si="156"/>
        <v>280892099.24635291</v>
      </c>
      <c r="R155" s="46"/>
      <c r="S155" s="5"/>
      <c r="T155" s="6"/>
    </row>
    <row r="156" spans="1:20" x14ac:dyDescent="0.25">
      <c r="A156" s="21">
        <v>2020</v>
      </c>
      <c r="B156" s="6">
        <f>SUM(B51:B62)</f>
        <v>291404251.64599001</v>
      </c>
      <c r="D156" s="6">
        <f t="shared" ref="D156:G156" si="158">SUM(D51:D62)</f>
        <v>291404251.64599001</v>
      </c>
      <c r="E156" s="6">
        <f t="shared" si="158"/>
        <v>0</v>
      </c>
      <c r="F156" s="6">
        <f t="shared" si="158"/>
        <v>0</v>
      </c>
      <c r="G156" s="6">
        <f t="shared" si="158"/>
        <v>291404251.64599001</v>
      </c>
      <c r="H156" s="6"/>
      <c r="I156" s="6"/>
      <c r="J156" s="6"/>
      <c r="K156" s="6"/>
      <c r="L156" s="6"/>
      <c r="M156" s="6"/>
      <c r="N156" s="6">
        <f>SUM(M51:M62)</f>
        <v>285125643.57354701</v>
      </c>
      <c r="O156" s="6">
        <f t="shared" si="153"/>
        <v>0</v>
      </c>
      <c r="P156" s="6">
        <f t="shared" si="153"/>
        <v>0</v>
      </c>
      <c r="Q156" s="6">
        <f t="shared" si="156"/>
        <v>285125643.57354701</v>
      </c>
      <c r="R156" s="46"/>
      <c r="S156" s="5"/>
      <c r="T156" s="6"/>
    </row>
    <row r="157" spans="1:20" x14ac:dyDescent="0.25">
      <c r="A157" s="21">
        <v>2021</v>
      </c>
      <c r="B157" s="6">
        <f>SUM(B63:B74)</f>
        <v>295240254.13</v>
      </c>
      <c r="D157" s="6">
        <f t="shared" ref="D157:G157" si="159">SUM(D63:D74)</f>
        <v>295240254.13</v>
      </c>
      <c r="E157" s="6">
        <f t="shared" si="159"/>
        <v>0</v>
      </c>
      <c r="F157" s="6">
        <f t="shared" si="159"/>
        <v>0</v>
      </c>
      <c r="G157" s="6">
        <f t="shared" si="159"/>
        <v>295240254.13</v>
      </c>
      <c r="H157" s="6"/>
      <c r="I157" s="6"/>
      <c r="J157" s="6"/>
      <c r="K157" s="6"/>
      <c r="L157" s="6"/>
      <c r="M157" s="6"/>
      <c r="N157" s="6">
        <f>SUM(M63:M74)</f>
        <v>292579721.73381782</v>
      </c>
      <c r="O157" s="6">
        <f t="shared" si="153"/>
        <v>0</v>
      </c>
      <c r="P157" s="6">
        <f t="shared" si="153"/>
        <v>0</v>
      </c>
      <c r="Q157" s="6">
        <f t="shared" si="156"/>
        <v>292579721.73381782</v>
      </c>
      <c r="R157" s="46"/>
      <c r="S157" s="5"/>
      <c r="T157" s="6"/>
    </row>
    <row r="158" spans="1:20" x14ac:dyDescent="0.25">
      <c r="A158" s="21">
        <v>2022</v>
      </c>
      <c r="B158" s="6">
        <f>SUM(B75:B86)</f>
        <v>299934504.296</v>
      </c>
      <c r="D158" s="6">
        <f t="shared" ref="D158:G158" si="160">SUM(D75:D86)</f>
        <v>299934504.296</v>
      </c>
      <c r="E158" s="6">
        <f t="shared" si="160"/>
        <v>0</v>
      </c>
      <c r="F158" s="6">
        <f t="shared" si="160"/>
        <v>0</v>
      </c>
      <c r="G158" s="6">
        <f t="shared" si="160"/>
        <v>299934504.296</v>
      </c>
      <c r="H158" s="6"/>
      <c r="I158" s="6"/>
      <c r="J158" s="6"/>
      <c r="K158" s="6"/>
      <c r="L158" s="6"/>
      <c r="M158" s="6"/>
      <c r="N158" s="6">
        <f>SUM(M75:M86)</f>
        <v>298947769.83679885</v>
      </c>
      <c r="O158" s="6">
        <f t="shared" si="153"/>
        <v>0</v>
      </c>
      <c r="P158" s="6">
        <f t="shared" si="153"/>
        <v>0</v>
      </c>
      <c r="Q158" s="6">
        <f t="shared" si="156"/>
        <v>298947769.83679885</v>
      </c>
      <c r="R158" s="46"/>
      <c r="S158" s="5"/>
      <c r="T158" s="6"/>
    </row>
    <row r="159" spans="1:20" x14ac:dyDescent="0.25">
      <c r="A159" s="21">
        <v>2023</v>
      </c>
      <c r="B159" s="6">
        <f>SUM(B87:B98)</f>
        <v>303103174.95799994</v>
      </c>
      <c r="D159" s="6">
        <f t="shared" ref="D159:G159" si="161">SUM(D87:D98)</f>
        <v>303103174.95799994</v>
      </c>
      <c r="E159" s="6">
        <f t="shared" si="161"/>
        <v>0</v>
      </c>
      <c r="F159" s="6">
        <f t="shared" si="161"/>
        <v>0</v>
      </c>
      <c r="G159" s="6">
        <f t="shared" si="161"/>
        <v>303103174.95799994</v>
      </c>
      <c r="H159" s="6"/>
      <c r="I159" s="6"/>
      <c r="J159" s="6"/>
      <c r="K159" s="6"/>
      <c r="L159" s="6"/>
      <c r="M159" s="6"/>
      <c r="N159" s="6">
        <f>SUM(M87:M98)</f>
        <v>314767331.93306822</v>
      </c>
      <c r="O159" s="6">
        <f t="shared" si="153"/>
        <v>0</v>
      </c>
      <c r="P159" s="6">
        <f t="shared" si="153"/>
        <v>0</v>
      </c>
      <c r="Q159" s="6">
        <f t="shared" si="156"/>
        <v>314767331.93306822</v>
      </c>
      <c r="R159" s="46"/>
      <c r="S159" s="5"/>
      <c r="T159" s="6"/>
    </row>
    <row r="160" spans="1:20" x14ac:dyDescent="0.25">
      <c r="A160" s="21">
        <v>2024</v>
      </c>
      <c r="B160" s="6">
        <f>SUM(B99:B110)</f>
        <v>324696009.72000003</v>
      </c>
      <c r="D160" s="6">
        <f t="shared" ref="D160:G160" si="162">SUM(D99:D110)</f>
        <v>324696009.72000003</v>
      </c>
      <c r="E160" s="6">
        <f t="shared" si="162"/>
        <v>0</v>
      </c>
      <c r="F160" s="6">
        <f t="shared" si="162"/>
        <v>0</v>
      </c>
      <c r="G160" s="6">
        <f t="shared" si="162"/>
        <v>324696009.72000003</v>
      </c>
      <c r="H160" s="6"/>
      <c r="I160" s="6"/>
      <c r="J160" s="6"/>
      <c r="K160" s="6"/>
      <c r="L160" s="6"/>
      <c r="M160" s="6"/>
      <c r="N160" s="6">
        <f>SUM(M99:M110)</f>
        <v>334198026.23091483</v>
      </c>
      <c r="O160" s="6">
        <f t="shared" si="153"/>
        <v>0</v>
      </c>
      <c r="P160" s="6">
        <f t="shared" si="153"/>
        <v>0</v>
      </c>
      <c r="Q160" s="6">
        <f t="shared" si="156"/>
        <v>334198026.23091483</v>
      </c>
      <c r="R160" s="46"/>
      <c r="S160" s="5"/>
      <c r="T160" s="5"/>
    </row>
    <row r="161" spans="1:20" x14ac:dyDescent="0.25">
      <c r="A161" s="21">
        <v>2025</v>
      </c>
      <c r="B161" s="6">
        <f>SUM(B111:B122)</f>
        <v>349049038.17999995</v>
      </c>
      <c r="D161" s="6">
        <f t="shared" ref="D161:G161" si="163">SUM(D111:D122)</f>
        <v>349049038.17999995</v>
      </c>
      <c r="E161" s="6">
        <f t="shared" si="163"/>
        <v>0</v>
      </c>
      <c r="F161" s="6">
        <f t="shared" si="163"/>
        <v>0</v>
      </c>
      <c r="G161" s="6">
        <f t="shared" si="163"/>
        <v>349049038.17999995</v>
      </c>
      <c r="H161" s="6"/>
      <c r="I161" s="6"/>
      <c r="J161" s="6"/>
      <c r="K161" s="6"/>
      <c r="L161" s="6"/>
      <c r="M161" s="6"/>
      <c r="N161" s="6">
        <f>SUM(M111:M122)</f>
        <v>344024514.46876693</v>
      </c>
      <c r="O161" s="6">
        <f t="shared" si="153"/>
        <v>0</v>
      </c>
      <c r="P161" s="6">
        <f t="shared" si="153"/>
        <v>0</v>
      </c>
      <c r="Q161" s="6">
        <f>N161+O161+P161</f>
        <v>344024514.46876693</v>
      </c>
      <c r="R161" s="46"/>
      <c r="S161" s="5"/>
      <c r="T161" s="5"/>
    </row>
    <row r="162" spans="1:20" x14ac:dyDescent="0.25">
      <c r="A162" s="21">
        <v>2026</v>
      </c>
      <c r="N162" s="12">
        <f>SUM(M123:M134)</f>
        <v>356159168.01785558</v>
      </c>
      <c r="O162" s="6">
        <f t="shared" si="153"/>
        <v>0</v>
      </c>
      <c r="P162" s="6">
        <f t="shared" si="153"/>
        <v>0</v>
      </c>
      <c r="Q162" s="6">
        <f t="shared" si="156"/>
        <v>356159168.01785558</v>
      </c>
      <c r="R162" s="46"/>
      <c r="S162" s="5"/>
      <c r="T162" s="5"/>
    </row>
    <row r="163" spans="1:20" x14ac:dyDescent="0.25">
      <c r="A163" s="21">
        <v>2027</v>
      </c>
      <c r="N163" s="12">
        <f>SUM(M135:M146)</f>
        <v>368832355.95986581</v>
      </c>
      <c r="O163" s="6">
        <f t="shared" si="153"/>
        <v>0</v>
      </c>
      <c r="P163" s="6">
        <f t="shared" si="153"/>
        <v>0</v>
      </c>
      <c r="Q163" s="6">
        <f t="shared" si="156"/>
        <v>368832355.95986581</v>
      </c>
      <c r="R163" s="46"/>
      <c r="S163" s="5"/>
      <c r="T163" s="5"/>
    </row>
    <row r="164" spans="1:20" x14ac:dyDescent="0.25">
      <c r="N164" s="6"/>
    </row>
    <row r="165" spans="1:20" x14ac:dyDescent="0.25">
      <c r="A165" s="35" t="s">
        <v>74</v>
      </c>
      <c r="B165" s="6">
        <f>SUM(B152:B161)</f>
        <v>2938973476.1247897</v>
      </c>
      <c r="D165" s="6">
        <f>SUM(D152:D161)</f>
        <v>2938973476.1247897</v>
      </c>
      <c r="E165" s="6">
        <f>SUM(E152:E161)</f>
        <v>0</v>
      </c>
      <c r="F165" s="6">
        <f>SUM(F152:F161)</f>
        <v>0</v>
      </c>
      <c r="G165" s="6">
        <f>SUM(G152:G161)</f>
        <v>2938973476.1247897</v>
      </c>
      <c r="L165" s="1" t="s">
        <v>203</v>
      </c>
      <c r="N165" s="6">
        <f>SUM(N152:N161)</f>
        <v>2938973476.1247883</v>
      </c>
      <c r="Q165" s="6">
        <f>SUM(Q152:Q161)</f>
        <v>2938973476.1247883</v>
      </c>
      <c r="R165" s="6"/>
    </row>
    <row r="166" spans="1:20" x14ac:dyDescent="0.25">
      <c r="N166" s="26">
        <f>N165-G165</f>
        <v>0</v>
      </c>
      <c r="Q166" s="46">
        <f>Q165-G165</f>
        <v>0</v>
      </c>
    </row>
    <row r="168" spans="1:20" x14ac:dyDescent="0.25">
      <c r="O168"/>
      <c r="P168"/>
      <c r="Q168"/>
      <c r="R168"/>
      <c r="S168"/>
      <c r="T168"/>
    </row>
    <row r="169" spans="1:20" x14ac:dyDescent="0.25">
      <c r="N169" s="6">
        <f>SUM(N152:N163)</f>
        <v>3663965000.1025095</v>
      </c>
    </row>
    <row r="170" spans="1:20" x14ac:dyDescent="0.25">
      <c r="N170" s="26">
        <f>N150-N169</f>
        <v>0</v>
      </c>
    </row>
    <row r="171" spans="1:20" x14ac:dyDescent="0.25">
      <c r="A171"/>
      <c r="B171"/>
      <c r="C171"/>
      <c r="D171"/>
      <c r="E171"/>
      <c r="F171"/>
      <c r="G171"/>
      <c r="H171"/>
      <c r="I171"/>
      <c r="J171"/>
      <c r="L171"/>
      <c r="M171"/>
      <c r="N171"/>
      <c r="O171"/>
    </row>
    <row r="172" spans="1:20" x14ac:dyDescent="0.25">
      <c r="A172"/>
      <c r="B172"/>
      <c r="C172"/>
      <c r="D172"/>
      <c r="E172"/>
      <c r="F172"/>
      <c r="G172"/>
      <c r="H172"/>
      <c r="I172"/>
      <c r="J172"/>
      <c r="L172"/>
      <c r="M172"/>
      <c r="N172"/>
      <c r="O172"/>
    </row>
    <row r="173" spans="1:20" x14ac:dyDescent="0.25">
      <c r="A173"/>
      <c r="B173"/>
      <c r="C173"/>
      <c r="D173"/>
      <c r="E173"/>
      <c r="F173"/>
      <c r="G173"/>
      <c r="H173"/>
      <c r="I173"/>
      <c r="J173"/>
      <c r="L173"/>
      <c r="M173"/>
      <c r="N173"/>
      <c r="O173"/>
    </row>
    <row r="174" spans="1:20" x14ac:dyDescent="0.25">
      <c r="A174"/>
      <c r="B174"/>
      <c r="C174"/>
      <c r="D174"/>
      <c r="E174"/>
      <c r="F174"/>
      <c r="G174"/>
      <c r="H174"/>
      <c r="I174"/>
      <c r="J174"/>
      <c r="L174"/>
      <c r="M174"/>
      <c r="N174"/>
      <c r="O174"/>
    </row>
    <row r="175" spans="1:20" x14ac:dyDescent="0.25">
      <c r="A175"/>
      <c r="B175"/>
      <c r="C175"/>
      <c r="H175" s="6"/>
      <c r="I175" s="6"/>
      <c r="J175" s="6"/>
      <c r="L175"/>
      <c r="M175"/>
      <c r="N175"/>
      <c r="O175"/>
    </row>
    <row r="176" spans="1:20" x14ac:dyDescent="0.25">
      <c r="A176"/>
      <c r="B176"/>
      <c r="C176"/>
      <c r="H176" s="6"/>
      <c r="I176" s="6"/>
      <c r="J176" s="6"/>
      <c r="L176"/>
      <c r="M176"/>
      <c r="N176"/>
      <c r="O176"/>
    </row>
    <row r="177" spans="1:20" x14ac:dyDescent="0.25">
      <c r="A177"/>
      <c r="B177"/>
      <c r="C177"/>
      <c r="H177" s="6"/>
      <c r="I177" s="6"/>
      <c r="J177" s="6"/>
      <c r="L177"/>
      <c r="M177"/>
      <c r="N177"/>
      <c r="O177"/>
    </row>
    <row r="178" spans="1:20" x14ac:dyDescent="0.25">
      <c r="A178"/>
      <c r="B178"/>
      <c r="C178"/>
      <c r="H178" s="6"/>
      <c r="I178" s="6"/>
      <c r="J178" s="6"/>
      <c r="L178"/>
      <c r="M178"/>
      <c r="N178"/>
      <c r="O178"/>
    </row>
    <row r="179" spans="1:20" x14ac:dyDescent="0.25">
      <c r="A179"/>
      <c r="B179"/>
      <c r="C179"/>
      <c r="H179" s="6"/>
      <c r="I179" s="6"/>
      <c r="J179" s="6"/>
      <c r="L179"/>
      <c r="M179"/>
      <c r="N179"/>
      <c r="O179"/>
      <c r="P179"/>
      <c r="Q179"/>
      <c r="R179"/>
      <c r="S179"/>
      <c r="T179"/>
    </row>
    <row r="180" spans="1:20" x14ac:dyDescent="0.25">
      <c r="A180"/>
      <c r="B180"/>
      <c r="C180"/>
      <c r="H180" s="6"/>
      <c r="I180" s="6"/>
      <c r="J180" s="6"/>
      <c r="L180"/>
      <c r="M180"/>
      <c r="N180"/>
      <c r="O180"/>
      <c r="P180"/>
      <c r="Q180"/>
      <c r="R180"/>
      <c r="S180"/>
      <c r="T180"/>
    </row>
    <row r="181" spans="1:20" x14ac:dyDescent="0.25">
      <c r="A181"/>
      <c r="B181"/>
      <c r="C181"/>
      <c r="H181" s="6"/>
      <c r="I181" s="6"/>
      <c r="J181" s="6"/>
      <c r="L181"/>
      <c r="M181"/>
      <c r="N181"/>
      <c r="O181"/>
      <c r="P181"/>
      <c r="Q181"/>
      <c r="R181"/>
      <c r="S181"/>
      <c r="T181"/>
    </row>
    <row r="182" spans="1:20" x14ac:dyDescent="0.25">
      <c r="A182"/>
      <c r="B182"/>
      <c r="C182"/>
      <c r="H182" s="6"/>
      <c r="I182" s="6"/>
      <c r="J182" s="6"/>
      <c r="L182"/>
      <c r="M182"/>
      <c r="N182"/>
      <c r="O182"/>
      <c r="P182"/>
      <c r="Q182"/>
      <c r="R182"/>
      <c r="S182"/>
      <c r="T182"/>
    </row>
    <row r="183" spans="1:20" x14ac:dyDescent="0.25">
      <c r="A183"/>
      <c r="B183"/>
      <c r="C183"/>
      <c r="H183" s="6"/>
      <c r="I183" s="6"/>
      <c r="J183" s="6"/>
      <c r="L183"/>
      <c r="M183"/>
      <c r="N183"/>
      <c r="O183"/>
      <c r="P183"/>
      <c r="Q183"/>
      <c r="R183"/>
      <c r="S183"/>
      <c r="T183"/>
    </row>
    <row r="184" spans="1:20" x14ac:dyDescent="0.25">
      <c r="A184"/>
      <c r="H184" s="6"/>
      <c r="I184" s="6"/>
      <c r="J184" s="6"/>
      <c r="P184"/>
      <c r="Q184"/>
      <c r="R184"/>
      <c r="S184"/>
      <c r="T184"/>
    </row>
    <row r="185" spans="1:20" x14ac:dyDescent="0.25">
      <c r="A185"/>
      <c r="H185" s="6"/>
      <c r="I185" s="6"/>
      <c r="J185" s="6"/>
      <c r="P185"/>
      <c r="Q185"/>
      <c r="R185"/>
      <c r="S185"/>
      <c r="T185"/>
    </row>
    <row r="186" spans="1:20" x14ac:dyDescent="0.25">
      <c r="A186"/>
      <c r="H186" s="6"/>
      <c r="I186" s="6"/>
      <c r="J186" s="6"/>
      <c r="P186"/>
      <c r="Q186"/>
      <c r="R186"/>
      <c r="S186"/>
      <c r="T186"/>
    </row>
    <row r="187" spans="1:20" x14ac:dyDescent="0.25">
      <c r="A187"/>
      <c r="H187" s="6"/>
      <c r="I187" s="6"/>
      <c r="J187" s="6"/>
      <c r="K187" s="6"/>
      <c r="P187"/>
      <c r="Q187"/>
      <c r="R187"/>
      <c r="S187"/>
      <c r="T187"/>
    </row>
    <row r="188" spans="1:20" x14ac:dyDescent="0.25">
      <c r="A188"/>
      <c r="P188"/>
      <c r="Q188"/>
      <c r="R188"/>
      <c r="S188"/>
      <c r="T188"/>
    </row>
    <row r="189" spans="1:20" x14ac:dyDescent="0.25">
      <c r="A189"/>
      <c r="P189"/>
      <c r="Q189"/>
      <c r="R189"/>
      <c r="S189"/>
      <c r="T189"/>
    </row>
    <row r="190" spans="1:20" x14ac:dyDescent="0.25">
      <c r="A190"/>
      <c r="P190"/>
      <c r="Q190"/>
      <c r="R190"/>
      <c r="S190"/>
      <c r="T190"/>
    </row>
    <row r="191" spans="1:20" x14ac:dyDescent="0.25">
      <c r="A191"/>
      <c r="P191"/>
      <c r="Q191"/>
      <c r="R191"/>
      <c r="S191"/>
      <c r="T191"/>
    </row>
    <row r="192" spans="1:20" x14ac:dyDescent="0.25">
      <c r="A192"/>
      <c r="P192"/>
      <c r="Q192"/>
      <c r="R192"/>
      <c r="S192"/>
      <c r="T192"/>
    </row>
    <row r="193" spans="1:20" x14ac:dyDescent="0.25">
      <c r="A193"/>
      <c r="P193"/>
      <c r="Q193"/>
      <c r="R193"/>
      <c r="S193"/>
      <c r="T193"/>
    </row>
    <row r="194" spans="1:20" x14ac:dyDescent="0.25">
      <c r="A194"/>
      <c r="P194"/>
      <c r="Q194"/>
      <c r="R194"/>
      <c r="S194"/>
      <c r="T194"/>
    </row>
    <row r="195" spans="1:20" customFormat="1" x14ac:dyDescent="0.25">
      <c r="K195" s="44"/>
    </row>
    <row r="196" spans="1:20" customFormat="1" x14ac:dyDescent="0.25">
      <c r="K196" s="44"/>
    </row>
  </sheetData>
  <mergeCells count="1">
    <mergeCell ref="S148:S151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W7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8" sqref="F18"/>
    </sheetView>
  </sheetViews>
  <sheetFormatPr defaultRowHeight="13.2" x14ac:dyDescent="0.25"/>
  <cols>
    <col min="1" max="1" width="21.5546875" customWidth="1"/>
    <col min="2" max="5" width="18" style="1" customWidth="1"/>
    <col min="6" max="6" width="15.5546875" style="1" customWidth="1"/>
    <col min="7" max="7" width="15.5546875" style="6" customWidth="1"/>
    <col min="8" max="8" width="15" style="6" customWidth="1"/>
    <col min="9" max="9" width="14" style="6" customWidth="1"/>
    <col min="10" max="10" width="14.109375" style="6" bestFit="1" customWidth="1"/>
    <col min="11" max="12" width="14.109375" style="6" customWidth="1"/>
    <col min="13" max="13" width="11.44140625" style="6" customWidth="1"/>
    <col min="14" max="14" width="12.44140625" style="6" customWidth="1"/>
    <col min="15" max="15" width="10.5546875" style="6" customWidth="1"/>
    <col min="16" max="17" width="16.6640625" customWidth="1"/>
    <col min="18" max="18" width="14.44140625" customWidth="1"/>
    <col min="19" max="19" width="12.5546875" bestFit="1" customWidth="1"/>
    <col min="20" max="20" width="11.5546875" bestFit="1" customWidth="1"/>
    <col min="21" max="21" width="14" customWidth="1"/>
    <col min="22" max="22" width="10.109375" bestFit="1" customWidth="1"/>
    <col min="23" max="23" width="12.5546875" style="6" bestFit="1" customWidth="1"/>
  </cols>
  <sheetData>
    <row r="2" spans="1:15" ht="39.6" x14ac:dyDescent="0.25">
      <c r="B2" s="2" t="s">
        <v>204</v>
      </c>
      <c r="C2" s="2" t="s">
        <v>205</v>
      </c>
      <c r="D2" s="2" t="s">
        <v>206</v>
      </c>
      <c r="E2" s="2" t="s">
        <v>44</v>
      </c>
      <c r="F2" s="2" t="s">
        <v>207</v>
      </c>
      <c r="G2" s="7" t="s">
        <v>208</v>
      </c>
      <c r="H2" s="98" t="str">
        <f>Inputs!B4</f>
        <v>Residential</v>
      </c>
      <c r="I2" s="39" t="str">
        <f>Inputs!C4</f>
        <v>General Service &lt; 50 kW</v>
      </c>
      <c r="J2" s="39" t="str">
        <f>Inputs!D4</f>
        <v>General Service &gt;= 50 kW</v>
      </c>
      <c r="K2" s="39" t="str">
        <f>Inputs!E4</f>
        <v>Unmetered Scattered Load</v>
      </c>
      <c r="L2" s="39" t="str">
        <f>Inputs!F4</f>
        <v>Sentinel Lighting</v>
      </c>
      <c r="M2" s="39" t="str">
        <f>Inputs!G4</f>
        <v xml:space="preserve">Street Lighting </v>
      </c>
      <c r="N2" s="39" t="str">
        <f>Inputs!H4</f>
        <v>Embedded Distributor</v>
      </c>
      <c r="O2" s="107"/>
    </row>
    <row r="3" spans="1:15" x14ac:dyDescent="0.25">
      <c r="A3">
        <v>2016</v>
      </c>
      <c r="B3" s="46">
        <f>'Power Purchased Model'!G152</f>
        <v>259382036</v>
      </c>
      <c r="C3" s="46">
        <f>'Power Purchased Model'!Q152</f>
        <v>262328706.65662685</v>
      </c>
      <c r="D3" s="19">
        <f>C3-B3</f>
        <v>2946670.6566268504</v>
      </c>
      <c r="E3" s="5">
        <f>D3/B3</f>
        <v>1.1360349783925862E-2</v>
      </c>
      <c r="F3" s="14">
        <f>1 +(B3-G3)/G3</f>
        <v>1.0628741260921497</v>
      </c>
      <c r="G3" s="6">
        <f>SUM(H3:N3)</f>
        <v>244038338.72</v>
      </c>
      <c r="H3" s="32">
        <f>SUMIF(Inputs!A$24:A$143,'Rate Class Energy Model'!A3,Inputs!F$24:F$143)</f>
        <v>150135916.50999999</v>
      </c>
      <c r="I3" s="32">
        <f>SUMIF(Inputs!$A$24:$A$143,'Rate Class Energy Model'!A3,Inputs!$H$24:$H$143)</f>
        <v>33558136.5</v>
      </c>
      <c r="J3" s="32">
        <f>SUMIF(Inputs!$A$24:$A$143,'Rate Class Energy Model'!A3,Inputs!$J$24:$J$143)</f>
        <v>58286974.199999996</v>
      </c>
      <c r="K3" s="32">
        <f>SUMIF(Inputs!$A$24:$A$143,'Rate Class Energy Model'!A3,Inputs!$M$24:$M$143)</f>
        <v>461652</v>
      </c>
      <c r="L3" s="32">
        <f>SUMIF(Inputs!$A$24:$A$143,'Rate Class Energy Model'!A3,Inputs!$P$24:$P$143)</f>
        <v>103242.3</v>
      </c>
      <c r="M3" s="32">
        <f>SUMIF(Inputs!A$24:A$143,'Rate Class Energy Model'!A3,Inputs!S$24:S$143)</f>
        <v>544041.61</v>
      </c>
      <c r="N3" s="32">
        <f>SUMIF(Inputs!A$24:A$143,'Rate Class Energy Model'!A3,Inputs!V$24:V$143)</f>
        <v>948375.6</v>
      </c>
    </row>
    <row r="4" spans="1:15" x14ac:dyDescent="0.25">
      <c r="A4">
        <v>2017</v>
      </c>
      <c r="B4" s="46">
        <f>'Power Purchased Model'!G153</f>
        <v>256769434.55879995</v>
      </c>
      <c r="C4" s="46">
        <f>'Power Purchased Model'!Q153</f>
        <v>256761569.05551386</v>
      </c>
      <c r="D4" s="19">
        <f t="shared" ref="D4:D12" si="0">C4-B4</f>
        <v>-7865.5032860934734</v>
      </c>
      <c r="E4" s="5">
        <f t="shared" ref="E4:E12" si="1">D4/B4</f>
        <v>-3.0632552895591162E-5</v>
      </c>
      <c r="F4" s="14">
        <f t="shared" ref="F4:F12" si="2">1 +(B4-G4)/G4</f>
        <v>1.0558276499959027</v>
      </c>
      <c r="G4" s="6">
        <f t="shared" ref="G4:G12" si="3">SUM(H4:N4)</f>
        <v>243192565.15000001</v>
      </c>
      <c r="H4" s="32">
        <f>SUMIF(Inputs!A$24:A$143,'Rate Class Energy Model'!A4,Inputs!F$24:F$143)</f>
        <v>145250460.83000001</v>
      </c>
      <c r="I4" s="32">
        <f>SUMIF(Inputs!$A$24:$A$143,'Rate Class Energy Model'!A4,Inputs!$H$24:$H$143)</f>
        <v>32775442.000000004</v>
      </c>
      <c r="J4" s="32">
        <f>SUMIF(Inputs!$A$24:$A$143,'Rate Class Energy Model'!A4,Inputs!$J$24:$J$143)</f>
        <v>63107664.68999999</v>
      </c>
      <c r="K4" s="32">
        <f>SUMIF(Inputs!$A$24:$A$143,'Rate Class Energy Model'!A4,Inputs!$M$24:$M$143)</f>
        <v>460196</v>
      </c>
      <c r="L4" s="32">
        <f>SUMIF(Inputs!$A$24:$A$143,'Rate Class Energy Model'!A4,Inputs!$P$24:$P$143)</f>
        <v>103849.14000000003</v>
      </c>
      <c r="M4" s="32">
        <f>SUMIF(Inputs!A$24:A$143,'Rate Class Energy Model'!A4,Inputs!S$24:S$143)</f>
        <v>574600.18999999983</v>
      </c>
      <c r="N4" s="32">
        <f>SUMIF(Inputs!A$24:A$143,'Rate Class Energy Model'!A4,Inputs!V$24:V$143)</f>
        <v>920352.3</v>
      </c>
    </row>
    <row r="5" spans="1:15" x14ac:dyDescent="0.25">
      <c r="A5">
        <v>2018</v>
      </c>
      <c r="B5" s="46">
        <f>'Power Purchased Model'!G154</f>
        <v>278813235.74599999</v>
      </c>
      <c r="C5" s="46">
        <f>'Power Purchased Model'!Q154</f>
        <v>278488834.05253017</v>
      </c>
      <c r="D5" s="19">
        <f t="shared" si="0"/>
        <v>-324401.69346982241</v>
      </c>
      <c r="E5" s="5">
        <f t="shared" si="1"/>
        <v>-1.163508943905926E-3</v>
      </c>
      <c r="F5" s="14">
        <f t="shared" si="2"/>
        <v>1.0542288081462123</v>
      </c>
      <c r="G5" s="6">
        <f t="shared" si="3"/>
        <v>264471273.78</v>
      </c>
      <c r="H5" s="32">
        <f>SUMIF(Inputs!A$24:A$143,'Rate Class Energy Model'!A5,Inputs!F$24:F$143)</f>
        <v>160853753.41</v>
      </c>
      <c r="I5" s="32">
        <f>SUMIF(Inputs!$A$24:$A$143,'Rate Class Energy Model'!A5,Inputs!$H$24:$H$143)</f>
        <v>36037382.24000001</v>
      </c>
      <c r="J5" s="32">
        <f>SUMIF(Inputs!$A$24:$A$143,'Rate Class Energy Model'!A5,Inputs!$J$24:$J$143)</f>
        <v>65404828.979999997</v>
      </c>
      <c r="K5" s="32">
        <f>SUMIF(Inputs!$A$24:$A$143,'Rate Class Energy Model'!A5,Inputs!$M$24:$M$143)</f>
        <v>482913.99999999994</v>
      </c>
      <c r="L5" s="32">
        <f>SUMIF(Inputs!$A$24:$A$143,'Rate Class Energy Model'!A5,Inputs!$P$24:$P$143)</f>
        <v>105459.54</v>
      </c>
      <c r="M5" s="32">
        <f>SUMIF(Inputs!A$24:A$143,'Rate Class Energy Model'!A5,Inputs!S$24:S$143)</f>
        <v>615045.71</v>
      </c>
      <c r="N5" s="32">
        <f>SUMIF(Inputs!A$24:A$143,'Rate Class Energy Model'!A5,Inputs!V$24:V$143)</f>
        <v>971889.89999999991</v>
      </c>
    </row>
    <row r="6" spans="1:15" x14ac:dyDescent="0.25">
      <c r="A6">
        <v>2019</v>
      </c>
      <c r="B6" s="46">
        <f>'Power Purchased Model'!G155</f>
        <v>280581536.88999999</v>
      </c>
      <c r="C6" s="46">
        <f>'Power Purchased Model'!Q155</f>
        <v>281617875.12627798</v>
      </c>
      <c r="D6" s="19">
        <f t="shared" si="0"/>
        <v>1036338.2362779975</v>
      </c>
      <c r="E6" s="5">
        <f t="shared" si="1"/>
        <v>3.6935368155898533E-3</v>
      </c>
      <c r="F6" s="14">
        <f t="shared" si="2"/>
        <v>1.0352748310735118</v>
      </c>
      <c r="G6" s="6">
        <f t="shared" si="3"/>
        <v>271021306.09999996</v>
      </c>
      <c r="H6" s="32">
        <f>SUMIF(Inputs!A$24:A$143,'Rate Class Energy Model'!A6,Inputs!F$24:F$143)</f>
        <v>161284519.66999996</v>
      </c>
      <c r="I6" s="32">
        <f>SUMIF(Inputs!$A$24:$A$143,'Rate Class Energy Model'!A6,Inputs!$H$24:$H$143)</f>
        <v>42480662.969999991</v>
      </c>
      <c r="J6" s="32">
        <f>SUMIF(Inputs!$A$24:$A$143,'Rate Class Energy Model'!A6,Inputs!$J$24:$J$143)</f>
        <v>65090124.510000005</v>
      </c>
      <c r="K6" s="32">
        <f>SUMIF(Inputs!$A$24:$A$143,'Rate Class Energy Model'!A6,Inputs!$M$24:$M$143)</f>
        <v>485587.00000000012</v>
      </c>
      <c r="L6" s="32">
        <f>SUMIF(Inputs!$A$24:$A$143,'Rate Class Energy Model'!A6,Inputs!$P$24:$P$143)</f>
        <v>103804.5</v>
      </c>
      <c r="M6" s="32">
        <f>SUMIF(Inputs!A$24:A$143,'Rate Class Energy Model'!A6,Inputs!S$24:S$143)</f>
        <v>653653.25</v>
      </c>
      <c r="N6" s="32">
        <f>SUMIF(Inputs!A$24:A$143,'Rate Class Energy Model'!A6,Inputs!V$24:V$143)</f>
        <v>922954.19999999984</v>
      </c>
    </row>
    <row r="7" spans="1:15" x14ac:dyDescent="0.25">
      <c r="A7">
        <v>2020</v>
      </c>
      <c r="B7" s="46">
        <f>'Power Purchased Model'!G156</f>
        <v>291404251.64599001</v>
      </c>
      <c r="C7" s="46">
        <f>'Power Purchased Model'!Q156</f>
        <v>288446343.72079241</v>
      </c>
      <c r="D7" s="19">
        <f t="shared" si="0"/>
        <v>-2957907.9251976013</v>
      </c>
      <c r="E7" s="5">
        <f t="shared" si="1"/>
        <v>-1.0150531121251418E-2</v>
      </c>
      <c r="F7" s="14">
        <f t="shared" si="2"/>
        <v>1.0526160091182748</v>
      </c>
      <c r="G7" s="6">
        <f t="shared" si="3"/>
        <v>276838133.86999995</v>
      </c>
      <c r="H7" s="32">
        <f>SUMIF(Inputs!A$24:A$143,'Rate Class Energy Model'!A7,Inputs!F$24:F$143)</f>
        <v>174957599.51999998</v>
      </c>
      <c r="I7" s="32">
        <f>SUMIF(Inputs!$A$24:$A$143,'Rate Class Energy Model'!A7,Inputs!$H$24:$H$143)</f>
        <v>39873537.010000005</v>
      </c>
      <c r="J7" s="32">
        <f>SUMIF(Inputs!$A$24:$A$143,'Rate Class Energy Model'!A7,Inputs!$J$24:$J$143)</f>
        <v>59834546.959999993</v>
      </c>
      <c r="K7" s="32">
        <f>SUMIF(Inputs!$A$24:$A$143,'Rate Class Energy Model'!A7,Inputs!$M$24:$M$143)</f>
        <v>439968</v>
      </c>
      <c r="L7" s="32">
        <f>SUMIF(Inputs!$A$24:$A$143,'Rate Class Energy Model'!A7,Inputs!$P$24:$P$143)</f>
        <v>100969.37999999999</v>
      </c>
      <c r="M7" s="32">
        <f>SUMIF(Inputs!A$24:A$143,'Rate Class Energy Model'!A7,Inputs!S$24:S$143)</f>
        <v>686201.6</v>
      </c>
      <c r="N7" s="32">
        <f>SUMIF(Inputs!A$24:A$143,'Rate Class Energy Model'!A7,Inputs!V$24:V$143)</f>
        <v>945311.40000000014</v>
      </c>
    </row>
    <row r="8" spans="1:15" x14ac:dyDescent="0.25">
      <c r="A8">
        <v>2021</v>
      </c>
      <c r="B8" s="46">
        <f>'Power Purchased Model'!G157</f>
        <v>295240254.13</v>
      </c>
      <c r="C8" s="46">
        <f>'Power Purchased Model'!Q157</f>
        <v>290224914.6949873</v>
      </c>
      <c r="D8" s="19">
        <f t="shared" si="0"/>
        <v>-5015339.4350126982</v>
      </c>
      <c r="E8" s="5">
        <f t="shared" si="1"/>
        <v>-1.69873158041801E-2</v>
      </c>
      <c r="F8" s="14">
        <f t="shared" si="2"/>
        <v>1.0571353572796351</v>
      </c>
      <c r="G8" s="6">
        <f t="shared" si="3"/>
        <v>279283302.84000003</v>
      </c>
      <c r="H8" s="32">
        <f>SUMIF(Inputs!A$24:A$143,'Rate Class Energy Model'!A8,Inputs!F$24:F$143)</f>
        <v>178499709.20000005</v>
      </c>
      <c r="I8" s="32">
        <f>SUMIF(Inputs!$A$24:$A$143,'Rate Class Energy Model'!A8,Inputs!$H$24:$H$143)</f>
        <v>40487960.670000002</v>
      </c>
      <c r="J8" s="32">
        <f>SUMIF(Inputs!$A$24:$A$143,'Rate Class Energy Model'!A8,Inputs!$J$24:$J$143)</f>
        <v>58095870.570000008</v>
      </c>
      <c r="K8" s="32">
        <f>SUMIF(Inputs!$A$24:$A$143,'Rate Class Energy Model'!A8,Inputs!$M$24:$M$143)</f>
        <v>439248</v>
      </c>
      <c r="L8" s="32">
        <f>SUMIF(Inputs!$A$24:$A$143,'Rate Class Energy Model'!A8,Inputs!$P$24:$P$143)</f>
        <v>99205.680000000008</v>
      </c>
      <c r="M8" s="32">
        <f>SUMIF(Inputs!A$24:A$143,'Rate Class Energy Model'!A8,Inputs!S$24:S$143)</f>
        <v>751137.82</v>
      </c>
      <c r="N8" s="32">
        <f>SUMIF(Inputs!A$24:A$143,'Rate Class Energy Model'!A8,Inputs!V$24:V$143)</f>
        <v>910170.9</v>
      </c>
    </row>
    <row r="9" spans="1:15" x14ac:dyDescent="0.25">
      <c r="A9">
        <v>2022</v>
      </c>
      <c r="B9" s="46">
        <f>'Power Purchased Model'!G158</f>
        <v>299934504.296</v>
      </c>
      <c r="C9" s="46">
        <f>'Power Purchased Model'!Q158</f>
        <v>299300057.07384056</v>
      </c>
      <c r="D9" s="19">
        <f t="shared" si="0"/>
        <v>-634447.22215944529</v>
      </c>
      <c r="E9" s="5">
        <f t="shared" si="1"/>
        <v>-2.1152858809912736E-3</v>
      </c>
      <c r="F9" s="14">
        <f t="shared" si="2"/>
        <v>1.0543702062920846</v>
      </c>
      <c r="G9" s="6">
        <f t="shared" si="3"/>
        <v>284467924.55449116</v>
      </c>
      <c r="H9" s="32">
        <f>SUMIF(Inputs!A$24:A$143,'Rate Class Energy Model'!A9,Inputs!F$24:F$143)</f>
        <v>181843662.79904294</v>
      </c>
      <c r="I9" s="32">
        <f>SUMIF(Inputs!$A$24:$A$143,'Rate Class Energy Model'!A9,Inputs!$H$24:$H$143)</f>
        <v>43953859.175448269</v>
      </c>
      <c r="J9" s="32">
        <f>SUMIF(Inputs!$A$24:$A$143,'Rate Class Energy Model'!A9,Inputs!$J$24:$J$143)</f>
        <v>56383556.809999987</v>
      </c>
      <c r="K9" s="32">
        <f>SUMIF(Inputs!$A$24:$A$143,'Rate Class Energy Model'!A9,Inputs!$M$24:$M$143)</f>
        <v>447888</v>
      </c>
      <c r="L9" s="32">
        <f>SUMIF(Inputs!$A$24:$A$143,'Rate Class Energy Model'!A9,Inputs!$P$24:$P$143)</f>
        <v>97587.239999999947</v>
      </c>
      <c r="M9" s="32">
        <f>SUMIF(Inputs!A$24:A$143,'Rate Class Energy Model'!A9,Inputs!S$24:S$143)</f>
        <v>805781.62999999977</v>
      </c>
      <c r="N9" s="32">
        <f>SUMIF(Inputs!A$24:A$143,'Rate Class Energy Model'!A9,Inputs!V$24:V$143)</f>
        <v>935588.9</v>
      </c>
    </row>
    <row r="10" spans="1:15" x14ac:dyDescent="0.25">
      <c r="A10" s="38">
        <v>2023</v>
      </c>
      <c r="B10" s="46">
        <f>'Power Purchased Model'!G159</f>
        <v>303103174.95799994</v>
      </c>
      <c r="C10" s="46">
        <f>'Power Purchased Model'!Q159</f>
        <v>307229578.2575382</v>
      </c>
      <c r="D10" s="19">
        <f t="shared" si="0"/>
        <v>4126403.2995382547</v>
      </c>
      <c r="E10" s="5">
        <f t="shared" si="1"/>
        <v>1.3613857064051004E-2</v>
      </c>
      <c r="F10" s="14">
        <f t="shared" si="2"/>
        <v>1.0567451157479471</v>
      </c>
      <c r="G10" s="6">
        <f t="shared" si="3"/>
        <v>286827135.92999995</v>
      </c>
      <c r="H10" s="32">
        <f>SUMIF(Inputs!A$24:A$143,'Rate Class Energy Model'!A10,Inputs!F$24:F$143)</f>
        <v>184116037.12</v>
      </c>
      <c r="I10" s="32">
        <f>SUMIF(Inputs!$A$24:$A$143,'Rate Class Energy Model'!A10,Inputs!$H$24:$H$143)</f>
        <v>44829085.220000006</v>
      </c>
      <c r="J10" s="32">
        <f>SUMIF(Inputs!$A$24:$A$143,'Rate Class Energy Model'!A10,Inputs!$J$24:$J$143)</f>
        <v>55566830.360000007</v>
      </c>
      <c r="K10" s="32">
        <f>SUMIF(Inputs!$A$24:$A$143,'Rate Class Energy Model'!A10,Inputs!$M$24:$M$143)</f>
        <v>447887.99999999988</v>
      </c>
      <c r="L10" s="32">
        <f>SUMIF(Inputs!$A$24:$A$143,'Rate Class Energy Model'!A10,Inputs!$P$24:$P$143)</f>
        <v>97106.340000000011</v>
      </c>
      <c r="M10" s="32">
        <f>SUMIF(Inputs!A$24:A$143,'Rate Class Energy Model'!A10,Inputs!S$24:S$143)</f>
        <v>867745.69</v>
      </c>
      <c r="N10" s="32">
        <f>SUMIF(Inputs!A$24:A$143,'Rate Class Energy Model'!A10,Inputs!V$24:V$143)</f>
        <v>902443.2</v>
      </c>
    </row>
    <row r="11" spans="1:15" x14ac:dyDescent="0.25">
      <c r="A11" s="38">
        <v>2024</v>
      </c>
      <c r="B11" s="46">
        <f>'Power Purchased Model'!G160</f>
        <v>324696009.72000003</v>
      </c>
      <c r="C11" s="46">
        <f>'Power Purchased Model'!Q160</f>
        <v>327259418.04849619</v>
      </c>
      <c r="D11" s="19">
        <f t="shared" si="0"/>
        <v>2563408.3284961581</v>
      </c>
      <c r="E11" s="5">
        <f t="shared" si="1"/>
        <v>7.8947946748920642E-3</v>
      </c>
      <c r="F11" s="14">
        <f t="shared" si="2"/>
        <v>1.0527104393798485</v>
      </c>
      <c r="G11" s="6">
        <f t="shared" si="3"/>
        <v>308438101.85000002</v>
      </c>
      <c r="H11" s="32">
        <f>SUMIF(Inputs!A$24:A$143,'Rate Class Energy Model'!A11,Inputs!F$24:F$143)</f>
        <v>198216443.85999998</v>
      </c>
      <c r="I11" s="32">
        <f>SUMIF(Inputs!$A$24:$A$143,'Rate Class Energy Model'!A11,Inputs!$H$24:$H$143)</f>
        <v>51768404.240000002</v>
      </c>
      <c r="J11" s="32">
        <f>SUMIF(Inputs!$A$24:$A$143,'Rate Class Energy Model'!A11,Inputs!$J$24:$J$143)</f>
        <v>56073428.660000011</v>
      </c>
      <c r="K11" s="32">
        <f>SUMIF(Inputs!$A$24:$A$143,'Rate Class Energy Model'!A11,Inputs!$M$24:$M$143)</f>
        <v>402486.00000000006</v>
      </c>
      <c r="L11" s="32">
        <f>SUMIF(Inputs!$A$24:$A$143,'Rate Class Energy Model'!A11,Inputs!$P$24:$P$143)</f>
        <v>87522.479999999981</v>
      </c>
      <c r="M11" s="32">
        <f>SUMIF(Inputs!A$24:A$143,'Rate Class Energy Model'!A11,Inputs!S$24:S$143)</f>
        <v>940008.81</v>
      </c>
      <c r="N11" s="32">
        <f>SUMIF(Inputs!A$24:A$143,'Rate Class Energy Model'!A11,Inputs!V$24:V$143)</f>
        <v>949807.8</v>
      </c>
    </row>
    <row r="12" spans="1:15" x14ac:dyDescent="0.25">
      <c r="A12" s="113">
        <v>2025</v>
      </c>
      <c r="B12" s="46">
        <f>'Power Purchased Model'!G161</f>
        <v>349049038.17999995</v>
      </c>
      <c r="C12" s="46">
        <f>'Power Purchased Model'!Q161</f>
        <v>347316179.43818456</v>
      </c>
      <c r="D12" s="19">
        <f t="shared" si="0"/>
        <v>-1732858.7418153882</v>
      </c>
      <c r="E12" s="5">
        <f t="shared" si="1"/>
        <v>-4.9645137280732912E-3</v>
      </c>
      <c r="F12" s="14">
        <f t="shared" si="2"/>
        <v>1.0508004190327016</v>
      </c>
      <c r="G12" s="6">
        <f t="shared" si="3"/>
        <v>332174437.55999994</v>
      </c>
      <c r="H12" s="32">
        <f>SUMIF(Inputs!A$24:A$143,'Rate Class Energy Model'!A12,Inputs!F$24:F$143)</f>
        <v>216260221.81999999</v>
      </c>
      <c r="I12" s="32">
        <f>SUMIF(Inputs!$A$24:$A$143,'Rate Class Energy Model'!A12,Inputs!$H$24:$H$143)</f>
        <v>47670304.479999997</v>
      </c>
      <c r="J12" s="224">
        <f>SUMIF(Inputs!$A$24:$A$143,'Rate Class Energy Model'!A12,Inputs!$J$24:$J$143)</f>
        <v>65757608.600000009</v>
      </c>
      <c r="K12" s="32">
        <f>SUMIF(Inputs!$A$24:$A$143,'Rate Class Energy Model'!A12,Inputs!$M$24:$M$143)</f>
        <v>425256</v>
      </c>
      <c r="L12" s="32">
        <f>SUMIF(Inputs!$A$24:$A$143,'Rate Class Energy Model'!A12,Inputs!$P$24:$P$143)</f>
        <v>93986.4</v>
      </c>
      <c r="M12" s="32">
        <f>SUMIF(Inputs!A$24:A$143,'Rate Class Energy Model'!A12,Inputs!S$24:S$143)</f>
        <v>990470.21</v>
      </c>
      <c r="N12" s="32">
        <f>SUMIF(Inputs!A$24:A$143,'Rate Class Energy Model'!A12,Inputs!V$24:V$143)</f>
        <v>976590.05000000016</v>
      </c>
      <c r="O12"/>
    </row>
    <row r="13" spans="1:15" x14ac:dyDescent="0.25">
      <c r="A13" s="38">
        <v>2026</v>
      </c>
      <c r="B13" s="6"/>
      <c r="C13" s="12">
        <f>'Power Purchased Model'!Q162</f>
        <v>356159168.01785558</v>
      </c>
      <c r="G13" s="12">
        <f>C13/$F$16</f>
        <v>338149881.46542329</v>
      </c>
      <c r="H13"/>
      <c r="I13"/>
      <c r="J13"/>
      <c r="K13"/>
      <c r="L13"/>
      <c r="M13"/>
      <c r="N13"/>
      <c r="O13"/>
    </row>
    <row r="14" spans="1:15" x14ac:dyDescent="0.25">
      <c r="A14" s="38">
        <v>2027</v>
      </c>
      <c r="B14" s="6"/>
      <c r="C14" s="12">
        <f>'Power Purchased Model'!Q163</f>
        <v>368832355.95986581</v>
      </c>
      <c r="G14" s="12">
        <f>C14/$F$16</f>
        <v>350182246.16413277</v>
      </c>
      <c r="H14"/>
      <c r="I14" s="28"/>
      <c r="J14"/>
      <c r="K14"/>
      <c r="L14"/>
      <c r="M14"/>
      <c r="N14"/>
      <c r="O14"/>
    </row>
    <row r="15" spans="1:15" x14ac:dyDescent="0.25">
      <c r="H15" s="28"/>
      <c r="J15" s="28"/>
      <c r="K15" s="28"/>
      <c r="L15" s="28"/>
      <c r="M15" s="28"/>
      <c r="N15" s="28"/>
      <c r="O15" s="28"/>
    </row>
    <row r="16" spans="1:15" x14ac:dyDescent="0.25">
      <c r="A16" s="11" t="s">
        <v>72</v>
      </c>
      <c r="C16" s="29"/>
      <c r="D16" s="31"/>
      <c r="E16" s="42" t="s">
        <v>209</v>
      </c>
      <c r="F16" s="14">
        <f>AVERAGE(F3:F12)</f>
        <v>1.053258296215827</v>
      </c>
      <c r="H16" s="45"/>
      <c r="I16" s="45"/>
      <c r="J16" s="45"/>
      <c r="K16" s="45"/>
      <c r="L16" s="45"/>
      <c r="M16" s="45"/>
      <c r="N16" s="45"/>
      <c r="O16" s="45"/>
    </row>
    <row r="17" spans="1:15" x14ac:dyDescent="0.25">
      <c r="C17" s="29"/>
      <c r="D17" s="31"/>
      <c r="E17" s="42"/>
      <c r="F17" s="14"/>
    </row>
    <row r="18" spans="1:15" x14ac:dyDescent="0.25">
      <c r="C18" s="29"/>
      <c r="D18" s="31"/>
    </row>
    <row r="19" spans="1:15" x14ac:dyDescent="0.25">
      <c r="A19" s="13" t="s">
        <v>210</v>
      </c>
      <c r="B19" s="9"/>
    </row>
    <row r="20" spans="1:15" x14ac:dyDescent="0.25">
      <c r="A20">
        <v>2025</v>
      </c>
      <c r="B20" s="9"/>
      <c r="H20" s="6">
        <f>H12/'Rate Class Customer Model'!B20</f>
        <v>9555.2953416547007</v>
      </c>
      <c r="I20" s="6">
        <f>I12/'Rate Class Customer Model'!C20</f>
        <v>36664.764373798229</v>
      </c>
      <c r="J20" s="6">
        <f>J12/'Rate Class Customer Model'!D20</f>
        <v>752231.93822688283</v>
      </c>
      <c r="K20" s="6">
        <f>K12/'Rate Class Customer Model'!E20</f>
        <v>6163.130434782609</v>
      </c>
      <c r="L20" s="6">
        <f>L12/'Rate Class Customer Model'!F20</f>
        <v>649.67557603686635</v>
      </c>
      <c r="M20" s="6">
        <f>M12/'Rate Class Customer Model'!G20</f>
        <v>204.31544737249237</v>
      </c>
      <c r="N20" s="6">
        <f>N12/'Rate Class Customer Model'!H20</f>
        <v>976590.05000000016</v>
      </c>
    </row>
    <row r="21" spans="1:15" x14ac:dyDescent="0.25">
      <c r="A21">
        <v>2026</v>
      </c>
      <c r="B21" s="108"/>
      <c r="H21" s="12">
        <f>H20</f>
        <v>9555.2953416547007</v>
      </c>
      <c r="I21" s="12">
        <f t="shared" ref="I21:N22" si="4">I20</f>
        <v>36664.764373798229</v>
      </c>
      <c r="J21" s="12">
        <f t="shared" si="4"/>
        <v>752231.93822688283</v>
      </c>
      <c r="K21" s="12">
        <f t="shared" si="4"/>
        <v>6163.130434782609</v>
      </c>
      <c r="L21" s="12">
        <f t="shared" si="4"/>
        <v>649.67557603686635</v>
      </c>
      <c r="M21" s="12">
        <f t="shared" si="4"/>
        <v>204.31544737249237</v>
      </c>
      <c r="N21" s="12">
        <f t="shared" si="4"/>
        <v>976590.05000000016</v>
      </c>
    </row>
    <row r="22" spans="1:15" x14ac:dyDescent="0.25">
      <c r="A22">
        <v>2027</v>
      </c>
      <c r="H22" s="12">
        <f>H21</f>
        <v>9555.2953416547007</v>
      </c>
      <c r="I22" s="12">
        <f t="shared" si="4"/>
        <v>36664.764373798229</v>
      </c>
      <c r="J22" s="12">
        <f t="shared" si="4"/>
        <v>752231.93822688283</v>
      </c>
      <c r="K22" s="12">
        <f t="shared" si="4"/>
        <v>6163.130434782609</v>
      </c>
      <c r="L22" s="12">
        <f t="shared" si="4"/>
        <v>649.67557603686635</v>
      </c>
      <c r="M22" s="12">
        <f t="shared" si="4"/>
        <v>204.31544737249237</v>
      </c>
      <c r="N22" s="12">
        <f t="shared" si="4"/>
        <v>976590.05000000016</v>
      </c>
    </row>
    <row r="25" spans="1:15" x14ac:dyDescent="0.25">
      <c r="H25"/>
      <c r="I25"/>
      <c r="J25"/>
      <c r="K25"/>
      <c r="L25"/>
      <c r="M25"/>
      <c r="N25"/>
      <c r="O25"/>
    </row>
    <row r="26" spans="1:15" x14ac:dyDescent="0.25">
      <c r="D26" s="6"/>
      <c r="H26" s="15"/>
      <c r="I26" s="15"/>
      <c r="J26" s="15"/>
      <c r="K26" s="15"/>
      <c r="L26" s="15"/>
      <c r="M26" s="15"/>
      <c r="N26" s="15"/>
      <c r="O26" s="15"/>
    </row>
    <row r="27" spans="1:15" x14ac:dyDescent="0.25">
      <c r="A27" s="11" t="s">
        <v>211</v>
      </c>
    </row>
    <row r="28" spans="1:15" x14ac:dyDescent="0.25">
      <c r="A28" s="36">
        <f>A21</f>
        <v>2026</v>
      </c>
      <c r="G28" s="6">
        <f>SUM(H28:N28)</f>
        <v>344400700.82830238</v>
      </c>
      <c r="H28" s="6">
        <f>H21*'Rate Class Customer Model'!B21</f>
        <v>226038022.998979</v>
      </c>
      <c r="I28" s="6">
        <f>I21*'Rate Class Customer Model'!C21</f>
        <v>48993294.5610184</v>
      </c>
      <c r="J28" s="6">
        <f>J21*'Rate Class Customer Model'!D21</f>
        <v>66828959.577930376</v>
      </c>
      <c r="K28" s="6">
        <f>K21*'Rate Class Customer Model'!E21</f>
        <v>421126.80350290932</v>
      </c>
      <c r="L28" s="6">
        <f>L21*'Rate Class Customer Model'!F21</f>
        <v>92555.677010087471</v>
      </c>
      <c r="M28" s="6">
        <f>M21*'Rate Class Customer Model'!G21</f>
        <v>1050151.1598616063</v>
      </c>
      <c r="N28" s="6">
        <f>N21*'Rate Class Customer Model'!H21</f>
        <v>976590.05000000016</v>
      </c>
    </row>
    <row r="29" spans="1:15" x14ac:dyDescent="0.25">
      <c r="A29" s="36">
        <f>A22</f>
        <v>2027</v>
      </c>
      <c r="G29" s="6">
        <f>SUM(H29:N29)</f>
        <v>357126878.77879775</v>
      </c>
      <c r="H29" s="6">
        <f>H22*'Rate Class Customer Model'!B22</f>
        <v>236257909.15822414</v>
      </c>
      <c r="I29" s="6">
        <f>I22*'Rate Class Customer Model'!C22</f>
        <v>50353001.47809577</v>
      </c>
      <c r="J29" s="6">
        <f>J22*'Rate Class Customer Model'!D22</f>
        <v>67917765.462484464</v>
      </c>
      <c r="K29" s="6">
        <f>K22*'Rate Class Customer Model'!E22</f>
        <v>417037.70112256607</v>
      </c>
      <c r="L29" s="6">
        <f>L22*'Rate Class Customer Model'!F22</f>
        <v>91146.733429471031</v>
      </c>
      <c r="M29" s="6">
        <f>M22*'Rate Class Customer Model'!G22</f>
        <v>1113428.1954413117</v>
      </c>
      <c r="N29" s="6">
        <f>N22*'Rate Class Customer Model'!H22</f>
        <v>976590.05000000016</v>
      </c>
    </row>
    <row r="31" spans="1:15" x14ac:dyDescent="0.25">
      <c r="A31" s="36"/>
    </row>
    <row r="33" spans="1:18" x14ac:dyDescent="0.25">
      <c r="A33" s="11" t="s">
        <v>212</v>
      </c>
      <c r="Q33" s="6"/>
    </row>
    <row r="34" spans="1:18" x14ac:dyDescent="0.25">
      <c r="A34" s="36">
        <f>A28</f>
        <v>2026</v>
      </c>
      <c r="G34" s="12">
        <f>G13</f>
        <v>338149881.46542329</v>
      </c>
      <c r="H34" s="6">
        <f>H28+H46</f>
        <v>221726183.0383642</v>
      </c>
      <c r="I34" s="6">
        <f t="shared" ref="I34:N35" si="5">I28+I46</f>
        <v>48058711.774956226</v>
      </c>
      <c r="J34" s="6">
        <f t="shared" si="5"/>
        <v>65824562.961728267</v>
      </c>
      <c r="K34" s="6">
        <f t="shared" si="5"/>
        <v>421126.80350290932</v>
      </c>
      <c r="L34" s="6">
        <f t="shared" si="5"/>
        <v>92555.677010087471</v>
      </c>
      <c r="M34" s="6">
        <f t="shared" si="5"/>
        <v>1050151.1598616063</v>
      </c>
      <c r="N34" s="6">
        <f t="shared" si="5"/>
        <v>976590.05000000016</v>
      </c>
      <c r="P34" s="6">
        <f>SUM(H34:N34)</f>
        <v>338149881.46542329</v>
      </c>
      <c r="Q34" s="6">
        <f>P34-G34</f>
        <v>0</v>
      </c>
    </row>
    <row r="35" spans="1:18" x14ac:dyDescent="0.25">
      <c r="A35" s="36">
        <f>A29</f>
        <v>2027</v>
      </c>
      <c r="G35" s="12">
        <f>G14</f>
        <v>350182246.16413277</v>
      </c>
      <c r="H35" s="6">
        <f>H29+H47</f>
        <v>231433978.41278955</v>
      </c>
      <c r="I35" s="6">
        <f t="shared" si="5"/>
        <v>49324890.322704032</v>
      </c>
      <c r="J35" s="6">
        <f t="shared" si="5"/>
        <v>66825174.748645805</v>
      </c>
      <c r="K35" s="6">
        <f t="shared" si="5"/>
        <v>417037.70112256607</v>
      </c>
      <c r="L35" s="6">
        <f t="shared" si="5"/>
        <v>91146.733429471031</v>
      </c>
      <c r="M35" s="6">
        <f t="shared" si="5"/>
        <v>1113428.1954413117</v>
      </c>
      <c r="N35" s="6">
        <f t="shared" si="5"/>
        <v>976590.05000000016</v>
      </c>
      <c r="P35" s="6">
        <f>SUM(H35:N35)</f>
        <v>350182246.16413277</v>
      </c>
      <c r="Q35" s="6">
        <f>P35-G35</f>
        <v>0</v>
      </c>
    </row>
    <row r="36" spans="1:18" x14ac:dyDescent="0.25">
      <c r="A36" s="36"/>
      <c r="P36" s="6"/>
      <c r="Q36" s="6"/>
      <c r="R36" s="6"/>
    </row>
    <row r="37" spans="1:18" x14ac:dyDescent="0.25">
      <c r="A37" s="36"/>
      <c r="P37" s="6"/>
      <c r="Q37" s="6"/>
      <c r="R37" s="6"/>
    </row>
    <row r="38" spans="1:18" x14ac:dyDescent="0.25">
      <c r="Q38" s="6"/>
    </row>
    <row r="39" spans="1:18" x14ac:dyDescent="0.25">
      <c r="A39" t="s">
        <v>213</v>
      </c>
      <c r="H39" s="40">
        <f>(100%+J39)/2</f>
        <v>0.82499999999999996</v>
      </c>
      <c r="I39" s="41">
        <f>H39</f>
        <v>0.82499999999999996</v>
      </c>
      <c r="J39" s="41">
        <v>0.65</v>
      </c>
      <c r="K39" s="41">
        <v>0</v>
      </c>
      <c r="L39" s="41">
        <v>0</v>
      </c>
      <c r="M39" s="41">
        <v>0</v>
      </c>
      <c r="N39" s="41">
        <v>0</v>
      </c>
      <c r="O39" s="109"/>
    </row>
    <row r="40" spans="1:18" x14ac:dyDescent="0.25">
      <c r="A40">
        <f>A34</f>
        <v>2026</v>
      </c>
      <c r="G40" s="6">
        <f>G34-G28</f>
        <v>-6250819.3628790975</v>
      </c>
      <c r="H40" s="6">
        <f t="shared" ref="H40:J41" si="6">H28*H$39</f>
        <v>186481368.97415766</v>
      </c>
      <c r="I40" s="6">
        <f t="shared" si="6"/>
        <v>40419468.012840174</v>
      </c>
      <c r="J40" s="6">
        <f t="shared" si="6"/>
        <v>43438823.725654744</v>
      </c>
      <c r="K40" s="6">
        <f t="shared" ref="K40:N41" si="7">K28*K$39</f>
        <v>0</v>
      </c>
      <c r="L40" s="6">
        <f t="shared" si="7"/>
        <v>0</v>
      </c>
      <c r="M40" s="6">
        <f t="shared" si="7"/>
        <v>0</v>
      </c>
      <c r="N40" s="6">
        <f t="shared" si="7"/>
        <v>0</v>
      </c>
      <c r="O40" s="109"/>
      <c r="P40" s="6">
        <f>SUM(H40:N40)</f>
        <v>270339660.71265256</v>
      </c>
    </row>
    <row r="41" spans="1:18" x14ac:dyDescent="0.25">
      <c r="A41">
        <f>A35</f>
        <v>2027</v>
      </c>
      <c r="G41" s="6">
        <f>G35-G29</f>
        <v>-6944632.6146649718</v>
      </c>
      <c r="H41" s="6">
        <f t="shared" si="6"/>
        <v>194912775.0555349</v>
      </c>
      <c r="I41" s="6">
        <f t="shared" si="6"/>
        <v>41541226.219429009</v>
      </c>
      <c r="J41" s="6">
        <f t="shared" si="6"/>
        <v>44146547.550614901</v>
      </c>
      <c r="K41" s="6">
        <f t="shared" si="7"/>
        <v>0</v>
      </c>
      <c r="L41" s="6">
        <f t="shared" si="7"/>
        <v>0</v>
      </c>
      <c r="M41" s="6">
        <f t="shared" si="7"/>
        <v>0</v>
      </c>
      <c r="N41" s="6">
        <f t="shared" si="7"/>
        <v>0</v>
      </c>
      <c r="P41" s="6">
        <f>SUM(H41:N41)</f>
        <v>280600548.82557881</v>
      </c>
    </row>
    <row r="42" spans="1:18" x14ac:dyDescent="0.25">
      <c r="P42" s="6"/>
    </row>
    <row r="43" spans="1:18" x14ac:dyDescent="0.25">
      <c r="A43" s="36"/>
      <c r="P43" s="6"/>
    </row>
    <row r="44" spans="1:18" ht="12" customHeight="1" x14ac:dyDescent="0.25"/>
    <row r="45" spans="1:18" x14ac:dyDescent="0.25">
      <c r="A45" t="s">
        <v>214</v>
      </c>
    </row>
    <row r="46" spans="1:18" x14ac:dyDescent="0.25">
      <c r="A46">
        <f>A40</f>
        <v>2026</v>
      </c>
      <c r="G46" s="6">
        <f>SUM(H46:N46)</f>
        <v>-6250819.3628790975</v>
      </c>
      <c r="H46" s="6">
        <f>H40/$P$40*$G$40</f>
        <v>-4311839.9606148144</v>
      </c>
      <c r="I46" s="6">
        <f>I40/$P$40*$G$40</f>
        <v>-934582.78606217389</v>
      </c>
      <c r="J46" s="6">
        <f>J40/$P$40*$G$40</f>
        <v>-1004396.6162021095</v>
      </c>
      <c r="K46" s="6">
        <f t="shared" ref="K46:N46" si="8">K40/$P$40*$G$40</f>
        <v>0</v>
      </c>
      <c r="L46" s="6">
        <f t="shared" si="8"/>
        <v>0</v>
      </c>
      <c r="M46" s="6">
        <f t="shared" si="8"/>
        <v>0</v>
      </c>
      <c r="N46" s="6">
        <f t="shared" si="8"/>
        <v>0</v>
      </c>
    </row>
    <row r="47" spans="1:18" x14ac:dyDescent="0.25">
      <c r="A47">
        <f>A41</f>
        <v>2027</v>
      </c>
      <c r="G47" s="6">
        <f>SUM(H47:N47)</f>
        <v>-6944632.6146649718</v>
      </c>
      <c r="H47" s="6">
        <f>H41/$P$41*$G$41</f>
        <v>-4823930.7454345739</v>
      </c>
      <c r="I47" s="6">
        <f>I41/$P$41*$G$41</f>
        <v>-1028111.1553917407</v>
      </c>
      <c r="J47" s="6">
        <f>J41/$P$41*$G$41</f>
        <v>-1092590.7138386576</v>
      </c>
      <c r="K47" s="6">
        <f t="shared" ref="K47:N47" si="9">K41/$P$41*$G$41</f>
        <v>0</v>
      </c>
      <c r="L47" s="6">
        <f t="shared" si="9"/>
        <v>0</v>
      </c>
      <c r="M47" s="6">
        <f t="shared" si="9"/>
        <v>0</v>
      </c>
      <c r="N47" s="6">
        <f t="shared" si="9"/>
        <v>0</v>
      </c>
    </row>
    <row r="49" spans="1:23" x14ac:dyDescent="0.25">
      <c r="A49" s="36"/>
    </row>
    <row r="50" spans="1:23" x14ac:dyDescent="0.25">
      <c r="G50" s="16"/>
    </row>
    <row r="51" spans="1:23" x14ac:dyDescent="0.25">
      <c r="A51" s="11"/>
    </row>
    <row r="52" spans="1:23" x14ac:dyDescent="0.25">
      <c r="A52" s="11"/>
      <c r="J52" s="6">
        <f>J36</f>
        <v>0</v>
      </c>
      <c r="K52" s="6">
        <f>K36</f>
        <v>0</v>
      </c>
      <c r="L52" s="6">
        <f>SUM(J52:K52)</f>
        <v>0</v>
      </c>
    </row>
    <row r="53" spans="1:23" x14ac:dyDescent="0.25">
      <c r="A53" s="11"/>
      <c r="J53" s="6">
        <f>J42</f>
        <v>0</v>
      </c>
      <c r="K53" s="6">
        <f>K42</f>
        <v>0</v>
      </c>
      <c r="L53" s="6">
        <f>SUM(J53:K53)</f>
        <v>0</v>
      </c>
    </row>
    <row r="54" spans="1:23" x14ac:dyDescent="0.25">
      <c r="L54" s="45" t="e">
        <f>L53/L52</f>
        <v>#DIV/0!</v>
      </c>
    </row>
    <row r="55" spans="1:23" x14ac:dyDescent="0.25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W55"/>
    </row>
    <row r="56" spans="1:23" x14ac:dyDescent="0.25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W56"/>
    </row>
    <row r="57" spans="1:23" x14ac:dyDescent="0.2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W57"/>
    </row>
    <row r="58" spans="1:23" x14ac:dyDescent="0.25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W58"/>
    </row>
    <row r="61" spans="1:23" x14ac:dyDescent="0.2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W61"/>
    </row>
    <row r="62" spans="1:23" x14ac:dyDescent="0.2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W62"/>
    </row>
    <row r="63" spans="1:23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W63"/>
    </row>
    <row r="64" spans="1:23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W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</sheetData>
  <phoneticPr fontId="0" type="noConversion"/>
  <pageMargins left="0.38" right="0.75" top="0.73" bottom="0.74" header="0.5" footer="0.5"/>
  <pageSetup scale="62" orientation="landscape" r:id="rId1"/>
  <headerFooter alignWithMargins="0"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R90"/>
  <sheetViews>
    <sheetView workbookViewId="0">
      <selection activeCell="K19" sqref="K19"/>
    </sheetView>
  </sheetViews>
  <sheetFormatPr defaultRowHeight="13.2" x14ac:dyDescent="0.25"/>
  <cols>
    <col min="1" max="1" width="11" customWidth="1"/>
    <col min="2" max="2" width="15" style="6" customWidth="1"/>
    <col min="3" max="3" width="14.109375" style="6" bestFit="1" customWidth="1"/>
    <col min="4" max="4" width="17.6640625" style="6" bestFit="1" customWidth="1"/>
    <col min="5" max="6" width="17.6640625" style="6" customWidth="1"/>
    <col min="7" max="7" width="12.5546875" style="6" customWidth="1"/>
    <col min="8" max="8" width="11.44140625" style="6" customWidth="1"/>
    <col min="9" max="9" width="11.5546875" customWidth="1"/>
    <col min="10" max="10" width="12.5546875" bestFit="1" customWidth="1"/>
    <col min="11" max="11" width="12.5546875" customWidth="1"/>
    <col min="12" max="12" width="12.5546875" bestFit="1" customWidth="1"/>
    <col min="13" max="13" width="11.5546875" bestFit="1" customWidth="1"/>
    <col min="14" max="16" width="11.5546875" customWidth="1"/>
    <col min="17" max="17" width="10.5546875" bestFit="1" customWidth="1"/>
    <col min="18" max="19" width="9.109375" customWidth="1"/>
  </cols>
  <sheetData>
    <row r="1" spans="1:18" x14ac:dyDescent="0.25">
      <c r="B1" s="247" t="s">
        <v>215</v>
      </c>
      <c r="C1" s="248"/>
      <c r="D1" s="248"/>
      <c r="E1" s="248"/>
      <c r="F1" s="248"/>
      <c r="G1" s="248"/>
      <c r="H1" s="248"/>
      <c r="K1" s="105"/>
    </row>
    <row r="2" spans="1:18" ht="26.4" x14ac:dyDescent="0.25">
      <c r="B2" s="8" t="str">
        <f>'Rate Class Energy Model'!H2</f>
        <v>Residential</v>
      </c>
      <c r="C2" s="8" t="str">
        <f>'Rate Class Energy Model'!I2</f>
        <v>General Service &lt; 50 kW</v>
      </c>
      <c r="D2" s="8" t="str">
        <f>'Rate Class Energy Model'!J2</f>
        <v>General Service &gt;= 50 kW</v>
      </c>
      <c r="E2" s="8" t="str">
        <f>'Rate Class Energy Model'!K2</f>
        <v>Unmetered Scattered Load</v>
      </c>
      <c r="F2" s="8" t="str">
        <f>'Rate Class Energy Model'!L2</f>
        <v>Sentinel Lighting</v>
      </c>
      <c r="G2" s="8" t="str">
        <f>'Rate Class Energy Model'!M2</f>
        <v xml:space="preserve">Street Lighting </v>
      </c>
      <c r="H2" s="8" t="str">
        <f>'Rate Class Energy Model'!N2</f>
        <v>Embedded Distributor</v>
      </c>
      <c r="I2" s="1" t="s">
        <v>74</v>
      </c>
      <c r="K2" s="93" t="s">
        <v>216</v>
      </c>
      <c r="L2" s="118" t="s">
        <v>217</v>
      </c>
      <c r="N2" s="119" t="s">
        <v>218</v>
      </c>
      <c r="O2" s="119"/>
      <c r="P2" s="119">
        <v>2026</v>
      </c>
      <c r="Q2" s="119">
        <v>2027</v>
      </c>
      <c r="R2" s="119"/>
    </row>
    <row r="3" spans="1:18" hidden="1" x14ac:dyDescent="0.25">
      <c r="A3" s="4"/>
      <c r="B3" s="98"/>
      <c r="C3" s="98"/>
      <c r="D3" s="98"/>
      <c r="E3" s="98"/>
      <c r="F3" s="98"/>
      <c r="G3" s="98"/>
      <c r="H3" s="98"/>
    </row>
    <row r="4" spans="1:18" hidden="1" x14ac:dyDescent="0.25">
      <c r="A4" s="4">
        <v>2000</v>
      </c>
      <c r="B4" s="20"/>
      <c r="C4" s="20"/>
      <c r="D4" s="20"/>
      <c r="E4" s="20"/>
      <c r="F4" s="20"/>
      <c r="G4" s="20"/>
      <c r="H4" s="20"/>
    </row>
    <row r="5" spans="1:18" hidden="1" x14ac:dyDescent="0.25">
      <c r="A5" s="4">
        <v>2001</v>
      </c>
      <c r="B5" s="98" t="e">
        <f>(#REF!+#REF!)/2</f>
        <v>#REF!</v>
      </c>
      <c r="C5" s="98" t="e">
        <f>(#REF!+#REF!)/2</f>
        <v>#REF!</v>
      </c>
      <c r="D5" s="98" t="e">
        <f>(#REF!+#REF!)/2</f>
        <v>#REF!</v>
      </c>
      <c r="E5" s="98"/>
      <c r="F5" s="98"/>
      <c r="G5" s="98" t="e">
        <f>(#REF!+#REF!)/2</f>
        <v>#REF!</v>
      </c>
      <c r="H5" s="98" t="e">
        <f>(#REF!+#REF!)/2</f>
        <v>#REF!</v>
      </c>
    </row>
    <row r="6" spans="1:18" hidden="1" x14ac:dyDescent="0.25">
      <c r="A6" s="4">
        <v>2002</v>
      </c>
      <c r="B6" s="98" t="e">
        <f>(#REF!+#REF!)/2</f>
        <v>#REF!</v>
      </c>
      <c r="C6" s="98" t="e">
        <f>(#REF!+#REF!)/2</f>
        <v>#REF!</v>
      </c>
      <c r="D6" s="98" t="e">
        <f>(#REF!+#REF!)/2</f>
        <v>#REF!</v>
      </c>
      <c r="E6" s="98"/>
      <c r="F6" s="98"/>
      <c r="G6" s="98" t="e">
        <f>(#REF!+#REF!)/2</f>
        <v>#REF!</v>
      </c>
      <c r="H6" s="98">
        <v>0</v>
      </c>
    </row>
    <row r="7" spans="1:18" hidden="1" x14ac:dyDescent="0.25">
      <c r="A7" s="4">
        <v>2003</v>
      </c>
      <c r="B7" s="98" t="e">
        <f>(#REF!+#REF!)/2</f>
        <v>#REF!</v>
      </c>
      <c r="C7" s="98" t="e">
        <f>(#REF!+#REF!)/2</f>
        <v>#REF!</v>
      </c>
      <c r="D7" s="98" t="e">
        <f>(#REF!+#REF!)/2</f>
        <v>#REF!</v>
      </c>
      <c r="E7" s="98"/>
      <c r="F7" s="98"/>
      <c r="G7" s="98" t="e">
        <f>(#REF!+#REF!)/2</f>
        <v>#REF!</v>
      </c>
      <c r="H7" s="98" t="e">
        <f>(#REF!+#REF!)/2</f>
        <v>#REF!</v>
      </c>
    </row>
    <row r="8" spans="1:18" hidden="1" x14ac:dyDescent="0.25">
      <c r="A8" s="4">
        <v>2004</v>
      </c>
      <c r="B8" s="98" t="e">
        <f>(#REF!+#REF!)/2</f>
        <v>#REF!</v>
      </c>
      <c r="C8" s="98" t="e">
        <f>(#REF!+#REF!)/2</f>
        <v>#REF!</v>
      </c>
      <c r="D8" s="98" t="e">
        <f>(#REF!+#REF!)/2</f>
        <v>#REF!</v>
      </c>
      <c r="E8" s="98"/>
      <c r="F8" s="98"/>
      <c r="G8" s="98" t="e">
        <f>(#REF!+#REF!)/2</f>
        <v>#REF!</v>
      </c>
      <c r="H8" s="98" t="e">
        <f>(#REF!+#REF!)/2</f>
        <v>#REF!</v>
      </c>
    </row>
    <row r="9" spans="1:18" hidden="1" x14ac:dyDescent="0.25">
      <c r="A9" s="4">
        <v>2005</v>
      </c>
      <c r="B9" s="98" t="e">
        <f>(#REF!+#REF!)/2</f>
        <v>#REF!</v>
      </c>
      <c r="C9" s="98" t="e">
        <f>(#REF!+#REF!)/2</f>
        <v>#REF!</v>
      </c>
      <c r="D9" s="98" t="e">
        <f>(#REF!+#REF!)/2</f>
        <v>#REF!</v>
      </c>
      <c r="E9" s="98"/>
      <c r="F9" s="98"/>
      <c r="G9" s="98" t="e">
        <f>(#REF!+#REF!)/2</f>
        <v>#REF!</v>
      </c>
      <c r="H9" s="98" t="e">
        <f>(#REF!+#REF!)/2</f>
        <v>#REF!</v>
      </c>
    </row>
    <row r="10" spans="1:18" hidden="1" x14ac:dyDescent="0.25">
      <c r="A10" s="4">
        <v>2006</v>
      </c>
      <c r="B10" s="98" t="e">
        <f>(#REF!+#REF!)/2</f>
        <v>#REF!</v>
      </c>
      <c r="C10" s="98" t="e">
        <f>(#REF!+#REF!)/2</f>
        <v>#REF!</v>
      </c>
      <c r="D10" s="98" t="e">
        <f>(#REF!+#REF!)/2</f>
        <v>#REF!</v>
      </c>
      <c r="E10" s="98"/>
      <c r="F10" s="98"/>
      <c r="G10" s="98">
        <v>1</v>
      </c>
      <c r="H10" s="98" t="e">
        <f>(#REF!+#REF!)/2</f>
        <v>#REF!</v>
      </c>
    </row>
    <row r="11" spans="1:18" x14ac:dyDescent="0.25">
      <c r="A11" s="4">
        <v>2016</v>
      </c>
      <c r="B11" s="193">
        <f>Inputs!B5</f>
        <v>15201.583333333334</v>
      </c>
      <c r="C11" s="193">
        <f>Inputs!C5</f>
        <v>1016.25</v>
      </c>
      <c r="D11" s="193">
        <f>Inputs!D5</f>
        <v>75.583333333333329</v>
      </c>
      <c r="E11" s="193">
        <f>Inputs!E5</f>
        <v>75.333333333333329</v>
      </c>
      <c r="F11" s="193">
        <f>Inputs!F5</f>
        <v>166.08333333333334</v>
      </c>
      <c r="G11" s="193">
        <f>Inputs!G5</f>
        <v>2863.1666666666665</v>
      </c>
      <c r="H11" s="193">
        <f>Inputs!H5</f>
        <v>1</v>
      </c>
      <c r="I11" s="192">
        <f>SUM(B11:H11)</f>
        <v>19399.000000000004</v>
      </c>
      <c r="K11" s="6">
        <f>B11+C11+D11+H11</f>
        <v>16294.416666666668</v>
      </c>
      <c r="L11" s="6"/>
      <c r="N11" s="99">
        <f>Inputs!C143</f>
        <v>24347</v>
      </c>
      <c r="P11" s="80">
        <v>4.5670294762411197E-3</v>
      </c>
      <c r="Q11" s="80">
        <v>2.810480811233348E-3</v>
      </c>
    </row>
    <row r="12" spans="1:18" x14ac:dyDescent="0.25">
      <c r="A12" s="4">
        <v>2017</v>
      </c>
      <c r="B12" s="193">
        <f>Inputs!B6</f>
        <v>15631.666666666666</v>
      </c>
      <c r="C12" s="193">
        <f>Inputs!C6</f>
        <v>1030.3333333333333</v>
      </c>
      <c r="D12" s="193">
        <f>Inputs!D6</f>
        <v>86.666666666666671</v>
      </c>
      <c r="E12" s="193">
        <f>Inputs!E6</f>
        <v>73.5</v>
      </c>
      <c r="F12" s="193">
        <f>Inputs!F6</f>
        <v>161.83333333333334</v>
      </c>
      <c r="G12" s="193">
        <f>Inputs!G6</f>
        <v>2973.25</v>
      </c>
      <c r="H12" s="193">
        <f>Inputs!H6</f>
        <v>1</v>
      </c>
      <c r="I12" s="192">
        <f t="shared" ref="I12:I22" si="0">SUM(B12:H12)</f>
        <v>19958.25</v>
      </c>
      <c r="K12" s="6">
        <f t="shared" ref="K12:K22" si="1">B12+C12+D12+H12</f>
        <v>16749.666666666668</v>
      </c>
      <c r="L12" s="6"/>
      <c r="O12" s="79" t="s">
        <v>219</v>
      </c>
      <c r="P12" s="78">
        <f>N11*(1+$P$11)</f>
        <v>24458.193466658046</v>
      </c>
      <c r="Q12" s="78">
        <f>P23*(1+$Q$11)</f>
        <v>25787.625996666535</v>
      </c>
      <c r="R12" s="78"/>
    </row>
    <row r="13" spans="1:18" x14ac:dyDescent="0.25">
      <c r="A13" s="4">
        <v>2018</v>
      </c>
      <c r="B13" s="193">
        <f>Inputs!B7</f>
        <v>16490.666666666668</v>
      </c>
      <c r="C13" s="193">
        <f>Inputs!C7</f>
        <v>1082</v>
      </c>
      <c r="D13" s="193">
        <f>Inputs!D7</f>
        <v>91</v>
      </c>
      <c r="E13" s="193">
        <f>Inputs!E7</f>
        <v>74</v>
      </c>
      <c r="F13" s="193">
        <f>Inputs!F7</f>
        <v>161.5</v>
      </c>
      <c r="G13" s="193">
        <f>Inputs!G7</f>
        <v>3097.25</v>
      </c>
      <c r="H13" s="193">
        <f>Inputs!H7</f>
        <v>1</v>
      </c>
      <c r="I13" s="192">
        <f t="shared" si="0"/>
        <v>20997.416666666668</v>
      </c>
      <c r="K13" s="6">
        <f t="shared" si="1"/>
        <v>17664.666666666668</v>
      </c>
      <c r="L13" s="6"/>
      <c r="O13" s="79" t="s">
        <v>220</v>
      </c>
      <c r="P13" s="78">
        <f>P12*(1+$P$11)</f>
        <v>24569.894757155882</v>
      </c>
      <c r="Q13" s="78">
        <f>Q12*(1+$Q$11)</f>
        <v>25860.101624697425</v>
      </c>
      <c r="R13" s="78"/>
    </row>
    <row r="14" spans="1:18" x14ac:dyDescent="0.25">
      <c r="A14" s="4">
        <v>2019</v>
      </c>
      <c r="B14" s="193">
        <f>Inputs!B8</f>
        <v>17294.333333333332</v>
      </c>
      <c r="C14" s="193">
        <f>Inputs!C8</f>
        <v>1121.0833333333333</v>
      </c>
      <c r="D14" s="193">
        <f>Inputs!D8</f>
        <v>85.083333333333329</v>
      </c>
      <c r="E14" s="193">
        <f>Inputs!E8</f>
        <v>74.5</v>
      </c>
      <c r="F14" s="193">
        <f>Inputs!F8</f>
        <v>159.91666666666666</v>
      </c>
      <c r="G14" s="193">
        <f>Inputs!G8</f>
        <v>3306.75</v>
      </c>
      <c r="H14" s="193">
        <f>Inputs!H8</f>
        <v>1</v>
      </c>
      <c r="I14" s="192">
        <f t="shared" si="0"/>
        <v>22042.666666666664</v>
      </c>
      <c r="K14" s="6">
        <f t="shared" si="1"/>
        <v>18501.499999999996</v>
      </c>
      <c r="L14" s="6"/>
      <c r="O14" s="79" t="s">
        <v>221</v>
      </c>
      <c r="P14" s="78">
        <f t="shared" ref="P14:P23" si="2">P13*(1+$P$11)</f>
        <v>24682.106190739956</v>
      </c>
      <c r="Q14" s="78">
        <f t="shared" ref="Q14:Q23" si="3">Q13*(1+$Q$11)</f>
        <v>25932.78094409018</v>
      </c>
      <c r="R14" s="78"/>
    </row>
    <row r="15" spans="1:18" x14ac:dyDescent="0.25">
      <c r="A15" s="4">
        <v>2020</v>
      </c>
      <c r="B15" s="193">
        <f>Inputs!B9</f>
        <v>17582.833333333332</v>
      </c>
      <c r="C15" s="193">
        <f>Inputs!C9</f>
        <v>1153.9166666666667</v>
      </c>
      <c r="D15" s="193">
        <f>Inputs!D9</f>
        <v>80.083333333333329</v>
      </c>
      <c r="E15" s="193">
        <f>Inputs!E9</f>
        <v>73.166666666666671</v>
      </c>
      <c r="F15" s="193">
        <f>Inputs!F9</f>
        <v>155.08333333333334</v>
      </c>
      <c r="G15" s="193">
        <f>Inputs!G9</f>
        <v>3414.4166666666665</v>
      </c>
      <c r="H15" s="193">
        <f>Inputs!H9</f>
        <v>1</v>
      </c>
      <c r="I15" s="192">
        <f t="shared" si="0"/>
        <v>22460.5</v>
      </c>
      <c r="K15" s="6">
        <f t="shared" si="1"/>
        <v>18817.833333333332</v>
      </c>
      <c r="L15" s="6"/>
      <c r="O15" s="79" t="s">
        <v>222</v>
      </c>
      <c r="P15" s="78">
        <f t="shared" si="2"/>
        <v>24794.830097248781</v>
      </c>
      <c r="Q15" s="78">
        <f t="shared" si="3"/>
        <v>26005.664527315461</v>
      </c>
      <c r="R15" s="78"/>
    </row>
    <row r="16" spans="1:18" x14ac:dyDescent="0.25">
      <c r="A16" s="4">
        <v>2021</v>
      </c>
      <c r="B16" s="193">
        <f>Inputs!B10</f>
        <v>18253.333333333332</v>
      </c>
      <c r="C16" s="193">
        <f>Inputs!C10</f>
        <v>1191.25</v>
      </c>
      <c r="D16" s="193">
        <f>Inputs!D10</f>
        <v>77.75</v>
      </c>
      <c r="E16" s="193">
        <f>Inputs!E10</f>
        <v>71</v>
      </c>
      <c r="F16" s="193">
        <f>Inputs!F10</f>
        <v>152.75</v>
      </c>
      <c r="G16" s="193">
        <f>Inputs!G10</f>
        <v>3596.5833333333335</v>
      </c>
      <c r="H16" s="193">
        <f>Inputs!H10</f>
        <v>1</v>
      </c>
      <c r="I16" s="192">
        <f t="shared" si="0"/>
        <v>23343.666666666664</v>
      </c>
      <c r="K16" s="6">
        <f t="shared" si="1"/>
        <v>19523.333333333332</v>
      </c>
      <c r="L16" s="6"/>
      <c r="O16" s="79" t="s">
        <v>139</v>
      </c>
      <c r="P16" s="78">
        <f t="shared" si="2"/>
        <v>24908.068817161311</v>
      </c>
      <c r="Q16" s="78">
        <f t="shared" si="3"/>
        <v>26078.75294845285</v>
      </c>
      <c r="R16" s="78"/>
    </row>
    <row r="17" spans="1:18" x14ac:dyDescent="0.25">
      <c r="A17" s="4">
        <v>2022</v>
      </c>
      <c r="B17" s="193">
        <f>Inputs!B11</f>
        <v>18754.666666666668</v>
      </c>
      <c r="C17" s="193">
        <f>Inputs!C11</f>
        <v>1246.1666666666667</v>
      </c>
      <c r="D17" s="193">
        <f>Inputs!D11</f>
        <v>78.25</v>
      </c>
      <c r="E17" s="193">
        <f>Inputs!E11</f>
        <v>71.833333333333329</v>
      </c>
      <c r="F17" s="193">
        <f>Inputs!F11</f>
        <v>150.66666666666666</v>
      </c>
      <c r="G17" s="193">
        <f>Inputs!G11</f>
        <v>4014</v>
      </c>
      <c r="H17" s="193">
        <f>Inputs!H11</f>
        <v>1</v>
      </c>
      <c r="I17" s="192">
        <f t="shared" si="0"/>
        <v>24316.583333333336</v>
      </c>
      <c r="K17" s="6">
        <f t="shared" si="1"/>
        <v>20080.083333333336</v>
      </c>
      <c r="L17" s="6"/>
      <c r="O17" s="79" t="s">
        <v>223</v>
      </c>
      <c r="P17" s="78">
        <f t="shared" si="2"/>
        <v>25021.824701645532</v>
      </c>
      <c r="Q17" s="78">
        <f t="shared" si="3"/>
        <v>26152.046783195368</v>
      </c>
      <c r="R17" s="78"/>
    </row>
    <row r="18" spans="1:18" x14ac:dyDescent="0.25">
      <c r="A18" s="4">
        <v>2023</v>
      </c>
      <c r="B18" s="193">
        <f>Inputs!B12</f>
        <v>20106.333333333332</v>
      </c>
      <c r="C18" s="193">
        <f>Inputs!C12</f>
        <v>1271.5833333333333</v>
      </c>
      <c r="D18" s="193">
        <f>Inputs!D12</f>
        <v>84.25</v>
      </c>
      <c r="E18" s="193">
        <f>Inputs!E12</f>
        <v>74.833333333333329</v>
      </c>
      <c r="F18" s="193">
        <f>Inputs!F12</f>
        <v>151</v>
      </c>
      <c r="G18" s="193">
        <f>Inputs!G12</f>
        <v>4299.25</v>
      </c>
      <c r="H18" s="193">
        <f>Inputs!H12</f>
        <v>1</v>
      </c>
      <c r="I18" s="192">
        <f t="shared" si="0"/>
        <v>25988.249999999996</v>
      </c>
      <c r="K18" s="6">
        <f t="shared" si="1"/>
        <v>21463.166666666664</v>
      </c>
      <c r="L18" s="6"/>
      <c r="O18" s="79" t="s">
        <v>224</v>
      </c>
      <c r="P18" s="78">
        <f t="shared" si="2"/>
        <v>25136.100112607288</v>
      </c>
      <c r="Q18" s="78">
        <f t="shared" si="3"/>
        <v>26225.546608854012</v>
      </c>
      <c r="R18" s="78"/>
    </row>
    <row r="19" spans="1:18" x14ac:dyDescent="0.25">
      <c r="A19" s="4">
        <v>2024</v>
      </c>
      <c r="B19" s="193">
        <f>Inputs!B13</f>
        <v>21734.083333333332</v>
      </c>
      <c r="C19" s="193">
        <f>Inputs!C13</f>
        <v>1289.6666666666667</v>
      </c>
      <c r="D19" s="193">
        <f>Inputs!D13</f>
        <v>83.416666666666671</v>
      </c>
      <c r="E19" s="193">
        <f>Inputs!E13</f>
        <v>70.166666666666671</v>
      </c>
      <c r="F19" s="193">
        <f>Inputs!F13</f>
        <v>148.58333333333334</v>
      </c>
      <c r="G19" s="193">
        <f>Inputs!G13</f>
        <v>4588.5</v>
      </c>
      <c r="H19" s="193">
        <f>Inputs!H13</f>
        <v>1</v>
      </c>
      <c r="I19" s="192">
        <f t="shared" si="0"/>
        <v>27915.416666666668</v>
      </c>
      <c r="K19" s="6">
        <f>B19+C19+D19+H19</f>
        <v>23108.166666666668</v>
      </c>
      <c r="L19" s="45"/>
      <c r="O19" s="79" t="s">
        <v>225</v>
      </c>
      <c r="P19" s="78">
        <f t="shared" si="2"/>
        <v>25250.897422739316</v>
      </c>
      <c r="Q19" s="78">
        <f t="shared" si="3"/>
        <v>26299.253004362301</v>
      </c>
      <c r="R19" s="78"/>
    </row>
    <row r="20" spans="1:18" x14ac:dyDescent="0.25">
      <c r="A20" s="4">
        <v>2025</v>
      </c>
      <c r="B20" s="193">
        <f>Inputs!B14</f>
        <v>22632.5</v>
      </c>
      <c r="C20" s="193">
        <f>Inputs!C14</f>
        <v>1300.1666666666667</v>
      </c>
      <c r="D20" s="193">
        <f>Inputs!D14</f>
        <v>87.416666666666671</v>
      </c>
      <c r="E20" s="193">
        <f>Inputs!E14</f>
        <v>69</v>
      </c>
      <c r="F20" s="193">
        <f>Inputs!F14</f>
        <v>144.66666666666666</v>
      </c>
      <c r="G20" s="193">
        <f>Inputs!G14</f>
        <v>4847.75</v>
      </c>
      <c r="H20" s="193">
        <f>Inputs!H14</f>
        <v>1</v>
      </c>
      <c r="I20" s="192">
        <f t="shared" si="0"/>
        <v>29082.500000000004</v>
      </c>
      <c r="K20" s="6">
        <f t="shared" si="1"/>
        <v>24021.083333333336</v>
      </c>
      <c r="L20" s="45"/>
      <c r="O20" s="79" t="s">
        <v>226</v>
      </c>
      <c r="P20" s="78">
        <f t="shared" si="2"/>
        <v>25366.21901557051</v>
      </c>
      <c r="Q20" s="78">
        <f t="shared" si="3"/>
        <v>26373.166550280828</v>
      </c>
      <c r="R20" s="78"/>
    </row>
    <row r="21" spans="1:18" x14ac:dyDescent="0.25">
      <c r="A21" s="4">
        <v>2026</v>
      </c>
      <c r="B21" s="194">
        <f>B20*$B$38</f>
        <v>23655.786128724281</v>
      </c>
      <c r="C21" s="194">
        <f>C20*$C$38</f>
        <v>1336.2500863644038</v>
      </c>
      <c r="D21" s="194">
        <f>D20*$D$38</f>
        <v>88.84089624731395</v>
      </c>
      <c r="E21" s="194">
        <f>E20*$E$38</f>
        <v>68.330016370611446</v>
      </c>
      <c r="F21" s="194">
        <f>F20*$F$38</f>
        <v>142.46445522039346</v>
      </c>
      <c r="G21" s="194">
        <f>G20*$G$38</f>
        <v>5139.8519953660216</v>
      </c>
      <c r="H21" s="194">
        <f>H20*$H$38</f>
        <v>1</v>
      </c>
      <c r="I21" s="192">
        <f t="shared" si="0"/>
        <v>30432.523578293029</v>
      </c>
      <c r="K21" s="6">
        <f t="shared" si="1"/>
        <v>25081.877111336002</v>
      </c>
      <c r="L21" s="45"/>
      <c r="O21" s="79" t="s">
        <v>227</v>
      </c>
      <c r="P21" s="78">
        <f t="shared" si="2"/>
        <v>25482.067285515412</v>
      </c>
      <c r="Q21" s="78">
        <f t="shared" si="3"/>
        <v>26447.287828801851</v>
      </c>
      <c r="R21" s="78"/>
    </row>
    <row r="22" spans="1:18" x14ac:dyDescent="0.25">
      <c r="A22" s="4">
        <v>2027</v>
      </c>
      <c r="B22" s="194">
        <f>B21*$B$38</f>
        <v>24725.338224586067</v>
      </c>
      <c r="C22" s="194">
        <f>C21*$C$38</f>
        <v>1373.3349262726908</v>
      </c>
      <c r="D22" s="194">
        <f>D21*$D$38</f>
        <v>90.28832998313824</v>
      </c>
      <c r="E22" s="194">
        <f>E21*$E$38</f>
        <v>67.666538220406196</v>
      </c>
      <c r="F22" s="194">
        <f>F21*$F$38</f>
        <v>140.29576728970159</v>
      </c>
      <c r="G22" s="194">
        <f>G21*$G$38</f>
        <v>5449.5546458187964</v>
      </c>
      <c r="H22" s="194">
        <f>H21*$H$38</f>
        <v>1</v>
      </c>
      <c r="I22" s="192">
        <f t="shared" si="0"/>
        <v>31847.478432170799</v>
      </c>
      <c r="K22" s="6">
        <f t="shared" si="1"/>
        <v>26189.961480841896</v>
      </c>
      <c r="L22" s="45"/>
      <c r="O22" s="79" t="s">
        <v>228</v>
      </c>
      <c r="P22" s="78">
        <f t="shared" si="2"/>
        <v>25598.444637923923</v>
      </c>
      <c r="Q22" s="78">
        <f t="shared" si="3"/>
        <v>26521.617423753862</v>
      </c>
      <c r="R22" s="78"/>
    </row>
    <row r="23" spans="1:18" ht="13.8" thickBot="1" x14ac:dyDescent="0.3">
      <c r="A23" s="11"/>
      <c r="O23" s="100" t="s">
        <v>229</v>
      </c>
      <c r="P23" s="78">
        <f t="shared" si="2"/>
        <v>25715.353489131252</v>
      </c>
      <c r="Q23" s="78">
        <f t="shared" si="3"/>
        <v>26596.15592060619</v>
      </c>
      <c r="R23" s="78"/>
    </row>
    <row r="24" spans="1:18" ht="13.8" thickTop="1" x14ac:dyDescent="0.25">
      <c r="A24" s="11" t="s">
        <v>230</v>
      </c>
      <c r="B24" s="5"/>
      <c r="C24" s="5"/>
      <c r="D24" s="5"/>
      <c r="E24" s="5"/>
      <c r="F24" s="5"/>
      <c r="G24" s="5"/>
      <c r="H24" s="14"/>
      <c r="O24" s="79" t="s">
        <v>72</v>
      </c>
      <c r="P24" s="78">
        <f>AVERAGE(P12:P23)</f>
        <v>25081.999999508102</v>
      </c>
      <c r="Q24" s="78">
        <f>AVERAGE(Q12:Q23)</f>
        <v>26190.000013423069</v>
      </c>
      <c r="R24" s="78"/>
    </row>
    <row r="25" spans="1:18" x14ac:dyDescent="0.25">
      <c r="A25" s="4"/>
      <c r="B25" s="14"/>
      <c r="C25" s="14"/>
      <c r="D25" s="14"/>
      <c r="E25" s="14"/>
      <c r="F25" s="14"/>
      <c r="G25" s="14"/>
      <c r="H25" s="14"/>
      <c r="P25" s="6">
        <f>K21</f>
        <v>25081.877111336002</v>
      </c>
      <c r="Q25" s="6">
        <f>K22</f>
        <v>26189.961480841896</v>
      </c>
      <c r="R25" s="6"/>
    </row>
    <row r="26" spans="1:18" x14ac:dyDescent="0.25">
      <c r="A26" s="4">
        <f t="shared" ref="A26:A32" si="4">+A11</f>
        <v>2016</v>
      </c>
      <c r="B26" s="14"/>
      <c r="C26" s="14"/>
      <c r="D26" s="14"/>
      <c r="E26" s="14"/>
      <c r="F26" s="14"/>
      <c r="G26" s="14"/>
      <c r="H26" s="14"/>
      <c r="P26" s="6">
        <f>P24-P25</f>
        <v>0.12288817209991976</v>
      </c>
      <c r="Q26" s="6">
        <f>Q24-Q25</f>
        <v>3.8532581173058134E-2</v>
      </c>
      <c r="R26" s="6"/>
    </row>
    <row r="27" spans="1:18" x14ac:dyDescent="0.25">
      <c r="A27" s="4">
        <f t="shared" si="4"/>
        <v>2017</v>
      </c>
      <c r="B27" s="14">
        <f>B12/B11</f>
        <v>1.0282920090560741</v>
      </c>
      <c r="C27" s="14">
        <f t="shared" ref="C27:H27" si="5">C12/C11</f>
        <v>1.0138581385813858</v>
      </c>
      <c r="D27" s="14">
        <f t="shared" si="5"/>
        <v>1.1466372657111357</v>
      </c>
      <c r="E27" s="14">
        <f t="shared" si="5"/>
        <v>0.97566371681415931</v>
      </c>
      <c r="F27" s="14">
        <f t="shared" si="5"/>
        <v>0.97441043652784742</v>
      </c>
      <c r="G27" s="14">
        <f t="shared" si="5"/>
        <v>1.0384481052447756</v>
      </c>
      <c r="H27" s="14">
        <f t="shared" si="5"/>
        <v>1</v>
      </c>
      <c r="J27" s="14">
        <f>(I20-I19)/I19</f>
        <v>4.1807842142185553E-2</v>
      </c>
      <c r="K27">
        <v>3.5999999999999997E-2</v>
      </c>
      <c r="L27" s="102">
        <f>J27+K27</f>
        <v>7.7807842142185557E-2</v>
      </c>
    </row>
    <row r="28" spans="1:18" x14ac:dyDescent="0.25">
      <c r="A28" s="4">
        <f t="shared" si="4"/>
        <v>2018</v>
      </c>
      <c r="B28" s="14">
        <f>B13/B12</f>
        <v>1.0549525535771405</v>
      </c>
      <c r="C28" s="14">
        <f t="shared" ref="B28:H35" si="6">C13/C12</f>
        <v>1.0501455839534133</v>
      </c>
      <c r="D28" s="14">
        <f t="shared" si="6"/>
        <v>1.05</v>
      </c>
      <c r="E28" s="14">
        <f t="shared" si="6"/>
        <v>1.0068027210884354</v>
      </c>
      <c r="F28" s="14">
        <f t="shared" si="6"/>
        <v>0.99794026776519051</v>
      </c>
      <c r="G28" s="14">
        <f t="shared" si="6"/>
        <v>1.0417052047422855</v>
      </c>
      <c r="H28" s="14">
        <f t="shared" si="6"/>
        <v>1</v>
      </c>
      <c r="J28" s="14">
        <f t="shared" ref="J28:J29" si="7">(I21-I20)/I20</f>
        <v>4.6420478923511553E-2</v>
      </c>
      <c r="K28">
        <v>3.6999999999999998E-2</v>
      </c>
      <c r="L28" s="102">
        <f>J28+K28</f>
        <v>8.3420478923511551E-2</v>
      </c>
    </row>
    <row r="29" spans="1:18" x14ac:dyDescent="0.25">
      <c r="A29" s="4">
        <f t="shared" si="4"/>
        <v>2019</v>
      </c>
      <c r="B29" s="14">
        <f>B14/B13</f>
        <v>1.0487346377749027</v>
      </c>
      <c r="C29" s="14">
        <f t="shared" si="6"/>
        <v>1.0361213801601972</v>
      </c>
      <c r="D29" s="14">
        <f t="shared" si="6"/>
        <v>0.93498168498168488</v>
      </c>
      <c r="E29" s="14">
        <f t="shared" si="6"/>
        <v>1.0067567567567568</v>
      </c>
      <c r="F29" s="14">
        <f t="shared" si="6"/>
        <v>0.99019607843137247</v>
      </c>
      <c r="G29" s="123">
        <f t="shared" si="6"/>
        <v>1.0676406489627897</v>
      </c>
      <c r="H29" s="14">
        <f t="shared" si="6"/>
        <v>1</v>
      </c>
      <c r="J29" s="14">
        <f t="shared" si="7"/>
        <v>4.6494824861880092E-2</v>
      </c>
    </row>
    <row r="30" spans="1:18" x14ac:dyDescent="0.25">
      <c r="A30" s="4">
        <f t="shared" si="4"/>
        <v>2020</v>
      </c>
      <c r="B30" s="123">
        <f>B15/B14</f>
        <v>1.0166817647398956</v>
      </c>
      <c r="C30" s="14">
        <f t="shared" si="6"/>
        <v>1.0292871478480639</v>
      </c>
      <c r="D30" s="14">
        <f t="shared" si="6"/>
        <v>0.94123408423114596</v>
      </c>
      <c r="E30" s="14">
        <f t="shared" si="6"/>
        <v>0.98210290827740498</v>
      </c>
      <c r="F30" s="14">
        <f t="shared" si="6"/>
        <v>0.96977592496091725</v>
      </c>
      <c r="G30" s="123">
        <f t="shared" si="6"/>
        <v>1.0325596633149365</v>
      </c>
      <c r="H30" s="14">
        <f t="shared" si="6"/>
        <v>1</v>
      </c>
    </row>
    <row r="31" spans="1:18" x14ac:dyDescent="0.25">
      <c r="A31" s="4">
        <f t="shared" si="4"/>
        <v>2021</v>
      </c>
      <c r="B31" s="123">
        <f t="shared" si="6"/>
        <v>1.0381337857948567</v>
      </c>
      <c r="C31" s="14">
        <f t="shared" si="6"/>
        <v>1.0323535783924316</v>
      </c>
      <c r="D31" s="14">
        <f t="shared" si="6"/>
        <v>0.97086368366285125</v>
      </c>
      <c r="E31" s="14">
        <f t="shared" si="6"/>
        <v>0.97038724373576302</v>
      </c>
      <c r="F31" s="14">
        <f t="shared" si="6"/>
        <v>0.98495432563138097</v>
      </c>
      <c r="G31" s="123">
        <f t="shared" si="6"/>
        <v>1.0533522075513144</v>
      </c>
      <c r="H31" s="14">
        <f t="shared" si="6"/>
        <v>1</v>
      </c>
      <c r="J31" s="102">
        <f>AVERAGE(J27:J29)</f>
        <v>4.4907715309192402E-2</v>
      </c>
      <c r="K31">
        <f>AVERAGE(K27:K28)</f>
        <v>3.6499999999999998E-2</v>
      </c>
      <c r="L31" s="102">
        <f>J31+K31</f>
        <v>8.1407715309192399E-2</v>
      </c>
    </row>
    <row r="32" spans="1:18" x14ac:dyDescent="0.25">
      <c r="A32" s="4">
        <f t="shared" si="4"/>
        <v>2022</v>
      </c>
      <c r="B32" s="123">
        <f t="shared" si="6"/>
        <v>1.0274653031409791</v>
      </c>
      <c r="C32" s="14">
        <f t="shared" si="6"/>
        <v>1.0461000349772649</v>
      </c>
      <c r="D32" s="14">
        <f t="shared" si="6"/>
        <v>1.0064308681672025</v>
      </c>
      <c r="E32" s="14">
        <f t="shared" si="6"/>
        <v>1.0117370892018778</v>
      </c>
      <c r="F32" s="14">
        <f t="shared" si="6"/>
        <v>0.98636115657392243</v>
      </c>
      <c r="G32" s="123">
        <f t="shared" si="6"/>
        <v>1.1160592228735604</v>
      </c>
      <c r="H32" s="14">
        <f t="shared" si="6"/>
        <v>1</v>
      </c>
    </row>
    <row r="33" spans="1:9" x14ac:dyDescent="0.25">
      <c r="A33" s="4">
        <f t="shared" ref="A33:A35" si="8">+A18</f>
        <v>2023</v>
      </c>
      <c r="B33" s="123">
        <f t="shared" si="6"/>
        <v>1.072070951229916</v>
      </c>
      <c r="C33" s="14">
        <f t="shared" si="6"/>
        <v>1.0203958807008158</v>
      </c>
      <c r="D33" s="14">
        <f t="shared" si="6"/>
        <v>1.0766773162939298</v>
      </c>
      <c r="E33" s="14">
        <f t="shared" si="6"/>
        <v>1.0417633410672853</v>
      </c>
      <c r="F33" s="14">
        <f t="shared" si="6"/>
        <v>1.002212389380531</v>
      </c>
      <c r="G33" s="123">
        <f t="shared" si="6"/>
        <v>1.0710637767812656</v>
      </c>
      <c r="H33" s="14">
        <f t="shared" si="6"/>
        <v>1</v>
      </c>
    </row>
    <row r="34" spans="1:9" x14ac:dyDescent="0.25">
      <c r="A34" s="4">
        <f t="shared" si="8"/>
        <v>2024</v>
      </c>
      <c r="B34" s="123">
        <f>B19/B18</f>
        <v>1.0809570782008986</v>
      </c>
      <c r="C34" s="14">
        <f t="shared" si="6"/>
        <v>1.0142211154073006</v>
      </c>
      <c r="D34" s="14">
        <f t="shared" si="6"/>
        <v>0.99010880316518302</v>
      </c>
      <c r="E34" s="14">
        <f t="shared" si="6"/>
        <v>0.93763919821826291</v>
      </c>
      <c r="F34" s="14">
        <f t="shared" si="6"/>
        <v>0.98399558498896256</v>
      </c>
      <c r="G34" s="123">
        <f t="shared" si="6"/>
        <v>1.0672791766005698</v>
      </c>
      <c r="H34" s="14">
        <f t="shared" si="6"/>
        <v>1</v>
      </c>
    </row>
    <row r="35" spans="1:9" x14ac:dyDescent="0.25">
      <c r="A35" s="4">
        <f t="shared" si="8"/>
        <v>2025</v>
      </c>
      <c r="B35" s="123">
        <f>B20/B19</f>
        <v>1.0413367636853024</v>
      </c>
      <c r="C35" s="14">
        <f t="shared" si="6"/>
        <v>1.008141638666322</v>
      </c>
      <c r="D35" s="14">
        <f t="shared" si="6"/>
        <v>1.0479520479520479</v>
      </c>
      <c r="E35" s="14">
        <f t="shared" si="6"/>
        <v>0.98337292161520184</v>
      </c>
      <c r="F35" s="14">
        <f t="shared" si="6"/>
        <v>0.97363993269770033</v>
      </c>
      <c r="G35" s="123">
        <f t="shared" si="6"/>
        <v>1.0564999455159638</v>
      </c>
      <c r="H35" s="14">
        <f t="shared" si="6"/>
        <v>1</v>
      </c>
      <c r="I35" s="105"/>
    </row>
    <row r="36" spans="1:9" x14ac:dyDescent="0.25">
      <c r="A36" s="4"/>
      <c r="B36" s="14"/>
      <c r="C36" s="14"/>
      <c r="D36" s="14"/>
      <c r="E36" s="14"/>
      <c r="F36" s="14"/>
      <c r="G36" s="14"/>
      <c r="H36" s="14"/>
    </row>
    <row r="38" spans="1:9" x14ac:dyDescent="0.25">
      <c r="A38" t="s">
        <v>231</v>
      </c>
      <c r="B38" s="43">
        <f>B40</f>
        <v>1.0452131284093353</v>
      </c>
      <c r="C38" s="43">
        <f t="shared" ref="C38:H38" si="9">C40</f>
        <v>1.0277529186240768</v>
      </c>
      <c r="D38" s="43">
        <f t="shared" si="9"/>
        <v>1.0162924260893873</v>
      </c>
      <c r="E38" s="43">
        <f t="shared" si="9"/>
        <v>0.99029009232770204</v>
      </c>
      <c r="F38" s="43">
        <f t="shared" si="9"/>
        <v>0.98477734023313457</v>
      </c>
      <c r="G38" s="43">
        <f t="shared" si="9"/>
        <v>1.0602551689682886</v>
      </c>
      <c r="H38" s="43">
        <f t="shared" si="9"/>
        <v>1</v>
      </c>
      <c r="I38" s="36" t="s">
        <v>232</v>
      </c>
    </row>
    <row r="39" spans="1:9" x14ac:dyDescent="0.25">
      <c r="B39" s="15"/>
      <c r="C39" s="15"/>
      <c r="D39" s="15"/>
      <c r="E39" s="15"/>
      <c r="F39" s="15"/>
      <c r="G39" s="15"/>
      <c r="H39" s="15"/>
    </row>
    <row r="40" spans="1:9" x14ac:dyDescent="0.25">
      <c r="A40" t="s">
        <v>233</v>
      </c>
      <c r="B40" s="15">
        <f>IF(B17="",0,GEOMEAN(B27:B35))</f>
        <v>1.0452131284093353</v>
      </c>
      <c r="C40" s="15">
        <f>IF(C17="",0,GEOMEAN(C27:C35))</f>
        <v>1.0277529186240768</v>
      </c>
      <c r="D40" s="15">
        <f>IF(D17="",0,GEOMEAN(D27:D35))</f>
        <v>1.0162924260893873</v>
      </c>
      <c r="E40" s="15">
        <f t="shared" ref="E40:H40" si="10">IF(E17="",0,GEOMEAN(E27:E35))</f>
        <v>0.99029009232770204</v>
      </c>
      <c r="F40" s="15">
        <f t="shared" si="10"/>
        <v>0.98477734023313457</v>
      </c>
      <c r="G40" s="15">
        <f t="shared" si="10"/>
        <v>1.0602551689682886</v>
      </c>
      <c r="H40" s="15">
        <f t="shared" si="10"/>
        <v>1</v>
      </c>
    </row>
    <row r="41" spans="1:9" x14ac:dyDescent="0.25">
      <c r="A41" s="4"/>
      <c r="B41" s="15"/>
      <c r="C41" s="125"/>
      <c r="D41" s="15"/>
      <c r="E41" s="15"/>
      <c r="F41" s="15"/>
      <c r="G41" s="15"/>
      <c r="H41" s="15"/>
    </row>
    <row r="42" spans="1:9" x14ac:dyDescent="0.25">
      <c r="B42"/>
      <c r="C42"/>
      <c r="D42"/>
      <c r="E42"/>
      <c r="F42"/>
      <c r="G42"/>
      <c r="H42"/>
    </row>
    <row r="43" spans="1:9" x14ac:dyDescent="0.25">
      <c r="A43" s="3"/>
      <c r="B43"/>
      <c r="C43"/>
      <c r="D43"/>
      <c r="E43"/>
      <c r="F43"/>
      <c r="G43"/>
      <c r="H43"/>
    </row>
    <row r="44" spans="1:9" x14ac:dyDescent="0.25">
      <c r="A44" s="3"/>
      <c r="B44"/>
      <c r="C44"/>
      <c r="D44"/>
      <c r="E44"/>
      <c r="F44"/>
      <c r="G44"/>
      <c r="H44"/>
    </row>
    <row r="45" spans="1:9" x14ac:dyDescent="0.25">
      <c r="A45" s="3"/>
      <c r="B45"/>
      <c r="C45"/>
      <c r="D45"/>
      <c r="E45"/>
      <c r="F45"/>
      <c r="G45"/>
      <c r="H45"/>
    </row>
    <row r="46" spans="1:9" x14ac:dyDescent="0.25">
      <c r="A46" s="3"/>
      <c r="B46"/>
      <c r="C46"/>
      <c r="D46"/>
      <c r="E46"/>
      <c r="F46"/>
      <c r="G46"/>
      <c r="H46"/>
    </row>
    <row r="47" spans="1:9" x14ac:dyDescent="0.25">
      <c r="A47" s="3"/>
      <c r="B47"/>
      <c r="C47"/>
      <c r="D47"/>
      <c r="E47"/>
      <c r="F47"/>
      <c r="G47"/>
      <c r="H47"/>
    </row>
    <row r="48" spans="1:9" x14ac:dyDescent="0.25">
      <c r="A48" s="3"/>
      <c r="B48"/>
      <c r="C48"/>
      <c r="D48"/>
      <c r="E48"/>
      <c r="F48"/>
      <c r="G48"/>
      <c r="H48"/>
    </row>
    <row r="49" spans="1:8" x14ac:dyDescent="0.25">
      <c r="A49" s="3"/>
      <c r="B49"/>
      <c r="C49"/>
      <c r="D49"/>
      <c r="E49"/>
      <c r="F49"/>
      <c r="G49"/>
      <c r="H49"/>
    </row>
    <row r="50" spans="1:8" x14ac:dyDescent="0.25">
      <c r="A50" s="3"/>
      <c r="B50"/>
      <c r="C50"/>
      <c r="D50"/>
      <c r="E50"/>
      <c r="F50"/>
      <c r="G50"/>
      <c r="H50"/>
    </row>
    <row r="51" spans="1:8" x14ac:dyDescent="0.25">
      <c r="A51" s="3"/>
      <c r="B51"/>
      <c r="C51"/>
      <c r="D51"/>
      <c r="E51"/>
      <c r="F51"/>
      <c r="G51"/>
      <c r="H51"/>
    </row>
    <row r="52" spans="1:8" x14ac:dyDescent="0.25">
      <c r="A52" s="3"/>
      <c r="B52"/>
      <c r="C52"/>
      <c r="D52"/>
      <c r="E52"/>
      <c r="F52"/>
      <c r="G52"/>
      <c r="H52"/>
    </row>
    <row r="53" spans="1:8" x14ac:dyDescent="0.25">
      <c r="A53" s="3"/>
      <c r="B53"/>
      <c r="C53"/>
      <c r="D53"/>
      <c r="E53"/>
      <c r="F53"/>
      <c r="G53"/>
      <c r="H53"/>
    </row>
    <row r="54" spans="1:8" x14ac:dyDescent="0.25">
      <c r="A54" s="3"/>
      <c r="B54"/>
      <c r="C54"/>
      <c r="D54"/>
      <c r="E54"/>
      <c r="F54"/>
      <c r="G54"/>
      <c r="H54"/>
    </row>
    <row r="55" spans="1:8" x14ac:dyDescent="0.25">
      <c r="A55" s="3"/>
      <c r="B55"/>
      <c r="C55"/>
      <c r="D55"/>
      <c r="E55"/>
      <c r="F55"/>
      <c r="G55"/>
      <c r="H55"/>
    </row>
    <row r="56" spans="1:8" x14ac:dyDescent="0.25">
      <c r="A56" s="3"/>
      <c r="B56"/>
      <c r="C56"/>
      <c r="D56"/>
      <c r="E56"/>
      <c r="F56"/>
      <c r="G56"/>
      <c r="H56"/>
    </row>
    <row r="57" spans="1:8" x14ac:dyDescent="0.25">
      <c r="A57" s="3"/>
      <c r="B57"/>
      <c r="C57"/>
      <c r="D57"/>
      <c r="E57"/>
      <c r="F57"/>
      <c r="G57"/>
      <c r="H57"/>
    </row>
    <row r="58" spans="1:8" x14ac:dyDescent="0.25">
      <c r="A58" s="3"/>
      <c r="B58"/>
      <c r="C58"/>
      <c r="D58"/>
      <c r="E58"/>
      <c r="F58"/>
      <c r="G58"/>
      <c r="H58"/>
    </row>
    <row r="59" spans="1:8" x14ac:dyDescent="0.25">
      <c r="A59" s="3"/>
      <c r="B59"/>
      <c r="C59"/>
      <c r="D59"/>
      <c r="E59"/>
      <c r="F59"/>
      <c r="G59"/>
      <c r="H59"/>
    </row>
    <row r="60" spans="1:8" x14ac:dyDescent="0.25">
      <c r="A60" s="3"/>
      <c r="B60"/>
      <c r="C60"/>
      <c r="D60"/>
      <c r="E60"/>
      <c r="F60"/>
      <c r="G60"/>
      <c r="H60"/>
    </row>
    <row r="61" spans="1:8" x14ac:dyDescent="0.25">
      <c r="A61" s="3"/>
      <c r="B61"/>
      <c r="C61"/>
      <c r="D61"/>
      <c r="E61"/>
      <c r="F61"/>
      <c r="G61"/>
      <c r="H61"/>
    </row>
    <row r="62" spans="1:8" x14ac:dyDescent="0.25">
      <c r="A62" s="3"/>
      <c r="B62"/>
      <c r="C62"/>
      <c r="D62"/>
      <c r="E62"/>
      <c r="F62"/>
      <c r="G62"/>
      <c r="H62"/>
    </row>
    <row r="63" spans="1:8" x14ac:dyDescent="0.25">
      <c r="A63" s="3"/>
      <c r="B63"/>
      <c r="C63"/>
      <c r="D63"/>
      <c r="E63"/>
      <c r="F63"/>
      <c r="G63"/>
      <c r="H63"/>
    </row>
    <row r="64" spans="1:8" x14ac:dyDescent="0.25">
      <c r="A64" s="3"/>
      <c r="B64"/>
      <c r="C64"/>
      <c r="D64"/>
      <c r="E64"/>
      <c r="F64"/>
      <c r="G64"/>
      <c r="H64"/>
    </row>
    <row r="65" spans="1:8" x14ac:dyDescent="0.25">
      <c r="A65" s="3"/>
      <c r="B65"/>
      <c r="C65"/>
      <c r="D65"/>
      <c r="E65"/>
      <c r="F65"/>
      <c r="G65"/>
      <c r="H65"/>
    </row>
    <row r="66" spans="1:8" x14ac:dyDescent="0.25">
      <c r="A66" s="3"/>
      <c r="B66"/>
      <c r="C66"/>
      <c r="D66"/>
      <c r="E66"/>
      <c r="F66"/>
      <c r="G66"/>
      <c r="H66"/>
    </row>
    <row r="67" spans="1:8" x14ac:dyDescent="0.25">
      <c r="B67"/>
      <c r="C67"/>
      <c r="D67"/>
      <c r="E67"/>
      <c r="F67"/>
      <c r="G67"/>
      <c r="H67"/>
    </row>
    <row r="68" spans="1:8" x14ac:dyDescent="0.25">
      <c r="B68"/>
      <c r="C68"/>
      <c r="D68"/>
      <c r="E68"/>
      <c r="F68"/>
      <c r="G68"/>
      <c r="H68"/>
    </row>
    <row r="69" spans="1:8" x14ac:dyDescent="0.25">
      <c r="B69"/>
      <c r="C69"/>
      <c r="D69"/>
      <c r="E69"/>
      <c r="F69"/>
      <c r="G69"/>
      <c r="H69"/>
    </row>
    <row r="70" spans="1:8" x14ac:dyDescent="0.25">
      <c r="B70"/>
      <c r="C70"/>
      <c r="D70"/>
      <c r="E70"/>
      <c r="F70"/>
      <c r="G70"/>
      <c r="H70"/>
    </row>
    <row r="71" spans="1:8" x14ac:dyDescent="0.25">
      <c r="B71"/>
      <c r="C71"/>
      <c r="D71"/>
      <c r="E71"/>
      <c r="F71"/>
      <c r="G71"/>
      <c r="H71"/>
    </row>
    <row r="72" spans="1:8" x14ac:dyDescent="0.25">
      <c r="B72"/>
      <c r="C72"/>
      <c r="D72"/>
      <c r="E72"/>
      <c r="F72"/>
      <c r="G72"/>
      <c r="H72"/>
    </row>
    <row r="73" spans="1:8" x14ac:dyDescent="0.25">
      <c r="B73"/>
      <c r="C73"/>
      <c r="D73"/>
      <c r="E73"/>
      <c r="F73"/>
      <c r="G73"/>
      <c r="H73"/>
    </row>
    <row r="74" spans="1:8" x14ac:dyDescent="0.25">
      <c r="B74"/>
      <c r="C74"/>
      <c r="D74"/>
      <c r="E74"/>
      <c r="F74"/>
      <c r="G74"/>
      <c r="H74"/>
    </row>
    <row r="75" spans="1:8" x14ac:dyDescent="0.25">
      <c r="B75"/>
      <c r="C75"/>
      <c r="D75"/>
      <c r="E75"/>
      <c r="F75"/>
      <c r="G75"/>
      <c r="H75"/>
    </row>
    <row r="76" spans="1:8" x14ac:dyDescent="0.25">
      <c r="B76"/>
      <c r="C76"/>
      <c r="D76"/>
      <c r="E76"/>
      <c r="F76"/>
      <c r="G76"/>
      <c r="H76"/>
    </row>
    <row r="77" spans="1:8" x14ac:dyDescent="0.25">
      <c r="B77"/>
      <c r="C77"/>
      <c r="D77"/>
      <c r="E77"/>
      <c r="F77"/>
      <c r="G77"/>
      <c r="H77"/>
    </row>
    <row r="78" spans="1:8" x14ac:dyDescent="0.25">
      <c r="B78"/>
      <c r="C78"/>
      <c r="D78"/>
      <c r="E78"/>
      <c r="F78"/>
      <c r="G78"/>
      <c r="H78"/>
    </row>
    <row r="79" spans="1:8" x14ac:dyDescent="0.25">
      <c r="B79"/>
      <c r="C79"/>
      <c r="D79"/>
      <c r="E79"/>
      <c r="F79"/>
      <c r="G79"/>
      <c r="H79"/>
    </row>
    <row r="80" spans="1:8" x14ac:dyDescent="0.25">
      <c r="B80"/>
      <c r="C80"/>
      <c r="D80"/>
      <c r="E80"/>
      <c r="F80"/>
      <c r="G80"/>
      <c r="H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</sheetData>
  <mergeCells count="1">
    <mergeCell ref="B1:H1"/>
  </mergeCells>
  <phoneticPr fontId="0" type="noConversion"/>
  <pageMargins left="0.38" right="0.75" top="0.73" bottom="0.74" header="0.5" footer="0.5"/>
  <pageSetup scale="40" orientation="landscape" r:id="rId1"/>
  <headerFooter alignWithMargins="0">
    <oddFooter>&amp;L&amp;Z&amp;F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N55"/>
  <sheetViews>
    <sheetView workbookViewId="0">
      <selection activeCell="F33" sqref="F33"/>
    </sheetView>
  </sheetViews>
  <sheetFormatPr defaultRowHeight="13.2" x14ac:dyDescent="0.25"/>
  <cols>
    <col min="1" max="1" width="11" customWidth="1"/>
    <col min="2" max="2" width="14.109375" style="6" bestFit="1" customWidth="1"/>
    <col min="3" max="4" width="14.109375" style="6" customWidth="1"/>
    <col min="5" max="5" width="12.5546875" style="6" customWidth="1"/>
    <col min="6" max="6" width="13.44140625" customWidth="1"/>
    <col min="7" max="7" width="13" customWidth="1"/>
    <col min="8" max="8" width="13.44140625" customWidth="1"/>
    <col min="9" max="9" width="12.5546875" bestFit="1" customWidth="1"/>
    <col min="11" max="11" width="12.44140625" style="6" bestFit="1" customWidth="1"/>
    <col min="12" max="12" width="13.44140625" bestFit="1" customWidth="1"/>
    <col min="13" max="14" width="9.109375" style="6" customWidth="1"/>
  </cols>
  <sheetData>
    <row r="1" spans="1:11" ht="26.4" x14ac:dyDescent="0.25">
      <c r="B1" s="107" t="str">
        <f>'Rate Class Customer Model'!D2</f>
        <v>General Service &gt;= 50 kW</v>
      </c>
      <c r="C1" s="107" t="str">
        <f>'Rate Class Customer Model'!F2</f>
        <v>Sentinel Lighting</v>
      </c>
      <c r="D1" s="107" t="str">
        <f>'Rate Class Customer Model'!G2</f>
        <v xml:space="preserve">Street Lighting </v>
      </c>
      <c r="E1" s="107" t="str">
        <f>'Rate Class Customer Model'!H2</f>
        <v>Embedded Distributor</v>
      </c>
      <c r="F1" s="42" t="s">
        <v>74</v>
      </c>
      <c r="G1" s="105"/>
      <c r="K1" s="107"/>
    </row>
    <row r="2" spans="1:11" x14ac:dyDescent="0.25">
      <c r="A2" s="195">
        <f>+'Rate Class Customer Model'!A11</f>
        <v>2016</v>
      </c>
      <c r="B2" s="193">
        <f>SUMIF(Inputs!$A$24:$A$143,'Rate Class Load Model'!A2,Inputs!$K$24:$K$143)</f>
        <v>151192.26000000004</v>
      </c>
      <c r="C2" s="193">
        <f>SUMIF(Inputs!$A$24:$A$143,'Rate Class Load Model'!$A$2,Inputs!$Q$24:$Q$143)</f>
        <v>294.95850000000002</v>
      </c>
      <c r="D2" s="193">
        <f>SUMIF(Inputs!$A$24:$A$143,'Rate Class Load Model'!A2,Inputs!$T$24:$T$143)</f>
        <v>1645.03</v>
      </c>
      <c r="E2" s="193">
        <f>SUMIF(Inputs!A$24:A$143,'Rate Class Load Model'!A2,Inputs!W$24:W$143)</f>
        <v>2398.2000000000003</v>
      </c>
      <c r="F2" s="192">
        <f>SUM(B2:E2)</f>
        <v>155530.44850000006</v>
      </c>
      <c r="K2" s="33"/>
    </row>
    <row r="3" spans="1:11" x14ac:dyDescent="0.25">
      <c r="A3" s="195">
        <f>+'Rate Class Customer Model'!A12</f>
        <v>2017</v>
      </c>
      <c r="B3" s="193">
        <f>SUMIF(Inputs!$A$24:$A$143,'Rate Class Load Model'!A3,Inputs!$K$24:$K$143)</f>
        <v>163230.39999999999</v>
      </c>
      <c r="C3" s="193">
        <f>SUMIF(Inputs!$A$24:$A$143,'Rate Class Load Model'!$A$2,Inputs!$Q$24:$Q$143)</f>
        <v>294.95850000000002</v>
      </c>
      <c r="D3" s="193">
        <f>SUMIF(Inputs!$A$24:$A$143,'Rate Class Load Model'!A3,Inputs!$T$24:$T$143)</f>
        <v>1754.9899999999998</v>
      </c>
      <c r="E3" s="193">
        <f>SUMIF(Inputs!A$24:A$143,'Rate Class Load Model'!A3,Inputs!W$24:W$143)</f>
        <v>2283.6</v>
      </c>
      <c r="F3" s="192">
        <f t="shared" ref="F3:F13" si="0">SUM(B3:E3)</f>
        <v>167563.9485</v>
      </c>
      <c r="K3" s="33"/>
    </row>
    <row r="4" spans="1:11" x14ac:dyDescent="0.25">
      <c r="A4" s="195">
        <f>+'Rate Class Customer Model'!A13</f>
        <v>2018</v>
      </c>
      <c r="B4" s="193">
        <f>SUMIF(Inputs!$A$24:$A$143,'Rate Class Load Model'!A4,Inputs!$K$24:$K$143)</f>
        <v>168618.77999999997</v>
      </c>
      <c r="C4" s="193">
        <f>SUMIF(Inputs!$A$24:$A$143,'Rate Class Load Model'!$A$2,Inputs!$Q$24:$Q$143)</f>
        <v>294.95850000000002</v>
      </c>
      <c r="D4" s="193">
        <f>SUMIF(Inputs!$A$24:$A$143,'Rate Class Load Model'!A4,Inputs!$T$24:$T$143)</f>
        <v>1867.2599999999998</v>
      </c>
      <c r="E4" s="193">
        <f>SUMIF(Inputs!A$24:A$143,'Rate Class Load Model'!A4,Inputs!W$24:W$143)</f>
        <v>2504.1</v>
      </c>
      <c r="F4" s="192">
        <f t="shared" si="0"/>
        <v>173285.09849999999</v>
      </c>
      <c r="K4" s="33"/>
    </row>
    <row r="5" spans="1:11" x14ac:dyDescent="0.25">
      <c r="A5" s="195">
        <f>+'Rate Class Customer Model'!A14</f>
        <v>2019</v>
      </c>
      <c r="B5" s="193">
        <f>SUMIF(Inputs!$A$24:$A$143,'Rate Class Load Model'!A5,Inputs!$K$24:$K$143)</f>
        <v>164137.22</v>
      </c>
      <c r="C5" s="193">
        <f>SUMIF(Inputs!$A$24:$A$143,'Rate Class Load Model'!$A$2,Inputs!$Q$24:$Q$143)</f>
        <v>294.95850000000002</v>
      </c>
      <c r="D5" s="193">
        <f>SUMIF(Inputs!$A$24:$A$143,'Rate Class Load Model'!A5,Inputs!$T$24:$T$143)</f>
        <v>1982.6500000000005</v>
      </c>
      <c r="E5" s="193">
        <f>SUMIF(Inputs!A$24:A$143,'Rate Class Load Model'!A5,Inputs!W$24:W$143)</f>
        <v>2185.1999999999998</v>
      </c>
      <c r="F5" s="192">
        <f t="shared" si="0"/>
        <v>168600.02850000001</v>
      </c>
      <c r="K5" s="33"/>
    </row>
    <row r="6" spans="1:11" x14ac:dyDescent="0.25">
      <c r="A6" s="195">
        <f>+'Rate Class Customer Model'!A15</f>
        <v>2020</v>
      </c>
      <c r="B6" s="193">
        <f>SUMIF(Inputs!$A$24:$A$143,'Rate Class Load Model'!A6,Inputs!$K$24:$K$143)</f>
        <v>153608.63</v>
      </c>
      <c r="C6" s="193">
        <f>SUMIF(Inputs!$A$24:$A$143,'Rate Class Load Model'!$A$2,Inputs!$Q$24:$Q$143)</f>
        <v>294.95850000000002</v>
      </c>
      <c r="D6" s="193">
        <f>SUMIF(Inputs!$A$24:$A$143,'Rate Class Load Model'!A6,Inputs!$T$24:$T$143)</f>
        <v>2074.3199999999997</v>
      </c>
      <c r="E6" s="193">
        <f>SUMIF(Inputs!A$24:A$143,'Rate Class Load Model'!A6,Inputs!W$24:W$143)</f>
        <v>2361.6000000000004</v>
      </c>
      <c r="F6" s="192">
        <f t="shared" si="0"/>
        <v>158339.50850000003</v>
      </c>
    </row>
    <row r="7" spans="1:11" x14ac:dyDescent="0.25">
      <c r="A7" s="195">
        <f>+'Rate Class Customer Model'!A16</f>
        <v>2021</v>
      </c>
      <c r="B7" s="193">
        <f>SUMIF(Inputs!$A$24:$A$143,'Rate Class Load Model'!A7,Inputs!$K$24:$K$143)</f>
        <v>157905.39000000001</v>
      </c>
      <c r="C7" s="193">
        <f>SUMIF(Inputs!$A$24:$A$143,'Rate Class Load Model'!$A$2,Inputs!$Q$24:$Q$143)</f>
        <v>294.95850000000002</v>
      </c>
      <c r="D7" s="193">
        <f>SUMIF(Inputs!$A$24:$A$143,'Rate Class Load Model'!A7,Inputs!$T$24:$T$143)</f>
        <v>2279.9099999999989</v>
      </c>
      <c r="E7" s="193">
        <f>SUMIF(Inputs!A$24:A$143,'Rate Class Load Model'!A7,Inputs!W$24:W$143)</f>
        <v>2359.1999999999998</v>
      </c>
      <c r="F7" s="192">
        <f t="shared" si="0"/>
        <v>162839.45850000004</v>
      </c>
    </row>
    <row r="8" spans="1:11" x14ac:dyDescent="0.25">
      <c r="A8" s="195">
        <f>+'Rate Class Customer Model'!A17</f>
        <v>2022</v>
      </c>
      <c r="B8" s="193">
        <f>SUMIF(Inputs!$A$24:$A$143,'Rate Class Load Model'!A8,Inputs!$K$24:$K$143)</f>
        <v>157377.50999999998</v>
      </c>
      <c r="C8" s="193">
        <f>SUMIF(Inputs!$A$24:$A$143,'Rate Class Load Model'!$A$2,Inputs!$Q$24:$Q$143)</f>
        <v>294.95850000000002</v>
      </c>
      <c r="D8" s="193">
        <f>SUMIF(Inputs!$A$24:$A$143,'Rate Class Load Model'!A8,Inputs!$T$24:$T$143)</f>
        <v>2453.62</v>
      </c>
      <c r="E8" s="193">
        <f>SUMIF(Inputs!A$24:A$143,'Rate Class Load Model'!A8,Inputs!W$24:W$143)</f>
        <v>2460</v>
      </c>
      <c r="F8" s="192">
        <f t="shared" si="0"/>
        <v>162586.08849999998</v>
      </c>
    </row>
    <row r="9" spans="1:11" x14ac:dyDescent="0.25">
      <c r="A9" s="195">
        <f>+'Rate Class Customer Model'!A18</f>
        <v>2023</v>
      </c>
      <c r="B9" s="193">
        <f>SUMIF(Inputs!$A$24:$A$143,'Rate Class Load Model'!A9,Inputs!$K$24:$K$143)</f>
        <v>162697.74</v>
      </c>
      <c r="C9" s="193">
        <f>SUMIF(Inputs!$A$24:$A$143,'Rate Class Load Model'!$A$2,Inputs!$Q$24:$Q$143)</f>
        <v>294.95850000000002</v>
      </c>
      <c r="D9" s="193">
        <f>SUMIF(Inputs!$A$24:$A$143,'Rate Class Load Model'!A9,Inputs!$T$24:$T$143)</f>
        <v>2648.2990796943936</v>
      </c>
      <c r="E9" s="193">
        <f>SUMIF(Inputs!A$24:A$143,'Rate Class Load Model'!A9,Inputs!W$24:W$143)</f>
        <v>2368.6285714285714</v>
      </c>
      <c r="F9" s="192">
        <f t="shared" si="0"/>
        <v>168009.62615112297</v>
      </c>
    </row>
    <row r="10" spans="1:11" x14ac:dyDescent="0.25">
      <c r="A10" s="195">
        <f>+'Rate Class Customer Model'!A19</f>
        <v>2024</v>
      </c>
      <c r="B10" s="193">
        <f>SUMIF(Inputs!$A$24:$A$143,'Rate Class Load Model'!A10,Inputs!$K$24:$K$143)</f>
        <v>160506.93000000005</v>
      </c>
      <c r="C10" s="193">
        <f>SUMIF(Inputs!$A$24:$A$143,'Rate Class Load Model'!$A$2,Inputs!$Q$24:$Q$143)</f>
        <v>294.95850000000002</v>
      </c>
      <c r="D10" s="193">
        <f>SUMIF(Inputs!$A$24:$A$143,'Rate Class Load Model'!A10,Inputs!$T$24:$T$143)</f>
        <v>2849.68</v>
      </c>
      <c r="E10" s="193">
        <f>SUMIF(Inputs!A$24:A$143,'Rate Class Load Model'!A10,Inputs!W$24:W$143)</f>
        <v>2963.5714285714284</v>
      </c>
      <c r="F10" s="192">
        <f t="shared" si="0"/>
        <v>166615.13992857147</v>
      </c>
    </row>
    <row r="11" spans="1:11" x14ac:dyDescent="0.25">
      <c r="A11" s="195">
        <f>+'Rate Class Customer Model'!A20</f>
        <v>2025</v>
      </c>
      <c r="B11" s="196">
        <f>SUMIF(Inputs!$A$24:$A$143,'Rate Class Load Model'!A11,Inputs!$K$24:$K$143)</f>
        <v>176584.31999999998</v>
      </c>
      <c r="C11" s="193">
        <f>SUMIF(Inputs!$A$24:$A$143,'Rate Class Load Model'!$A$2,Inputs!$Q$24:$Q$143)</f>
        <v>294.95850000000002</v>
      </c>
      <c r="D11" s="193">
        <f>SUMIF(Inputs!$A$24:$A$143,'Rate Class Load Model'!A11,Inputs!$T$24:$T$143)</f>
        <v>3010.8458515018006</v>
      </c>
      <c r="E11" s="193">
        <f>SUMIF(Inputs!A$24:A$143,'Rate Class Load Model'!A11,Inputs!W$24:W$143)</f>
        <v>2882.5077963847998</v>
      </c>
      <c r="F11" s="192">
        <f t="shared" si="0"/>
        <v>182772.63214788659</v>
      </c>
    </row>
    <row r="12" spans="1:11" x14ac:dyDescent="0.25">
      <c r="A12" s="195">
        <f>+'Rate Class Customer Model'!A21</f>
        <v>2026</v>
      </c>
      <c r="B12" s="197">
        <f>$B$27*'Rate Class Energy Model'!J34</f>
        <v>176623.48729087558</v>
      </c>
      <c r="C12" s="198">
        <v>295</v>
      </c>
      <c r="D12" s="197">
        <f>$D$27*'Rate Class Energy Model'!M34</f>
        <v>3189.6913149462416</v>
      </c>
      <c r="E12" s="197">
        <f>$E$27*'Rate Class Energy Model'!N34</f>
        <v>2575.2879008647628</v>
      </c>
      <c r="F12" s="192">
        <f t="shared" si="0"/>
        <v>182683.46650668659</v>
      </c>
    </row>
    <row r="13" spans="1:11" x14ac:dyDescent="0.25">
      <c r="A13" s="195">
        <f>+'Rate Class Customer Model'!A22</f>
        <v>2027</v>
      </c>
      <c r="B13" s="197">
        <f>$B$27*'Rate Class Energy Model'!J35</f>
        <v>179308.37474440088</v>
      </c>
      <c r="C13" s="198">
        <v>295</v>
      </c>
      <c r="D13" s="197">
        <f>$D$27*'Rate Class Energy Model'!M35</f>
        <v>3381.88670408501</v>
      </c>
      <c r="E13" s="197">
        <f>$E$27*'Rate Class Energy Model'!N35</f>
        <v>2575.2879008647628</v>
      </c>
      <c r="F13" s="192">
        <f t="shared" si="0"/>
        <v>185560.54934935065</v>
      </c>
    </row>
    <row r="14" spans="1:11" x14ac:dyDescent="0.25">
      <c r="A14" s="11"/>
      <c r="C14" s="106" t="s">
        <v>234</v>
      </c>
    </row>
    <row r="15" spans="1:11" x14ac:dyDescent="0.25">
      <c r="A15" s="11" t="s">
        <v>110</v>
      </c>
      <c r="B15" s="5"/>
      <c r="C15" s="5"/>
      <c r="D15" s="5"/>
      <c r="E15" s="5"/>
    </row>
    <row r="16" spans="1:11" x14ac:dyDescent="0.25">
      <c r="A16" s="195">
        <f t="shared" ref="A16:A22" si="1">+A2</f>
        <v>2016</v>
      </c>
      <c r="B16" s="199">
        <f>B2/'Rate Class Energy Model'!J3</f>
        <v>2.5939287821188711E-3</v>
      </c>
      <c r="C16" s="199">
        <f>C2/'Rate Class Energy Model'!L3</f>
        <v>2.8569539810717119E-3</v>
      </c>
      <c r="D16" s="199">
        <f>D2/'Rate Class Energy Model'!M3</f>
        <v>3.0237209245814857E-3</v>
      </c>
      <c r="E16" s="200">
        <f>E2/'Rate Class Energy Model'!N3</f>
        <v>2.5287449402958072E-3</v>
      </c>
      <c r="K16" s="17"/>
    </row>
    <row r="17" spans="1:11" x14ac:dyDescent="0.25">
      <c r="A17" s="195">
        <f t="shared" si="1"/>
        <v>2017</v>
      </c>
      <c r="B17" s="199">
        <f>B3/'Rate Class Energy Model'!J4</f>
        <v>2.5865384308202013E-3</v>
      </c>
      <c r="C17" s="199">
        <f>C3/'Rate Class Energy Model'!L4</f>
        <v>2.8402594378730524E-3</v>
      </c>
      <c r="D17" s="199">
        <f>D3/'Rate Class Energy Model'!M4</f>
        <v>3.054280229179876E-3</v>
      </c>
      <c r="E17" s="200">
        <f>E3/'Rate Class Energy Model'!N4</f>
        <v>2.4812237661599799E-3</v>
      </c>
      <c r="K17" s="17"/>
    </row>
    <row r="18" spans="1:11" x14ac:dyDescent="0.25">
      <c r="A18" s="195">
        <f t="shared" si="1"/>
        <v>2018</v>
      </c>
      <c r="B18" s="199">
        <f>B4/'Rate Class Energy Model'!J5</f>
        <v>2.5780784481763807E-3</v>
      </c>
      <c r="C18" s="199">
        <f>C4/'Rate Class Energy Model'!L5</f>
        <v>2.7968877922281855E-3</v>
      </c>
      <c r="D18" s="199">
        <f>D4/'Rate Class Energy Model'!M5</f>
        <v>3.035969472903079E-3</v>
      </c>
      <c r="E18" s="200">
        <f>E4/'Rate Class Energy Model'!N5</f>
        <v>2.5765264151834484E-3</v>
      </c>
      <c r="K18" s="17"/>
    </row>
    <row r="19" spans="1:11" x14ac:dyDescent="0.25">
      <c r="A19" s="195">
        <f t="shared" si="1"/>
        <v>2019</v>
      </c>
      <c r="B19" s="199">
        <f>B5/'Rate Class Energy Model'!J6</f>
        <v>2.5216915966228192E-3</v>
      </c>
      <c r="C19" s="199">
        <f>C5/'Rate Class Energy Model'!L6</f>
        <v>2.84148086065633E-3</v>
      </c>
      <c r="D19" s="199">
        <f>D5/'Rate Class Energy Model'!M6</f>
        <v>3.0331831135238761E-3</v>
      </c>
      <c r="E19" s="200">
        <f>E5/'Rate Class Energy Model'!N6</f>
        <v>2.3676147743842547E-3</v>
      </c>
      <c r="K19" s="17"/>
    </row>
    <row r="20" spans="1:11" x14ac:dyDescent="0.25">
      <c r="A20" s="195">
        <f t="shared" si="1"/>
        <v>2020</v>
      </c>
      <c r="B20" s="199">
        <f>B6/'Rate Class Energy Model'!J7</f>
        <v>2.5672230810519707E-3</v>
      </c>
      <c r="C20" s="199">
        <f>C6/'Rate Class Energy Model'!L7</f>
        <v>2.9212668236647588E-3</v>
      </c>
      <c r="D20" s="199">
        <f>D6/'Rate Class Energy Model'!M7</f>
        <v>3.0229017245077829E-3</v>
      </c>
      <c r="E20" s="200">
        <f>E6/'Rate Class Energy Model'!N7</f>
        <v>2.4982243946280558E-3</v>
      </c>
      <c r="K20" s="17"/>
    </row>
    <row r="21" spans="1:11" x14ac:dyDescent="0.25">
      <c r="A21" s="195">
        <f t="shared" si="1"/>
        <v>2021</v>
      </c>
      <c r="B21" s="199">
        <f>B7/'Rate Class Energy Model'!J8</f>
        <v>2.7180140077208933E-3</v>
      </c>
      <c r="C21" s="199">
        <f>C7/'Rate Class Energy Model'!L8</f>
        <v>2.9732017360296304E-3</v>
      </c>
      <c r="D21" s="199">
        <f>D7/'Rate Class Energy Model'!M8</f>
        <v>3.0352752042228405E-3</v>
      </c>
      <c r="E21" s="200">
        <f>E7/'Rate Class Energy Model'!N8</f>
        <v>2.592040681590677E-3</v>
      </c>
      <c r="K21" s="17"/>
    </row>
    <row r="22" spans="1:11" x14ac:dyDescent="0.25">
      <c r="A22" s="195">
        <f t="shared" si="1"/>
        <v>2022</v>
      </c>
      <c r="B22" s="199">
        <f>B8/'Rate Class Energy Model'!J9</f>
        <v>2.7911951445405811E-3</v>
      </c>
      <c r="C22" s="199">
        <f>C8/'Rate Class Energy Model'!L9</f>
        <v>3.0225109348312358E-3</v>
      </c>
      <c r="D22" s="199">
        <f>D8/'Rate Class Energy Model'!M9</f>
        <v>3.0450185368460195E-3</v>
      </c>
      <c r="E22" s="200">
        <f>E8/'Rate Class Energy Model'!N9</f>
        <v>2.6293599678234745E-3</v>
      </c>
      <c r="K22" s="17"/>
    </row>
    <row r="23" spans="1:11" x14ac:dyDescent="0.25">
      <c r="A23" s="195">
        <v>2023</v>
      </c>
      <c r="B23" s="199">
        <f>B9/'Rate Class Energy Model'!J10</f>
        <v>2.9279650997894343E-3</v>
      </c>
      <c r="C23" s="199">
        <f>C9/'Rate Class Energy Model'!L10</f>
        <v>3.0374793242130224E-3</v>
      </c>
      <c r="D23" s="199">
        <f>D9/'Rate Class Energy Model'!M10</f>
        <v>3.0519299723567555E-3</v>
      </c>
      <c r="E23" s="200">
        <f>E9/'Rate Class Energy Model'!N10</f>
        <v>2.6246843806109585E-3</v>
      </c>
      <c r="K23" s="17"/>
    </row>
    <row r="24" spans="1:11" x14ac:dyDescent="0.25">
      <c r="A24" s="195">
        <v>2024</v>
      </c>
      <c r="B24" s="199">
        <f>B10/'Rate Class Energy Model'!J11</f>
        <v>2.8624418701633219E-3</v>
      </c>
      <c r="C24" s="199">
        <f>C10/'Rate Class Energy Model'!L11</f>
        <v>3.3700884618443178E-3</v>
      </c>
      <c r="D24" s="199">
        <f>D10/'Rate Class Energy Model'!M11</f>
        <v>3.0315460554034591E-3</v>
      </c>
      <c r="E24" s="200">
        <f>E10/'Rate Class Energy Model'!N11</f>
        <v>3.1201801338875384E-3</v>
      </c>
      <c r="K24" s="17"/>
    </row>
    <row r="25" spans="1:11" x14ac:dyDescent="0.25">
      <c r="A25" s="195">
        <v>2025</v>
      </c>
      <c r="B25" s="199">
        <f>B11/'Rate Class Energy Model'!J12</f>
        <v>2.6853823269966048E-3</v>
      </c>
      <c r="C25" s="199">
        <f>C11/'Rate Class Energy Model'!L12</f>
        <v>3.1383104364035653E-3</v>
      </c>
      <c r="D25" s="199">
        <f>D11/'Rate Class Energy Model'!M12</f>
        <v>3.0398146467240047E-3</v>
      </c>
      <c r="E25" s="200">
        <f>E11/'Rate Class Energy Model'!N12</f>
        <v>2.9516047151870936E-3</v>
      </c>
      <c r="K25" s="17"/>
    </row>
    <row r="27" spans="1:11" x14ac:dyDescent="0.25">
      <c r="A27" s="36" t="s">
        <v>231</v>
      </c>
      <c r="B27" s="17">
        <f>B29</f>
        <v>2.6832458788001077E-3</v>
      </c>
      <c r="C27" s="17">
        <f t="shared" ref="C27:D27" si="2">C29</f>
        <v>2.9798439788815806E-3</v>
      </c>
      <c r="D27" s="17">
        <f t="shared" si="2"/>
        <v>3.0373639880249179E-3</v>
      </c>
      <c r="E27" s="17">
        <f>E29</f>
        <v>2.6370204169751292E-3</v>
      </c>
    </row>
    <row r="29" spans="1:11" x14ac:dyDescent="0.25">
      <c r="A29" t="s">
        <v>72</v>
      </c>
      <c r="B29" s="17">
        <f>AVERAGE(B16:B25)</f>
        <v>2.6832458788001077E-3</v>
      </c>
      <c r="C29" s="17">
        <f>AVERAGE(C16:C25)</f>
        <v>2.9798439788815806E-3</v>
      </c>
      <c r="D29" s="17">
        <f>AVERAGE(D16:D25)</f>
        <v>3.0373639880249179E-3</v>
      </c>
      <c r="E29" s="17">
        <f>AVERAGE(E16:E25)</f>
        <v>2.6370204169751292E-3</v>
      </c>
      <c r="J29" s="17"/>
      <c r="K29" s="17"/>
    </row>
    <row r="30" spans="1:11" x14ac:dyDescent="0.25">
      <c r="C30" s="46"/>
    </row>
    <row r="32" spans="1:11" x14ac:dyDescent="0.25">
      <c r="B32" s="46"/>
      <c r="C32" s="46"/>
      <c r="D32" s="46"/>
      <c r="E32" s="46"/>
    </row>
    <row r="34" spans="2:5" x14ac:dyDescent="0.25">
      <c r="B34" s="16"/>
      <c r="C34" s="16"/>
      <c r="D34" s="16"/>
      <c r="E34" s="16"/>
    </row>
    <row r="35" spans="2:5" x14ac:dyDescent="0.25">
      <c r="B35" s="16"/>
      <c r="C35" s="16"/>
      <c r="D35" s="16"/>
      <c r="E35" s="16"/>
    </row>
    <row r="54" spans="2:5" x14ac:dyDescent="0.25">
      <c r="B54" s="10"/>
      <c r="C54" s="10"/>
      <c r="D54" s="10"/>
      <c r="E54" s="10"/>
    </row>
    <row r="55" spans="2:5" x14ac:dyDescent="0.25">
      <c r="B55" s="10"/>
      <c r="C55" s="10"/>
      <c r="D55" s="10"/>
      <c r="E55" s="10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294D-6596-41F4-8CBC-B7A676AAB1D4}">
  <dimension ref="A1:D5"/>
  <sheetViews>
    <sheetView workbookViewId="0">
      <selection activeCell="A18" sqref="A18"/>
    </sheetView>
  </sheetViews>
  <sheetFormatPr defaultRowHeight="13.2" x14ac:dyDescent="0.25"/>
  <cols>
    <col min="1" max="1" width="20.6640625" customWidth="1"/>
    <col min="2" max="4" width="14.6640625" customWidth="1"/>
  </cols>
  <sheetData>
    <row r="1" spans="1:4" x14ac:dyDescent="0.25">
      <c r="A1" s="177"/>
      <c r="B1" s="208" t="s">
        <v>42</v>
      </c>
      <c r="C1" s="208" t="s">
        <v>235</v>
      </c>
      <c r="D1" s="208" t="s">
        <v>235</v>
      </c>
    </row>
    <row r="2" spans="1:4" x14ac:dyDescent="0.25">
      <c r="A2" s="206"/>
      <c r="B2" s="206">
        <v>2025</v>
      </c>
      <c r="C2" s="206">
        <v>2026</v>
      </c>
      <c r="D2" s="206">
        <v>2027</v>
      </c>
    </row>
    <row r="3" spans="1:4" x14ac:dyDescent="0.25">
      <c r="A3" s="208" t="s">
        <v>236</v>
      </c>
      <c r="B3" s="207">
        <v>63548.44</v>
      </c>
      <c r="C3" s="207">
        <f>C4*B5</f>
        <v>64691.604842203044</v>
      </c>
      <c r="D3" s="207">
        <f>D4*B5</f>
        <v>66993.521906414055</v>
      </c>
    </row>
    <row r="4" spans="1:4" x14ac:dyDescent="0.25">
      <c r="A4" s="208" t="s">
        <v>237</v>
      </c>
      <c r="B4" s="207">
        <f>'Load Forecast Summary'!K10</f>
        <v>332174437.55999994</v>
      </c>
      <c r="C4" s="207">
        <f>'Load Forecast Summary'!L10</f>
        <v>338149881.46542329</v>
      </c>
      <c r="D4" s="207">
        <f>'Load Forecast Summary'!M10</f>
        <v>350182246.16413277</v>
      </c>
    </row>
    <row r="5" spans="1:4" x14ac:dyDescent="0.25">
      <c r="A5" s="206" t="s">
        <v>238</v>
      </c>
      <c r="B5" s="205">
        <f>B3/B4</f>
        <v>1.9131044660389133E-4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26ED-7745-4BA3-93FE-A5C884ED553A}">
  <dimension ref="A1:I22"/>
  <sheetViews>
    <sheetView workbookViewId="0">
      <selection activeCell="I23" sqref="I23"/>
    </sheetView>
  </sheetViews>
  <sheetFormatPr defaultRowHeight="13.2" x14ac:dyDescent="0.25"/>
  <sheetData>
    <row r="1" spans="1:9" x14ac:dyDescent="0.25">
      <c r="A1" t="s">
        <v>173</v>
      </c>
    </row>
    <row r="2" spans="1:9" ht="13.8" thickBot="1" x14ac:dyDescent="0.3"/>
    <row r="3" spans="1:9" x14ac:dyDescent="0.25">
      <c r="A3" s="122" t="s">
        <v>174</v>
      </c>
      <c r="B3" s="122"/>
    </row>
    <row r="4" spans="1:9" x14ac:dyDescent="0.25">
      <c r="A4" t="s">
        <v>28</v>
      </c>
      <c r="B4">
        <v>0.98053867505605607</v>
      </c>
    </row>
    <row r="5" spans="1:9" x14ac:dyDescent="0.25">
      <c r="A5" t="s">
        <v>29</v>
      </c>
      <c r="B5">
        <v>0.96145609328068582</v>
      </c>
    </row>
    <row r="6" spans="1:9" x14ac:dyDescent="0.25">
      <c r="A6" t="s">
        <v>30</v>
      </c>
      <c r="B6">
        <v>0.95976557105615445</v>
      </c>
    </row>
    <row r="7" spans="1:9" x14ac:dyDescent="0.25">
      <c r="A7" t="s">
        <v>175</v>
      </c>
      <c r="B7">
        <v>685943.84493557818</v>
      </c>
    </row>
    <row r="8" spans="1:9" ht="13.8" thickBot="1" x14ac:dyDescent="0.3">
      <c r="A8" s="120" t="s">
        <v>176</v>
      </c>
      <c r="B8" s="120">
        <v>120</v>
      </c>
    </row>
    <row r="10" spans="1:9" ht="13.8" thickBot="1" x14ac:dyDescent="0.3">
      <c r="A10" t="s">
        <v>177</v>
      </c>
    </row>
    <row r="11" spans="1:9" x14ac:dyDescent="0.25">
      <c r="A11" s="121"/>
      <c r="B11" s="121" t="s">
        <v>178</v>
      </c>
      <c r="C11" s="121" t="s">
        <v>179</v>
      </c>
      <c r="D11" s="121" t="s">
        <v>180</v>
      </c>
      <c r="E11" s="121" t="s">
        <v>181</v>
      </c>
      <c r="F11" s="121" t="s">
        <v>182</v>
      </c>
    </row>
    <row r="12" spans="1:9" x14ac:dyDescent="0.25">
      <c r="A12" t="s">
        <v>183</v>
      </c>
      <c r="B12">
        <v>5</v>
      </c>
      <c r="C12">
        <v>1337998734941181.3</v>
      </c>
      <c r="D12">
        <v>267599746988236.25</v>
      </c>
      <c r="E12">
        <v>568.7331874901771</v>
      </c>
      <c r="F12">
        <v>7.9180596977249995E-79</v>
      </c>
    </row>
    <row r="13" spans="1:9" x14ac:dyDescent="0.25">
      <c r="A13" t="s">
        <v>184</v>
      </c>
      <c r="B13">
        <v>114</v>
      </c>
      <c r="C13">
        <v>53639161258170.508</v>
      </c>
      <c r="D13">
        <v>470518958405.00446</v>
      </c>
    </row>
    <row r="14" spans="1:9" ht="13.8" thickBot="1" x14ac:dyDescent="0.3">
      <c r="A14" s="120" t="s">
        <v>74</v>
      </c>
      <c r="B14" s="120">
        <v>119</v>
      </c>
      <c r="C14" s="120">
        <v>1391637896199351.8</v>
      </c>
      <c r="D14" s="120"/>
      <c r="E14" s="120"/>
      <c r="F14" s="120"/>
    </row>
    <row r="15" spans="1:9" ht="13.8" thickBot="1" x14ac:dyDescent="0.3"/>
    <row r="16" spans="1:9" x14ac:dyDescent="0.25">
      <c r="A16" s="121"/>
      <c r="B16" s="121" t="s">
        <v>185</v>
      </c>
      <c r="C16" s="121" t="s">
        <v>175</v>
      </c>
      <c r="D16" s="121" t="s">
        <v>186</v>
      </c>
      <c r="E16" s="121" t="s">
        <v>187</v>
      </c>
      <c r="F16" s="121" t="s">
        <v>188</v>
      </c>
      <c r="G16" s="121" t="s">
        <v>189</v>
      </c>
      <c r="H16" s="121" t="s">
        <v>190</v>
      </c>
      <c r="I16" s="121" t="s">
        <v>191</v>
      </c>
    </row>
    <row r="17" spans="1:9" x14ac:dyDescent="0.25">
      <c r="A17" t="s">
        <v>192</v>
      </c>
      <c r="B17">
        <v>-17823013.971206669</v>
      </c>
      <c r="C17">
        <v>2488622.7442698479</v>
      </c>
      <c r="D17">
        <v>-7.1617982324741112</v>
      </c>
      <c r="E17">
        <v>8.3559271101647604E-11</v>
      </c>
      <c r="F17">
        <v>-22752956.460172784</v>
      </c>
      <c r="G17">
        <v>-12893071.482240554</v>
      </c>
      <c r="H17">
        <v>-22752956.460172784</v>
      </c>
      <c r="I17">
        <v>-12893071.482240554</v>
      </c>
    </row>
    <row r="18" spans="1:9" x14ac:dyDescent="0.25">
      <c r="A18" t="s">
        <v>35</v>
      </c>
      <c r="B18">
        <v>12437.660848219519</v>
      </c>
      <c r="C18">
        <v>474.90223220615917</v>
      </c>
      <c r="D18">
        <v>26.189939749157091</v>
      </c>
      <c r="E18">
        <v>4.7363442603266242E-50</v>
      </c>
      <c r="F18">
        <v>11496.883183927574</v>
      </c>
      <c r="G18">
        <v>13378.438512511464</v>
      </c>
      <c r="H18">
        <v>11496.883183927574</v>
      </c>
      <c r="I18">
        <v>13378.438512511464</v>
      </c>
    </row>
    <row r="19" spans="1:9" x14ac:dyDescent="0.25">
      <c r="A19" t="s">
        <v>36</v>
      </c>
      <c r="B19">
        <v>48882.119685526668</v>
      </c>
      <c r="C19">
        <v>2390.0553348713956</v>
      </c>
      <c r="D19">
        <v>20.452296217717873</v>
      </c>
      <c r="E19">
        <v>5.9797059111329595E-40</v>
      </c>
      <c r="F19">
        <v>44147.438475410323</v>
      </c>
      <c r="G19">
        <v>53616.800895643013</v>
      </c>
      <c r="H19">
        <v>44147.438475410323</v>
      </c>
      <c r="I19">
        <v>53616.800895643013</v>
      </c>
    </row>
    <row r="20" spans="1:9" x14ac:dyDescent="0.25">
      <c r="A20" t="s">
        <v>37</v>
      </c>
      <c r="B20">
        <v>615356.84045318293</v>
      </c>
      <c r="C20">
        <v>81968.296385343012</v>
      </c>
      <c r="D20">
        <v>7.507254238398648</v>
      </c>
      <c r="E20">
        <v>1.4496032448192719E-11</v>
      </c>
      <c r="F20">
        <v>452978.27663561597</v>
      </c>
      <c r="G20">
        <v>777735.40427074989</v>
      </c>
      <c r="H20">
        <v>452978.27663561597</v>
      </c>
      <c r="I20">
        <v>777735.40427074989</v>
      </c>
    </row>
    <row r="21" spans="1:9" x14ac:dyDescent="0.25">
      <c r="A21" t="s">
        <v>38</v>
      </c>
      <c r="B21">
        <v>-1023217.2942828839</v>
      </c>
      <c r="C21">
        <v>179897.2028094636</v>
      </c>
      <c r="D21">
        <v>-5.6877887943961785</v>
      </c>
      <c r="E21">
        <v>1.0092333532819154E-7</v>
      </c>
      <c r="F21">
        <v>-1379592.2674758325</v>
      </c>
      <c r="G21">
        <v>-666842.32108993526</v>
      </c>
      <c r="H21">
        <v>-1379592.2674758325</v>
      </c>
      <c r="I21">
        <v>-666842.32108993526</v>
      </c>
    </row>
    <row r="22" spans="1:9" ht="13.8" thickBot="1" x14ac:dyDescent="0.3">
      <c r="A22" s="120" t="s">
        <v>39</v>
      </c>
      <c r="B22" s="120">
        <v>953.15792590645287</v>
      </c>
      <c r="C22" s="120">
        <v>25.591572904300001</v>
      </c>
      <c r="D22" s="120">
        <v>37.244991914752504</v>
      </c>
      <c r="E22" s="120">
        <v>1.1916020313913063E-65</v>
      </c>
      <c r="F22" s="120">
        <v>902.4612170899469</v>
      </c>
      <c r="G22" s="120">
        <v>1003.8546347229588</v>
      </c>
      <c r="H22" s="120">
        <v>902.4612170899469</v>
      </c>
      <c r="I22" s="120">
        <v>1003.8546347229588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5B627-6904-4643-9D1E-710AD59BF668}">
  <dimension ref="A1:I78"/>
  <sheetViews>
    <sheetView workbookViewId="0">
      <selection activeCell="A82" sqref="A82"/>
    </sheetView>
  </sheetViews>
  <sheetFormatPr defaultRowHeight="13.2" x14ac:dyDescent="0.25"/>
  <sheetData>
    <row r="1" spans="1:9" x14ac:dyDescent="0.25">
      <c r="A1" t="s">
        <v>173</v>
      </c>
    </row>
    <row r="2" spans="1:9" ht="13.8" thickBot="1" x14ac:dyDescent="0.3"/>
    <row r="3" spans="1:9" x14ac:dyDescent="0.25">
      <c r="A3" s="122" t="s">
        <v>174</v>
      </c>
      <c r="B3" s="122"/>
    </row>
    <row r="4" spans="1:9" x14ac:dyDescent="0.25">
      <c r="A4" t="s">
        <v>28</v>
      </c>
      <c r="B4">
        <v>0.9784309593549283</v>
      </c>
    </row>
    <row r="5" spans="1:9" x14ac:dyDescent="0.25">
      <c r="A5" t="s">
        <v>29</v>
      </c>
      <c r="B5">
        <v>0.95732714222420545</v>
      </c>
    </row>
    <row r="6" spans="1:9" x14ac:dyDescent="0.25">
      <c r="A6" t="s">
        <v>30</v>
      </c>
      <c r="B6">
        <v>0.95387883048474731</v>
      </c>
    </row>
    <row r="7" spans="1:9" x14ac:dyDescent="0.25">
      <c r="A7" t="s">
        <v>175</v>
      </c>
      <c r="B7">
        <v>645303.35741684271</v>
      </c>
    </row>
    <row r="8" spans="1:9" ht="13.8" thickBot="1" x14ac:dyDescent="0.3">
      <c r="A8" s="120" t="s">
        <v>176</v>
      </c>
      <c r="B8" s="120">
        <v>108</v>
      </c>
    </row>
    <row r="10" spans="1:9" ht="13.8" thickBot="1" x14ac:dyDescent="0.3">
      <c r="A10" t="s">
        <v>177</v>
      </c>
    </row>
    <row r="11" spans="1:9" x14ac:dyDescent="0.25">
      <c r="A11" s="121"/>
      <c r="B11" s="121" t="s">
        <v>178</v>
      </c>
      <c r="C11" s="121" t="s">
        <v>179</v>
      </c>
      <c r="D11" s="121" t="s">
        <v>180</v>
      </c>
      <c r="E11" s="121" t="s">
        <v>181</v>
      </c>
      <c r="F11" s="121" t="s">
        <v>182</v>
      </c>
    </row>
    <row r="12" spans="1:9" x14ac:dyDescent="0.25">
      <c r="A12" t="s">
        <v>183</v>
      </c>
      <c r="B12">
        <v>8</v>
      </c>
      <c r="C12">
        <v>924850824207488.38</v>
      </c>
      <c r="D12">
        <v>115606353025936.05</v>
      </c>
      <c r="E12">
        <v>277.62198274296316</v>
      </c>
      <c r="F12">
        <v>3.1185220142635477E-64</v>
      </c>
    </row>
    <row r="13" spans="1:9" x14ac:dyDescent="0.25">
      <c r="A13" t="s">
        <v>184</v>
      </c>
      <c r="B13">
        <v>99</v>
      </c>
      <c r="C13">
        <v>41225225886251.492</v>
      </c>
      <c r="D13">
        <v>416416423093.4494</v>
      </c>
    </row>
    <row r="14" spans="1:9" ht="13.8" thickBot="1" x14ac:dyDescent="0.3">
      <c r="A14" s="120" t="s">
        <v>74</v>
      </c>
      <c r="B14" s="120">
        <v>107</v>
      </c>
      <c r="C14" s="120">
        <v>966076050093739.88</v>
      </c>
      <c r="D14" s="120"/>
      <c r="E14" s="120"/>
      <c r="F14" s="120"/>
    </row>
    <row r="15" spans="1:9" ht="13.8" thickBot="1" x14ac:dyDescent="0.3"/>
    <row r="16" spans="1:9" x14ac:dyDescent="0.25">
      <c r="A16" s="121"/>
      <c r="B16" s="121" t="s">
        <v>185</v>
      </c>
      <c r="C16" s="121" t="s">
        <v>175</v>
      </c>
      <c r="D16" s="121" t="s">
        <v>186</v>
      </c>
      <c r="E16" s="121" t="s">
        <v>187</v>
      </c>
      <c r="F16" s="121" t="s">
        <v>188</v>
      </c>
      <c r="G16" s="121" t="s">
        <v>189</v>
      </c>
      <c r="H16" s="121" t="s">
        <v>190</v>
      </c>
      <c r="I16" s="121" t="s">
        <v>191</v>
      </c>
    </row>
    <row r="17" spans="1:9" x14ac:dyDescent="0.25">
      <c r="A17" t="s">
        <v>192</v>
      </c>
      <c r="B17">
        <v>-16023959.146186149</v>
      </c>
      <c r="C17">
        <v>2611630.0997557892</v>
      </c>
      <c r="D17">
        <v>-6.1356158928037061</v>
      </c>
      <c r="E17">
        <v>1.7548084667140904E-8</v>
      </c>
      <c r="F17">
        <v>-21205999.861394908</v>
      </c>
      <c r="G17">
        <v>-10841918.430977389</v>
      </c>
      <c r="H17">
        <v>-21205999.861394908</v>
      </c>
      <c r="I17">
        <v>-10841918.430977389</v>
      </c>
    </row>
    <row r="18" spans="1:9" x14ac:dyDescent="0.25">
      <c r="A18" t="s">
        <v>35</v>
      </c>
      <c r="B18">
        <v>11913.135926541228</v>
      </c>
      <c r="C18">
        <v>493.37163941081252</v>
      </c>
      <c r="D18">
        <v>24.146373595304279</v>
      </c>
      <c r="E18">
        <v>2.7956116304255388E-43</v>
      </c>
      <c r="F18">
        <v>10934.179556190313</v>
      </c>
      <c r="G18">
        <v>12892.092296892144</v>
      </c>
      <c r="H18">
        <v>10934.179556190313</v>
      </c>
      <c r="I18">
        <v>12892.092296892144</v>
      </c>
    </row>
    <row r="19" spans="1:9" x14ac:dyDescent="0.25">
      <c r="A19" t="s">
        <v>36</v>
      </c>
      <c r="B19">
        <v>43579.865449868863</v>
      </c>
      <c r="C19">
        <v>3117.7444340927436</v>
      </c>
      <c r="D19">
        <v>13.978010825172237</v>
      </c>
      <c r="E19">
        <v>3.6518850731595653E-25</v>
      </c>
      <c r="F19">
        <v>37393.584093027843</v>
      </c>
      <c r="G19">
        <v>49766.146806709883</v>
      </c>
      <c r="H19">
        <v>37393.584093027843</v>
      </c>
      <c r="I19">
        <v>49766.146806709883</v>
      </c>
    </row>
    <row r="20" spans="1:9" x14ac:dyDescent="0.25">
      <c r="A20" t="s">
        <v>37</v>
      </c>
      <c r="B20">
        <v>590415.06594626931</v>
      </c>
      <c r="C20">
        <v>85644.147274867515</v>
      </c>
      <c r="D20">
        <v>6.8938168541906668</v>
      </c>
      <c r="E20">
        <v>5.1325171349258529E-10</v>
      </c>
      <c r="F20">
        <v>420478.49711931357</v>
      </c>
      <c r="G20">
        <v>760351.63477322506</v>
      </c>
      <c r="H20">
        <v>420478.49711931357</v>
      </c>
      <c r="I20">
        <v>760351.63477322506</v>
      </c>
    </row>
    <row r="21" spans="1:9" x14ac:dyDescent="0.25">
      <c r="A21" t="s">
        <v>38</v>
      </c>
      <c r="B21">
        <v>-972099.72821927804</v>
      </c>
      <c r="C21">
        <v>179375.50105424869</v>
      </c>
      <c r="D21">
        <v>-5.4193561690750904</v>
      </c>
      <c r="E21">
        <v>4.2163427583270908E-7</v>
      </c>
      <c r="F21">
        <v>-1328019.6381104253</v>
      </c>
      <c r="G21">
        <v>-616179.81832813064</v>
      </c>
      <c r="H21">
        <v>-1328019.6381104253</v>
      </c>
      <c r="I21">
        <v>-616179.81832813064</v>
      </c>
    </row>
    <row r="22" spans="1:9" x14ac:dyDescent="0.25">
      <c r="A22" t="s">
        <v>39</v>
      </c>
      <c r="B22">
        <v>961.11175560182664</v>
      </c>
      <c r="C22">
        <v>43.772395232215125</v>
      </c>
      <c r="D22">
        <v>21.957029093406298</v>
      </c>
      <c r="E22">
        <v>7.8671120726665037E-40</v>
      </c>
      <c r="F22">
        <v>874.257826970525</v>
      </c>
      <c r="G22">
        <v>1047.9656842331283</v>
      </c>
      <c r="H22">
        <v>874.257826970525</v>
      </c>
      <c r="I22">
        <v>1047.9656842331283</v>
      </c>
    </row>
    <row r="23" spans="1:9" x14ac:dyDescent="0.25">
      <c r="A23" t="s">
        <v>239</v>
      </c>
      <c r="B23">
        <v>399007.21727133513</v>
      </c>
      <c r="C23">
        <v>336973.39370692841</v>
      </c>
      <c r="D23">
        <v>1.1840911618629411</v>
      </c>
      <c r="E23">
        <v>0.23921213842684791</v>
      </c>
      <c r="F23">
        <v>-269621.10275555571</v>
      </c>
      <c r="G23">
        <v>1067635.537298226</v>
      </c>
      <c r="H23">
        <v>-269621.10275555571</v>
      </c>
      <c r="I23">
        <v>1067635.537298226</v>
      </c>
    </row>
    <row r="24" spans="1:9" x14ac:dyDescent="0.25">
      <c r="A24" t="s">
        <v>240</v>
      </c>
      <c r="B24">
        <v>-3.4656226159305178E-2</v>
      </c>
      <c r="C24">
        <v>2.9553973085491365E-2</v>
      </c>
      <c r="D24">
        <v>-1.1726418664270426</v>
      </c>
      <c r="E24">
        <v>0.24375337660801627</v>
      </c>
      <c r="F24">
        <v>-9.3297720542265858E-2</v>
      </c>
      <c r="G24">
        <v>2.3985268223655501E-2</v>
      </c>
      <c r="H24">
        <v>-9.3297720542265858E-2</v>
      </c>
      <c r="I24">
        <v>2.3985268223655501E-2</v>
      </c>
    </row>
    <row r="25" spans="1:9" ht="13.8" thickBot="1" x14ac:dyDescent="0.3">
      <c r="A25" s="120" t="s">
        <v>241</v>
      </c>
      <c r="B25" s="120">
        <v>-223648.59945820933</v>
      </c>
      <c r="C25" s="120">
        <v>540507.08130636276</v>
      </c>
      <c r="D25" s="120">
        <v>-0.41377552153002028</v>
      </c>
      <c r="E25" s="120">
        <v>0.67993352428317433</v>
      </c>
      <c r="F25" s="120">
        <v>-1296131.9126387918</v>
      </c>
      <c r="G25" s="120">
        <v>848834.71372237324</v>
      </c>
      <c r="H25" s="120">
        <v>-1296131.9126387918</v>
      </c>
      <c r="I25" s="120">
        <v>848834.71372237324</v>
      </c>
    </row>
    <row r="29" spans="1:9" x14ac:dyDescent="0.25">
      <c r="A29" t="s">
        <v>173</v>
      </c>
    </row>
    <row r="30" spans="1:9" ht="13.8" thickBot="1" x14ac:dyDescent="0.3"/>
    <row r="31" spans="1:9" x14ac:dyDescent="0.25">
      <c r="A31" s="122" t="s">
        <v>174</v>
      </c>
      <c r="B31" s="122"/>
    </row>
    <row r="32" spans="1:9" x14ac:dyDescent="0.25">
      <c r="A32" t="s">
        <v>28</v>
      </c>
      <c r="B32">
        <v>0.97812802091771578</v>
      </c>
    </row>
    <row r="33" spans="1:9" x14ac:dyDescent="0.25">
      <c r="A33" t="s">
        <v>29</v>
      </c>
      <c r="B33">
        <v>0.95673442530440733</v>
      </c>
    </row>
    <row r="34" spans="1:9" x14ac:dyDescent="0.25">
      <c r="A34" t="s">
        <v>30</v>
      </c>
      <c r="B34">
        <v>0.95370583507571582</v>
      </c>
    </row>
    <row r="35" spans="1:9" x14ac:dyDescent="0.25">
      <c r="A35" t="s">
        <v>175</v>
      </c>
      <c r="B35">
        <v>646512.45546357357</v>
      </c>
    </row>
    <row r="36" spans="1:9" ht="13.8" thickBot="1" x14ac:dyDescent="0.3">
      <c r="A36" s="120" t="s">
        <v>176</v>
      </c>
      <c r="B36" s="120">
        <v>108</v>
      </c>
    </row>
    <row r="38" spans="1:9" ht="13.8" thickBot="1" x14ac:dyDescent="0.3">
      <c r="A38" t="s">
        <v>177</v>
      </c>
    </row>
    <row r="39" spans="1:9" x14ac:dyDescent="0.25">
      <c r="A39" s="121"/>
      <c r="B39" s="121" t="s">
        <v>178</v>
      </c>
      <c r="C39" s="121" t="s">
        <v>179</v>
      </c>
      <c r="D39" s="121" t="s">
        <v>180</v>
      </c>
      <c r="E39" s="121" t="s">
        <v>181</v>
      </c>
      <c r="F39" s="121" t="s">
        <v>182</v>
      </c>
    </row>
    <row r="40" spans="1:9" x14ac:dyDescent="0.25">
      <c r="A40" t="s">
        <v>183</v>
      </c>
      <c r="B40">
        <v>7</v>
      </c>
      <c r="C40">
        <v>924278214586786</v>
      </c>
      <c r="D40">
        <v>132039744940969.42</v>
      </c>
      <c r="E40">
        <v>315.90091529740084</v>
      </c>
      <c r="F40">
        <v>3.3356175093682906E-65</v>
      </c>
    </row>
    <row r="41" spans="1:9" x14ac:dyDescent="0.25">
      <c r="A41" t="s">
        <v>184</v>
      </c>
      <c r="B41">
        <v>100</v>
      </c>
      <c r="C41">
        <v>41797835506953.914</v>
      </c>
      <c r="D41">
        <v>417978355069.53912</v>
      </c>
    </row>
    <row r="42" spans="1:9" ht="13.8" thickBot="1" x14ac:dyDescent="0.3">
      <c r="A42" s="120" t="s">
        <v>74</v>
      </c>
      <c r="B42" s="120">
        <v>107</v>
      </c>
      <c r="C42" s="120">
        <v>966076050093739.88</v>
      </c>
      <c r="D42" s="120"/>
      <c r="E42" s="120"/>
      <c r="F42" s="120"/>
    </row>
    <row r="43" spans="1:9" ht="13.8" thickBot="1" x14ac:dyDescent="0.3"/>
    <row r="44" spans="1:9" x14ac:dyDescent="0.25">
      <c r="A44" s="121"/>
      <c r="B44" s="121" t="s">
        <v>185</v>
      </c>
      <c r="C44" s="121" t="s">
        <v>175</v>
      </c>
      <c r="D44" s="121" t="s">
        <v>186</v>
      </c>
      <c r="E44" s="121" t="s">
        <v>187</v>
      </c>
      <c r="F44" s="121" t="s">
        <v>188</v>
      </c>
      <c r="G44" s="121" t="s">
        <v>189</v>
      </c>
      <c r="H44" s="121" t="s">
        <v>190</v>
      </c>
      <c r="I44" s="121" t="s">
        <v>191</v>
      </c>
    </row>
    <row r="45" spans="1:9" x14ac:dyDescent="0.25">
      <c r="A45" t="s">
        <v>192</v>
      </c>
      <c r="B45">
        <v>-15965897.987233695</v>
      </c>
      <c r="C45">
        <v>2616053.2093539806</v>
      </c>
      <c r="D45">
        <v>-6.1030478776753867</v>
      </c>
      <c r="E45">
        <v>1.9866037067361767E-8</v>
      </c>
      <c r="F45">
        <v>-21156073.045534134</v>
      </c>
      <c r="G45">
        <v>-10775722.928933255</v>
      </c>
      <c r="H45">
        <v>-21156073.045534134</v>
      </c>
      <c r="I45">
        <v>-10775722.928933255</v>
      </c>
    </row>
    <row r="46" spans="1:9" x14ac:dyDescent="0.25">
      <c r="A46" t="s">
        <v>35</v>
      </c>
      <c r="B46">
        <v>12039.009491087036</v>
      </c>
      <c r="C46">
        <v>482.45528786976263</v>
      </c>
      <c r="D46">
        <v>24.953627400881405</v>
      </c>
      <c r="E46">
        <v>9.6628666754921458E-45</v>
      </c>
      <c r="F46">
        <v>11081.831940992344</v>
      </c>
      <c r="G46">
        <v>12996.187041181727</v>
      </c>
      <c r="H46">
        <v>11081.831940992344</v>
      </c>
      <c r="I46">
        <v>12996.187041181727</v>
      </c>
    </row>
    <row r="47" spans="1:9" x14ac:dyDescent="0.25">
      <c r="A47" t="s">
        <v>36</v>
      </c>
      <c r="B47">
        <v>43647.157318016049</v>
      </c>
      <c r="C47">
        <v>3123.056975024132</v>
      </c>
      <c r="D47">
        <v>13.975780034457676</v>
      </c>
      <c r="E47">
        <v>2.976125552303604E-25</v>
      </c>
      <c r="F47">
        <v>37451.101228841842</v>
      </c>
      <c r="G47">
        <v>49843.213407190255</v>
      </c>
      <c r="H47">
        <v>37451.101228841842</v>
      </c>
      <c r="I47">
        <v>49843.213407190255</v>
      </c>
    </row>
    <row r="48" spans="1:9" x14ac:dyDescent="0.25">
      <c r="A48" t="s">
        <v>37</v>
      </c>
      <c r="B48">
        <v>579024.54946853733</v>
      </c>
      <c r="C48">
        <v>85250.955754817827</v>
      </c>
      <c r="D48">
        <v>6.7920006801309629</v>
      </c>
      <c r="E48">
        <v>8.0403851405814791E-10</v>
      </c>
      <c r="F48">
        <v>409889.08132406697</v>
      </c>
      <c r="G48">
        <v>748160.01761300769</v>
      </c>
      <c r="H48">
        <v>409889.08132406697</v>
      </c>
      <c r="I48">
        <v>748160.01761300769</v>
      </c>
    </row>
    <row r="49" spans="1:9" x14ac:dyDescent="0.25">
      <c r="A49" t="s">
        <v>38</v>
      </c>
      <c r="B49">
        <v>-1005550.3078897062</v>
      </c>
      <c r="C49">
        <v>177424.58218688692</v>
      </c>
      <c r="D49">
        <v>-5.6674802076215585</v>
      </c>
      <c r="E49">
        <v>1.4030708554626113E-7</v>
      </c>
      <c r="F49">
        <v>-1357555.6256344316</v>
      </c>
      <c r="G49">
        <v>-653544.99014498084</v>
      </c>
      <c r="H49">
        <v>-1357555.6256344316</v>
      </c>
      <c r="I49">
        <v>-653544.99014498084</v>
      </c>
    </row>
    <row r="50" spans="1:9" x14ac:dyDescent="0.25">
      <c r="A50" t="s">
        <v>39</v>
      </c>
      <c r="B50">
        <v>924.37119422952401</v>
      </c>
      <c r="C50">
        <v>30.624630283966201</v>
      </c>
      <c r="D50">
        <v>30.183913590411141</v>
      </c>
      <c r="E50">
        <v>4.8302653935962176E-52</v>
      </c>
      <c r="F50">
        <v>863.61279998082114</v>
      </c>
      <c r="G50">
        <v>985.12958847822688</v>
      </c>
      <c r="H50">
        <v>863.61279998082114</v>
      </c>
      <c r="I50">
        <v>985.12958847822688</v>
      </c>
    </row>
    <row r="51" spans="1:9" x14ac:dyDescent="0.25">
      <c r="A51" t="s">
        <v>239</v>
      </c>
      <c r="B51">
        <v>446443.47896249191</v>
      </c>
      <c r="C51">
        <v>335163.31117219495</v>
      </c>
      <c r="D51">
        <v>1.3320177480080007</v>
      </c>
      <c r="E51">
        <v>0.18588223447892227</v>
      </c>
      <c r="F51">
        <v>-218510.98445719067</v>
      </c>
      <c r="G51">
        <v>1111397.9423821745</v>
      </c>
      <c r="H51">
        <v>-218510.98445719067</v>
      </c>
      <c r="I51">
        <v>1111397.9423821745</v>
      </c>
    </row>
    <row r="52" spans="1:9" ht="13.8" thickBot="1" x14ac:dyDescent="0.3">
      <c r="A52" s="120" t="s">
        <v>241</v>
      </c>
      <c r="B52" s="120">
        <v>175632.98457740858</v>
      </c>
      <c r="C52" s="120">
        <v>420559.5350300977</v>
      </c>
      <c r="D52" s="120">
        <v>0.41761741191966856</v>
      </c>
      <c r="E52" s="120">
        <v>0.67712217038714373</v>
      </c>
      <c r="F52" s="120">
        <v>-658745.15476581478</v>
      </c>
      <c r="G52" s="120">
        <v>1010011.1239206321</v>
      </c>
      <c r="H52" s="120">
        <v>-658745.15476581478</v>
      </c>
      <c r="I52" s="120">
        <v>1010011.1239206321</v>
      </c>
    </row>
    <row r="56" spans="1:9" x14ac:dyDescent="0.25">
      <c r="A56" t="s">
        <v>173</v>
      </c>
    </row>
    <row r="57" spans="1:9" ht="13.8" thickBot="1" x14ac:dyDescent="0.3"/>
    <row r="58" spans="1:9" x14ac:dyDescent="0.25">
      <c r="A58" s="122" t="s">
        <v>174</v>
      </c>
      <c r="B58" s="122"/>
    </row>
    <row r="59" spans="1:9" x14ac:dyDescent="0.25">
      <c r="A59" t="s">
        <v>28</v>
      </c>
      <c r="B59">
        <v>0.97808944799570019</v>
      </c>
    </row>
    <row r="60" spans="1:9" x14ac:dyDescent="0.25">
      <c r="A60" t="s">
        <v>29</v>
      </c>
      <c r="B60">
        <v>0.95665896828053354</v>
      </c>
    </row>
    <row r="61" spans="1:9" x14ac:dyDescent="0.25">
      <c r="A61" t="s">
        <v>30</v>
      </c>
      <c r="B61">
        <v>0.95408425352492165</v>
      </c>
    </row>
    <row r="62" spans="1:9" x14ac:dyDescent="0.25">
      <c r="A62" t="s">
        <v>175</v>
      </c>
      <c r="B62">
        <v>643864.66761522437</v>
      </c>
    </row>
    <row r="63" spans="1:9" ht="13.8" thickBot="1" x14ac:dyDescent="0.3">
      <c r="A63" s="120" t="s">
        <v>176</v>
      </c>
      <c r="B63" s="120">
        <v>108</v>
      </c>
    </row>
    <row r="65" spans="1:9" ht="13.8" thickBot="1" x14ac:dyDescent="0.3">
      <c r="A65" t="s">
        <v>177</v>
      </c>
    </row>
    <row r="66" spans="1:9" x14ac:dyDescent="0.25">
      <c r="A66" s="121"/>
      <c r="B66" s="121" t="s">
        <v>178</v>
      </c>
      <c r="C66" s="121" t="s">
        <v>179</v>
      </c>
      <c r="D66" s="121" t="s">
        <v>180</v>
      </c>
      <c r="E66" s="121" t="s">
        <v>181</v>
      </c>
      <c r="F66" s="121" t="s">
        <v>182</v>
      </c>
    </row>
    <row r="67" spans="1:9" x14ac:dyDescent="0.25">
      <c r="A67" t="s">
        <v>183</v>
      </c>
      <c r="B67">
        <v>6</v>
      </c>
      <c r="C67">
        <v>924205317363210.25</v>
      </c>
      <c r="D67">
        <v>154034219560535.03</v>
      </c>
      <c r="E67">
        <v>371.55920522667344</v>
      </c>
      <c r="F67">
        <v>1.8056218698099236E-66</v>
      </c>
    </row>
    <row r="68" spans="1:9" x14ac:dyDescent="0.25">
      <c r="A68" t="s">
        <v>184</v>
      </c>
      <c r="B68">
        <v>101</v>
      </c>
      <c r="C68">
        <v>41870732730529.594</v>
      </c>
      <c r="D68">
        <v>414561710203.26331</v>
      </c>
    </row>
    <row r="69" spans="1:9" ht="13.8" thickBot="1" x14ac:dyDescent="0.3">
      <c r="A69" s="120" t="s">
        <v>74</v>
      </c>
      <c r="B69" s="120">
        <v>107</v>
      </c>
      <c r="C69" s="120">
        <v>966076050093739.88</v>
      </c>
      <c r="D69" s="120"/>
      <c r="E69" s="120"/>
      <c r="F69" s="120"/>
    </row>
    <row r="70" spans="1:9" ht="13.8" thickBot="1" x14ac:dyDescent="0.3"/>
    <row r="71" spans="1:9" x14ac:dyDescent="0.25">
      <c r="A71" s="121"/>
      <c r="B71" s="121" t="s">
        <v>185</v>
      </c>
      <c r="C71" s="121" t="s">
        <v>175</v>
      </c>
      <c r="D71" s="121" t="s">
        <v>186</v>
      </c>
      <c r="E71" s="121" t="s">
        <v>187</v>
      </c>
      <c r="F71" s="121" t="s">
        <v>188</v>
      </c>
      <c r="G71" s="121" t="s">
        <v>189</v>
      </c>
      <c r="H71" s="121" t="s">
        <v>190</v>
      </c>
      <c r="I71" s="121" t="s">
        <v>191</v>
      </c>
    </row>
    <row r="72" spans="1:9" x14ac:dyDescent="0.25">
      <c r="A72" t="s">
        <v>192</v>
      </c>
      <c r="B72">
        <v>-15981229.054159854</v>
      </c>
      <c r="C72">
        <v>2605082.642231558</v>
      </c>
      <c r="D72">
        <v>-6.1346341935893678</v>
      </c>
      <c r="E72">
        <v>1.678908493730453E-8</v>
      </c>
      <c r="F72">
        <v>-21149012.256816097</v>
      </c>
      <c r="G72">
        <v>-10813445.851503609</v>
      </c>
      <c r="H72">
        <v>-21149012.256816097</v>
      </c>
      <c r="I72">
        <v>-10813445.851503609</v>
      </c>
    </row>
    <row r="73" spans="1:9" x14ac:dyDescent="0.25">
      <c r="A73" t="s">
        <v>35</v>
      </c>
      <c r="B73">
        <v>12041.237756490196</v>
      </c>
      <c r="C73">
        <v>480.45001050641997</v>
      </c>
      <c r="D73">
        <v>25.062415429647068</v>
      </c>
      <c r="E73">
        <v>3.7769903528443168E-45</v>
      </c>
      <c r="F73">
        <v>11088.154175278265</v>
      </c>
      <c r="G73">
        <v>12994.321337702127</v>
      </c>
      <c r="H73">
        <v>11088.154175278265</v>
      </c>
      <c r="I73">
        <v>12994.321337702127</v>
      </c>
    </row>
    <row r="74" spans="1:9" x14ac:dyDescent="0.25">
      <c r="A74" t="s">
        <v>36</v>
      </c>
      <c r="B74">
        <v>43713.620391382108</v>
      </c>
      <c r="C74">
        <v>3106.2254693197965</v>
      </c>
      <c r="D74">
        <v>14.072906433593356</v>
      </c>
      <c r="E74">
        <v>1.511731643796396E-25</v>
      </c>
      <c r="F74">
        <v>37551.704625722108</v>
      </c>
      <c r="G74">
        <v>49875.536157042108</v>
      </c>
      <c r="H74">
        <v>37551.704625722108</v>
      </c>
      <c r="I74">
        <v>49875.536157042108</v>
      </c>
    </row>
    <row r="75" spans="1:9" x14ac:dyDescent="0.25">
      <c r="A75" t="s">
        <v>37</v>
      </c>
      <c r="B75">
        <v>579789.89818280796</v>
      </c>
      <c r="C75">
        <v>84882.190929801538</v>
      </c>
      <c r="D75">
        <v>6.8305246581382457</v>
      </c>
      <c r="E75">
        <v>6.4746288190195806E-10</v>
      </c>
      <c r="F75">
        <v>411406.46443656366</v>
      </c>
      <c r="G75">
        <v>748173.33192905225</v>
      </c>
      <c r="H75">
        <v>411406.46443656366</v>
      </c>
      <c r="I75">
        <v>748173.33192905225</v>
      </c>
    </row>
    <row r="76" spans="1:9" x14ac:dyDescent="0.25">
      <c r="A76" t="s">
        <v>38</v>
      </c>
      <c r="B76">
        <v>-999365.87061774184</v>
      </c>
      <c r="C76">
        <v>176081.38072745287</v>
      </c>
      <c r="D76">
        <v>-5.6755908346982347</v>
      </c>
      <c r="E76">
        <v>1.3284511794173554E-7</v>
      </c>
      <c r="F76">
        <v>-1348663.9646100197</v>
      </c>
      <c r="G76">
        <v>-650067.77662546409</v>
      </c>
      <c r="H76">
        <v>-1348663.9646100197</v>
      </c>
      <c r="I76">
        <v>-650067.77662546409</v>
      </c>
    </row>
    <row r="77" spans="1:9" x14ac:dyDescent="0.25">
      <c r="A77" t="s">
        <v>39</v>
      </c>
      <c r="B77">
        <v>923.97689811500993</v>
      </c>
      <c r="C77">
        <v>30.484709303130739</v>
      </c>
      <c r="D77">
        <v>30.309519730933395</v>
      </c>
      <c r="E77">
        <v>1.6292001614857298E-52</v>
      </c>
      <c r="F77">
        <v>863.50343515430029</v>
      </c>
      <c r="G77">
        <v>984.45036107571957</v>
      </c>
      <c r="H77">
        <v>863.50343515430029</v>
      </c>
      <c r="I77">
        <v>984.45036107571957</v>
      </c>
    </row>
    <row r="78" spans="1:9" ht="13.8" thickBot="1" x14ac:dyDescent="0.3">
      <c r="A78" s="120" t="s">
        <v>239</v>
      </c>
      <c r="B78" s="120">
        <v>436336.04224110651</v>
      </c>
      <c r="C78" s="120">
        <v>332919.24020779011</v>
      </c>
      <c r="D78" s="120">
        <v>1.3106363031730135</v>
      </c>
      <c r="E78" s="120">
        <v>0.19295314208462969</v>
      </c>
      <c r="F78" s="120">
        <v>-224086.17603951076</v>
      </c>
      <c r="G78" s="120">
        <v>1096758.2605217239</v>
      </c>
      <c r="H78" s="120">
        <v>-224086.17603951076</v>
      </c>
      <c r="I78" s="120">
        <v>1096758.2605217239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3ef2b3-ceef-4154-81a9-790073af3ae5">
      <Terms xmlns="http://schemas.microsoft.com/office/infopath/2007/PartnerControls"/>
    </lcf76f155ced4ddcb4097134ff3c332f>
    <TaxCatchAll xmlns="1cdc0147-9f97-4ded-b324-48cddb87a9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51D8D7F3A173449C6906EEEEC05BA6" ma:contentTypeVersion="10" ma:contentTypeDescription="Create a new document." ma:contentTypeScope="" ma:versionID="36615f37aaa02a0e5b267197241b6e4c">
  <xsd:schema xmlns:xsd="http://www.w3.org/2001/XMLSchema" xmlns:xs="http://www.w3.org/2001/XMLSchema" xmlns:p="http://schemas.microsoft.com/office/2006/metadata/properties" xmlns:ns2="783ef2b3-ceef-4154-81a9-790073af3ae5" xmlns:ns3="1cdc0147-9f97-4ded-b324-48cddb87a9e4" targetNamespace="http://schemas.microsoft.com/office/2006/metadata/properties" ma:root="true" ma:fieldsID="f32a3ee30777785609ea0751c6174639" ns2:_="" ns3:_="">
    <xsd:import namespace="783ef2b3-ceef-4154-81a9-790073af3ae5"/>
    <xsd:import namespace="1cdc0147-9f97-4ded-b324-48cddb87a9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ef2b3-ceef-4154-81a9-790073af3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88bd0a9-159b-4739-b05e-95b31f115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0147-9f97-4ded-b324-48cddb87a9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02dd15-e04c-4201-a141-b50e76997e99}" ma:internalName="TaxCatchAll" ma:showField="CatchAllData" ma:web="1cdc0147-9f97-4ded-b324-48cddb87a9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A59F0B-AEF7-4A2E-B4DC-94CF39D2A7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CA2A92-6D41-48A0-8ECE-FEA9A94C08F8}">
  <ds:schemaRefs>
    <ds:schemaRef ds:uri="http://schemas.microsoft.com/office/2006/metadata/properties"/>
    <ds:schemaRef ds:uri="http://schemas.microsoft.com/office/infopath/2007/PartnerControls"/>
    <ds:schemaRef ds:uri="783ef2b3-ceef-4154-81a9-790073af3ae5"/>
    <ds:schemaRef ds:uri="1cdc0147-9f97-4ded-b324-48cddb87a9e4"/>
  </ds:schemaRefs>
</ds:datastoreItem>
</file>

<file path=customXml/itemProps3.xml><?xml version="1.0" encoding="utf-8"?>
<ds:datastoreItem xmlns:ds="http://schemas.openxmlformats.org/officeDocument/2006/customXml" ds:itemID="{D510F869-9032-4756-8C23-CFE96250FA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3ef2b3-ceef-4154-81a9-790073af3ae5"/>
    <ds:schemaRef ds:uri="1cdc0147-9f97-4ded-b324-48cddb87a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Exhibit 3</vt:lpstr>
      <vt:lpstr>Inputs</vt:lpstr>
      <vt:lpstr>Load Forecast Summary</vt:lpstr>
      <vt:lpstr>Power Purchased Model</vt:lpstr>
      <vt:lpstr>Power Purchased Model (WN)</vt:lpstr>
      <vt:lpstr>Rate Class Energy Model</vt:lpstr>
      <vt:lpstr>Rate Class Customer Model</vt:lpstr>
      <vt:lpstr>Rate Class Load Model</vt:lpstr>
      <vt:lpstr>LV Consumption</vt:lpstr>
      <vt:lpstr>Selected</vt:lpstr>
      <vt:lpstr>Results</vt:lpstr>
      <vt:lpstr>'Load Forecast Summary'!Print_Area</vt:lpstr>
      <vt:lpstr>'Power Purchased Model'!Print_Area</vt:lpstr>
      <vt:lpstr>'Power Purchased Model (WN)'!Print_Area</vt:lpstr>
      <vt:lpstr>'Rate Class Customer Model'!Print_Area</vt:lpstr>
      <vt:lpstr>'Rate Class Load Model'!Print_Area</vt:lpstr>
      <vt:lpstr>'Power Purchased Model'!Print_Titles</vt:lpstr>
      <vt:lpstr>'Power Purchased Model (WN)'!Print_Titles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subject/>
  <dc:creator/>
  <cp:keywords/>
  <dc:description/>
  <cp:lastModifiedBy/>
  <cp:revision/>
  <dcterms:created xsi:type="dcterms:W3CDTF">2014-03-06T15:42:29Z</dcterms:created>
  <dcterms:modified xsi:type="dcterms:W3CDTF">2026-07-23T02:53:21Z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0x0101002451D8D7F3A173449C6906EEEEC05BA6</vt:lpwstr>
  </property>
  <property fmtid="{D5CDD505-2E9C-101B-9397-08002B2CF9AE}" pid="3" name="MediaServiceImageTags">
    <vt:lpwstr/>
  </property>
</Properties>
</file>