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pcorweb/en-ca/departments/natgas/sites/ON/ONReg/RC_QRAM/IRM/EB-2026-0149 - SB IRM - 202701 Rates/"/>
    </mc:Choice>
  </mc:AlternateContent>
  <xr:revisionPtr revIDLastSave="0" documentId="13_ncr:20000001_{27874C96-9480-4924-A3AC-A3C75AD22AC0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Summary" sheetId="24" r:id="rId1"/>
    <sheet name="ECVA" sheetId="25" r:id="rId2"/>
    <sheet name="CIACVA" sheetId="3" r:id="rId3"/>
    <sheet name="MTVA" sheetId="26" r:id="rId4"/>
    <sheet name="ORDA" sheetId="27" r:id="rId5"/>
    <sheet name="CVVA" sheetId="28" r:id="rId6"/>
    <sheet name="UFGVA" sheetId="14" r:id="rId7"/>
    <sheet name="ADVADA" sheetId="32" r:id="rId8"/>
    <sheet name="S&amp;TVA" sheetId="30" r:id="rId9"/>
    <sheet name="TVA" sheetId="29" r:id="rId10"/>
    <sheet name="COVID" sheetId="31" r:id="rId11"/>
    <sheet name="Load Forecast" sheetId="19" r:id="rId12"/>
  </sheets>
  <definedNames>
    <definedName name="_MailEndCompose" localSheetId="6">UFGVA!#REF!</definedName>
    <definedName name="_xlnm.Print_Area" localSheetId="2">CIACVA!$A$1:$O$42</definedName>
    <definedName name="_xlnm.Print_Area" localSheetId="5">CVVA!$A$1:$O$41</definedName>
    <definedName name="_xlnm.Print_Area" localSheetId="1">ECVA!$A$1:$P$43</definedName>
    <definedName name="_xlnm.Print_Area" localSheetId="3">MTVA!$A$1:$O$46</definedName>
    <definedName name="_xlnm.Print_Area" localSheetId="4">ORDA!$A$1:$O$45</definedName>
    <definedName name="_xlnm.Print_Area" localSheetId="8">'S&amp;TVA'!$A$1:$O$92</definedName>
    <definedName name="_xlnm.Print_Area" localSheetId="9">TVA!$A$1:$O$59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31" l="1"/>
  <c r="G50" i="31" l="1"/>
  <c r="F50" i="31"/>
  <c r="E50" i="31"/>
  <c r="D50" i="31"/>
  <c r="D48" i="31"/>
  <c r="E48" i="31"/>
  <c r="F48" i="31"/>
  <c r="G48" i="31"/>
  <c r="F33" i="31"/>
  <c r="G30" i="31" s="1"/>
  <c r="C48" i="31" l="1"/>
  <c r="G49" i="31" s="1"/>
  <c r="G29" i="31"/>
  <c r="G32" i="31"/>
  <c r="G31" i="31"/>
  <c r="D49" i="31" l="1"/>
  <c r="E49" i="31"/>
  <c r="F49" i="31"/>
  <c r="H14" i="31"/>
  <c r="B15" i="31"/>
  <c r="C15" i="31"/>
  <c r="D15" i="31"/>
  <c r="E15" i="31"/>
  <c r="F15" i="31"/>
  <c r="G15" i="31"/>
  <c r="H15" i="31"/>
  <c r="C14" i="31"/>
  <c r="D20" i="31" s="1"/>
  <c r="D14" i="31"/>
  <c r="E20" i="31" s="1"/>
  <c r="E14" i="31"/>
  <c r="F20" i="31" s="1"/>
  <c r="F14" i="31"/>
  <c r="G20" i="31" s="1"/>
  <c r="G14" i="31"/>
  <c r="H20" i="31" s="1"/>
  <c r="B14" i="31"/>
  <c r="C20" i="31" s="1"/>
  <c r="H18" i="31"/>
  <c r="G18" i="31"/>
  <c r="F18" i="31"/>
  <c r="E18" i="31"/>
  <c r="D18" i="31"/>
  <c r="C18" i="31"/>
  <c r="F21" i="31" l="1"/>
  <c r="C49" i="31"/>
  <c r="G21" i="31"/>
  <c r="D21" i="31"/>
  <c r="C21" i="31"/>
  <c r="H21" i="31"/>
  <c r="E21" i="31"/>
  <c r="I20" i="31"/>
  <c r="B18" i="31"/>
  <c r="I21" i="31" l="1"/>
  <c r="U47" i="29" l="1"/>
  <c r="U46" i="29"/>
  <c r="T47" i="29"/>
  <c r="V47" i="29" s="1"/>
  <c r="T46" i="29"/>
  <c r="U48" i="29"/>
  <c r="T48" i="29"/>
  <c r="V48" i="29" s="1"/>
  <c r="C57" i="29"/>
  <c r="V46" i="29" l="1"/>
  <c r="F78" i="30" l="1"/>
  <c r="E78" i="30"/>
  <c r="V67" i="30"/>
  <c r="V68" i="30"/>
  <c r="V66" i="30"/>
  <c r="B20" i="24" l="1"/>
  <c r="C78" i="30" l="1"/>
  <c r="W6" i="28" l="1"/>
  <c r="W15" i="28" s="1"/>
  <c r="V15" i="28"/>
  <c r="W13" i="28"/>
  <c r="V13" i="28"/>
  <c r="W10" i="28"/>
  <c r="W11" i="28"/>
  <c r="W9" i="28"/>
  <c r="V11" i="28"/>
  <c r="E61" i="31" l="1"/>
  <c r="F61" i="31"/>
  <c r="G61" i="31"/>
  <c r="H61" i="31"/>
  <c r="D61" i="31"/>
  <c r="H60" i="31"/>
  <c r="F60" i="31"/>
  <c r="E60" i="31"/>
  <c r="D60" i="31"/>
  <c r="C41" i="31"/>
  <c r="F42" i="31" l="1"/>
  <c r="D42" i="31"/>
  <c r="G42" i="31"/>
  <c r="E42" i="31"/>
  <c r="C61" i="31"/>
  <c r="C42" i="31" l="1"/>
  <c r="G11" i="31"/>
  <c r="H11" i="31"/>
  <c r="I8" i="31"/>
  <c r="C23" i="31" s="1"/>
  <c r="B28" i="31" s="1"/>
  <c r="F11" i="31"/>
  <c r="E11" i="31"/>
  <c r="D11" i="31"/>
  <c r="C11" i="31"/>
  <c r="B33" i="31" l="1"/>
  <c r="B32" i="31"/>
  <c r="B11" i="31"/>
  <c r="I9" i="31"/>
  <c r="C24" i="31" s="1"/>
  <c r="F47" i="30"/>
  <c r="E47" i="30"/>
  <c r="D47" i="30"/>
  <c r="C35" i="19"/>
  <c r="BA33" i="32" s="1"/>
  <c r="D35" i="19"/>
  <c r="BB33" i="32" s="1"/>
  <c r="E35" i="19"/>
  <c r="BC33" i="32" s="1"/>
  <c r="B35" i="19"/>
  <c r="AZ33" i="32" s="1"/>
  <c r="B34" i="31" l="1"/>
  <c r="I11" i="31"/>
  <c r="BD40" i="32"/>
  <c r="BA40" i="32"/>
  <c r="AZ40" i="32"/>
  <c r="C22" i="19"/>
  <c r="D43" i="31" l="1"/>
  <c r="D57" i="31" s="1"/>
  <c r="G43" i="31"/>
  <c r="G57" i="31" s="1"/>
  <c r="H64" i="31" s="1"/>
  <c r="H63" i="31" s="1"/>
  <c r="E43" i="31"/>
  <c r="E57" i="31" s="1"/>
  <c r="E64" i="31" s="1"/>
  <c r="E63" i="31" s="1"/>
  <c r="F43" i="31"/>
  <c r="F57" i="31" s="1"/>
  <c r="F64" i="31" s="1"/>
  <c r="F63" i="31" s="1"/>
  <c r="G55" i="31"/>
  <c r="F55" i="31"/>
  <c r="E55" i="31"/>
  <c r="D55" i="31"/>
  <c r="D22" i="19"/>
  <c r="C43" i="31" l="1"/>
  <c r="C55" i="31"/>
  <c r="D56" i="31" s="1"/>
  <c r="C50" i="31"/>
  <c r="A22" i="19"/>
  <c r="B22" i="19"/>
  <c r="E56" i="31" l="1"/>
  <c r="F56" i="31"/>
  <c r="G56" i="31"/>
  <c r="C56" i="31" s="1"/>
  <c r="D62" i="31"/>
  <c r="F62" i="31"/>
  <c r="E62" i="31"/>
  <c r="B23" i="19"/>
  <c r="A23" i="19"/>
  <c r="C23" i="19"/>
  <c r="D23" i="19"/>
  <c r="Y19" i="32"/>
  <c r="M19" i="32"/>
  <c r="H62" i="31" l="1"/>
  <c r="C57" i="31"/>
  <c r="D64" i="31"/>
  <c r="D63" i="31" s="1"/>
  <c r="C63" i="31" s="1"/>
  <c r="C62" i="31"/>
  <c r="E30" i="14"/>
  <c r="F30" i="14"/>
  <c r="G30" i="14"/>
  <c r="D30" i="14"/>
  <c r="A18" i="19"/>
  <c r="C18" i="19"/>
  <c r="D18" i="19"/>
  <c r="B18" i="19"/>
  <c r="F7" i="19" l="1"/>
  <c r="C7" i="19"/>
  <c r="BB40" i="32" s="1"/>
  <c r="AY40" i="32" l="1"/>
  <c r="B50" i="29"/>
  <c r="C56" i="29"/>
  <c r="B49" i="29"/>
  <c r="C49" i="29" s="1"/>
  <c r="C50" i="29" s="1"/>
  <c r="C77" i="30"/>
  <c r="B68" i="30"/>
  <c r="B70" i="30" s="1"/>
  <c r="C70" i="30" s="1"/>
  <c r="D49" i="29" l="1"/>
  <c r="D50" i="29" s="1"/>
  <c r="B51" i="29"/>
  <c r="D70" i="30"/>
  <c r="C71" i="30"/>
  <c r="B71" i="30"/>
  <c r="C72" i="30" s="1"/>
  <c r="C51" i="29" l="1"/>
  <c r="E49" i="29"/>
  <c r="E50" i="29" s="1"/>
  <c r="D51" i="29"/>
  <c r="B72" i="30"/>
  <c r="E70" i="30"/>
  <c r="D71" i="30"/>
  <c r="D72" i="30" s="1"/>
  <c r="F49" i="29" l="1"/>
  <c r="F50" i="29" s="1"/>
  <c r="E51" i="29"/>
  <c r="E71" i="30"/>
  <c r="E72" i="30" s="1"/>
  <c r="F70" i="30"/>
  <c r="G49" i="29" l="1"/>
  <c r="G50" i="29" s="1"/>
  <c r="F51" i="29"/>
  <c r="F71" i="30"/>
  <c r="F72" i="30"/>
  <c r="G70" i="30"/>
  <c r="H49" i="29" l="1"/>
  <c r="H50" i="29" s="1"/>
  <c r="G51" i="29"/>
  <c r="H70" i="30"/>
  <c r="G71" i="30"/>
  <c r="G72" i="30" s="1"/>
  <c r="H51" i="29" l="1"/>
  <c r="I49" i="29"/>
  <c r="I50" i="29" s="1"/>
  <c r="I70" i="30"/>
  <c r="H71" i="30"/>
  <c r="H72" i="30"/>
  <c r="I51" i="29" l="1"/>
  <c r="J49" i="29"/>
  <c r="J50" i="29" s="1"/>
  <c r="J70" i="30"/>
  <c r="I71" i="30"/>
  <c r="I72" i="30" s="1"/>
  <c r="J51" i="29" l="1"/>
  <c r="K49" i="29"/>
  <c r="K50" i="29" s="1"/>
  <c r="K70" i="30"/>
  <c r="J71" i="30"/>
  <c r="J72" i="30" s="1"/>
  <c r="L49" i="29" l="1"/>
  <c r="L50" i="29" s="1"/>
  <c r="K51" i="29"/>
  <c r="L70" i="30"/>
  <c r="K71" i="30"/>
  <c r="K72" i="30"/>
  <c r="M49" i="29" l="1"/>
  <c r="M50" i="29" s="1"/>
  <c r="L51" i="29"/>
  <c r="M70" i="30"/>
  <c r="L71" i="30"/>
  <c r="L72" i="30"/>
  <c r="M51" i="29" l="1"/>
  <c r="M71" i="30"/>
  <c r="M72" i="30"/>
  <c r="D78" i="30" s="1"/>
  <c r="D57" i="29" l="1"/>
  <c r="D63" i="29" s="1"/>
  <c r="D70" i="29" s="1"/>
  <c r="C63" i="29" l="1"/>
  <c r="C62" i="29"/>
  <c r="B32" i="30" l="1"/>
  <c r="B33" i="30" s="1"/>
  <c r="C32" i="30" s="1"/>
  <c r="C31" i="30"/>
  <c r="D31" i="30"/>
  <c r="E31" i="30"/>
  <c r="F31" i="30"/>
  <c r="G31" i="30"/>
  <c r="H31" i="30"/>
  <c r="I31" i="30"/>
  <c r="J31" i="30"/>
  <c r="K31" i="30"/>
  <c r="L31" i="30"/>
  <c r="M31" i="30"/>
  <c r="N31" i="30"/>
  <c r="B31" i="30"/>
  <c r="C33" i="30" l="1"/>
  <c r="D32" i="30" s="1"/>
  <c r="D33" i="30" s="1"/>
  <c r="E32" i="30" s="1"/>
  <c r="E33" i="30" s="1"/>
  <c r="F32" i="30" s="1"/>
  <c r="F33" i="30" s="1"/>
  <c r="G32" i="30" s="1"/>
  <c r="G33" i="30" s="1"/>
  <c r="H32" i="30" s="1"/>
  <c r="H33" i="30" s="1"/>
  <c r="I32" i="30" s="1"/>
  <c r="I33" i="30" s="1"/>
  <c r="J32" i="30" s="1"/>
  <c r="J33" i="30" s="1"/>
  <c r="K32" i="30" s="1"/>
  <c r="K33" i="30" s="1"/>
  <c r="L32" i="30" s="1"/>
  <c r="L33" i="30" s="1"/>
  <c r="M32" i="30" s="1"/>
  <c r="M33" i="30" s="1"/>
  <c r="N32" i="30" s="1"/>
  <c r="N33" i="30" s="1"/>
  <c r="C34" i="30"/>
  <c r="B34" i="30"/>
  <c r="E34" i="30" l="1"/>
  <c r="F34" i="30"/>
  <c r="G34" i="30"/>
  <c r="H34" i="30"/>
  <c r="I34" i="30"/>
  <c r="L34" i="30"/>
  <c r="M34" i="30"/>
  <c r="J34" i="30"/>
  <c r="O33" i="30"/>
  <c r="D34" i="30"/>
  <c r="K34" i="30"/>
  <c r="O34" i="30" l="1"/>
  <c r="C56" i="30" s="1"/>
  <c r="B14" i="24" l="1"/>
  <c r="D14" i="24" s="1"/>
  <c r="B20" i="32"/>
  <c r="B21" i="32" s="1"/>
  <c r="C19" i="32" s="1"/>
  <c r="Q13" i="32"/>
  <c r="P13" i="32"/>
  <c r="N13" i="32"/>
  <c r="M13" i="32"/>
  <c r="K13" i="32"/>
  <c r="D13" i="32"/>
  <c r="BI10" i="32"/>
  <c r="BI13" i="32" s="1"/>
  <c r="BH10" i="32"/>
  <c r="BH13" i="32" s="1"/>
  <c r="BG10" i="32"/>
  <c r="BG13" i="32" s="1"/>
  <c r="BF10" i="32"/>
  <c r="BF13" i="32" s="1"/>
  <c r="BE10" i="32"/>
  <c r="BE13" i="32" s="1"/>
  <c r="BD10" i="32"/>
  <c r="BD13" i="32" s="1"/>
  <c r="BC10" i="32"/>
  <c r="BC13" i="32" s="1"/>
  <c r="BB10" i="32"/>
  <c r="BB13" i="32" s="1"/>
  <c r="BA10" i="32"/>
  <c r="BA13" i="32" s="1"/>
  <c r="AZ10" i="32"/>
  <c r="AZ13" i="32" s="1"/>
  <c r="AY10" i="32"/>
  <c r="AY13" i="32" s="1"/>
  <c r="AX10" i="32"/>
  <c r="AX13" i="32" s="1"/>
  <c r="AW10" i="32"/>
  <c r="AW13" i="32" s="1"/>
  <c r="AV10" i="32"/>
  <c r="AV13" i="32" s="1"/>
  <c r="AU10" i="32"/>
  <c r="AU13" i="32" s="1"/>
  <c r="AT10" i="32"/>
  <c r="AT13" i="32" s="1"/>
  <c r="AS10" i="32"/>
  <c r="AS13" i="32" s="1"/>
  <c r="AR10" i="32"/>
  <c r="AR13" i="32" s="1"/>
  <c r="AQ10" i="32"/>
  <c r="AQ13" i="32" s="1"/>
  <c r="AP10" i="32"/>
  <c r="AP13" i="32" s="1"/>
  <c r="AO10" i="32"/>
  <c r="AO13" i="32" s="1"/>
  <c r="AN10" i="32"/>
  <c r="AN13" i="32" s="1"/>
  <c r="AM10" i="32"/>
  <c r="AM13" i="32" s="1"/>
  <c r="AL10" i="32"/>
  <c r="AL13" i="32" s="1"/>
  <c r="AK10" i="32"/>
  <c r="AK13" i="32" s="1"/>
  <c r="AJ10" i="32"/>
  <c r="AJ13" i="32" s="1"/>
  <c r="AI10" i="32"/>
  <c r="AI13" i="32" s="1"/>
  <c r="AH10" i="32"/>
  <c r="AH13" i="32" s="1"/>
  <c r="AG10" i="32"/>
  <c r="AG13" i="32" s="1"/>
  <c r="AF10" i="32"/>
  <c r="AF13" i="32" s="1"/>
  <c r="AE10" i="32"/>
  <c r="AE13" i="32" s="1"/>
  <c r="AD10" i="32"/>
  <c r="AD13" i="32" s="1"/>
  <c r="AC10" i="32"/>
  <c r="AC13" i="32" s="1"/>
  <c r="AB10" i="32"/>
  <c r="AB13" i="32" s="1"/>
  <c r="AA10" i="32"/>
  <c r="AA13" i="32" s="1"/>
  <c r="Z10" i="32"/>
  <c r="Z13" i="32" s="1"/>
  <c r="Y10" i="32"/>
  <c r="Y13" i="32" s="1"/>
  <c r="X10" i="32"/>
  <c r="X13" i="32" s="1"/>
  <c r="W10" i="32"/>
  <c r="W13" i="32" s="1"/>
  <c r="V10" i="32"/>
  <c r="V13" i="32" s="1"/>
  <c r="U10" i="32"/>
  <c r="U13" i="32" s="1"/>
  <c r="T10" i="32"/>
  <c r="T13" i="32" s="1"/>
  <c r="S10" i="32"/>
  <c r="S13" i="32" s="1"/>
  <c r="R10" i="32"/>
  <c r="R13" i="32" s="1"/>
  <c r="Q10" i="32"/>
  <c r="P10" i="32"/>
  <c r="O10" i="32"/>
  <c r="O13" i="32" s="1"/>
  <c r="N10" i="32"/>
  <c r="M10" i="32"/>
  <c r="L10" i="32"/>
  <c r="L13" i="32" s="1"/>
  <c r="K10" i="32"/>
  <c r="J10" i="32"/>
  <c r="J13" i="32" s="1"/>
  <c r="I10" i="32"/>
  <c r="I13" i="32" s="1"/>
  <c r="H10" i="32"/>
  <c r="H13" i="32" s="1"/>
  <c r="G10" i="32"/>
  <c r="G13" i="32" s="1"/>
  <c r="F10" i="32"/>
  <c r="F13" i="32" s="1"/>
  <c r="E10" i="32"/>
  <c r="E13" i="32" s="1"/>
  <c r="D10" i="32"/>
  <c r="C10" i="32"/>
  <c r="B10" i="32"/>
  <c r="B13" i="32" s="1"/>
  <c r="B14" i="32" s="1"/>
  <c r="C12" i="32" s="1"/>
  <c r="BQ6" i="32"/>
  <c r="BQ5" i="32"/>
  <c r="E14" i="24" l="1"/>
  <c r="F14" i="24"/>
  <c r="C20" i="32"/>
  <c r="C21" i="32" s="1"/>
  <c r="D19" i="32" s="1"/>
  <c r="C13" i="32"/>
  <c r="C14" i="32" s="1"/>
  <c r="D12" i="32" s="1"/>
  <c r="AY33" i="32"/>
  <c r="D20" i="32" l="1"/>
  <c r="D21" i="32" s="1"/>
  <c r="E19" i="32" s="1"/>
  <c r="D14" i="32"/>
  <c r="E12" i="32" s="1"/>
  <c r="BC34" i="32"/>
  <c r="BD41" i="32" s="1"/>
  <c r="BA34" i="32"/>
  <c r="BA41" i="32" s="1"/>
  <c r="AZ34" i="32"/>
  <c r="AZ41" i="32" s="1"/>
  <c r="BB34" i="32"/>
  <c r="BB41" i="32" s="1"/>
  <c r="AY41" i="32" l="1"/>
  <c r="AY34" i="32"/>
  <c r="E14" i="32"/>
  <c r="F12" i="32" s="1"/>
  <c r="E20" i="32"/>
  <c r="E21" i="32" s="1"/>
  <c r="F19" i="32" s="1"/>
  <c r="F14" i="32" l="1"/>
  <c r="G12" i="32" s="1"/>
  <c r="F20" i="32"/>
  <c r="F21" i="32" s="1"/>
  <c r="G19" i="32" s="1"/>
  <c r="G20" i="32" l="1"/>
  <c r="G21" i="32" s="1"/>
  <c r="H19" i="32" s="1"/>
  <c r="G14" i="32"/>
  <c r="H12" i="32" s="1"/>
  <c r="H20" i="32" l="1"/>
  <c r="H21" i="32" s="1"/>
  <c r="I19" i="32" s="1"/>
  <c r="H14" i="32"/>
  <c r="I12" i="32" s="1"/>
  <c r="I20" i="32" l="1"/>
  <c r="I21" i="32" s="1"/>
  <c r="J19" i="32" s="1"/>
  <c r="I14" i="32"/>
  <c r="J12" i="32" s="1"/>
  <c r="J20" i="32" l="1"/>
  <c r="J21" i="32" s="1"/>
  <c r="K19" i="32" s="1"/>
  <c r="J14" i="32"/>
  <c r="K12" i="32" s="1"/>
  <c r="K20" i="32" l="1"/>
  <c r="K21" i="32" s="1"/>
  <c r="L19" i="32" s="1"/>
  <c r="K14" i="32"/>
  <c r="L12" i="32" s="1"/>
  <c r="L14" i="32" l="1"/>
  <c r="M12" i="32" s="1"/>
  <c r="L20" i="32"/>
  <c r="L21" i="32" s="1"/>
  <c r="M14" i="32" l="1"/>
  <c r="N12" i="32" s="1"/>
  <c r="M20" i="32"/>
  <c r="M21" i="32" s="1"/>
  <c r="N19" i="32" s="1"/>
  <c r="N14" i="32" l="1"/>
  <c r="O12" i="32" s="1"/>
  <c r="N20" i="32"/>
  <c r="N21" i="32" s="1"/>
  <c r="O19" i="32" s="1"/>
  <c r="O14" i="32" l="1"/>
  <c r="P12" i="32" s="1"/>
  <c r="O20" i="32"/>
  <c r="O21" i="32" s="1"/>
  <c r="P19" i="32" s="1"/>
  <c r="P14" i="32" l="1"/>
  <c r="Q12" i="32" s="1"/>
  <c r="P20" i="32"/>
  <c r="P21" i="32" s="1"/>
  <c r="Q19" i="32" s="1"/>
  <c r="Q14" i="32" l="1"/>
  <c r="R12" i="32" s="1"/>
  <c r="Q20" i="32"/>
  <c r="Q21" i="32" s="1"/>
  <c r="R19" i="32" s="1"/>
  <c r="R14" i="32" l="1"/>
  <c r="S12" i="32" s="1"/>
  <c r="R20" i="32"/>
  <c r="R21" i="32" s="1"/>
  <c r="S19" i="32" s="1"/>
  <c r="S14" i="32" l="1"/>
  <c r="T12" i="32" s="1"/>
  <c r="S20" i="32"/>
  <c r="S21" i="32" s="1"/>
  <c r="T19" i="32" s="1"/>
  <c r="T14" i="32" l="1"/>
  <c r="U12" i="32" s="1"/>
  <c r="T20" i="32"/>
  <c r="T21" i="32" s="1"/>
  <c r="U19" i="32" s="1"/>
  <c r="U20" i="32" l="1"/>
  <c r="U21" i="32" s="1"/>
  <c r="V19" i="32" s="1"/>
  <c r="U14" i="32"/>
  <c r="V12" i="32" s="1"/>
  <c r="V20" i="32" l="1"/>
  <c r="V21" i="32" s="1"/>
  <c r="W19" i="32" s="1"/>
  <c r="V14" i="32"/>
  <c r="W12" i="32" s="1"/>
  <c r="W14" i="32" l="1"/>
  <c r="X12" i="32" s="1"/>
  <c r="W20" i="32"/>
  <c r="W21" i="32" s="1"/>
  <c r="X19" i="32" s="1"/>
  <c r="X20" i="32" l="1"/>
  <c r="X21" i="32" s="1"/>
  <c r="X14" i="32"/>
  <c r="Y12" i="32" s="1"/>
  <c r="Y20" i="32" l="1"/>
  <c r="Y21" i="32" s="1"/>
  <c r="Z19" i="32" s="1"/>
  <c r="Y14" i="32"/>
  <c r="Z12" i="32" s="1"/>
  <c r="Z20" i="32" l="1"/>
  <c r="Z21" i="32" s="1"/>
  <c r="AA19" i="32" s="1"/>
  <c r="Z14" i="32"/>
  <c r="AA12" i="32" s="1"/>
  <c r="AA20" i="32" l="1"/>
  <c r="AA21" i="32" s="1"/>
  <c r="AB19" i="32" s="1"/>
  <c r="AA14" i="32"/>
  <c r="AB12" i="32" s="1"/>
  <c r="AB20" i="32" l="1"/>
  <c r="AB21" i="32" s="1"/>
  <c r="AC19" i="32" s="1"/>
  <c r="AB14" i="32"/>
  <c r="AC12" i="32" s="1"/>
  <c r="AC14" i="32" l="1"/>
  <c r="AD12" i="32" s="1"/>
  <c r="AC20" i="32"/>
  <c r="AC21" i="32" s="1"/>
  <c r="AD19" i="32" s="1"/>
  <c r="AD14" i="32" l="1"/>
  <c r="AE12" i="32" s="1"/>
  <c r="AD20" i="32"/>
  <c r="AD21" i="32" s="1"/>
  <c r="AE19" i="32" s="1"/>
  <c r="AE14" i="32" l="1"/>
  <c r="AF12" i="32" s="1"/>
  <c r="AE20" i="32"/>
  <c r="AE21" i="32" s="1"/>
  <c r="AF19" i="32" s="1"/>
  <c r="AF20" i="32" l="1"/>
  <c r="AF21" i="32" s="1"/>
  <c r="AG19" i="32" s="1"/>
  <c r="AF14" i="32"/>
  <c r="AG12" i="32" s="1"/>
  <c r="AG14" i="32" l="1"/>
  <c r="AH12" i="32" s="1"/>
  <c r="AG20" i="32"/>
  <c r="AG21" i="32" s="1"/>
  <c r="AH19" i="32" s="1"/>
  <c r="AH14" i="32" l="1"/>
  <c r="AI12" i="32" s="1"/>
  <c r="AH20" i="32"/>
  <c r="AH21" i="32" s="1"/>
  <c r="AI19" i="32" s="1"/>
  <c r="AI20" i="32" l="1"/>
  <c r="AI21" i="32" s="1"/>
  <c r="AJ19" i="32" s="1"/>
  <c r="AI14" i="32"/>
  <c r="AJ12" i="32" s="1"/>
  <c r="AJ20" i="32" l="1"/>
  <c r="AJ21" i="32" s="1"/>
  <c r="AK19" i="32" s="1"/>
  <c r="AJ14" i="32"/>
  <c r="AK12" i="32" s="1"/>
  <c r="AK14" i="32" l="1"/>
  <c r="AL12" i="32" s="1"/>
  <c r="AK20" i="32"/>
  <c r="AK21" i="32" s="1"/>
  <c r="AL19" i="32" s="1"/>
  <c r="AL20" i="32" l="1"/>
  <c r="AL21" i="32" s="1"/>
  <c r="AM19" i="32" s="1"/>
  <c r="AL14" i="32"/>
  <c r="AM12" i="32" s="1"/>
  <c r="AM20" i="32" l="1"/>
  <c r="AM21" i="32" s="1"/>
  <c r="AN19" i="32" s="1"/>
  <c r="AM14" i="32"/>
  <c r="AN12" i="32" s="1"/>
  <c r="AN14" i="32" l="1"/>
  <c r="AO12" i="32" s="1"/>
  <c r="AN20" i="32"/>
  <c r="AN21" i="32" s="1"/>
  <c r="AO19" i="32" s="1"/>
  <c r="AO14" i="32" l="1"/>
  <c r="AP12" i="32" s="1"/>
  <c r="AO20" i="32"/>
  <c r="AO21" i="32" s="1"/>
  <c r="AP19" i="32" s="1"/>
  <c r="AP14" i="32" l="1"/>
  <c r="AQ12" i="32" s="1"/>
  <c r="AP20" i="32"/>
  <c r="AP21" i="32" s="1"/>
  <c r="AQ19" i="32" s="1"/>
  <c r="AQ14" i="32" l="1"/>
  <c r="AR12" i="32" s="1"/>
  <c r="AQ20" i="32"/>
  <c r="AQ21" i="32" s="1"/>
  <c r="AR19" i="32" s="1"/>
  <c r="AR14" i="32" l="1"/>
  <c r="AS12" i="32" s="1"/>
  <c r="AR20" i="32"/>
  <c r="AR21" i="32" s="1"/>
  <c r="AS19" i="32" s="1"/>
  <c r="AS14" i="32" l="1"/>
  <c r="AT12" i="32" s="1"/>
  <c r="AS20" i="32"/>
  <c r="AS21" i="32" s="1"/>
  <c r="AT19" i="32" s="1"/>
  <c r="AT20" i="32" l="1"/>
  <c r="AT21" i="32" s="1"/>
  <c r="AU19" i="32" s="1"/>
  <c r="AT14" i="32"/>
  <c r="AU12" i="32" s="1"/>
  <c r="AU14" i="32" l="1"/>
  <c r="AV12" i="32" s="1"/>
  <c r="AU20" i="32"/>
  <c r="AU21" i="32" s="1"/>
  <c r="AV19" i="32" s="1"/>
  <c r="AV14" i="32" l="1"/>
  <c r="AW12" i="32" s="1"/>
  <c r="AV20" i="32"/>
  <c r="AV21" i="32" s="1"/>
  <c r="AW19" i="32" s="1"/>
  <c r="AW20" i="32" l="1"/>
  <c r="AW21" i="32" s="1"/>
  <c r="AX19" i="32" s="1"/>
  <c r="AW14" i="32"/>
  <c r="AX12" i="32" s="1"/>
  <c r="AX20" i="32" l="1"/>
  <c r="AX21" i="32" s="1"/>
  <c r="AY19" i="32" s="1"/>
  <c r="AX14" i="32"/>
  <c r="AY12" i="32" s="1"/>
  <c r="AY20" i="32" l="1"/>
  <c r="AY21" i="32" s="1"/>
  <c r="AZ19" i="32" s="1"/>
  <c r="AY14" i="32"/>
  <c r="AZ12" i="32" s="1"/>
  <c r="AZ20" i="32" l="1"/>
  <c r="AZ21" i="32" s="1"/>
  <c r="BA19" i="32" s="1"/>
  <c r="AZ14" i="32"/>
  <c r="BA12" i="32" s="1"/>
  <c r="BA20" i="32" l="1"/>
  <c r="BA21" i="32" s="1"/>
  <c r="BB19" i="32" s="1"/>
  <c r="BA14" i="32"/>
  <c r="BB12" i="32" s="1"/>
  <c r="BB20" i="32" l="1"/>
  <c r="BB21" i="32" s="1"/>
  <c r="BC19" i="32" s="1"/>
  <c r="BB14" i="32"/>
  <c r="BC12" i="32" s="1"/>
  <c r="BC14" i="32" l="1"/>
  <c r="BD12" i="32" s="1"/>
  <c r="BC20" i="32"/>
  <c r="BC21" i="32" s="1"/>
  <c r="BD19" i="32" s="1"/>
  <c r="BD14" i="32" l="1"/>
  <c r="BE12" i="32" s="1"/>
  <c r="BD20" i="32"/>
  <c r="BD21" i="32" s="1"/>
  <c r="BE19" i="32" s="1"/>
  <c r="BE14" i="32" l="1"/>
  <c r="BF12" i="32" s="1"/>
  <c r="BE20" i="32"/>
  <c r="BE21" i="32" s="1"/>
  <c r="BF19" i="32" s="1"/>
  <c r="BF14" i="32" l="1"/>
  <c r="BG12" i="32" s="1"/>
  <c r="BF20" i="32"/>
  <c r="BF21" i="32" s="1"/>
  <c r="BG19" i="32" s="1"/>
  <c r="BG14" i="32" l="1"/>
  <c r="BH12" i="32" s="1"/>
  <c r="BG20" i="32"/>
  <c r="BG21" i="32" s="1"/>
  <c r="BH19" i="32" s="1"/>
  <c r="BH14" i="32" l="1"/>
  <c r="BI12" i="32" s="1"/>
  <c r="BH20" i="32"/>
  <c r="BH21" i="32" s="1"/>
  <c r="BI19" i="32" s="1"/>
  <c r="BI14" i="32" l="1"/>
  <c r="BI20" i="32"/>
  <c r="BI21" i="32" s="1"/>
  <c r="BK19" i="32" l="1"/>
  <c r="AX27" i="32"/>
  <c r="C14" i="24" s="1"/>
  <c r="BK20" i="32"/>
  <c r="AY27" i="32" s="1"/>
  <c r="AY28" i="32" s="1"/>
  <c r="AX26" i="32"/>
  <c r="AZ26" i="32" s="1"/>
  <c r="AX28" i="32" l="1"/>
  <c r="AZ28" i="32" s="1"/>
  <c r="AZ27" i="32"/>
  <c r="BK21" i="32"/>
  <c r="BB35" i="32" l="1"/>
  <c r="BB43" i="32" s="1"/>
  <c r="BB42" i="32" s="1"/>
  <c r="AZ35" i="32"/>
  <c r="AZ43" i="32" s="1"/>
  <c r="AZ42" i="32" s="1"/>
  <c r="BA35" i="32"/>
  <c r="BA43" i="32" s="1"/>
  <c r="BA42" i="32" s="1"/>
  <c r="BC35" i="32"/>
  <c r="BD43" i="32" s="1"/>
  <c r="BD42" i="32" s="1"/>
  <c r="AY42" i="32" l="1"/>
  <c r="AY35" i="32"/>
  <c r="N11" i="25" l="1"/>
  <c r="A2" i="3"/>
  <c r="A2" i="31" s="1"/>
  <c r="A2" i="29" l="1"/>
  <c r="A2" i="28"/>
  <c r="A2" i="26"/>
  <c r="A2" i="27" s="1"/>
  <c r="A2" i="25"/>
  <c r="A2" i="30" s="1"/>
  <c r="C54" i="30" l="1"/>
  <c r="F55" i="30" l="1"/>
  <c r="F56" i="30" s="1"/>
  <c r="E55" i="30"/>
  <c r="E56" i="30" s="1"/>
  <c r="D55" i="30"/>
  <c r="D56" i="30" s="1"/>
  <c r="D68" i="29" l="1"/>
  <c r="D71" i="29" s="1"/>
  <c r="D67" i="29"/>
  <c r="E38" i="28"/>
  <c r="D38" i="28"/>
  <c r="D31" i="28"/>
  <c r="C46" i="28"/>
  <c r="E31" i="28" s="1"/>
  <c r="C45" i="28"/>
  <c r="B47" i="28"/>
  <c r="H36" i="14"/>
  <c r="C47" i="28" l="1"/>
  <c r="D46" i="28" s="1"/>
  <c r="E32" i="28" s="1"/>
  <c r="D45" i="28"/>
  <c r="D32" i="28" s="1"/>
  <c r="C32" i="28" s="1"/>
  <c r="D47" i="28"/>
  <c r="H42" i="27" l="1"/>
  <c r="E36" i="27"/>
  <c r="F36" i="27"/>
  <c r="G36" i="27"/>
  <c r="D36" i="27"/>
  <c r="H41" i="27"/>
  <c r="F41" i="27"/>
  <c r="E41" i="27"/>
  <c r="D41" i="27"/>
  <c r="C35" i="27"/>
  <c r="H43" i="26"/>
  <c r="H44" i="26"/>
  <c r="F44" i="26"/>
  <c r="E44" i="26"/>
  <c r="D44" i="26"/>
  <c r="C44" i="26"/>
  <c r="H42" i="26"/>
  <c r="F42" i="26"/>
  <c r="E42" i="26"/>
  <c r="D42" i="26"/>
  <c r="G33" i="25"/>
  <c r="G39" i="25"/>
  <c r="F39" i="25"/>
  <c r="E39" i="25"/>
  <c r="F42" i="27"/>
  <c r="H39" i="3"/>
  <c r="D39" i="3" l="1"/>
  <c r="D89" i="30"/>
  <c r="D36" i="14"/>
  <c r="D43" i="26"/>
  <c r="E39" i="3"/>
  <c r="E89" i="30"/>
  <c r="E36" i="14"/>
  <c r="F39" i="3"/>
  <c r="F89" i="30"/>
  <c r="F36" i="14"/>
  <c r="E42" i="27"/>
  <c r="F43" i="26"/>
  <c r="E43" i="26"/>
  <c r="G40" i="25"/>
  <c r="F40" i="25"/>
  <c r="E40" i="25"/>
  <c r="D42" i="27"/>
  <c r="B13" i="19"/>
  <c r="C13" i="19"/>
  <c r="D13" i="19"/>
  <c r="A13" i="19"/>
  <c r="C43" i="26" l="1"/>
  <c r="C39" i="3"/>
  <c r="C36" i="14"/>
  <c r="C42" i="27"/>
  <c r="D40" i="25"/>
  <c r="E38" i="3"/>
  <c r="F38" i="3"/>
  <c r="H38" i="3"/>
  <c r="D38" i="3"/>
  <c r="N28" i="30" l="1"/>
  <c r="B28" i="30"/>
  <c r="B27" i="29"/>
  <c r="O25" i="30" l="1"/>
  <c r="M15" i="30"/>
  <c r="M19" i="30" s="1"/>
  <c r="M22" i="30" s="1"/>
  <c r="L15" i="30"/>
  <c r="L19" i="30" s="1"/>
  <c r="L22" i="30" s="1"/>
  <c r="K15" i="30"/>
  <c r="K19" i="30" s="1"/>
  <c r="K22" i="30" s="1"/>
  <c r="J15" i="30"/>
  <c r="J19" i="30" s="1"/>
  <c r="J22" i="30" s="1"/>
  <c r="I15" i="30"/>
  <c r="I19" i="30" s="1"/>
  <c r="I22" i="30" s="1"/>
  <c r="H15" i="30"/>
  <c r="H19" i="30" s="1"/>
  <c r="H22" i="30" s="1"/>
  <c r="G15" i="30"/>
  <c r="G19" i="30" s="1"/>
  <c r="G22" i="30" s="1"/>
  <c r="F15" i="30"/>
  <c r="F19" i="30" s="1"/>
  <c r="F22" i="30" s="1"/>
  <c r="E15" i="30"/>
  <c r="E19" i="30" s="1"/>
  <c r="E22" i="30" s="1"/>
  <c r="D15" i="30"/>
  <c r="D19" i="30" s="1"/>
  <c r="D22" i="30" s="1"/>
  <c r="C15" i="30"/>
  <c r="C19" i="30" s="1"/>
  <c r="C22" i="30" s="1"/>
  <c r="B15" i="30"/>
  <c r="B19" i="30" s="1"/>
  <c r="B22" i="30" s="1"/>
  <c r="B23" i="30" s="1"/>
  <c r="N27" i="29"/>
  <c r="O24" i="29"/>
  <c r="C14" i="29"/>
  <c r="C18" i="29" s="1"/>
  <c r="C21" i="29" s="1"/>
  <c r="D14" i="29"/>
  <c r="D18" i="29" s="1"/>
  <c r="D21" i="29" s="1"/>
  <c r="E14" i="29"/>
  <c r="E18" i="29" s="1"/>
  <c r="E21" i="29" s="1"/>
  <c r="F14" i="29"/>
  <c r="F18" i="29" s="1"/>
  <c r="F21" i="29" s="1"/>
  <c r="G14" i="29"/>
  <c r="G18" i="29" s="1"/>
  <c r="G21" i="29" s="1"/>
  <c r="H14" i="29"/>
  <c r="H18" i="29" s="1"/>
  <c r="H21" i="29" s="1"/>
  <c r="I14" i="29"/>
  <c r="I18" i="29" s="1"/>
  <c r="I21" i="29" s="1"/>
  <c r="J14" i="29"/>
  <c r="J18" i="29" s="1"/>
  <c r="J21" i="29" s="1"/>
  <c r="K14" i="29"/>
  <c r="K18" i="29" s="1"/>
  <c r="K21" i="29" s="1"/>
  <c r="L14" i="29"/>
  <c r="L18" i="29" s="1"/>
  <c r="L21" i="29" s="1"/>
  <c r="M14" i="29"/>
  <c r="M18" i="29" s="1"/>
  <c r="M21" i="29" s="1"/>
  <c r="B14" i="29"/>
  <c r="B18" i="29" s="1"/>
  <c r="B21" i="29" s="1"/>
  <c r="B22" i="29" s="1"/>
  <c r="C20" i="29" s="1"/>
  <c r="C27" i="29" s="1"/>
  <c r="C11" i="14"/>
  <c r="D11" i="14"/>
  <c r="E11" i="14"/>
  <c r="F11" i="14"/>
  <c r="G11" i="14"/>
  <c r="H11" i="14"/>
  <c r="I11" i="14"/>
  <c r="J11" i="14"/>
  <c r="K11" i="14"/>
  <c r="L11" i="14"/>
  <c r="M11" i="14"/>
  <c r="B11" i="14"/>
  <c r="B18" i="28"/>
  <c r="B19" i="28" s="1"/>
  <c r="C17" i="28" s="1"/>
  <c r="M9" i="28"/>
  <c r="M12" i="28" s="1"/>
  <c r="L9" i="28"/>
  <c r="L12" i="28" s="1"/>
  <c r="K9" i="28"/>
  <c r="K12" i="28" s="1"/>
  <c r="J9" i="28"/>
  <c r="J12" i="28" s="1"/>
  <c r="I9" i="28"/>
  <c r="I12" i="28" s="1"/>
  <c r="H9" i="28"/>
  <c r="H12" i="28" s="1"/>
  <c r="G9" i="28"/>
  <c r="G12" i="28" s="1"/>
  <c r="F9" i="28"/>
  <c r="F12" i="28" s="1"/>
  <c r="E9" i="28"/>
  <c r="E12" i="28" s="1"/>
  <c r="D9" i="28"/>
  <c r="D12" i="28" s="1"/>
  <c r="C9" i="28"/>
  <c r="C12" i="28" s="1"/>
  <c r="B9" i="28"/>
  <c r="B12" i="28" s="1"/>
  <c r="B13" i="28" s="1"/>
  <c r="C11" i="28" s="1"/>
  <c r="C13" i="27"/>
  <c r="D13" i="27"/>
  <c r="D16" i="27" s="1"/>
  <c r="E13" i="27"/>
  <c r="E16" i="27" s="1"/>
  <c r="F13" i="27"/>
  <c r="F16" i="27" s="1"/>
  <c r="G13" i="27"/>
  <c r="G16" i="27" s="1"/>
  <c r="H13" i="27"/>
  <c r="H16" i="27" s="1"/>
  <c r="I13" i="27"/>
  <c r="I16" i="27" s="1"/>
  <c r="J13" i="27"/>
  <c r="J16" i="27" s="1"/>
  <c r="K13" i="27"/>
  <c r="K16" i="27" s="1"/>
  <c r="L13" i="27"/>
  <c r="L16" i="27" s="1"/>
  <c r="M13" i="27"/>
  <c r="M16" i="27" s="1"/>
  <c r="B13" i="27"/>
  <c r="B16" i="27" s="1"/>
  <c r="B17" i="27" s="1"/>
  <c r="C15" i="27" s="1"/>
  <c r="B22" i="27"/>
  <c r="B23" i="27" s="1"/>
  <c r="C21" i="27" s="1"/>
  <c r="C16" i="27"/>
  <c r="C17" i="26"/>
  <c r="D17" i="26"/>
  <c r="K17" i="26"/>
  <c r="L17" i="26"/>
  <c r="C14" i="26"/>
  <c r="D14" i="26"/>
  <c r="E14" i="26"/>
  <c r="E17" i="26" s="1"/>
  <c r="F14" i="26"/>
  <c r="F17" i="26" s="1"/>
  <c r="G14" i="26"/>
  <c r="G17" i="26" s="1"/>
  <c r="H14" i="26"/>
  <c r="H17" i="26" s="1"/>
  <c r="I14" i="26"/>
  <c r="I17" i="26" s="1"/>
  <c r="J14" i="26"/>
  <c r="J17" i="26" s="1"/>
  <c r="K14" i="26"/>
  <c r="L14" i="26"/>
  <c r="B14" i="26"/>
  <c r="B17" i="26" s="1"/>
  <c r="M12" i="26"/>
  <c r="M14" i="26" s="1"/>
  <c r="M17" i="26" s="1"/>
  <c r="B23" i="26"/>
  <c r="B24" i="26" s="1"/>
  <c r="C22" i="26" s="1"/>
  <c r="D14" i="25"/>
  <c r="E14" i="25"/>
  <c r="F14" i="25"/>
  <c r="G14" i="25"/>
  <c r="H14" i="25"/>
  <c r="I14" i="25"/>
  <c r="J14" i="25"/>
  <c r="K14" i="25"/>
  <c r="L14" i="25"/>
  <c r="M14" i="25"/>
  <c r="N14" i="25"/>
  <c r="O14" i="25"/>
  <c r="C20" i="25"/>
  <c r="C21" i="25" s="1"/>
  <c r="D19" i="25" s="1"/>
  <c r="C10" i="3"/>
  <c r="C13" i="3" s="1"/>
  <c r="D10" i="3"/>
  <c r="D13" i="3" s="1"/>
  <c r="E10" i="3"/>
  <c r="E13" i="3" s="1"/>
  <c r="F10" i="3"/>
  <c r="F13" i="3" s="1"/>
  <c r="G10" i="3"/>
  <c r="G13" i="3" s="1"/>
  <c r="H10" i="3"/>
  <c r="H13" i="3" s="1"/>
  <c r="I10" i="3"/>
  <c r="I13" i="3" s="1"/>
  <c r="J10" i="3"/>
  <c r="J13" i="3" s="1"/>
  <c r="K10" i="3"/>
  <c r="K13" i="3" s="1"/>
  <c r="L10" i="3"/>
  <c r="L13" i="3" s="1"/>
  <c r="M10" i="3"/>
  <c r="M13" i="3" s="1"/>
  <c r="B10" i="3"/>
  <c r="B13" i="3" s="1"/>
  <c r="B28" i="29" l="1"/>
  <c r="C26" i="29" s="1"/>
  <c r="B29" i="30"/>
  <c r="C27" i="30" s="1"/>
  <c r="C21" i="30"/>
  <c r="C22" i="29"/>
  <c r="C18" i="28"/>
  <c r="C19" i="28" s="1"/>
  <c r="D17" i="28" s="1"/>
  <c r="C13" i="28"/>
  <c r="D11" i="28" s="1"/>
  <c r="C22" i="27"/>
  <c r="C23" i="27" s="1"/>
  <c r="D21" i="27" s="1"/>
  <c r="C17" i="27"/>
  <c r="D15" i="27" s="1"/>
  <c r="B18" i="26"/>
  <c r="C16" i="26" s="1"/>
  <c r="C18" i="26" s="1"/>
  <c r="D16" i="26" s="1"/>
  <c r="C14" i="25"/>
  <c r="C15" i="25" s="1"/>
  <c r="D13" i="25" s="1"/>
  <c r="C23" i="30" l="1"/>
  <c r="D21" i="30" s="1"/>
  <c r="C28" i="30"/>
  <c r="C29" i="30" s="1"/>
  <c r="D27" i="30" s="1"/>
  <c r="D20" i="29"/>
  <c r="D27" i="29" s="1"/>
  <c r="C28" i="29"/>
  <c r="D26" i="29" s="1"/>
  <c r="D22" i="29"/>
  <c r="D18" i="28"/>
  <c r="D19" i="28" s="1"/>
  <c r="E17" i="28" s="1"/>
  <c r="D13" i="28"/>
  <c r="E11" i="28" s="1"/>
  <c r="D22" i="27"/>
  <c r="D23" i="27" s="1"/>
  <c r="E21" i="27" s="1"/>
  <c r="D17" i="27"/>
  <c r="E15" i="27" s="1"/>
  <c r="C23" i="26"/>
  <c r="C24" i="26" s="1"/>
  <c r="D22" i="26" s="1"/>
  <c r="D23" i="26"/>
  <c r="D18" i="26"/>
  <c r="E16" i="26" s="1"/>
  <c r="D20" i="25"/>
  <c r="D21" i="25" s="1"/>
  <c r="E19" i="25" s="1"/>
  <c r="D15" i="25"/>
  <c r="E13" i="25" s="1"/>
  <c r="E15" i="25" s="1"/>
  <c r="F13" i="25" s="1"/>
  <c r="D23" i="30" l="1"/>
  <c r="E21" i="30" s="1"/>
  <c r="D28" i="30"/>
  <c r="D29" i="30" s="1"/>
  <c r="E27" i="30" s="1"/>
  <c r="E20" i="29"/>
  <c r="E27" i="29" s="1"/>
  <c r="D28" i="29"/>
  <c r="E26" i="29" s="1"/>
  <c r="E22" i="29"/>
  <c r="E13" i="28"/>
  <c r="F11" i="28" s="1"/>
  <c r="E18" i="28"/>
  <c r="E19" i="28" s="1"/>
  <c r="F17" i="28" s="1"/>
  <c r="E17" i="27"/>
  <c r="F15" i="27" s="1"/>
  <c r="E22" i="27"/>
  <c r="E23" i="27" s="1"/>
  <c r="F21" i="27" s="1"/>
  <c r="D24" i="26"/>
  <c r="E22" i="26" s="1"/>
  <c r="E18" i="26"/>
  <c r="F16" i="26" s="1"/>
  <c r="E23" i="26"/>
  <c r="E20" i="25"/>
  <c r="E21" i="25" s="1"/>
  <c r="F19" i="25" s="1"/>
  <c r="F15" i="25"/>
  <c r="G13" i="25" s="1"/>
  <c r="F20" i="25"/>
  <c r="E23" i="30" l="1"/>
  <c r="F21" i="30" s="1"/>
  <c r="E28" i="30"/>
  <c r="E29" i="30" s="1"/>
  <c r="F27" i="30" s="1"/>
  <c r="F20" i="29"/>
  <c r="F27" i="29" s="1"/>
  <c r="E28" i="29"/>
  <c r="F26" i="29" s="1"/>
  <c r="F13" i="28"/>
  <c r="G11" i="28" s="1"/>
  <c r="F18" i="28"/>
  <c r="F19" i="28" s="1"/>
  <c r="G17" i="28" s="1"/>
  <c r="F22" i="27"/>
  <c r="F23" i="27" s="1"/>
  <c r="G21" i="27" s="1"/>
  <c r="F17" i="27"/>
  <c r="G15" i="27" s="1"/>
  <c r="E24" i="26"/>
  <c r="F22" i="26" s="1"/>
  <c r="F18" i="26"/>
  <c r="G16" i="26" s="1"/>
  <c r="F23" i="26"/>
  <c r="F21" i="25"/>
  <c r="G19" i="25" s="1"/>
  <c r="G20" i="25"/>
  <c r="G15" i="25"/>
  <c r="H13" i="25" s="1"/>
  <c r="F23" i="30" l="1"/>
  <c r="G21" i="30" s="1"/>
  <c r="F28" i="30"/>
  <c r="F29" i="30" s="1"/>
  <c r="G27" i="30" s="1"/>
  <c r="F22" i="29"/>
  <c r="G20" i="29"/>
  <c r="G27" i="29" s="1"/>
  <c r="F28" i="29"/>
  <c r="G26" i="29" s="1"/>
  <c r="G18" i="28"/>
  <c r="G19" i="28" s="1"/>
  <c r="H17" i="28" s="1"/>
  <c r="G13" i="28"/>
  <c r="H11" i="28" s="1"/>
  <c r="G22" i="27"/>
  <c r="G23" i="27" s="1"/>
  <c r="H21" i="27" s="1"/>
  <c r="G17" i="27"/>
  <c r="H15" i="27" s="1"/>
  <c r="F24" i="26"/>
  <c r="G22" i="26" s="1"/>
  <c r="G18" i="26"/>
  <c r="H16" i="26" s="1"/>
  <c r="G23" i="26"/>
  <c r="G21" i="25"/>
  <c r="H19" i="25" s="1"/>
  <c r="H20" i="25"/>
  <c r="H21" i="25" s="1"/>
  <c r="I19" i="25" s="1"/>
  <c r="H15" i="25"/>
  <c r="I13" i="25" s="1"/>
  <c r="G23" i="30" l="1"/>
  <c r="H21" i="30" s="1"/>
  <c r="G28" i="30"/>
  <c r="G29" i="30" s="1"/>
  <c r="H27" i="30" s="1"/>
  <c r="G22" i="29"/>
  <c r="H20" i="29"/>
  <c r="H27" i="29" s="1"/>
  <c r="G28" i="29"/>
  <c r="H26" i="29" s="1"/>
  <c r="H18" i="28"/>
  <c r="H19" i="28" s="1"/>
  <c r="I17" i="28" s="1"/>
  <c r="H13" i="28"/>
  <c r="I11" i="28" s="1"/>
  <c r="H22" i="27"/>
  <c r="H23" i="27" s="1"/>
  <c r="I21" i="27" s="1"/>
  <c r="H17" i="27"/>
  <c r="I15" i="27" s="1"/>
  <c r="G24" i="26"/>
  <c r="H22" i="26" s="1"/>
  <c r="H23" i="26"/>
  <c r="H24" i="26" s="1"/>
  <c r="I22" i="26" s="1"/>
  <c r="H18" i="26"/>
  <c r="I16" i="26" s="1"/>
  <c r="I20" i="25"/>
  <c r="I21" i="25" s="1"/>
  <c r="J19" i="25" s="1"/>
  <c r="I15" i="25"/>
  <c r="J13" i="25" s="1"/>
  <c r="H23" i="30" l="1"/>
  <c r="H28" i="30"/>
  <c r="H29" i="30" s="1"/>
  <c r="I27" i="30" s="1"/>
  <c r="H22" i="29"/>
  <c r="I20" i="29" s="1"/>
  <c r="H28" i="29"/>
  <c r="I26" i="29" s="1"/>
  <c r="I21" i="30"/>
  <c r="I18" i="28"/>
  <c r="I19" i="28" s="1"/>
  <c r="J17" i="28" s="1"/>
  <c r="I13" i="28"/>
  <c r="J11" i="28" s="1"/>
  <c r="I22" i="27"/>
  <c r="I23" i="27" s="1"/>
  <c r="J21" i="27" s="1"/>
  <c r="I17" i="27"/>
  <c r="J15" i="27" s="1"/>
  <c r="I23" i="26"/>
  <c r="I24" i="26" s="1"/>
  <c r="J22" i="26" s="1"/>
  <c r="I18" i="26"/>
  <c r="J16" i="26" s="1"/>
  <c r="J20" i="25"/>
  <c r="J21" i="25" s="1"/>
  <c r="K19" i="25" s="1"/>
  <c r="J15" i="25"/>
  <c r="K13" i="25" s="1"/>
  <c r="I23" i="30" l="1"/>
  <c r="J21" i="30" s="1"/>
  <c r="I28" i="30"/>
  <c r="I29" i="30" s="1"/>
  <c r="J27" i="30" s="1"/>
  <c r="I27" i="29"/>
  <c r="I22" i="29"/>
  <c r="J20" i="29" s="1"/>
  <c r="I28" i="29"/>
  <c r="J26" i="29" s="1"/>
  <c r="J18" i="28"/>
  <c r="J19" i="28" s="1"/>
  <c r="K17" i="28" s="1"/>
  <c r="J13" i="28"/>
  <c r="K11" i="28" s="1"/>
  <c r="J17" i="27"/>
  <c r="K15" i="27" s="1"/>
  <c r="J22" i="27"/>
  <c r="J23" i="27" s="1"/>
  <c r="K21" i="27" s="1"/>
  <c r="J23" i="26"/>
  <c r="J24" i="26" s="1"/>
  <c r="K22" i="26" s="1"/>
  <c r="J18" i="26"/>
  <c r="K16" i="26" s="1"/>
  <c r="K20" i="25"/>
  <c r="K21" i="25" s="1"/>
  <c r="L19" i="25" s="1"/>
  <c r="K15" i="25"/>
  <c r="L13" i="25" s="1"/>
  <c r="J23" i="30" l="1"/>
  <c r="K21" i="30" s="1"/>
  <c r="J28" i="30"/>
  <c r="J29" i="30" s="1"/>
  <c r="K27" i="30" s="1"/>
  <c r="J22" i="29"/>
  <c r="K20" i="29" s="1"/>
  <c r="J27" i="29"/>
  <c r="J28" i="29"/>
  <c r="K26" i="29" s="1"/>
  <c r="K18" i="28"/>
  <c r="K19" i="28" s="1"/>
  <c r="L17" i="28" s="1"/>
  <c r="K13" i="28"/>
  <c r="L11" i="28" s="1"/>
  <c r="K22" i="27"/>
  <c r="K23" i="27" s="1"/>
  <c r="L21" i="27" s="1"/>
  <c r="K17" i="27"/>
  <c r="L15" i="27" s="1"/>
  <c r="K23" i="26"/>
  <c r="K24" i="26" s="1"/>
  <c r="L22" i="26" s="1"/>
  <c r="K18" i="26"/>
  <c r="L16" i="26" s="1"/>
  <c r="L20" i="25"/>
  <c r="L21" i="25" s="1"/>
  <c r="M19" i="25" s="1"/>
  <c r="L15" i="25"/>
  <c r="M13" i="25" s="1"/>
  <c r="K23" i="30" l="1"/>
  <c r="L21" i="30" s="1"/>
  <c r="K28" i="30"/>
  <c r="K29" i="30" s="1"/>
  <c r="L27" i="30" s="1"/>
  <c r="K27" i="29"/>
  <c r="K28" i="29" s="1"/>
  <c r="L26" i="29" s="1"/>
  <c r="K22" i="29"/>
  <c r="L20" i="29"/>
  <c r="L27" i="29" s="1"/>
  <c r="L18" i="28"/>
  <c r="L19" i="28" s="1"/>
  <c r="M17" i="28" s="1"/>
  <c r="L13" i="28"/>
  <c r="M11" i="28" s="1"/>
  <c r="L22" i="27"/>
  <c r="L23" i="27" s="1"/>
  <c r="M21" i="27" s="1"/>
  <c r="L17" i="27"/>
  <c r="M15" i="27" s="1"/>
  <c r="L23" i="26"/>
  <c r="L24" i="26" s="1"/>
  <c r="M22" i="26" s="1"/>
  <c r="L18" i="26"/>
  <c r="M16" i="26" s="1"/>
  <c r="M15" i="25"/>
  <c r="N13" i="25" s="1"/>
  <c r="M20" i="25"/>
  <c r="M21" i="25" s="1"/>
  <c r="N19" i="25" s="1"/>
  <c r="L23" i="30" l="1"/>
  <c r="M21" i="30" s="1"/>
  <c r="L28" i="30"/>
  <c r="L29" i="30" s="1"/>
  <c r="M27" i="30" s="1"/>
  <c r="L22" i="29"/>
  <c r="M20" i="29"/>
  <c r="M27" i="29" s="1"/>
  <c r="L28" i="29"/>
  <c r="M26" i="29" s="1"/>
  <c r="M22" i="29"/>
  <c r="M13" i="28"/>
  <c r="M18" i="28"/>
  <c r="M19" i="28" s="1"/>
  <c r="M17" i="27"/>
  <c r="M22" i="27"/>
  <c r="M23" i="27" s="1"/>
  <c r="M18" i="26"/>
  <c r="M23" i="26"/>
  <c r="M24" i="26" s="1"/>
  <c r="N20" i="25"/>
  <c r="N21" i="25" s="1"/>
  <c r="N15" i="25"/>
  <c r="M23" i="30" l="1"/>
  <c r="B40" i="30" s="1"/>
  <c r="M28" i="30"/>
  <c r="M29" i="30" s="1"/>
  <c r="M28" i="29"/>
  <c r="B34" i="29" s="1"/>
  <c r="C20" i="24" s="1"/>
  <c r="B33" i="29"/>
  <c r="O27" i="29"/>
  <c r="C34" i="29" s="1"/>
  <c r="C35" i="29" s="1"/>
  <c r="O17" i="28"/>
  <c r="B25" i="28"/>
  <c r="C12" i="24" s="1"/>
  <c r="B24" i="28"/>
  <c r="O21" i="27"/>
  <c r="B29" i="27"/>
  <c r="C11" i="24" s="1"/>
  <c r="B28" i="27"/>
  <c r="O22" i="26"/>
  <c r="B30" i="26"/>
  <c r="C10" i="24" s="1"/>
  <c r="B29" i="26"/>
  <c r="P19" i="25"/>
  <c r="C27" i="25"/>
  <c r="C26" i="25"/>
  <c r="U66" i="30" l="1"/>
  <c r="B19" i="24"/>
  <c r="D28" i="27"/>
  <c r="B11" i="24"/>
  <c r="O28" i="30"/>
  <c r="C41" i="30" s="1"/>
  <c r="C42" i="30" s="1"/>
  <c r="D40" i="30"/>
  <c r="D29" i="26"/>
  <c r="B10" i="24"/>
  <c r="D24" i="28"/>
  <c r="B12" i="24"/>
  <c r="E26" i="25"/>
  <c r="B8" i="24"/>
  <c r="O26" i="29"/>
  <c r="O28" i="29" s="1"/>
  <c r="D33" i="29"/>
  <c r="O27" i="30"/>
  <c r="B41" i="30"/>
  <c r="C19" i="24" s="1"/>
  <c r="B35" i="29"/>
  <c r="D35" i="29" s="1"/>
  <c r="D34" i="29"/>
  <c r="B26" i="28"/>
  <c r="B30" i="27"/>
  <c r="B31" i="26"/>
  <c r="C28" i="25"/>
  <c r="E19" i="24" l="1"/>
  <c r="F19" i="24"/>
  <c r="G19" i="24"/>
  <c r="D19" i="24"/>
  <c r="W66" i="30"/>
  <c r="E11" i="24"/>
  <c r="D11" i="24"/>
  <c r="F11" i="24"/>
  <c r="O29" i="30"/>
  <c r="F12" i="24"/>
  <c r="E12" i="24"/>
  <c r="D12" i="24"/>
  <c r="D20" i="24"/>
  <c r="G20" i="24"/>
  <c r="F20" i="24"/>
  <c r="E20" i="24"/>
  <c r="B42" i="30"/>
  <c r="D42" i="30" s="1"/>
  <c r="C49" i="30" s="1"/>
  <c r="D41" i="30"/>
  <c r="U67" i="30" s="1"/>
  <c r="W67" i="30" s="1"/>
  <c r="U68" i="30" l="1"/>
  <c r="W68" i="30" s="1"/>
  <c r="H20" i="24"/>
  <c r="H19" i="24"/>
  <c r="J19" i="24" s="1"/>
  <c r="J20" i="24" l="1"/>
  <c r="D8" i="24"/>
  <c r="E8" i="24"/>
  <c r="F8" i="24"/>
  <c r="D10" i="24"/>
  <c r="E10" i="24"/>
  <c r="F10" i="24"/>
  <c r="G7" i="24"/>
  <c r="G14" i="24" s="1"/>
  <c r="H14" i="24" s="1"/>
  <c r="A4" i="14"/>
  <c r="A2" i="14"/>
  <c r="A1" i="14"/>
  <c r="J14" i="24" l="1"/>
  <c r="G8" i="24"/>
  <c r="O15" i="28"/>
  <c r="O18" i="28" s="1"/>
  <c r="G12" i="24"/>
  <c r="H12" i="24" s="1"/>
  <c r="O20" i="26"/>
  <c r="O23" i="26" s="1"/>
  <c r="P17" i="25"/>
  <c r="P20" i="25" s="1"/>
  <c r="O19" i="27"/>
  <c r="O22" i="27" s="1"/>
  <c r="G11" i="24"/>
  <c r="H11" i="24" s="1"/>
  <c r="O16" i="3"/>
  <c r="N15" i="14" s="1"/>
  <c r="G10" i="24"/>
  <c r="H10" i="24" s="1"/>
  <c r="D27" i="25" l="1"/>
  <c r="P21" i="25"/>
  <c r="C29" i="27"/>
  <c r="O23" i="27"/>
  <c r="C30" i="26"/>
  <c r="O24" i="26"/>
  <c r="C25" i="28"/>
  <c r="O19" i="28"/>
  <c r="A2" i="19"/>
  <c r="A1" i="19"/>
  <c r="C30" i="27" l="1"/>
  <c r="D30" i="27" s="1"/>
  <c r="D29" i="27"/>
  <c r="C26" i="28"/>
  <c r="D26" i="28" s="1"/>
  <c r="J12" i="24" s="1"/>
  <c r="D25" i="28"/>
  <c r="D28" i="25"/>
  <c r="E28" i="25" s="1"/>
  <c r="E27" i="25"/>
  <c r="C31" i="26"/>
  <c r="D31" i="26" s="1"/>
  <c r="J10" i="24" s="1"/>
  <c r="D30" i="26"/>
  <c r="J11" i="24" l="1"/>
  <c r="E37" i="27"/>
  <c r="F37" i="27"/>
  <c r="G37" i="27"/>
  <c r="D37" i="27"/>
  <c r="C68" i="29"/>
  <c r="C89" i="30"/>
  <c r="C38" i="28"/>
  <c r="C31" i="28"/>
  <c r="D33" i="25"/>
  <c r="E34" i="25" s="1"/>
  <c r="C47" i="30"/>
  <c r="D48" i="30" s="1"/>
  <c r="D49" i="30" s="1"/>
  <c r="D62" i="30" s="1"/>
  <c r="D84" i="30" s="1"/>
  <c r="D92" i="30" s="1"/>
  <c r="C36" i="26"/>
  <c r="D37" i="26" s="1"/>
  <c r="C30" i="14"/>
  <c r="D31" i="14" s="1"/>
  <c r="D37" i="14" s="1"/>
  <c r="F37" i="26" l="1"/>
  <c r="D38" i="26"/>
  <c r="D46" i="26" s="1"/>
  <c r="D45" i="26" s="1"/>
  <c r="G37" i="26"/>
  <c r="F34" i="25"/>
  <c r="C40" i="29"/>
  <c r="E41" i="25"/>
  <c r="E35" i="25"/>
  <c r="E48" i="30"/>
  <c r="E49" i="30" s="1"/>
  <c r="E62" i="30" s="1"/>
  <c r="E84" i="30" s="1"/>
  <c r="E92" i="30" s="1"/>
  <c r="E91" i="30" s="1"/>
  <c r="F38" i="26"/>
  <c r="F46" i="26" s="1"/>
  <c r="F45" i="26" s="1"/>
  <c r="G34" i="25"/>
  <c r="E37" i="26"/>
  <c r="F48" i="30"/>
  <c r="F49" i="30" s="1"/>
  <c r="F62" i="30" s="1"/>
  <c r="F84" i="30" s="1"/>
  <c r="F92" i="30" s="1"/>
  <c r="F91" i="30" s="1"/>
  <c r="E31" i="14"/>
  <c r="E37" i="14" s="1"/>
  <c r="F31" i="14"/>
  <c r="F37" i="14" s="1"/>
  <c r="G31" i="14"/>
  <c r="H37" i="14" s="1"/>
  <c r="B18" i="14"/>
  <c r="B19" i="14" s="1"/>
  <c r="C17" i="14" s="1"/>
  <c r="C84" i="30" l="1"/>
  <c r="D83" i="30" s="1"/>
  <c r="C62" i="30"/>
  <c r="C37" i="14"/>
  <c r="C55" i="30"/>
  <c r="D33" i="28"/>
  <c r="D41" i="28" s="1"/>
  <c r="D40" i="28" s="1"/>
  <c r="D39" i="28"/>
  <c r="C37" i="26"/>
  <c r="G41" i="25"/>
  <c r="G35" i="25"/>
  <c r="G43" i="25" s="1"/>
  <c r="G42" i="25" s="1"/>
  <c r="E43" i="25"/>
  <c r="E42" i="25" s="1"/>
  <c r="D34" i="25"/>
  <c r="E38" i="26"/>
  <c r="E46" i="26" s="1"/>
  <c r="E45" i="26" s="1"/>
  <c r="C48" i="30"/>
  <c r="D69" i="29"/>
  <c r="D41" i="29"/>
  <c r="F41" i="25"/>
  <c r="F35" i="25"/>
  <c r="F43" i="25" s="1"/>
  <c r="F42" i="25" s="1"/>
  <c r="E39" i="28"/>
  <c r="E33" i="28"/>
  <c r="E41" i="28" s="1"/>
  <c r="E40" i="28" s="1"/>
  <c r="G38" i="26"/>
  <c r="H46" i="26" s="1"/>
  <c r="H45" i="26" s="1"/>
  <c r="C31" i="14"/>
  <c r="B12" i="14"/>
  <c r="C10" i="14" s="1"/>
  <c r="C12" i="14" s="1"/>
  <c r="D10" i="14" s="1"/>
  <c r="D12" i="14" s="1"/>
  <c r="E10" i="14" s="1"/>
  <c r="E12" i="14" s="1"/>
  <c r="F10" i="14" s="1"/>
  <c r="F12" i="14" s="1"/>
  <c r="G10" i="14" s="1"/>
  <c r="G12" i="14" s="1"/>
  <c r="H10" i="14" s="1"/>
  <c r="H12" i="14" s="1"/>
  <c r="I10" i="14" s="1"/>
  <c r="I12" i="14" s="1"/>
  <c r="J10" i="14" s="1"/>
  <c r="J12" i="14" s="1"/>
  <c r="K10" i="14" s="1"/>
  <c r="K12" i="14" s="1"/>
  <c r="L10" i="14" s="1"/>
  <c r="L12" i="14" s="1"/>
  <c r="M10" i="14" s="1"/>
  <c r="M12" i="14" s="1"/>
  <c r="F83" i="30" l="1"/>
  <c r="E83" i="30"/>
  <c r="C83" i="30" s="1"/>
  <c r="D61" i="30"/>
  <c r="D90" i="30" s="1"/>
  <c r="D41" i="25"/>
  <c r="E61" i="30"/>
  <c r="E90" i="30" s="1"/>
  <c r="F61" i="30"/>
  <c r="F90" i="30" s="1"/>
  <c r="C45" i="26"/>
  <c r="C39" i="28"/>
  <c r="C69" i="29"/>
  <c r="D35" i="25"/>
  <c r="D91" i="30"/>
  <c r="D42" i="25"/>
  <c r="C41" i="29"/>
  <c r="C33" i="28"/>
  <c r="C70" i="29"/>
  <c r="C38" i="26"/>
  <c r="C18" i="14"/>
  <c r="C19" i="14" s="1"/>
  <c r="D17" i="14" s="1"/>
  <c r="C90" i="30" l="1"/>
  <c r="C61" i="30"/>
  <c r="C91" i="30"/>
  <c r="D18" i="14"/>
  <c r="D19" i="14" s="1"/>
  <c r="E17" i="14" s="1"/>
  <c r="E18" i="14" l="1"/>
  <c r="E19" i="14" s="1"/>
  <c r="F17" i="14" s="1"/>
  <c r="F18" i="14" l="1"/>
  <c r="F19" i="14" s="1"/>
  <c r="G17" i="14" s="1"/>
  <c r="G18" i="14" l="1"/>
  <c r="G19" i="14" s="1"/>
  <c r="H17" i="14" s="1"/>
  <c r="H18" i="14" l="1"/>
  <c r="H19" i="14" s="1"/>
  <c r="I17" i="14" s="1"/>
  <c r="I18" i="14" l="1"/>
  <c r="I19" i="14" s="1"/>
  <c r="J17" i="14" s="1"/>
  <c r="J18" i="14" l="1"/>
  <c r="J19" i="14" s="1"/>
  <c r="K17" i="14" s="1"/>
  <c r="K18" i="14" l="1"/>
  <c r="K19" i="14" s="1"/>
  <c r="L17" i="14" s="1"/>
  <c r="L18" i="14" l="1"/>
  <c r="L19" i="14" s="1"/>
  <c r="M17" i="14" s="1"/>
  <c r="M18" i="14" l="1"/>
  <c r="M19" i="14" s="1"/>
  <c r="N17" i="14" l="1"/>
  <c r="B25" i="14"/>
  <c r="C13" i="24" s="1"/>
  <c r="B24" i="14"/>
  <c r="B13" i="24" s="1"/>
  <c r="N18" i="14"/>
  <c r="B19" i="3"/>
  <c r="B20" i="3" s="1"/>
  <c r="C18" i="3" s="1"/>
  <c r="B14" i="3"/>
  <c r="C12" i="3" s="1"/>
  <c r="D13" i="24" l="1"/>
  <c r="F13" i="24"/>
  <c r="E13" i="24"/>
  <c r="G13" i="24"/>
  <c r="N19" i="14"/>
  <c r="C25" i="14"/>
  <c r="C19" i="3"/>
  <c r="C20" i="3" s="1"/>
  <c r="D18" i="3" s="1"/>
  <c r="C14" i="3"/>
  <c r="D12" i="3" s="1"/>
  <c r="H13" i="24" l="1"/>
  <c r="D19" i="3"/>
  <c r="D20" i="3" s="1"/>
  <c r="E18" i="3" s="1"/>
  <c r="D14" i="3"/>
  <c r="E12" i="3" s="1"/>
  <c r="E14" i="3" l="1"/>
  <c r="F12" i="3" s="1"/>
  <c r="E19" i="3"/>
  <c r="E20" i="3" s="1"/>
  <c r="F18" i="3" s="1"/>
  <c r="F19" i="3" l="1"/>
  <c r="F20" i="3" s="1"/>
  <c r="G18" i="3" s="1"/>
  <c r="F14" i="3"/>
  <c r="G12" i="3" s="1"/>
  <c r="G19" i="3" l="1"/>
  <c r="G20" i="3" s="1"/>
  <c r="H18" i="3" s="1"/>
  <c r="G14" i="3"/>
  <c r="H12" i="3" s="1"/>
  <c r="H19" i="3" l="1"/>
  <c r="H20" i="3" s="1"/>
  <c r="I18" i="3" s="1"/>
  <c r="H14" i="3"/>
  <c r="I12" i="3" s="1"/>
  <c r="I19" i="3" l="1"/>
  <c r="I20" i="3" s="1"/>
  <c r="J18" i="3" s="1"/>
  <c r="I14" i="3"/>
  <c r="J12" i="3" s="1"/>
  <c r="J19" i="3" l="1"/>
  <c r="J20" i="3" s="1"/>
  <c r="K18" i="3" s="1"/>
  <c r="J14" i="3"/>
  <c r="K12" i="3" s="1"/>
  <c r="K19" i="3" l="1"/>
  <c r="K20" i="3" s="1"/>
  <c r="L18" i="3" s="1"/>
  <c r="K14" i="3"/>
  <c r="L12" i="3" s="1"/>
  <c r="L14" i="3" l="1"/>
  <c r="M12" i="3" s="1"/>
  <c r="L19" i="3"/>
  <c r="L20" i="3" s="1"/>
  <c r="M18" i="3" s="1"/>
  <c r="D24" i="14" l="1"/>
  <c r="M19" i="3"/>
  <c r="M20" i="3" s="1"/>
  <c r="M14" i="3"/>
  <c r="B26" i="14" l="1"/>
  <c r="O19" i="3"/>
  <c r="C26" i="3" s="1"/>
  <c r="C27" i="3" s="1"/>
  <c r="B25" i="3"/>
  <c r="B9" i="24" s="1"/>
  <c r="B22" i="24" s="1"/>
  <c r="O18" i="3"/>
  <c r="B26" i="3"/>
  <c r="F9" i="24" l="1"/>
  <c r="F22" i="24" s="1"/>
  <c r="G9" i="24"/>
  <c r="G22" i="24" s="1"/>
  <c r="E9" i="24"/>
  <c r="E22" i="24" s="1"/>
  <c r="C8" i="24"/>
  <c r="H8" i="24" s="1"/>
  <c r="C9" i="24"/>
  <c r="D9" i="24"/>
  <c r="D22" i="24" s="1"/>
  <c r="O20" i="3"/>
  <c r="D26" i="3"/>
  <c r="B27" i="3"/>
  <c r="D27" i="3" s="1"/>
  <c r="J8" i="24" l="1"/>
  <c r="C22" i="24"/>
  <c r="H9" i="24"/>
  <c r="C26" i="14"/>
  <c r="D26" i="14" s="1"/>
  <c r="J13" i="24" s="1"/>
  <c r="D25" i="14"/>
  <c r="C32" i="3"/>
  <c r="H22" i="24" l="1"/>
  <c r="J9" i="24"/>
  <c r="D32" i="14"/>
  <c r="D39" i="14" s="1"/>
  <c r="D38" i="14" s="1"/>
  <c r="G32" i="14"/>
  <c r="H39" i="14" s="1"/>
  <c r="H38" i="14" s="1"/>
  <c r="F32" i="14"/>
  <c r="F39" i="14" s="1"/>
  <c r="F38" i="14" s="1"/>
  <c r="E32" i="14"/>
  <c r="E39" i="14" s="1"/>
  <c r="E38" i="14" s="1"/>
  <c r="F33" i="3"/>
  <c r="G33" i="3"/>
  <c r="E33" i="3"/>
  <c r="D33" i="3"/>
  <c r="C38" i="14" l="1"/>
  <c r="C32" i="14"/>
  <c r="E40" i="3"/>
  <c r="E34" i="3"/>
  <c r="F40" i="3"/>
  <c r="F34" i="3"/>
  <c r="D40" i="3"/>
  <c r="D34" i="3"/>
  <c r="H40" i="3"/>
  <c r="G34" i="3"/>
  <c r="H42" i="3" s="1"/>
  <c r="H41" i="3" s="1"/>
  <c r="C33" i="3"/>
  <c r="C40" i="3" l="1"/>
  <c r="D42" i="3"/>
  <c r="E42" i="3"/>
  <c r="F42" i="3"/>
  <c r="F41" i="3" l="1"/>
  <c r="E41" i="3"/>
  <c r="D41" i="3"/>
  <c r="C34" i="3"/>
  <c r="D25" i="3" l="1"/>
  <c r="C41" i="3"/>
  <c r="D43" i="27" l="1"/>
  <c r="D45" i="27" l="1"/>
  <c r="D44" i="27" s="1"/>
  <c r="H45" i="27"/>
  <c r="H44" i="27" s="1"/>
  <c r="C37" i="27"/>
  <c r="C43" i="27"/>
  <c r="E43" i="27"/>
  <c r="F45" i="27"/>
  <c r="F44" i="27" s="1"/>
  <c r="E45" i="27"/>
  <c r="E44" i="27" s="1"/>
  <c r="F43" i="27"/>
  <c r="C36" i="27"/>
  <c r="H43" i="27"/>
  <c r="C44" i="27" l="1"/>
  <c r="C40" i="28"/>
</calcChain>
</file>

<file path=xl/sharedStrings.xml><?xml version="1.0" encoding="utf-8"?>
<sst xmlns="http://schemas.openxmlformats.org/spreadsheetml/2006/main" count="906" uniqueCount="239">
  <si>
    <t>EPCOR Natural Gas Limited Partnership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</si>
  <si>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</si>
  <si>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</si>
  <si>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</si>
  <si>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</si>
  <si>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</si>
  <si>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</si>
  <si>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</si>
  <si>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</si>
  <si>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</si>
  <si>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</si>
  <si>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</si>
  <si>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</si>
  <si>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Monthly Interest Rate</t>
  </si>
  <si>
    <t>Opening Interest Balance</t>
  </si>
  <si>
    <t>Monthly Interest Calculation</t>
  </si>
  <si>
    <t>Closing Interest Balance</t>
  </si>
  <si>
    <t>Total</t>
  </si>
  <si>
    <t>Unit</t>
  </si>
  <si>
    <t>Row Sum</t>
  </si>
  <si>
    <t>%</t>
  </si>
  <si>
    <t>$</t>
  </si>
  <si>
    <t>Allocation</t>
  </si>
  <si>
    <t>Rate Rider</t>
  </si>
  <si>
    <t>Volume</t>
  </si>
  <si>
    <t>Rate 1</t>
  </si>
  <si>
    <t>JAN-DEC</t>
  </si>
  <si>
    <r>
      <t>000's m</t>
    </r>
    <r>
      <rPr>
        <vertAlign val="superscript"/>
        <sz val="11"/>
        <rFont val="Arial"/>
        <family val="2"/>
      </rPr>
      <t>3</t>
    </r>
  </si>
  <si>
    <r>
      <t>¢/m</t>
    </r>
    <r>
      <rPr>
        <b/>
        <vertAlign val="superscript"/>
        <sz val="11"/>
        <rFont val="Arial"/>
        <family val="2"/>
      </rPr>
      <t>3</t>
    </r>
  </si>
  <si>
    <t>Jan-Dec</t>
  </si>
  <si>
    <t>Opening UFG Balance</t>
  </si>
  <si>
    <t>Closing UFG Balance</t>
  </si>
  <si>
    <t>UFG Interest</t>
  </si>
  <si>
    <t>R1</t>
  </si>
  <si>
    <t>Principal</t>
  </si>
  <si>
    <t>Carrying Charges</t>
  </si>
  <si>
    <t>UFGVA Account Balance</t>
  </si>
  <si>
    <t>Billing &amp; Allocation Determinants</t>
  </si>
  <si>
    <t>Continuity Schedule</t>
  </si>
  <si>
    <r>
      <t xml:space="preserve">Unaccounted For Gas Variance Account  </t>
    </r>
    <r>
      <rPr>
        <b/>
        <i/>
        <sz val="11"/>
        <rFont val="Arial"/>
        <family val="2"/>
      </rPr>
      <t>(UFGVA)</t>
    </r>
  </si>
  <si>
    <t>Q1</t>
  </si>
  <si>
    <t>Q2</t>
  </si>
  <si>
    <t>Q3</t>
  </si>
  <si>
    <t>Q4</t>
  </si>
  <si>
    <t>UFGVA</t>
  </si>
  <si>
    <t>Check</t>
  </si>
  <si>
    <t>2025 Balance</t>
  </si>
  <si>
    <r>
      <t>Change in UFG Balance (</t>
    </r>
    <r>
      <rPr>
        <b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>)</t>
    </r>
  </si>
  <si>
    <t>Deferral Account Summary</t>
  </si>
  <si>
    <t>CIACVA</t>
  </si>
  <si>
    <t>ECVA</t>
  </si>
  <si>
    <t>MTVA</t>
  </si>
  <si>
    <t>ORDA</t>
  </si>
  <si>
    <t>CVVA</t>
  </si>
  <si>
    <t>TVA</t>
  </si>
  <si>
    <t>S&amp;TVA</t>
  </si>
  <si>
    <t>Contribution In Aid of Construction Variance Account (CIACVA)</t>
  </si>
  <si>
    <t>Difference</t>
  </si>
  <si>
    <t>CIAC Revenue Requirement Based on Amount Paid</t>
  </si>
  <si>
    <t>CIAC Revenue Requirement per Filing</t>
  </si>
  <si>
    <t>Opening CIACVA Balance</t>
  </si>
  <si>
    <t>Change in CIACVA Balance</t>
  </si>
  <si>
    <t>Closing CIACVA Balance</t>
  </si>
  <si>
    <t>CIACVA Account Balance</t>
  </si>
  <si>
    <t>Energy Content Variance Account</t>
  </si>
  <si>
    <t>Opening ECVA Balance</t>
  </si>
  <si>
    <t>Change in ECVA Balance</t>
  </si>
  <si>
    <t>Closing ECVA Balance</t>
  </si>
  <si>
    <t>ECVA Account Balance</t>
  </si>
  <si>
    <t>Annual CIP Rev R1, 6, 11</t>
  </si>
  <si>
    <t>Actual Energy Content</t>
  </si>
  <si>
    <t>Benchmark Energy Content</t>
  </si>
  <si>
    <t>Municipal Tax Variance Account (MTVA)</t>
  </si>
  <si>
    <t>Opening MTVA Balance</t>
  </si>
  <si>
    <t>Change in MTVA Balance</t>
  </si>
  <si>
    <t>Closing MTVA Balance</t>
  </si>
  <si>
    <t>MTVA Account Balance</t>
  </si>
  <si>
    <t>Billed Distribution revenue</t>
  </si>
  <si>
    <t>Distribution Revenue per CIP</t>
  </si>
  <si>
    <t>Municipal taxes per CIP</t>
  </si>
  <si>
    <t>Ratio</t>
  </si>
  <si>
    <t>Property taxes collected through revenues</t>
  </si>
  <si>
    <t>Property taxes paid</t>
  </si>
  <si>
    <t>Other Revenue Deferral Account (ORDA)</t>
  </si>
  <si>
    <t>Opening ORDA Balance</t>
  </si>
  <si>
    <t>Change in ORDA Balance</t>
  </si>
  <si>
    <t>Closing ORDA Balance</t>
  </si>
  <si>
    <t>ORDA Account Balance</t>
  </si>
  <si>
    <t>Variance</t>
  </si>
  <si>
    <t xml:space="preserve">    4505 - Late Payment Charge</t>
  </si>
  <si>
    <t xml:space="preserve">    4506 - Penalty Fees</t>
  </si>
  <si>
    <t xml:space="preserve">    4511 - Collection &amp; NSF Fees</t>
  </si>
  <si>
    <t xml:space="preserve">    4515 - Connection Fees</t>
  </si>
  <si>
    <t xml:space="preserve">    4592 - Miscellaneous Revenue</t>
  </si>
  <si>
    <t>Customer Volume Variance Account (CVVA)</t>
  </si>
  <si>
    <t>Opening CVVA Balance</t>
  </si>
  <si>
    <t>Change in CVVA Balance</t>
  </si>
  <si>
    <t>Closing CVVA Balance</t>
  </si>
  <si>
    <t>CVVA Account Balance</t>
  </si>
  <si>
    <t>Monthly NACS/CIP Difference</t>
  </si>
  <si>
    <t>Unaccounted for Gas</t>
  </si>
  <si>
    <t>Transportation Variance Account - Rate 16 (TVA)</t>
  </si>
  <si>
    <t>Opening TVA Balance</t>
  </si>
  <si>
    <t>Change in TVA Balance</t>
  </si>
  <si>
    <t>Closing TVA Balance</t>
  </si>
  <si>
    <t>TVA Account Balance</t>
  </si>
  <si>
    <t>Storage</t>
  </si>
  <si>
    <t>Transportation</t>
  </si>
  <si>
    <t>ECNG</t>
  </si>
  <si>
    <t>Gas Supply</t>
  </si>
  <si>
    <t>CNG</t>
  </si>
  <si>
    <t>CIAC Revenue Requirement</t>
  </si>
  <si>
    <t>Total Cost</t>
  </si>
  <si>
    <t>Billed R16 Transportation</t>
  </si>
  <si>
    <t>R16 Upstream Recovery</t>
  </si>
  <si>
    <t>Billed R1/R6/R11 Transportation</t>
  </si>
  <si>
    <t>R1/R6/R11 Upstream Recovery</t>
  </si>
  <si>
    <t>Storage &amp; Transportation Variance Account - Rates 1/6/11 (S&amp;S&amp;TVA)</t>
  </si>
  <si>
    <t>Opening S&amp;TVA Balance</t>
  </si>
  <si>
    <t>Change in S&amp;TVA Balance</t>
  </si>
  <si>
    <t>Closing S&amp;TVA Balance</t>
  </si>
  <si>
    <t>S&amp;TVA Account Balance</t>
  </si>
  <si>
    <t>Rate 6</t>
  </si>
  <si>
    <t>Rate 11</t>
  </si>
  <si>
    <t>Rate 16</t>
  </si>
  <si>
    <t>CIACVA Account Balance Allocation (Source: EB-2018-0624, Exhibit 7, Tab 1, Schedule 2, Table 7-25)</t>
  </si>
  <si>
    <t>$000's</t>
  </si>
  <si>
    <t>CD</t>
  </si>
  <si>
    <t>¢/CD/month</t>
  </si>
  <si>
    <t>R6</t>
  </si>
  <si>
    <t>R11</t>
  </si>
  <si>
    <t>R16</t>
  </si>
  <si>
    <t>m3</t>
  </si>
  <si>
    <t>CD/month - m3</t>
  </si>
  <si>
    <t>MTVA Account Balance Allocation (Source: EB-2018-0624, Exhibit 7, Tab 1, Schedule 2, Table 7-27)</t>
  </si>
  <si>
    <t>Rate Base</t>
  </si>
  <si>
    <t>Property Taxes</t>
  </si>
  <si>
    <t>ORDA Account Balance Allocation (Source: EB-2018-0624, Exhibit 7, Tab 1, Schedule 2, Table 7-28)</t>
  </si>
  <si>
    <t>OM&amp;A</t>
  </si>
  <si>
    <t>50% Recovery</t>
  </si>
  <si>
    <t>CVVA Allocation</t>
  </si>
  <si>
    <t>Customer Count</t>
  </si>
  <si>
    <t>#</t>
  </si>
  <si>
    <t>$ per month</t>
  </si>
  <si>
    <t>TVA Account Balance Allocation</t>
  </si>
  <si>
    <t>S&amp;TVA Account Balance Allocation - Upstream Recovery Costs ( EB-2018-0624, Exhibit 7, Tab 1, Schedule 2, Table 7-24 - Enbridge CIAC Rate Base)</t>
  </si>
  <si>
    <t>ECNG/Nomination</t>
  </si>
  <si>
    <t>Fuel</t>
  </si>
  <si>
    <t>TVA Account Balance Recovery (Based on 2026 Forecast Demand Values)</t>
  </si>
  <si>
    <t>EB-2026-0149</t>
  </si>
  <si>
    <t>2026 Carrying Charges</t>
  </si>
  <si>
    <t>2026 Balance</t>
  </si>
  <si>
    <t>CIACVA Account Balance Recovery (Based on 2025 Normalized Annual Consumption Volumes)</t>
  </si>
  <si>
    <t>ECVA Account Balance Allocation (EB-2018-0264, Exhibit 3, Tab 1, Schedule 2, pg. 2 of 3 - 2025 Volumes)</t>
  </si>
  <si>
    <t>ECVA Account Balance Recovery (Based on 2025 Normalized Annual Consumption Volumes)</t>
  </si>
  <si>
    <t>MTVA Account Balance Recovery (Based on 2025 Normalized Annual Consumption Volumes R1/6/11 and Contract Demand R16)</t>
  </si>
  <si>
    <t>ORDA Account Balance Recovery (Based on 2025 Normalized Annual Consumption Volumes R1/6/11 and Contract Demand R16)</t>
  </si>
  <si>
    <t>CVVA Account Balance Allocation (Based on 2025 CVVA calculation workbook)</t>
  </si>
  <si>
    <t>2025 Actual</t>
  </si>
  <si>
    <t>CVVA Account Balance Recovery (Based on 2025 year end customer count)</t>
  </si>
  <si>
    <t>UFGVA Account Balance Allocation (Based on 2025 actual volumes)</t>
  </si>
  <si>
    <t>UFGVA Account Balance Recovery (Based on 2025 Normalized Annual Consumption Volumes R1/6/11 and Contract Demand R16)</t>
  </si>
  <si>
    <t>ADVADA</t>
  </si>
  <si>
    <t>EB-2026-0148</t>
  </si>
  <si>
    <t>Approved Deferral/Variance Disposal Account (ADVADA)</t>
  </si>
  <si>
    <t>Hearing</t>
  </si>
  <si>
    <t>Amount</t>
  </si>
  <si>
    <t>Rate Rider Sunset</t>
  </si>
  <si>
    <t>Two Year Adjustment Window</t>
  </si>
  <si>
    <t>Opening ADVADA Balance</t>
  </si>
  <si>
    <t>Change in ADVADA Balance</t>
  </si>
  <si>
    <t>Closing ADVADA Balance</t>
  </si>
  <si>
    <t>ADVADA Interest</t>
  </si>
  <si>
    <t>ADVADA Account Balance</t>
  </si>
  <si>
    <t>ADVADA 2022 (Approved in EB-2021-0216)</t>
  </si>
  <si>
    <t>ADVADA 2023 (Approved in EB-2022-0184)</t>
  </si>
  <si>
    <t>EB-2021-0216</t>
  </si>
  <si>
    <t>EB-2022-0184</t>
  </si>
  <si>
    <t>Change in Upstream</t>
  </si>
  <si>
    <t>Opening Balance Upstream</t>
  </si>
  <si>
    <t>Closing Balance Upstream</t>
  </si>
  <si>
    <t>S&amp;TVA Account Balance Allocation - (Upstream Plus Transportation and Storage)</t>
  </si>
  <si>
    <t>S&amp;TVA Account Balance Allocation - Combined Allocation</t>
  </si>
  <si>
    <t xml:space="preserve">S&amp;TVA Account Balance Recovery (Based on 2025 Normalized Annual Consumption Volumes) </t>
  </si>
  <si>
    <t>S&amp;TVA Approved Balance</t>
  </si>
  <si>
    <t>Approved Rate Rider</t>
  </si>
  <si>
    <t>Balance</t>
  </si>
  <si>
    <t>Cumulative Balance</t>
  </si>
  <si>
    <t>EB-2025-0178</t>
  </si>
  <si>
    <t>Carrying Charges (3.72%)</t>
  </si>
  <si>
    <t>S&amp;TVA Account Balance - EB-2025-0178 Balance Continued Disposition</t>
  </si>
  <si>
    <t>TVA Account Balance - EB-2025-0178 Balance Continued Disposition</t>
  </si>
  <si>
    <t>TVA Account Balance Allocation - Combined Allocation</t>
  </si>
  <si>
    <t>2025 Weather Normalized Volumes</t>
  </si>
  <si>
    <t>2025 Year End Customer Count</t>
  </si>
  <si>
    <t>2025 Actual Volumes</t>
  </si>
  <si>
    <t>2022-2023 Actual Volumes</t>
  </si>
  <si>
    <t>ADVADA Account Balance Recovery (Based on 2025 Normalized Annual Consumption Volumes R1/6/11 and Contract Demand R16)</t>
  </si>
  <si>
    <t>EFVA</t>
  </si>
  <si>
    <t>Combined</t>
  </si>
  <si>
    <t>ADVADA Account Balance Allocation (Based on Approved DVA Allocations)</t>
  </si>
  <si>
    <t>ADVADA Allocations</t>
  </si>
  <si>
    <t>S&amp;TVA Account Balance Allocation - Transportation &amp; Storage Costs (Based on 2025 actual volumes)</t>
  </si>
  <si>
    <t>Notes</t>
  </si>
  <si>
    <t>Incremental Capital Costs</t>
  </si>
  <si>
    <t>Refer to 'Capital Summary' for additional detail</t>
  </si>
  <si>
    <t>Lost Revenue</t>
  </si>
  <si>
    <t>Refer to 'Lost Revenue Summary' for additional detail</t>
  </si>
  <si>
    <t>COVID-19 Deferral Account</t>
  </si>
  <si>
    <t>COVID Deferral Account - 2027 Recovery</t>
  </si>
  <si>
    <t>WACC</t>
  </si>
  <si>
    <t>Depreciation</t>
  </si>
  <si>
    <t>WACC Allocation</t>
  </si>
  <si>
    <t>Depreciation (CIP Average 2021-2028)</t>
  </si>
  <si>
    <t>Without CVVA</t>
  </si>
  <si>
    <t>With CVVA</t>
  </si>
  <si>
    <t>Regulatory Net Income</t>
  </si>
  <si>
    <t>Regulated Equity</t>
  </si>
  <si>
    <t>Opening Ratebase</t>
  </si>
  <si>
    <t>Closing Ratebase</t>
  </si>
  <si>
    <t>Mid-Year Ratebase</t>
  </si>
  <si>
    <t>Equity Component</t>
  </si>
  <si>
    <t>ROE %</t>
  </si>
  <si>
    <t>Capital</t>
  </si>
  <si>
    <t>Lost Revenue (20 years)</t>
  </si>
  <si>
    <t>S&amp;TVA Account Balance Allocation - EB-2025-0178 Balance Continued Disposition (additional 12 months of remaining 287 months allocation)</t>
  </si>
  <si>
    <t>TVA Account Balance Allocation - EB-2025-0178 Balance Continued Disposition (additional 12 months of remaining 107 months allocation)</t>
  </si>
  <si>
    <t>Carrying Charges - Incremental Capital</t>
  </si>
  <si>
    <t>Carrying Charges - Lost Revenue</t>
  </si>
  <si>
    <t>Cumulative Balance - Incremental Capital</t>
  </si>
  <si>
    <t>Cumulative Balance - Lost Revenue</t>
  </si>
  <si>
    <t>Interest Rate - Incremental Capital</t>
  </si>
  <si>
    <t>Interest Rate - Lost Revenue</t>
  </si>
  <si>
    <t>Combined Balance - Incremental Capital</t>
  </si>
  <si>
    <t>Combined Balance - Lost Revenue</t>
  </si>
  <si>
    <t>COVID-19 Account Balance Recovery (Based on 2025 Normalized Annual Consumption Volumes)</t>
  </si>
  <si>
    <t>COVID 19 Capital Balance Allocation (Source: EB-2018-0624, Exhibit 7, Tab 1, Schedule 2, Table 7-25)</t>
  </si>
  <si>
    <t>COVID 19 Lost Revenue Allocation (lost revenue calculations)</t>
  </si>
  <si>
    <t>COVID 19 Combined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</si>
</sst>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* #,##0_-;\-* #,##0_-;_-* &quot;-&quot;??_-;_-@_-"/>
    <numFmt numFmtId="168" formatCode="_-&quot;$&quot;* #,##0.000000_-;\-&quot;$&quot;* #,##0.000000_-;_-&quot;$&quot;* &quot;-&quot;??_-;_-@_-"/>
    <numFmt numFmtId="169" formatCode="#,##0.0000_);\(#,##0.0000\)"/>
    <numFmt numFmtId="170" formatCode="0.0%"/>
    <numFmt numFmtId="171" formatCode="&quot;$&quot;#,##0"/>
    <numFmt numFmtId="172" formatCode="_(&quot;$&quot;* #,##0_);_(&quot;$&quot;* \(#,##0\);_(&quot;$&quot;* &quot;-&quot;??_);_(@_)"/>
    <numFmt numFmtId="173" formatCode="0.00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name val="Arial"/>
      <family val="2"/>
    </font>
    <font>
      <u/>
      <sz val="11"/>
      <color theme="1"/>
      <name val="Arial"/>
      <family val="2"/>
    </font>
    <font>
      <u/>
      <sz val="11"/>
      <name val="Arial"/>
      <family val="2"/>
    </font>
    <font>
      <b/>
      <i/>
      <sz val="11"/>
      <name val="Arial"/>
      <family val="2"/>
    </font>
    <font>
      <sz val="11"/>
      <color rgb="FF001D35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Arial"/>
      <family val="2"/>
    </font>
    <font>
      <u val="singleAccounting"/>
      <sz val="11"/>
      <color theme="1"/>
      <name val="Arial"/>
      <family val="2"/>
    </font>
    <font>
      <b/>
      <sz val="12"/>
      <color theme="3"/>
      <name val="Arial"/>
      <family val="2"/>
    </font>
    <font>
      <sz val="11"/>
      <color rgb="FF33CC33"/>
      <name val="Arial"/>
      <family val="2"/>
    </font>
    <font>
      <i/>
      <sz val="10"/>
      <color theme="0" tint="-0.34998626667073579"/>
      <name val="Arial"/>
      <family val="2"/>
    </font>
    <font>
      <sz val="11"/>
      <color rgb="FF010302"/>
      <name val="Arial"/>
      <family val="2"/>
    </font>
    <font>
      <b/>
      <sz val="12"/>
      <color theme="1"/>
      <name val="Arial"/>
      <family val="2"/>
    </font>
    <font>
      <b/>
      <u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Gray">
        <fgColor theme="0" tint="-0.34998626667073579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8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44" fontId="6" fillId="0" borderId="0" applyFont="0" applyFill="0" applyBorder="0" applyAlignment="0" applyProtection="0"/>
    <xf numFmtId="0" fontId="23" fillId="0" borderId="0" applyNumberFormat="0" applyBorder="0"/>
    <xf numFmtId="0" fontId="24" fillId="0" borderId="0" applyNumberFormat="0" applyAlignment="0"/>
    <xf numFmtId="0" fontId="25" fillId="0" borderId="0" applyNumberFormat="0">
      <alignment horizontal="center"/>
    </xf>
    <xf numFmtId="3" fontId="10" fillId="3" borderId="4"/>
    <xf numFmtId="0" fontId="1" fillId="4" borderId="10" applyNumberFormat="0" applyFont="0" applyAlignment="0"/>
    <xf numFmtId="3" fontId="1" fillId="0" borderId="11"/>
  </cellStyleXfs>
  <cellXfs count="233">
    <xf numFmtId="0" fontId="0" fillId="0" borderId="0" xfId="0"/>
    <xf numFmtId="0" fontId="0" fillId="0" borderId="2" xfId="0" applyBorder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168" fontId="5" fillId="0" borderId="2" xfId="3" applyNumberFormat="1" applyFont="1" applyBorder="1"/>
    <xf numFmtId="5" fontId="5" fillId="0" borderId="2" xfId="4" applyNumberFormat="1" applyFont="1" applyBorder="1"/>
    <xf numFmtId="5" fontId="9" fillId="0" borderId="2" xfId="4" applyNumberFormat="1" applyFont="1" applyBorder="1"/>
    <xf numFmtId="5" fontId="9" fillId="0" borderId="3" xfId="4" applyNumberFormat="1" applyFont="1" applyBorder="1"/>
    <xf numFmtId="0" fontId="9" fillId="0" borderId="0" xfId="8" applyFont="1"/>
    <xf numFmtId="0" fontId="5" fillId="0" borderId="0" xfId="8" applyFont="1"/>
    <xf numFmtId="0" fontId="8" fillId="0" borderId="4" xfId="8" applyFont="1" applyBorder="1" applyAlignment="1">
      <alignment horizontal="center" vertical="center" wrapText="1"/>
    </xf>
    <xf numFmtId="10" fontId="5" fillId="0" borderId="0" xfId="8" applyNumberFormat="1" applyFont="1"/>
    <xf numFmtId="0" fontId="10" fillId="0" borderId="2" xfId="8" applyFont="1" applyBorder="1" applyAlignment="1">
      <alignment horizontal="left" vertical="center" wrapText="1"/>
    </xf>
    <xf numFmtId="0" fontId="10" fillId="0" borderId="2" xfId="8" applyFont="1" applyBorder="1" applyAlignment="1">
      <alignment horizontal="center" vertical="center" wrapText="1"/>
    </xf>
    <xf numFmtId="37" fontId="10" fillId="0" borderId="2" xfId="4" applyNumberFormat="1" applyFont="1" applyBorder="1" applyAlignment="1">
      <alignment horizontal="center" vertical="center" wrapText="1"/>
    </xf>
    <xf numFmtId="164" fontId="10" fillId="0" borderId="2" xfId="4" applyNumberFormat="1" applyFont="1" applyBorder="1" applyAlignment="1">
      <alignment horizontal="center" vertical="center" wrapText="1"/>
    </xf>
    <xf numFmtId="9" fontId="10" fillId="0" borderId="2" xfId="2" applyFont="1" applyBorder="1" applyAlignment="1">
      <alignment horizontal="center" vertical="center" wrapText="1"/>
    </xf>
    <xf numFmtId="165" fontId="5" fillId="0" borderId="0" xfId="4" applyFont="1"/>
    <xf numFmtId="0" fontId="8" fillId="0" borderId="3" xfId="8" applyFont="1" applyBorder="1" applyAlignment="1">
      <alignment horizontal="left"/>
    </xf>
    <xf numFmtId="0" fontId="8" fillId="0" borderId="3" xfId="8" applyFont="1" applyBorder="1" applyAlignment="1">
      <alignment horizontal="center" vertical="center"/>
    </xf>
    <xf numFmtId="5" fontId="8" fillId="0" borderId="3" xfId="4" applyNumberFormat="1" applyFont="1" applyBorder="1" applyAlignment="1">
      <alignment horizontal="center" vertical="center" wrapText="1"/>
    </xf>
    <xf numFmtId="9" fontId="10" fillId="0" borderId="2" xfId="9" applyFont="1" applyBorder="1" applyAlignment="1">
      <alignment horizontal="center" vertical="center" wrapText="1"/>
    </xf>
    <xf numFmtId="0" fontId="8" fillId="0" borderId="2" xfId="8" applyFont="1" applyBorder="1" applyAlignment="1">
      <alignment horizontal="left"/>
    </xf>
    <xf numFmtId="0" fontId="8" fillId="0" borderId="2" xfId="8" applyFont="1" applyBorder="1" applyAlignment="1">
      <alignment horizontal="center" vertical="center"/>
    </xf>
    <xf numFmtId="5" fontId="8" fillId="0" borderId="2" xfId="4" applyNumberFormat="1" applyFont="1" applyBorder="1" applyAlignment="1">
      <alignment horizontal="center" vertical="center" wrapText="1"/>
    </xf>
    <xf numFmtId="169" fontId="8" fillId="0" borderId="3" xfId="8" applyNumberFormat="1" applyFont="1" applyBorder="1" applyAlignment="1">
      <alignment horizontal="center"/>
    </xf>
    <xf numFmtId="5" fontId="9" fillId="0" borderId="0" xfId="4" applyNumberFormat="1" applyFont="1" applyBorder="1"/>
    <xf numFmtId="5" fontId="13" fillId="0" borderId="2" xfId="4" applyNumberFormat="1" applyFont="1" applyBorder="1"/>
    <xf numFmtId="5" fontId="4" fillId="0" borderId="2" xfId="4" applyNumberFormat="1" applyFont="1" applyBorder="1"/>
    <xf numFmtId="0" fontId="10" fillId="0" borderId="3" xfId="0" applyFont="1" applyBorder="1" applyAlignment="1">
      <alignment horizontal="left"/>
    </xf>
    <xf numFmtId="10" fontId="4" fillId="0" borderId="2" xfId="2" applyNumberFormat="1" applyFont="1" applyBorder="1"/>
    <xf numFmtId="41" fontId="5" fillId="0" borderId="2" xfId="0" applyNumberFormat="1" applyFont="1" applyBorder="1"/>
    <xf numFmtId="167" fontId="5" fillId="0" borderId="2" xfId="4" applyNumberFormat="1" applyFont="1" applyFill="1" applyBorder="1"/>
    <xf numFmtId="41" fontId="10" fillId="0" borderId="2" xfId="0" applyNumberFormat="1" applyFont="1" applyBorder="1"/>
    <xf numFmtId="0" fontId="3" fillId="0" borderId="0" xfId="0" applyFont="1"/>
    <xf numFmtId="43" fontId="3" fillId="0" borderId="0" xfId="1" applyFont="1"/>
    <xf numFmtId="0" fontId="3" fillId="0" borderId="1" xfId="0" applyFont="1" applyBorder="1"/>
    <xf numFmtId="0" fontId="3" fillId="0" borderId="2" xfId="0" applyFont="1" applyBorder="1"/>
    <xf numFmtId="0" fontId="8" fillId="0" borderId="2" xfId="0" applyFont="1" applyBorder="1" applyAlignment="1">
      <alignment horizontal="left"/>
    </xf>
    <xf numFmtId="164" fontId="3" fillId="0" borderId="2" xfId="1" applyNumberFormat="1" applyFont="1" applyFill="1" applyBorder="1"/>
    <xf numFmtId="0" fontId="9" fillId="0" borderId="2" xfId="0" applyFont="1" applyBorder="1" applyAlignment="1">
      <alignment horizontal="left"/>
    </xf>
    <xf numFmtId="165" fontId="10" fillId="0" borderId="2" xfId="4" applyFont="1" applyFill="1" applyBorder="1" applyProtection="1">
      <protection locked="0"/>
    </xf>
    <xf numFmtId="0" fontId="2" fillId="0" borderId="0" xfId="0" applyFont="1"/>
    <xf numFmtId="0" fontId="9" fillId="0" borderId="4" xfId="0" applyFont="1" applyBorder="1" applyAlignment="1">
      <alignment horizontal="center"/>
    </xf>
    <xf numFmtId="0" fontId="9" fillId="0" borderId="0" xfId="0" applyFont="1"/>
    <xf numFmtId="0" fontId="8" fillId="0" borderId="0" xfId="8" applyFont="1"/>
    <xf numFmtId="0" fontId="10" fillId="0" borderId="0" xfId="8" applyFont="1"/>
    <xf numFmtId="0" fontId="10" fillId="0" borderId="1" xfId="8" applyFont="1" applyBorder="1" applyAlignment="1">
      <alignment horizontal="left" vertical="center" wrapText="1"/>
    </xf>
    <xf numFmtId="5" fontId="10" fillId="0" borderId="1" xfId="8" applyNumberFormat="1" applyFont="1" applyBorder="1" applyAlignment="1">
      <alignment horizontal="center" vertical="center" wrapText="1"/>
    </xf>
    <xf numFmtId="5" fontId="10" fillId="0" borderId="3" xfId="8" applyNumberFormat="1" applyFont="1" applyBorder="1" applyAlignment="1">
      <alignment horizontal="center" vertical="center" wrapText="1"/>
    </xf>
    <xf numFmtId="0" fontId="8" fillId="0" borderId="0" xfId="8" applyFont="1" applyAlignment="1">
      <alignment horizontal="left"/>
    </xf>
    <xf numFmtId="5" fontId="10" fillId="0" borderId="0" xfId="8" applyNumberFormat="1" applyFont="1" applyAlignment="1">
      <alignment horizontal="center" vertical="center" wrapText="1"/>
    </xf>
    <xf numFmtId="5" fontId="14" fillId="0" borderId="2" xfId="8" applyNumberFormat="1" applyFont="1" applyBorder="1" applyAlignment="1">
      <alignment horizontal="center" vertical="center" wrapText="1"/>
    </xf>
    <xf numFmtId="5" fontId="8" fillId="0" borderId="2" xfId="5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0" fontId="1" fillId="0" borderId="3" xfId="0" applyNumberFormat="1" applyFont="1" applyBorder="1" applyAlignment="1">
      <alignment horizontal="center" vertical="center"/>
    </xf>
    <xf numFmtId="5" fontId="1" fillId="0" borderId="2" xfId="0" applyNumberFormat="1" applyFont="1" applyBorder="1" applyAlignment="1">
      <alignment horizontal="center"/>
    </xf>
    <xf numFmtId="0" fontId="16" fillId="0" borderId="2" xfId="0" applyFont="1" applyBorder="1"/>
    <xf numFmtId="0" fontId="1" fillId="0" borderId="2" xfId="0" applyFont="1" applyBorder="1"/>
    <xf numFmtId="5" fontId="9" fillId="0" borderId="4" xfId="0" applyNumberFormat="1" applyFont="1" applyBorder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5" fontId="18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9" fillId="0" borderId="4" xfId="0" applyFont="1" applyBorder="1"/>
    <xf numFmtId="5" fontId="3" fillId="0" borderId="2" xfId="1" applyNumberFormat="1" applyFont="1" applyFill="1" applyBorder="1"/>
    <xf numFmtId="10" fontId="3" fillId="0" borderId="2" xfId="2" applyNumberFormat="1" applyFont="1" applyFill="1" applyBorder="1" applyAlignment="1">
      <alignment horizontal="center"/>
    </xf>
    <xf numFmtId="5" fontId="3" fillId="0" borderId="3" xfId="1" applyNumberFormat="1" applyFont="1" applyFill="1" applyBorder="1"/>
    <xf numFmtId="5" fontId="9" fillId="0" borderId="3" xfId="1" applyNumberFormat="1" applyFont="1" applyFill="1" applyBorder="1"/>
    <xf numFmtId="5" fontId="13" fillId="0" borderId="2" xfId="1" applyNumberFormat="1" applyFont="1" applyFill="1" applyBorder="1"/>
    <xf numFmtId="0" fontId="9" fillId="0" borderId="2" xfId="0" applyFont="1" applyBorder="1"/>
    <xf numFmtId="0" fontId="19" fillId="0" borderId="0" xfId="0" applyFont="1"/>
    <xf numFmtId="0" fontId="1" fillId="0" borderId="2" xfId="0" applyFont="1" applyBorder="1" applyAlignment="1">
      <alignment horizontal="left" indent="1"/>
    </xf>
    <xf numFmtId="0" fontId="1" fillId="0" borderId="2" xfId="0" applyFont="1" applyBorder="1" applyAlignment="1" applyProtection="1">
      <alignment horizontal="left" indent="2"/>
      <protection locked="0"/>
    </xf>
    <xf numFmtId="0" fontId="1" fillId="0" borderId="2" xfId="0" applyFont="1" applyBorder="1" applyAlignment="1" applyProtection="1">
      <alignment horizontal="left" indent="1"/>
      <protection locked="0"/>
    </xf>
    <xf numFmtId="170" fontId="2" fillId="0" borderId="4" xfId="2" applyNumberFormat="1" applyFont="1" applyFill="1" applyBorder="1" applyAlignment="1">
      <alignment horizontal="center"/>
    </xf>
    <xf numFmtId="5" fontId="1" fillId="0" borderId="2" xfId="4" applyNumberFormat="1" applyFont="1" applyBorder="1"/>
    <xf numFmtId="168" fontId="9" fillId="0" borderId="2" xfId="3" applyNumberFormat="1" applyFont="1" applyBorder="1"/>
    <xf numFmtId="0" fontId="19" fillId="0" borderId="2" xfId="0" applyFont="1" applyBorder="1"/>
    <xf numFmtId="0" fontId="1" fillId="0" borderId="0" xfId="8" applyFont="1"/>
    <xf numFmtId="0" fontId="10" fillId="0" borderId="6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6" xfId="0" applyBorder="1"/>
    <xf numFmtId="5" fontId="13" fillId="0" borderId="6" xfId="4" applyNumberFormat="1" applyFont="1" applyBorder="1"/>
    <xf numFmtId="0" fontId="19" fillId="0" borderId="6" xfId="0" applyFont="1" applyBorder="1"/>
    <xf numFmtId="167" fontId="5" fillId="0" borderId="1" xfId="4" applyNumberFormat="1" applyFont="1" applyFill="1" applyBorder="1"/>
    <xf numFmtId="171" fontId="1" fillId="0" borderId="0" xfId="0" applyNumberFormat="1" applyFont="1"/>
    <xf numFmtId="164" fontId="13" fillId="0" borderId="2" xfId="4" applyNumberFormat="1" applyFont="1" applyBorder="1"/>
    <xf numFmtId="0" fontId="1" fillId="0" borderId="3" xfId="0" applyFont="1" applyBorder="1" applyAlignment="1">
      <alignment horizontal="left" indent="1"/>
    </xf>
    <xf numFmtId="5" fontId="9" fillId="0" borderId="2" xfId="1" applyNumberFormat="1" applyFont="1" applyFill="1" applyBorder="1"/>
    <xf numFmtId="5" fontId="0" fillId="0" borderId="0" xfId="0" applyNumberFormat="1"/>
    <xf numFmtId="0" fontId="9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5" fontId="1" fillId="0" borderId="9" xfId="0" applyNumberFormat="1" applyFont="1" applyBorder="1" applyAlignment="1">
      <alignment horizontal="center"/>
    </xf>
    <xf numFmtId="5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5" fontId="1" fillId="0" borderId="1" xfId="0" applyNumberFormat="1" applyFont="1" applyBorder="1" applyAlignment="1">
      <alignment horizontal="center"/>
    </xf>
    <xf numFmtId="5" fontId="1" fillId="0" borderId="3" xfId="0" applyNumberFormat="1" applyFont="1" applyBorder="1" applyAlignment="1">
      <alignment horizontal="center"/>
    </xf>
    <xf numFmtId="0" fontId="21" fillId="0" borderId="0" xfId="0" applyFont="1"/>
    <xf numFmtId="9" fontId="2" fillId="0" borderId="0" xfId="2" applyFont="1" applyFill="1" applyBorder="1" applyAlignment="1">
      <alignment horizontal="center"/>
    </xf>
    <xf numFmtId="37" fontId="2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37" fontId="10" fillId="0" borderId="2" xfId="4" applyNumberFormat="1" applyFont="1" applyFill="1" applyBorder="1" applyAlignment="1">
      <alignment horizontal="center" vertical="center" wrapText="1"/>
    </xf>
    <xf numFmtId="164" fontId="10" fillId="0" borderId="2" xfId="4" applyNumberFormat="1" applyFont="1" applyFill="1" applyBorder="1" applyAlignment="1">
      <alignment horizontal="center" vertical="center" wrapText="1"/>
    </xf>
    <xf numFmtId="9" fontId="10" fillId="0" borderId="2" xfId="2" applyFont="1" applyFill="1" applyBorder="1" applyAlignment="1">
      <alignment horizontal="center" vertical="center" wrapText="1"/>
    </xf>
    <xf numFmtId="9" fontId="10" fillId="0" borderId="2" xfId="9" applyFont="1" applyFill="1" applyBorder="1" applyAlignment="1">
      <alignment horizontal="center" vertical="center" wrapText="1"/>
    </xf>
    <xf numFmtId="5" fontId="8" fillId="0" borderId="2" xfId="5" applyNumberFormat="1" applyFont="1" applyFill="1" applyBorder="1" applyAlignment="1">
      <alignment horizontal="center" vertical="center" wrapText="1"/>
    </xf>
    <xf numFmtId="5" fontId="8" fillId="0" borderId="2" xfId="4" applyNumberFormat="1" applyFont="1" applyFill="1" applyBorder="1" applyAlignment="1">
      <alignment horizontal="center" vertical="center" wrapText="1"/>
    </xf>
    <xf numFmtId="5" fontId="10" fillId="0" borderId="2" xfId="4" applyNumberFormat="1" applyFont="1" applyBorder="1" applyAlignment="1">
      <alignment horizontal="center" vertical="center" wrapText="1"/>
    </xf>
    <xf numFmtId="7" fontId="10" fillId="0" borderId="2" xfId="4" applyNumberFormat="1" applyFont="1" applyBorder="1" applyAlignment="1">
      <alignment horizontal="center" vertical="center" wrapText="1"/>
    </xf>
    <xf numFmtId="0" fontId="18" fillId="0" borderId="0" xfId="0" applyFont="1"/>
    <xf numFmtId="0" fontId="1" fillId="0" borderId="1" xfId="0" applyFont="1" applyBorder="1" applyAlignment="1">
      <alignment horizontal="left"/>
    </xf>
    <xf numFmtId="172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72" fontId="9" fillId="0" borderId="3" xfId="0" applyNumberFormat="1" applyFont="1" applyBorder="1"/>
    <xf numFmtId="172" fontId="22" fillId="0" borderId="2" xfId="0" applyNumberFormat="1" applyFont="1" applyBorder="1"/>
    <xf numFmtId="9" fontId="1" fillId="0" borderId="1" xfId="2" applyFont="1" applyFill="1" applyBorder="1" applyAlignment="1">
      <alignment horizontal="center"/>
    </xf>
    <xf numFmtId="9" fontId="1" fillId="0" borderId="3" xfId="2" applyFont="1" applyFill="1" applyBorder="1" applyAlignment="1">
      <alignment horizontal="center"/>
    </xf>
    <xf numFmtId="9" fontId="13" fillId="0" borderId="2" xfId="2" applyFont="1" applyFill="1" applyBorder="1" applyAlignment="1">
      <alignment horizontal="center"/>
    </xf>
    <xf numFmtId="0" fontId="9" fillId="0" borderId="4" xfId="0" applyFont="1" applyBorder="1" applyAlignment="1">
      <alignment vertical="center"/>
    </xf>
    <xf numFmtId="7" fontId="8" fillId="0" borderId="3" xfId="11" applyNumberFormat="1" applyFont="1" applyBorder="1" applyAlignment="1">
      <alignment horizontal="center"/>
    </xf>
    <xf numFmtId="41" fontId="1" fillId="0" borderId="2" xfId="0" applyNumberFormat="1" applyFont="1" applyBorder="1"/>
    <xf numFmtId="167" fontId="1" fillId="0" borderId="2" xfId="4" applyNumberFormat="1" applyFont="1" applyFill="1" applyBorder="1"/>
    <xf numFmtId="168" fontId="1" fillId="0" borderId="2" xfId="3" applyNumberFormat="1" applyFont="1" applyBorder="1"/>
    <xf numFmtId="10" fontId="1" fillId="0" borderId="2" xfId="2" applyNumberFormat="1" applyFont="1" applyFill="1" applyBorder="1" applyAlignment="1">
      <alignment horizontal="center"/>
    </xf>
    <xf numFmtId="10" fontId="1" fillId="0" borderId="2" xfId="2" applyNumberFormat="1" applyFont="1" applyBorder="1"/>
    <xf numFmtId="10" fontId="1" fillId="0" borderId="0" xfId="8" applyNumberFormat="1" applyFont="1"/>
    <xf numFmtId="165" fontId="1" fillId="0" borderId="0" xfId="4" applyFont="1"/>
    <xf numFmtId="15" fontId="1" fillId="0" borderId="0" xfId="0" applyNumberFormat="1" applyFont="1"/>
    <xf numFmtId="164" fontId="1" fillId="0" borderId="0" xfId="1" applyNumberFormat="1" applyFont="1" applyAlignment="1">
      <alignment horizontal="right"/>
    </xf>
    <xf numFmtId="164" fontId="0" fillId="0" borderId="0" xfId="0" applyNumberFormat="1"/>
    <xf numFmtId="43" fontId="0" fillId="0" borderId="0" xfId="0" applyNumberFormat="1"/>
    <xf numFmtId="9" fontId="0" fillId="0" borderId="0" xfId="2" applyFont="1"/>
    <xf numFmtId="7" fontId="0" fillId="0" borderId="0" xfId="0" applyNumberFormat="1"/>
    <xf numFmtId="0" fontId="8" fillId="0" borderId="0" xfId="8" applyFont="1" applyAlignment="1">
      <alignment horizontal="center" vertical="center"/>
    </xf>
    <xf numFmtId="5" fontId="8" fillId="0" borderId="0" xfId="4" applyNumberFormat="1" applyFont="1" applyBorder="1" applyAlignment="1">
      <alignment horizontal="center" vertical="center" wrapText="1"/>
    </xf>
    <xf numFmtId="170" fontId="4" fillId="0" borderId="2" xfId="2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/>
    </xf>
    <xf numFmtId="0" fontId="9" fillId="5" borderId="1" xfId="0" applyFont="1" applyFill="1" applyBorder="1" applyAlignment="1">
      <alignment horizontal="center"/>
    </xf>
    <xf numFmtId="0" fontId="26" fillId="0" borderId="2" xfId="0" applyFont="1" applyBorder="1" applyAlignment="1">
      <alignment vertical="center"/>
    </xf>
    <xf numFmtId="5" fontId="1" fillId="0" borderId="2" xfId="1" applyNumberFormat="1" applyFont="1" applyBorder="1" applyAlignment="1">
      <alignment horizontal="center"/>
    </xf>
    <xf numFmtId="15" fontId="1" fillId="0" borderId="2" xfId="0" applyNumberFormat="1" applyFont="1" applyBorder="1" applyAlignment="1">
      <alignment horizontal="center"/>
    </xf>
    <xf numFmtId="0" fontId="8" fillId="0" borderId="13" xfId="0" applyFont="1" applyBorder="1"/>
    <xf numFmtId="0" fontId="8" fillId="5" borderId="3" xfId="0" applyFont="1" applyFill="1" applyBorder="1" applyAlignment="1">
      <alignment horizontal="center"/>
    </xf>
    <xf numFmtId="0" fontId="10" fillId="0" borderId="14" xfId="0" applyFont="1" applyBorder="1" applyAlignment="1">
      <alignment horizontal="left"/>
    </xf>
    <xf numFmtId="41" fontId="1" fillId="5" borderId="2" xfId="0" applyNumberFormat="1" applyFont="1" applyFill="1" applyBorder="1"/>
    <xf numFmtId="167" fontId="1" fillId="5" borderId="2" xfId="4" applyNumberFormat="1" applyFont="1" applyFill="1" applyBorder="1"/>
    <xf numFmtId="41" fontId="10" fillId="5" borderId="2" xfId="0" applyNumberFormat="1" applyFont="1" applyFill="1" applyBorder="1"/>
    <xf numFmtId="5" fontId="1" fillId="5" borderId="2" xfId="4" applyNumberFormat="1" applyFont="1" applyFill="1" applyBorder="1"/>
    <xf numFmtId="0" fontId="26" fillId="0" borderId="3" xfId="0" applyFont="1" applyBorder="1" applyAlignment="1">
      <alignment vertical="center"/>
    </xf>
    <xf numFmtId="5" fontId="1" fillId="0" borderId="3" xfId="1" applyNumberFormat="1" applyFont="1" applyBorder="1" applyAlignment="1">
      <alignment horizontal="center"/>
    </xf>
    <xf numFmtId="15" fontId="1" fillId="0" borderId="3" xfId="0" applyNumberFormat="1" applyFont="1" applyBorder="1" applyAlignment="1">
      <alignment horizontal="center"/>
    </xf>
    <xf numFmtId="5" fontId="13" fillId="5" borderId="2" xfId="4" applyNumberFormat="1" applyFont="1" applyFill="1" applyBorder="1"/>
    <xf numFmtId="0" fontId="8" fillId="0" borderId="14" xfId="0" applyFont="1" applyBorder="1" applyAlignment="1">
      <alignment horizontal="left"/>
    </xf>
    <xf numFmtId="5" fontId="9" fillId="5" borderId="2" xfId="4" applyNumberFormat="1" applyFont="1" applyFill="1" applyBorder="1"/>
    <xf numFmtId="10" fontId="1" fillId="5" borderId="2" xfId="2" applyNumberFormat="1" applyFont="1" applyFill="1" applyBorder="1" applyAlignment="1">
      <alignment horizontal="center"/>
    </xf>
    <xf numFmtId="0" fontId="10" fillId="0" borderId="13" xfId="0" applyFont="1" applyBorder="1" applyAlignment="1">
      <alignment horizontal="left"/>
    </xf>
    <xf numFmtId="5" fontId="9" fillId="5" borderId="3" xfId="4" applyNumberFormat="1" applyFont="1" applyFill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8" applyFont="1" applyBorder="1" applyAlignment="1">
      <alignment horizontal="left" vertical="center" wrapText="1"/>
    </xf>
    <xf numFmtId="0" fontId="8" fillId="0" borderId="3" xfId="8" applyFont="1" applyBorder="1" applyAlignment="1">
      <alignment horizontal="left" vertical="center" wrapText="1"/>
    </xf>
    <xf numFmtId="7" fontId="19" fillId="0" borderId="0" xfId="0" applyNumberFormat="1" applyFont="1"/>
    <xf numFmtId="0" fontId="1" fillId="0" borderId="2" xfId="0" applyFont="1" applyBorder="1" applyAlignment="1">
      <alignment vertical="center"/>
    </xf>
    <xf numFmtId="5" fontId="5" fillId="0" borderId="2" xfId="4" applyNumberFormat="1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5" fontId="5" fillId="0" borderId="3" xfId="4" applyNumberFormat="1" applyFont="1" applyBorder="1" applyAlignment="1">
      <alignment horizontal="center"/>
    </xf>
    <xf numFmtId="0" fontId="26" fillId="0" borderId="4" xfId="0" applyFont="1" applyBorder="1" applyAlignment="1">
      <alignment vertical="center"/>
    </xf>
    <xf numFmtId="5" fontId="5" fillId="0" borderId="4" xfId="4" applyNumberFormat="1" applyFont="1" applyBorder="1" applyAlignment="1">
      <alignment horizontal="center"/>
    </xf>
    <xf numFmtId="0" fontId="27" fillId="0" borderId="4" xfId="0" applyFont="1" applyBorder="1"/>
    <xf numFmtId="0" fontId="27" fillId="0" borderId="4" xfId="0" applyFont="1" applyBorder="1" applyAlignment="1">
      <alignment horizontal="center"/>
    </xf>
    <xf numFmtId="0" fontId="27" fillId="0" borderId="2" xfId="0" applyFont="1" applyBorder="1" applyAlignment="1">
      <alignment horizontal="left"/>
    </xf>
    <xf numFmtId="5" fontId="1" fillId="0" borderId="2" xfId="1" applyNumberFormat="1" applyFont="1" applyFill="1" applyBorder="1" applyAlignment="1"/>
    <xf numFmtId="0" fontId="13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 indent="1"/>
    </xf>
    <xf numFmtId="5" fontId="9" fillId="0" borderId="4" xfId="1" applyNumberFormat="1" applyFont="1" applyFill="1" applyBorder="1" applyAlignment="1"/>
    <xf numFmtId="10" fontId="1" fillId="0" borderId="0" xfId="2" applyNumberFormat="1" applyFont="1"/>
    <xf numFmtId="9" fontId="1" fillId="0" borderId="0" xfId="2" applyFont="1" applyAlignment="1">
      <alignment horizontal="center"/>
    </xf>
    <xf numFmtId="0" fontId="9" fillId="0" borderId="0" xfId="0" applyFont="1" applyAlignment="1">
      <alignment horizontal="left" indent="1"/>
    </xf>
    <xf numFmtId="5" fontId="9" fillId="0" borderId="0" xfId="1" applyNumberFormat="1" applyFont="1" applyFill="1" applyBorder="1" applyAlignment="1"/>
    <xf numFmtId="5" fontId="1" fillId="0" borderId="0" xfId="0" applyNumberFormat="1" applyFont="1"/>
    <xf numFmtId="7" fontId="1" fillId="0" borderId="0" xfId="0" applyNumberFormat="1" applyFont="1"/>
    <xf numFmtId="43" fontId="1" fillId="0" borderId="0" xfId="1" applyFont="1"/>
    <xf numFmtId="10" fontId="1" fillId="0" borderId="0" xfId="0" applyNumberFormat="1" applyFont="1"/>
    <xf numFmtId="5" fontId="13" fillId="0" borderId="0" xfId="0" applyNumberFormat="1" applyFont="1"/>
    <xf numFmtId="170" fontId="1" fillId="0" borderId="0" xfId="2" applyNumberFormat="1" applyFont="1"/>
    <xf numFmtId="0" fontId="1" fillId="0" borderId="0" xfId="0" applyFont="1" applyAlignment="1">
      <alignment horizontal="left"/>
    </xf>
    <xf numFmtId="0" fontId="28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5" fontId="30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/>
    </xf>
    <xf numFmtId="9" fontId="30" fillId="0" borderId="15" xfId="2" applyFont="1" applyBorder="1" applyAlignment="1">
      <alignment horizontal="center" vertical="center"/>
    </xf>
    <xf numFmtId="0" fontId="32" fillId="0" borderId="3" xfId="0" applyFont="1" applyBorder="1" applyAlignment="1">
      <alignment horizontal="left" vertical="center"/>
    </xf>
    <xf numFmtId="170" fontId="32" fillId="0" borderId="16" xfId="2" applyNumberFormat="1" applyFont="1" applyBorder="1" applyAlignment="1">
      <alignment horizontal="center" vertical="center"/>
    </xf>
    <xf numFmtId="5" fontId="31" fillId="0" borderId="2" xfId="0" applyNumberFormat="1" applyFont="1" applyBorder="1" applyAlignment="1">
      <alignment horizontal="center" vertical="center"/>
    </xf>
    <xf numFmtId="173" fontId="0" fillId="0" borderId="0" xfId="2" applyNumberFormat="1" applyFont="1"/>
    <xf numFmtId="5" fontId="1" fillId="0" borderId="1" xfId="0" applyNumberFormat="1" applyFont="1" applyBorder="1"/>
    <xf numFmtId="5" fontId="1" fillId="0" borderId="3" xfId="0" applyNumberFormat="1" applyFont="1" applyBorder="1"/>
    <xf numFmtId="5" fontId="9" fillId="0" borderId="4" xfId="0" applyNumberFormat="1" applyFont="1" applyBorder="1"/>
    <xf numFmtId="5" fontId="9" fillId="0" borderId="1" xfId="0" applyNumberFormat="1" applyFont="1" applyBorder="1"/>
    <xf numFmtId="5" fontId="9" fillId="0" borderId="3" xfId="0" applyNumberFormat="1" applyFont="1" applyBorder="1"/>
    <xf numFmtId="0" fontId="33" fillId="0" borderId="2" xfId="0" applyFont="1" applyBorder="1" applyAlignment="1">
      <alignment horizontal="left"/>
    </xf>
    <xf numFmtId="10" fontId="1" fillId="0" borderId="2" xfId="2" applyNumberFormat="1" applyFont="1" applyFill="1" applyBorder="1" applyAlignment="1"/>
    <xf numFmtId="0" fontId="13" fillId="0" borderId="0" xfId="0" applyFont="1" applyAlignment="1">
      <alignment horizontal="left"/>
    </xf>
    <xf numFmtId="5" fontId="1" fillId="0" borderId="0" xfId="1" applyNumberFormat="1" applyFont="1" applyFill="1" applyBorder="1" applyAlignment="1"/>
    <xf numFmtId="0" fontId="27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5" fontId="1" fillId="0" borderId="1" xfId="1" applyNumberFormat="1" applyFont="1" applyFill="1" applyBorder="1" applyAlignment="1"/>
    <xf numFmtId="0" fontId="27" fillId="0" borderId="3" xfId="0" applyFont="1" applyBorder="1" applyAlignment="1">
      <alignment horizontal="left"/>
    </xf>
    <xf numFmtId="5" fontId="1" fillId="0" borderId="3" xfId="1" applyNumberFormat="1" applyFont="1" applyFill="1" applyBorder="1" applyAlignment="1"/>
    <xf numFmtId="0" fontId="1" fillId="0" borderId="0" xfId="0" applyFont="1" applyAlignment="1">
      <alignment horizontal="right"/>
    </xf>
    <xf numFmtId="9" fontId="1" fillId="0" borderId="0" xfId="2" applyFont="1" applyFill="1" applyBorder="1" applyAlignme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</cellXfs>
  <cellStyles count="18">
    <cellStyle name="Comma" xfId="1" builtinId="3"/>
    <cellStyle name="Comma 2" xfId="4" xr:uid="{00000000-0005-0000-0000-000001000000}"/>
    <cellStyle name="Comma 2 2" xfId="5" xr:uid="{00000000-0005-0000-0000-000002000000}"/>
    <cellStyle name="Comma 3" xfId="6" xr:uid="{00000000-0005-0000-0000-000003000000}"/>
    <cellStyle name="Currency" xfId="11" builtinId="4"/>
    <cellStyle name="Currency 2" xfId="3" xr:uid="{00000000-0005-0000-0000-000004000000}"/>
    <cellStyle name="Empty_Cell" xfId="16" xr:uid="{0632EA69-47BA-4322-B7C1-D6BD770AF9D0}"/>
    <cellStyle name="Header2" xfId="12" xr:uid="{E7178701-C0D0-4A8B-BAA6-CBD3A0D77CDF}"/>
    <cellStyle name="Line Summary" xfId="15" xr:uid="{00974946-1FDA-4235-BF62-E27D7D933658}"/>
    <cellStyle name="Normal" xfId="0" builtinId="0"/>
    <cellStyle name="Normal 2" xfId="8" xr:uid="{00000000-0005-0000-0000-000006000000}"/>
    <cellStyle name="Normal 2 2 2 2 2" xfId="10" xr:uid="{00000000-0005-0000-0000-000007000000}"/>
    <cellStyle name="Offsheet" xfId="13" xr:uid="{A99AB5A5-12AA-4751-A1B4-2A587DAC6227}"/>
    <cellStyle name="Percent" xfId="2" builtinId="5"/>
    <cellStyle name="Percent 2" xfId="9" xr:uid="{00000000-0005-0000-0000-000009000000}"/>
    <cellStyle name="Percent 3" xfId="7" xr:uid="{00000000-0005-0000-0000-00000A000000}"/>
    <cellStyle name="SubBalance" xfId="17" xr:uid="{81A262A2-A8D5-4999-AC43-62DC809A7D0E}"/>
    <cellStyle name="Unit" xfId="14" xr:uid="{9EED28B8-BD76-4121-81C4-34CDAFE388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C0B8-238C-447E-A13D-72E209DF4A5C}">
  <sheetPr>
    <pageSetUpPr fitToPage="1"/>
  </sheetPr>
  <dimension ref="A1:J22"/>
  <sheetViews>
    <sheetView showGridLines="0" tabSelected="1" workbookViewId="0">
      <selection activeCell="N11" sqref="N11"/>
    </sheetView>
  </sheetViews>
  <sheetFormatPr defaultColWidth="11.7109375" defaultRowHeight="14.25" x14ac:dyDescent="0.2"/>
  <cols>
    <col min="1" max="1" width="11.7109375" style="58"/>
    <col min="2" max="2" width="13.28515625" style="59" bestFit="1" customWidth="1"/>
    <col min="3" max="7" width="11.7109375" style="59"/>
    <col min="8" max="8" width="13.28515625" style="59" bestFit="1" customWidth="1"/>
    <col min="9" max="9" width="11.7109375" style="58"/>
    <col min="10" max="10" width="0" style="58" hidden="1" customWidth="1"/>
    <col min="11" max="16384" width="11.7109375" style="58"/>
  </cols>
  <sheetData>
    <row r="1" spans="1:10" ht="15" x14ac:dyDescent="0.25">
      <c r="A1" s="2" t="s">
        <v>0</v>
      </c>
    </row>
    <row r="2" spans="1:10" ht="15" x14ac:dyDescent="0.25">
      <c r="A2" s="2" t="s">
        <v>149</v>
      </c>
    </row>
    <row r="3" spans="1:10" ht="15" x14ac:dyDescent="0.25">
      <c r="A3" s="48" t="s">
        <v>48</v>
      </c>
    </row>
    <row r="4" spans="1:10" ht="15" x14ac:dyDescent="0.25">
      <c r="A4" s="48"/>
    </row>
    <row r="5" spans="1:10" ht="15" x14ac:dyDescent="0.25">
      <c r="A5" s="102"/>
      <c r="B5" s="230">
        <v>2025</v>
      </c>
      <c r="C5" s="231"/>
      <c r="D5" s="230" t="s">
        <v>150</v>
      </c>
      <c r="E5" s="232"/>
      <c r="F5" s="232"/>
      <c r="G5" s="231"/>
      <c r="H5" s="225" t="s">
        <v>17</v>
      </c>
    </row>
    <row r="6" spans="1:10" s="61" customFormat="1" ht="15" x14ac:dyDescent="0.2">
      <c r="A6" s="65"/>
      <c r="B6" s="226" t="s">
        <v>34</v>
      </c>
      <c r="C6" s="228" t="s">
        <v>35</v>
      </c>
      <c r="D6" s="100" t="s">
        <v>40</v>
      </c>
      <c r="E6" s="100" t="s">
        <v>41</v>
      </c>
      <c r="F6" s="100" t="s">
        <v>42</v>
      </c>
      <c r="G6" s="100" t="s">
        <v>43</v>
      </c>
      <c r="H6" s="226"/>
      <c r="J6" s="67" t="s">
        <v>45</v>
      </c>
    </row>
    <row r="7" spans="1:10" s="60" customFormat="1" x14ac:dyDescent="0.2">
      <c r="A7" s="101"/>
      <c r="B7" s="227"/>
      <c r="C7" s="229"/>
      <c r="D7" s="62">
        <v>2.5499999999999998E-2</v>
      </c>
      <c r="E7" s="62">
        <v>2.5499999999999998E-2</v>
      </c>
      <c r="F7" s="62">
        <v>2.5499999999999998E-2</v>
      </c>
      <c r="G7" s="62">
        <f>F7</f>
        <v>2.5499999999999998E-2</v>
      </c>
      <c r="H7" s="227"/>
      <c r="J7" s="68"/>
    </row>
    <row r="8" spans="1:10" x14ac:dyDescent="0.2">
      <c r="A8" s="65" t="s">
        <v>50</v>
      </c>
      <c r="B8" s="63">
        <f>ECVA!C26</f>
        <v>14856.708405903732</v>
      </c>
      <c r="C8" s="63">
        <f>CIACVA!B26</f>
        <v>0</v>
      </c>
      <c r="D8" s="63">
        <f t="shared" ref="D8:D12" si="0">$B8*D$7/4</f>
        <v>94.711516087636284</v>
      </c>
      <c r="E8" s="63">
        <f t="shared" ref="E8:G12" si="1">$B8*E$7/4</f>
        <v>94.711516087636284</v>
      </c>
      <c r="F8" s="63">
        <f t="shared" si="1"/>
        <v>94.711516087636284</v>
      </c>
      <c r="G8" s="63">
        <f t="shared" si="1"/>
        <v>94.711516087636284</v>
      </c>
      <c r="H8" s="63">
        <f t="shared" ref="H8:H10" si="2">SUM(B8:G8)</f>
        <v>15235.554470254277</v>
      </c>
      <c r="J8" s="69">
        <f>H8-ECVA!E28</f>
        <v>0</v>
      </c>
    </row>
    <row r="9" spans="1:10" x14ac:dyDescent="0.2">
      <c r="A9" s="64" t="s">
        <v>49</v>
      </c>
      <c r="B9" s="63">
        <f>CIACVA!B25</f>
        <v>295068</v>
      </c>
      <c r="C9" s="63">
        <f>CIACVA!B26</f>
        <v>0</v>
      </c>
      <c r="D9" s="63">
        <f>$B9*D$7/4</f>
        <v>1881.0584999999999</v>
      </c>
      <c r="E9" s="63">
        <f>$B9*E$7/4</f>
        <v>1881.0584999999999</v>
      </c>
      <c r="F9" s="63">
        <f>$B9*F$7/4</f>
        <v>1881.0584999999999</v>
      </c>
      <c r="G9" s="63">
        <f>$B9*G$7/4</f>
        <v>1881.0584999999999</v>
      </c>
      <c r="H9" s="63">
        <f>SUM(B9:G9)</f>
        <v>302592.23399999994</v>
      </c>
      <c r="J9" s="69">
        <f>H9-CIACVA!D27</f>
        <v>0</v>
      </c>
    </row>
    <row r="10" spans="1:10" x14ac:dyDescent="0.2">
      <c r="A10" s="65" t="s">
        <v>51</v>
      </c>
      <c r="B10" s="63">
        <f>MTVA!B29</f>
        <v>-92462.639766286535</v>
      </c>
      <c r="C10" s="63">
        <f>MTVA!B30</f>
        <v>10266.950654916669</v>
      </c>
      <c r="D10" s="63">
        <f t="shared" si="0"/>
        <v>-589.44932851007661</v>
      </c>
      <c r="E10" s="63">
        <f t="shared" si="1"/>
        <v>-589.44932851007661</v>
      </c>
      <c r="F10" s="63">
        <f t="shared" si="1"/>
        <v>-589.44932851007661</v>
      </c>
      <c r="G10" s="63">
        <f t="shared" si="1"/>
        <v>-589.44932851007661</v>
      </c>
      <c r="H10" s="63">
        <f t="shared" si="2"/>
        <v>-84553.48642541017</v>
      </c>
      <c r="J10" s="69">
        <f>H10-MTVA!D31</f>
        <v>0</v>
      </c>
    </row>
    <row r="11" spans="1:10" x14ac:dyDescent="0.2">
      <c r="A11" s="65" t="s">
        <v>52</v>
      </c>
      <c r="B11" s="63">
        <f>ORDA!B28</f>
        <v>-30970.729999999996</v>
      </c>
      <c r="C11" s="63">
        <f>ORDA!B29</f>
        <v>-418.26532083333336</v>
      </c>
      <c r="D11" s="63">
        <f t="shared" si="0"/>
        <v>-197.43840374999996</v>
      </c>
      <c r="E11" s="63">
        <f t="shared" si="1"/>
        <v>-197.43840374999996</v>
      </c>
      <c r="F11" s="63">
        <f t="shared" si="1"/>
        <v>-197.43840374999996</v>
      </c>
      <c r="G11" s="63">
        <f t="shared" si="1"/>
        <v>-197.43840374999996</v>
      </c>
      <c r="H11" s="63">
        <f t="shared" ref="H11" si="3">SUM(B11:G11)</f>
        <v>-32178.748935833322</v>
      </c>
      <c r="J11" s="69">
        <f>H11-ORDA!D30</f>
        <v>0</v>
      </c>
    </row>
    <row r="12" spans="1:10" x14ac:dyDescent="0.2">
      <c r="A12" s="65" t="s">
        <v>53</v>
      </c>
      <c r="B12" s="63">
        <f>CVVA!B24</f>
        <v>511908.11423029465</v>
      </c>
      <c r="C12" s="63">
        <f>CVVA!B25</f>
        <v>9924.0113188780524</v>
      </c>
      <c r="D12" s="63">
        <f t="shared" si="0"/>
        <v>3263.4142282181283</v>
      </c>
      <c r="E12" s="63">
        <f t="shared" si="1"/>
        <v>3263.4142282181283</v>
      </c>
      <c r="F12" s="63">
        <f t="shared" si="1"/>
        <v>3263.4142282181283</v>
      </c>
      <c r="G12" s="63">
        <f t="shared" si="1"/>
        <v>3263.4142282181283</v>
      </c>
      <c r="H12" s="63">
        <f t="shared" ref="H12" si="4">SUM(B12:G12)</f>
        <v>534885.7824620452</v>
      </c>
      <c r="J12" s="69">
        <f>H12-CVVA!D26</f>
        <v>0</v>
      </c>
    </row>
    <row r="13" spans="1:10" x14ac:dyDescent="0.2">
      <c r="A13" s="65" t="s">
        <v>44</v>
      </c>
      <c r="B13" s="63">
        <f>UFGVA!B24</f>
        <v>157619.280367859</v>
      </c>
      <c r="C13" s="63">
        <f>UFGVA!B25</f>
        <v>301.57886321096282</v>
      </c>
      <c r="D13" s="63">
        <f t="shared" ref="D13:G14" si="5">$B13*D$7/4</f>
        <v>1004.822912345101</v>
      </c>
      <c r="E13" s="63">
        <f t="shared" si="5"/>
        <v>1004.822912345101</v>
      </c>
      <c r="F13" s="63">
        <f t="shared" si="5"/>
        <v>1004.822912345101</v>
      </c>
      <c r="G13" s="63">
        <f t="shared" si="5"/>
        <v>1004.822912345101</v>
      </c>
      <c r="H13" s="63">
        <f t="shared" ref="H13" si="6">SUM(B13:G13)</f>
        <v>161940.15088045032</v>
      </c>
      <c r="J13" s="69">
        <f>H13-UFGVA!D26</f>
        <v>0</v>
      </c>
    </row>
    <row r="14" spans="1:10" x14ac:dyDescent="0.2">
      <c r="A14" s="65" t="s">
        <v>162</v>
      </c>
      <c r="B14" s="63">
        <f>ADVADA!AX26</f>
        <v>53757.862016201143</v>
      </c>
      <c r="C14" s="63">
        <f>ADVADA!AX27</f>
        <v>10045.536772814079</v>
      </c>
      <c r="D14" s="63">
        <f t="shared" si="5"/>
        <v>342.70637035328224</v>
      </c>
      <c r="E14" s="63">
        <f t="shared" si="5"/>
        <v>342.70637035328224</v>
      </c>
      <c r="F14" s="63">
        <f t="shared" si="5"/>
        <v>342.70637035328224</v>
      </c>
      <c r="G14" s="63">
        <f t="shared" si="5"/>
        <v>342.70637035328224</v>
      </c>
      <c r="H14" s="63">
        <f t="shared" ref="H14" si="7">SUM(B14:G14)</f>
        <v>65174.224270428356</v>
      </c>
      <c r="J14" s="69">
        <f>H14-ADVADA!AZ28</f>
        <v>0</v>
      </c>
    </row>
    <row r="15" spans="1:10" x14ac:dyDescent="0.2">
      <c r="A15" s="103"/>
      <c r="B15" s="104"/>
      <c r="C15" s="104"/>
      <c r="D15" s="104"/>
      <c r="E15" s="104"/>
      <c r="F15" s="104"/>
      <c r="G15" s="104"/>
      <c r="H15" s="105"/>
      <c r="J15" s="69"/>
    </row>
    <row r="16" spans="1:10" ht="15" x14ac:dyDescent="0.25">
      <c r="A16" s="102"/>
      <c r="B16" s="230">
        <v>2025</v>
      </c>
      <c r="C16" s="231"/>
      <c r="D16" s="230" t="s">
        <v>150</v>
      </c>
      <c r="E16" s="232"/>
      <c r="F16" s="232"/>
      <c r="G16" s="231"/>
      <c r="H16" s="225" t="s">
        <v>17</v>
      </c>
      <c r="J16" s="69"/>
    </row>
    <row r="17" spans="1:10" ht="15" x14ac:dyDescent="0.2">
      <c r="A17" s="65"/>
      <c r="B17" s="226" t="s">
        <v>34</v>
      </c>
      <c r="C17" s="228" t="s">
        <v>35</v>
      </c>
      <c r="D17" s="100" t="s">
        <v>40</v>
      </c>
      <c r="E17" s="100" t="s">
        <v>41</v>
      </c>
      <c r="F17" s="100" t="s">
        <v>42</v>
      </c>
      <c r="G17" s="100" t="s">
        <v>43</v>
      </c>
      <c r="H17" s="226"/>
      <c r="J17" s="69"/>
    </row>
    <row r="18" spans="1:10" ht="14.25" customHeight="1" x14ac:dyDescent="0.2">
      <c r="A18" s="101"/>
      <c r="B18" s="227"/>
      <c r="C18" s="229"/>
      <c r="D18" s="62">
        <v>3.7199999999999997E-2</v>
      </c>
      <c r="E18" s="62">
        <v>3.7199999999999997E-2</v>
      </c>
      <c r="F18" s="62">
        <v>3.7199999999999997E-2</v>
      </c>
      <c r="G18" s="62">
        <v>3.7199999999999997E-2</v>
      </c>
      <c r="H18" s="227"/>
      <c r="J18" s="69"/>
    </row>
    <row r="19" spans="1:10" x14ac:dyDescent="0.2">
      <c r="A19" s="106" t="s">
        <v>55</v>
      </c>
      <c r="B19" s="107">
        <f>'S&amp;TVA'!B40</f>
        <v>610801.51956152089</v>
      </c>
      <c r="C19" s="107">
        <f>'S&amp;TVA'!B41</f>
        <v>2995.4796443249925</v>
      </c>
      <c r="D19" s="63">
        <f>$B19*D$18/4</f>
        <v>5680.4541319221435</v>
      </c>
      <c r="E19" s="63">
        <f t="shared" ref="E19:G19" si="8">$B19*E$18/4</f>
        <v>5680.4541319221435</v>
      </c>
      <c r="F19" s="63">
        <f t="shared" si="8"/>
        <v>5680.4541319221435</v>
      </c>
      <c r="G19" s="63">
        <f t="shared" si="8"/>
        <v>5680.4541319221435</v>
      </c>
      <c r="H19" s="107">
        <f>SUM(B19:G19)</f>
        <v>636518.81573353428</v>
      </c>
      <c r="J19" s="69">
        <f>H19-'S&amp;TVA'!D42</f>
        <v>0</v>
      </c>
    </row>
    <row r="20" spans="1:10" x14ac:dyDescent="0.2">
      <c r="A20" s="101" t="s">
        <v>54</v>
      </c>
      <c r="B20" s="108">
        <f>TVA!D35</f>
        <v>63136.23322204002</v>
      </c>
      <c r="C20" s="108">
        <f>TVA!B34</f>
        <v>1028.3460641854315</v>
      </c>
      <c r="D20" s="108">
        <f t="shared" ref="D20:G20" si="9">$B20*D$18/4</f>
        <v>587.16696896497217</v>
      </c>
      <c r="E20" s="108">
        <f t="shared" si="9"/>
        <v>587.16696896497217</v>
      </c>
      <c r="F20" s="108">
        <f t="shared" si="9"/>
        <v>587.16696896497217</v>
      </c>
      <c r="G20" s="108">
        <f t="shared" si="9"/>
        <v>587.16696896497217</v>
      </c>
      <c r="H20" s="108">
        <f>SUM(B20:G20)</f>
        <v>66513.247162085347</v>
      </c>
      <c r="J20" s="69">
        <f>H19-'S&amp;TVA'!D42</f>
        <v>0</v>
      </c>
    </row>
    <row r="21" spans="1:10" customFormat="1" ht="15" x14ac:dyDescent="0.25">
      <c r="A21" s="58"/>
      <c r="B21" s="59"/>
      <c r="C21" s="59"/>
      <c r="D21" s="59"/>
      <c r="E21" s="59"/>
      <c r="F21" s="59"/>
      <c r="G21" s="59"/>
      <c r="H21" s="59"/>
    </row>
    <row r="22" spans="1:10" s="48" customFormat="1" ht="15" x14ac:dyDescent="0.25">
      <c r="A22" s="71" t="s">
        <v>17</v>
      </c>
      <c r="B22" s="66">
        <f t="shared" ref="B22:H22" si="10">SUM(B8:B14,B19:B20)</f>
        <v>1583714.348037533</v>
      </c>
      <c r="C22" s="66">
        <f t="shared" si="10"/>
        <v>34143.637997496851</v>
      </c>
      <c r="D22" s="66">
        <f t="shared" si="10"/>
        <v>12067.446895631187</v>
      </c>
      <c r="E22" s="66">
        <f t="shared" si="10"/>
        <v>12067.446895631187</v>
      </c>
      <c r="F22" s="66">
        <f t="shared" si="10"/>
        <v>12067.446895631187</v>
      </c>
      <c r="G22" s="66">
        <f t="shared" si="10"/>
        <v>12067.446895631187</v>
      </c>
      <c r="H22" s="66">
        <f t="shared" si="10"/>
        <v>1666127.7736175542</v>
      </c>
      <c r="J22" s="70"/>
    </row>
  </sheetData>
  <sheetProtection sheet="1" objects="1" scenarios="1"/>
  <mergeCells count="10">
    <mergeCell ref="H5:H7"/>
    <mergeCell ref="H16:H18"/>
    <mergeCell ref="B17:B18"/>
    <mergeCell ref="C17:C18"/>
    <mergeCell ref="B16:C16"/>
    <mergeCell ref="D16:G16"/>
    <mergeCell ref="B5:C5"/>
    <mergeCell ref="D5:G5"/>
    <mergeCell ref="B6:B7"/>
    <mergeCell ref="C6:C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9F30-D72E-4024-B2D1-37DEFCE1C502}">
  <sheetPr>
    <pageSetUpPr fitToPage="1"/>
  </sheetPr>
  <dimension ref="A1:P43"/>
  <sheetViews>
    <sheetView showGridLines="0" zoomScale="80" zoomScaleNormal="80" zoomScaleSheetLayoutView="85" workbookViewId="0">
      <selection activeCell="J41" sqref="J41"/>
    </sheetView>
  </sheetViews>
  <sheetFormatPr defaultColWidth="12.5703125" defaultRowHeight="15" x14ac:dyDescent="0.25"/>
  <cols>
    <col min="1" max="1" width="35.7109375" style="58" customWidth="1"/>
    <col min="2" max="2" width="12.28515625" hidden="1" customWidth="1"/>
    <col min="3" max="3" width="11.7109375" bestFit="1" customWidth="1"/>
    <col min="4" max="4" width="13.5703125" customWidth="1"/>
    <col min="5" max="5" width="12.42578125" customWidth="1"/>
    <col min="6" max="7" width="11.7109375" bestFit="1" customWidth="1"/>
    <col min="8" max="9" width="11.28515625" bestFit="1" customWidth="1"/>
    <col min="10" max="13" width="11.7109375" bestFit="1" customWidth="1"/>
    <col min="14" max="14" width="13.28515625" customWidth="1"/>
    <col min="15" max="15" width="1.5703125" customWidth="1"/>
    <col min="16" max="16" width="12.28515625" bestFit="1" customWidth="1"/>
  </cols>
  <sheetData>
    <row r="1" spans="1:16" s="2" customFormat="1" x14ac:dyDescent="0.25">
      <c r="A1" s="2" t="s">
        <v>0</v>
      </c>
    </row>
    <row r="2" spans="1:16" s="2" customFormat="1" x14ac:dyDescent="0.25">
      <c r="A2" s="2" t="str">
        <f>Summary!A2</f>
        <v>EB-2026-0149</v>
      </c>
    </row>
    <row r="3" spans="1:16" s="2" customFormat="1" x14ac:dyDescent="0.25">
      <c r="A3" s="2" t="s">
        <v>64</v>
      </c>
    </row>
    <row r="4" spans="1:16" s="2" customFormat="1" x14ac:dyDescent="0.25">
      <c r="A4" s="2" t="s">
        <v>38</v>
      </c>
    </row>
    <row r="5" spans="1:16" x14ac:dyDescent="0.25">
      <c r="A5" s="3"/>
      <c r="B5" s="3"/>
      <c r="C5" s="4">
        <v>2025</v>
      </c>
      <c r="D5" s="4">
        <v>2025</v>
      </c>
      <c r="E5" s="4">
        <v>2025</v>
      </c>
      <c r="F5" s="4">
        <v>2025</v>
      </c>
      <c r="G5" s="4">
        <v>2025</v>
      </c>
      <c r="H5" s="4">
        <v>2025</v>
      </c>
      <c r="I5" s="4">
        <v>2025</v>
      </c>
      <c r="J5" s="4">
        <v>2025</v>
      </c>
      <c r="K5" s="4">
        <v>2025</v>
      </c>
      <c r="L5" s="4">
        <v>2025</v>
      </c>
      <c r="M5" s="4">
        <v>2025</v>
      </c>
      <c r="N5" s="4">
        <v>2025</v>
      </c>
      <c r="P5" s="4">
        <v>2026</v>
      </c>
    </row>
    <row r="6" spans="1:16" x14ac:dyDescent="0.25">
      <c r="A6" s="5"/>
      <c r="B6" s="5"/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P6" s="6" t="s">
        <v>26</v>
      </c>
    </row>
    <row r="7" spans="1:16" x14ac:dyDescent="0.25">
      <c r="A7" s="90"/>
      <c r="B7" s="87"/>
      <c r="C7" s="35"/>
      <c r="D7" s="35"/>
      <c r="E7" s="35"/>
      <c r="F7" s="35"/>
      <c r="G7" s="36"/>
      <c r="H7" s="36"/>
      <c r="I7" s="37"/>
      <c r="J7" s="36"/>
      <c r="K7" s="36"/>
      <c r="L7" s="36"/>
      <c r="M7" s="36"/>
      <c r="N7" s="94"/>
      <c r="P7" s="36"/>
    </row>
    <row r="8" spans="1:16" x14ac:dyDescent="0.25">
      <c r="A8" s="65" t="s">
        <v>69</v>
      </c>
      <c r="B8" s="95">
        <v>4459298.1692180941</v>
      </c>
      <c r="C8" s="35"/>
      <c r="D8" s="35"/>
      <c r="E8" s="35"/>
      <c r="F8" s="35"/>
      <c r="G8" s="36"/>
      <c r="H8" s="36"/>
      <c r="I8" s="37"/>
      <c r="J8" s="36"/>
      <c r="K8" s="36"/>
      <c r="L8" s="36"/>
      <c r="M8" s="36"/>
      <c r="N8" s="36"/>
      <c r="P8" s="36"/>
    </row>
    <row r="9" spans="1:16" x14ac:dyDescent="0.25">
      <c r="A9" s="65" t="s">
        <v>70</v>
      </c>
      <c r="B9" s="58">
        <v>39.020000000000003</v>
      </c>
      <c r="C9" s="35"/>
      <c r="D9" s="35"/>
      <c r="E9" s="35"/>
      <c r="F9" s="35"/>
      <c r="G9" s="36"/>
      <c r="H9" s="36"/>
      <c r="I9" s="37"/>
      <c r="J9" s="36"/>
      <c r="K9" s="36"/>
      <c r="L9" s="36"/>
      <c r="M9" s="36"/>
      <c r="N9" s="36"/>
      <c r="P9" s="36"/>
    </row>
    <row r="10" spans="1:16" x14ac:dyDescent="0.25">
      <c r="A10" s="65" t="s">
        <v>71</v>
      </c>
      <c r="B10" s="58">
        <v>38.89</v>
      </c>
      <c r="C10" s="35"/>
      <c r="D10" s="35"/>
      <c r="E10" s="35"/>
      <c r="F10" s="35"/>
      <c r="G10" s="36"/>
      <c r="H10" s="36"/>
      <c r="I10" s="37"/>
      <c r="J10" s="36"/>
      <c r="K10" s="36"/>
      <c r="L10" s="36"/>
      <c r="M10" s="36"/>
      <c r="N10" s="1"/>
      <c r="P10" s="36"/>
    </row>
    <row r="11" spans="1:16" s="78" customFormat="1" x14ac:dyDescent="0.25">
      <c r="A11" s="42" t="s">
        <v>57</v>
      </c>
      <c r="B11" s="8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3">
        <f>(B9-B10)/B9*B8</f>
        <v>14856.708405903732</v>
      </c>
      <c r="P11" s="84"/>
    </row>
    <row r="12" spans="1:16" x14ac:dyDescent="0.25">
      <c r="A12" s="7"/>
      <c r="B12" s="87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P12" s="8"/>
    </row>
    <row r="13" spans="1:16" x14ac:dyDescent="0.25">
      <c r="A13" s="7" t="s">
        <v>65</v>
      </c>
      <c r="B13" s="87"/>
      <c r="C13" s="32">
        <v>0</v>
      </c>
      <c r="D13" s="32">
        <f>C15</f>
        <v>0</v>
      </c>
      <c r="E13" s="32">
        <f t="shared" ref="E13:N13" si="0">D15</f>
        <v>0</v>
      </c>
      <c r="F13" s="32">
        <f t="shared" si="0"/>
        <v>0</v>
      </c>
      <c r="G13" s="32">
        <f t="shared" si="0"/>
        <v>0</v>
      </c>
      <c r="H13" s="32">
        <f t="shared" si="0"/>
        <v>0</v>
      </c>
      <c r="I13" s="32">
        <f t="shared" si="0"/>
        <v>0</v>
      </c>
      <c r="J13" s="32">
        <f t="shared" si="0"/>
        <v>0</v>
      </c>
      <c r="K13" s="32">
        <f>J15</f>
        <v>0</v>
      </c>
      <c r="L13" s="32">
        <f t="shared" si="0"/>
        <v>0</v>
      </c>
      <c r="M13" s="32">
        <f t="shared" si="0"/>
        <v>0</v>
      </c>
      <c r="N13" s="32">
        <f t="shared" si="0"/>
        <v>0</v>
      </c>
      <c r="O13" s="91"/>
      <c r="P13" s="10"/>
    </row>
    <row r="14" spans="1:16" x14ac:dyDescent="0.25">
      <c r="A14" s="7" t="s">
        <v>66</v>
      </c>
      <c r="B14" s="87"/>
      <c r="C14" s="31">
        <f>C11</f>
        <v>0</v>
      </c>
      <c r="D14" s="31">
        <f t="shared" ref="D14:N14" si="1">D11</f>
        <v>0</v>
      </c>
      <c r="E14" s="31">
        <f t="shared" si="1"/>
        <v>0</v>
      </c>
      <c r="F14" s="31">
        <f t="shared" si="1"/>
        <v>0</v>
      </c>
      <c r="G14" s="31">
        <f t="shared" si="1"/>
        <v>0</v>
      </c>
      <c r="H14" s="31">
        <f t="shared" si="1"/>
        <v>0</v>
      </c>
      <c r="I14" s="31">
        <f t="shared" si="1"/>
        <v>0</v>
      </c>
      <c r="J14" s="31">
        <f t="shared" si="1"/>
        <v>0</v>
      </c>
      <c r="K14" s="31">
        <f t="shared" si="1"/>
        <v>0</v>
      </c>
      <c r="L14" s="31">
        <f t="shared" si="1"/>
        <v>0</v>
      </c>
      <c r="M14" s="31">
        <f t="shared" si="1"/>
        <v>0</v>
      </c>
      <c r="N14" s="31">
        <f t="shared" si="1"/>
        <v>14856.708405903732</v>
      </c>
      <c r="O14" s="92">
        <f t="shared" ref="O14" si="2">O11</f>
        <v>0</v>
      </c>
      <c r="P14" s="10"/>
    </row>
    <row r="15" spans="1:16" s="78" customFormat="1" x14ac:dyDescent="0.25">
      <c r="A15" s="42" t="s">
        <v>67</v>
      </c>
      <c r="B15" s="88"/>
      <c r="C15" s="10">
        <f>SUM(C13:C14)</f>
        <v>0</v>
      </c>
      <c r="D15" s="10">
        <f t="shared" ref="D15:N15" si="3">SUM(D13:D14)</f>
        <v>0</v>
      </c>
      <c r="E15" s="10">
        <f t="shared" si="3"/>
        <v>0</v>
      </c>
      <c r="F15" s="10">
        <f t="shared" si="3"/>
        <v>0</v>
      </c>
      <c r="G15" s="10">
        <f t="shared" si="3"/>
        <v>0</v>
      </c>
      <c r="H15" s="10">
        <f t="shared" si="3"/>
        <v>0</v>
      </c>
      <c r="I15" s="10">
        <f t="shared" si="3"/>
        <v>0</v>
      </c>
      <c r="J15" s="10">
        <f t="shared" si="3"/>
        <v>0</v>
      </c>
      <c r="K15" s="10">
        <f t="shared" si="3"/>
        <v>0</v>
      </c>
      <c r="L15" s="10">
        <f t="shared" si="3"/>
        <v>0</v>
      </c>
      <c r="M15" s="10">
        <f t="shared" si="3"/>
        <v>0</v>
      </c>
      <c r="N15" s="10">
        <f t="shared" si="3"/>
        <v>14856.708405903732</v>
      </c>
      <c r="O15" s="93"/>
      <c r="P15" s="10"/>
    </row>
    <row r="16" spans="1:16" x14ac:dyDescent="0.25">
      <c r="A16" s="7"/>
      <c r="B16" s="8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91"/>
      <c r="P16" s="10"/>
    </row>
    <row r="17" spans="1:16" x14ac:dyDescent="0.25">
      <c r="A17" s="7" t="s">
        <v>13</v>
      </c>
      <c r="B17" s="87"/>
      <c r="C17" s="73">
        <v>3.6400000000000002E-2</v>
      </c>
      <c r="D17" s="73">
        <v>3.6400000000000002E-2</v>
      </c>
      <c r="E17" s="73">
        <v>3.6400000000000002E-2</v>
      </c>
      <c r="F17" s="73">
        <v>3.1600000000000003E-2</v>
      </c>
      <c r="G17" s="73">
        <v>3.1600000000000003E-2</v>
      </c>
      <c r="H17" s="73">
        <v>3.1600000000000003E-2</v>
      </c>
      <c r="I17" s="73">
        <v>2.9100000000000001E-2</v>
      </c>
      <c r="J17" s="73">
        <v>2.9100000000000001E-2</v>
      </c>
      <c r="K17" s="73">
        <v>2.9100000000000001E-2</v>
      </c>
      <c r="L17" s="73">
        <v>2.9100000000000001E-2</v>
      </c>
      <c r="M17" s="73">
        <v>2.9100000000000001E-2</v>
      </c>
      <c r="N17" s="73">
        <v>2.9100000000000001E-2</v>
      </c>
      <c r="O17" s="91"/>
      <c r="P17" s="34">
        <f>(Summary!D7+Summary!E7+Summary!F7+Summary!G7)/4</f>
        <v>2.5499999999999998E-2</v>
      </c>
    </row>
    <row r="18" spans="1:16" x14ac:dyDescent="0.25">
      <c r="A18" s="7"/>
      <c r="B18" s="8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1"/>
      <c r="P18" s="10"/>
    </row>
    <row r="19" spans="1:16" x14ac:dyDescent="0.25">
      <c r="A19" s="7" t="s">
        <v>14</v>
      </c>
      <c r="B19" s="87"/>
      <c r="C19" s="32">
        <v>0</v>
      </c>
      <c r="D19" s="32">
        <f>C21</f>
        <v>0</v>
      </c>
      <c r="E19" s="32">
        <f t="shared" ref="E19:N19" si="4">D21</f>
        <v>0</v>
      </c>
      <c r="F19" s="32">
        <f t="shared" si="4"/>
        <v>0</v>
      </c>
      <c r="G19" s="32">
        <f t="shared" si="4"/>
        <v>0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32">
        <f t="shared" si="4"/>
        <v>0</v>
      </c>
      <c r="O19" s="91"/>
      <c r="P19" s="32">
        <f t="shared" ref="P19" si="5">N21</f>
        <v>0</v>
      </c>
    </row>
    <row r="20" spans="1:16" x14ac:dyDescent="0.25">
      <c r="A20" s="7" t="s">
        <v>15</v>
      </c>
      <c r="B20" s="87"/>
      <c r="C20" s="31">
        <f t="shared" ref="C20:N20" si="6">C13*C17/12</f>
        <v>0</v>
      </c>
      <c r="D20" s="31">
        <f t="shared" si="6"/>
        <v>0</v>
      </c>
      <c r="E20" s="31">
        <f t="shared" si="6"/>
        <v>0</v>
      </c>
      <c r="F20" s="31">
        <f t="shared" si="6"/>
        <v>0</v>
      </c>
      <c r="G20" s="31">
        <f t="shared" si="6"/>
        <v>0</v>
      </c>
      <c r="H20" s="31">
        <f t="shared" si="6"/>
        <v>0</v>
      </c>
      <c r="I20" s="31">
        <f t="shared" si="6"/>
        <v>0</v>
      </c>
      <c r="J20" s="31">
        <f t="shared" si="6"/>
        <v>0</v>
      </c>
      <c r="K20" s="31">
        <f t="shared" si="6"/>
        <v>0</v>
      </c>
      <c r="L20" s="31">
        <f t="shared" si="6"/>
        <v>0</v>
      </c>
      <c r="M20" s="31">
        <f t="shared" si="6"/>
        <v>0</v>
      </c>
      <c r="N20" s="31">
        <f t="shared" si="6"/>
        <v>0</v>
      </c>
      <c r="O20" s="91"/>
      <c r="P20" s="31">
        <f>N15*P17</f>
        <v>378.84606435054513</v>
      </c>
    </row>
    <row r="21" spans="1:16" x14ac:dyDescent="0.25">
      <c r="A21" s="33" t="s">
        <v>16</v>
      </c>
      <c r="B21" s="89"/>
      <c r="C21" s="11">
        <f>SUM(C19:C20)</f>
        <v>0</v>
      </c>
      <c r="D21" s="11">
        <f t="shared" ref="D21:N21" si="7">SUM(D19:D20)</f>
        <v>0</v>
      </c>
      <c r="E21" s="11">
        <f t="shared" si="7"/>
        <v>0</v>
      </c>
      <c r="F21" s="11">
        <f t="shared" si="7"/>
        <v>0</v>
      </c>
      <c r="G21" s="11">
        <f t="shared" si="7"/>
        <v>0</v>
      </c>
      <c r="H21" s="11">
        <f t="shared" si="7"/>
        <v>0</v>
      </c>
      <c r="I21" s="11">
        <f t="shared" si="7"/>
        <v>0</v>
      </c>
      <c r="J21" s="11">
        <f t="shared" si="7"/>
        <v>0</v>
      </c>
      <c r="K21" s="11">
        <f t="shared" si="7"/>
        <v>0</v>
      </c>
      <c r="L21" s="11">
        <f t="shared" si="7"/>
        <v>0</v>
      </c>
      <c r="M21" s="11">
        <f t="shared" si="7"/>
        <v>0</v>
      </c>
      <c r="N21" s="11">
        <f t="shared" si="7"/>
        <v>0</v>
      </c>
      <c r="O21" s="91"/>
      <c r="P21" s="11">
        <f>SUM(P19:P20)</f>
        <v>378.84606435054513</v>
      </c>
    </row>
    <row r="22" spans="1:16" x14ac:dyDescent="0.25">
      <c r="A22" s="2"/>
      <c r="B22" s="2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P22" s="30"/>
    </row>
    <row r="23" spans="1:16" x14ac:dyDescent="0.25">
      <c r="F23" s="13"/>
      <c r="G23" s="13"/>
      <c r="H23" s="13"/>
      <c r="I23" s="13"/>
      <c r="J23" s="13"/>
    </row>
    <row r="24" spans="1:16" x14ac:dyDescent="0.25">
      <c r="A24" s="12" t="s">
        <v>68</v>
      </c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6" ht="45" x14ac:dyDescent="0.25">
      <c r="A25" s="14"/>
      <c r="B25" s="14"/>
      <c r="C25" s="14" t="s">
        <v>46</v>
      </c>
      <c r="D25" s="14" t="s">
        <v>150</v>
      </c>
      <c r="E25" s="14" t="s">
        <v>151</v>
      </c>
      <c r="F25" s="13"/>
      <c r="G25" s="13"/>
      <c r="H25" s="13"/>
      <c r="I25" s="13"/>
      <c r="J25" s="13"/>
      <c r="K25" s="15"/>
      <c r="L25" s="15"/>
      <c r="M25" s="13"/>
    </row>
    <row r="26" spans="1:16" x14ac:dyDescent="0.25">
      <c r="A26" s="51" t="s">
        <v>34</v>
      </c>
      <c r="B26" s="51"/>
      <c r="C26" s="52">
        <f>N15</f>
        <v>14856.708405903732</v>
      </c>
      <c r="D26" s="52"/>
      <c r="E26" s="52">
        <f>C26+D26</f>
        <v>14856.708405903732</v>
      </c>
      <c r="F26" s="13"/>
      <c r="G26" s="13"/>
      <c r="H26" s="13"/>
      <c r="I26" s="13"/>
      <c r="J26" s="13"/>
      <c r="K26" s="13"/>
      <c r="L26" s="13"/>
      <c r="M26" s="13"/>
    </row>
    <row r="27" spans="1:16" x14ac:dyDescent="0.25">
      <c r="A27" s="16" t="s">
        <v>35</v>
      </c>
      <c r="B27" s="16"/>
      <c r="C27" s="56">
        <f>N21</f>
        <v>0</v>
      </c>
      <c r="D27" s="56">
        <f>P20</f>
        <v>378.84606435054513</v>
      </c>
      <c r="E27" s="56">
        <f t="shared" ref="E27:E28" si="8">C27+D27</f>
        <v>378.84606435054513</v>
      </c>
      <c r="F27" s="13"/>
      <c r="G27" s="13"/>
      <c r="H27" s="13"/>
      <c r="I27" s="13"/>
      <c r="J27" s="13"/>
      <c r="K27" s="21"/>
      <c r="L27" s="21"/>
      <c r="M27" s="13"/>
    </row>
    <row r="28" spans="1:16" x14ac:dyDescent="0.25">
      <c r="A28" s="22" t="s">
        <v>17</v>
      </c>
      <c r="B28" s="22"/>
      <c r="C28" s="53">
        <f>C27+C26</f>
        <v>14856.708405903732</v>
      </c>
      <c r="D28" s="53">
        <f t="shared" ref="D28" si="9">D27+D26</f>
        <v>378.84606435054513</v>
      </c>
      <c r="E28" s="53">
        <f t="shared" si="8"/>
        <v>15235.554470254277</v>
      </c>
      <c r="F28" s="13"/>
      <c r="G28" s="13"/>
      <c r="H28" s="13"/>
      <c r="I28" s="13"/>
      <c r="J28" s="13"/>
      <c r="K28" s="13"/>
      <c r="L28" s="13"/>
      <c r="M28" s="13"/>
    </row>
    <row r="29" spans="1:16" x14ac:dyDescent="0.25">
      <c r="A29" s="8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1" spans="1:16" x14ac:dyDescent="0.25">
      <c r="A31" s="12" t="s">
        <v>153</v>
      </c>
      <c r="B31" s="12"/>
      <c r="C31" s="13"/>
      <c r="D31" s="13"/>
      <c r="E31" s="13"/>
      <c r="F31" s="13"/>
      <c r="G31" s="13"/>
      <c r="H31" s="13"/>
      <c r="I31" s="13"/>
      <c r="J31" s="13"/>
      <c r="K31" s="13"/>
    </row>
    <row r="32" spans="1:16" x14ac:dyDescent="0.25">
      <c r="A32" s="14"/>
      <c r="B32" s="14"/>
      <c r="C32" s="14" t="s">
        <v>18</v>
      </c>
      <c r="D32" s="14" t="s">
        <v>19</v>
      </c>
      <c r="E32" s="14" t="s">
        <v>25</v>
      </c>
      <c r="F32" s="14" t="s">
        <v>122</v>
      </c>
      <c r="G32" s="14" t="s">
        <v>123</v>
      </c>
      <c r="H32" s="15"/>
      <c r="I32" s="15"/>
      <c r="J32" s="15"/>
      <c r="K32" s="13"/>
    </row>
    <row r="33" spans="1:11" ht="16.5" x14ac:dyDescent="0.25">
      <c r="A33" s="16" t="s">
        <v>24</v>
      </c>
      <c r="B33" s="16"/>
      <c r="C33" s="17" t="s">
        <v>27</v>
      </c>
      <c r="D33" s="18">
        <f>SUM(E33:G33)</f>
        <v>16689.510000000002</v>
      </c>
      <c r="E33" s="18">
        <v>11775.724</v>
      </c>
      <c r="F33" s="18">
        <v>3560.46</v>
      </c>
      <c r="G33" s="18">
        <f>1353.326</f>
        <v>1353.326</v>
      </c>
      <c r="H33" s="13"/>
      <c r="I33" s="13"/>
      <c r="J33" s="13"/>
      <c r="K33" s="13"/>
    </row>
    <row r="34" spans="1:11" x14ac:dyDescent="0.25">
      <c r="A34" s="16" t="s">
        <v>22</v>
      </c>
      <c r="B34" s="16"/>
      <c r="C34" s="19" t="s">
        <v>20</v>
      </c>
      <c r="D34" s="20">
        <f>SUM(E34:G34)</f>
        <v>0.99999999999999989</v>
      </c>
      <c r="E34" s="20">
        <f>E33/$D$33</f>
        <v>0.70557637701765952</v>
      </c>
      <c r="F34" s="20">
        <f t="shared" ref="F34:G34" si="10">F33/$D$33</f>
        <v>0.21333520277108192</v>
      </c>
      <c r="G34" s="20">
        <f t="shared" si="10"/>
        <v>8.1088420211258436E-2</v>
      </c>
      <c r="H34" s="21"/>
      <c r="I34" s="21"/>
      <c r="J34" s="21"/>
      <c r="K34" s="13"/>
    </row>
    <row r="35" spans="1:11" x14ac:dyDescent="0.25">
      <c r="A35" s="22" t="s">
        <v>17</v>
      </c>
      <c r="B35" s="22"/>
      <c r="C35" s="23" t="s">
        <v>21</v>
      </c>
      <c r="D35" s="24">
        <f>SUM(E35:G35)</f>
        <v>15235.554470254276</v>
      </c>
      <c r="E35" s="24">
        <f>E34*($P$21+$N$15)</f>
        <v>10749.84732497722</v>
      </c>
      <c r="F35" s="24">
        <f>F34*($P$21+$N$15)</f>
        <v>3250.2801022415597</v>
      </c>
      <c r="G35" s="24">
        <f>G34*($P$21+$N$15)</f>
        <v>1235.4270430354957</v>
      </c>
      <c r="H35" s="13"/>
      <c r="I35" s="13"/>
      <c r="J35" s="13"/>
      <c r="K35" s="13"/>
    </row>
    <row r="36" spans="1:11" x14ac:dyDescent="0.25">
      <c r="A36" s="86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8" spans="1:11" x14ac:dyDescent="0.25">
      <c r="A38" s="12" t="s">
        <v>154</v>
      </c>
      <c r="B38" s="12"/>
      <c r="C38" s="13"/>
      <c r="D38" s="13"/>
      <c r="E38" s="13"/>
      <c r="F38" s="13"/>
      <c r="G38" s="13"/>
    </row>
    <row r="39" spans="1:11" x14ac:dyDescent="0.25">
      <c r="A39" s="14"/>
      <c r="B39" s="14"/>
      <c r="C39" s="14" t="s">
        <v>18</v>
      </c>
      <c r="D39" s="14" t="s">
        <v>19</v>
      </c>
      <c r="E39" s="14" t="str">
        <f>E32</f>
        <v>Rate 1</v>
      </c>
      <c r="F39" s="14" t="str">
        <f t="shared" ref="F39:G39" si="11">F32</f>
        <v>Rate 6</v>
      </c>
      <c r="G39" s="14" t="str">
        <f t="shared" si="11"/>
        <v>Rate 11</v>
      </c>
    </row>
    <row r="40" spans="1:11" ht="16.5" x14ac:dyDescent="0.25">
      <c r="A40" s="16" t="s">
        <v>24</v>
      </c>
      <c r="B40" s="16"/>
      <c r="C40" s="17" t="s">
        <v>27</v>
      </c>
      <c r="D40" s="18">
        <f>SUM(E40:G40)</f>
        <v>13257.002210030671</v>
      </c>
      <c r="E40" s="18">
        <f>'Load Forecast'!A7</f>
        <v>8662.8848775633542</v>
      </c>
      <c r="F40" s="18">
        <f>'Load Forecast'!B7</f>
        <v>2918.610612467317</v>
      </c>
      <c r="G40" s="18">
        <f>'Load Forecast'!C7</f>
        <v>1675.5067199999999</v>
      </c>
    </row>
    <row r="41" spans="1:11" x14ac:dyDescent="0.25">
      <c r="A41" s="16" t="s">
        <v>22</v>
      </c>
      <c r="B41" s="16"/>
      <c r="C41" s="19" t="s">
        <v>20</v>
      </c>
      <c r="D41" s="20">
        <f>SUM(E41:G41)</f>
        <v>0.99999999999999989</v>
      </c>
      <c r="E41" s="25">
        <f t="shared" ref="E41:G41" si="12">E34</f>
        <v>0.70557637701765952</v>
      </c>
      <c r="F41" s="25">
        <f t="shared" si="12"/>
        <v>0.21333520277108192</v>
      </c>
      <c r="G41" s="25">
        <f t="shared" si="12"/>
        <v>8.1088420211258436E-2</v>
      </c>
    </row>
    <row r="42" spans="1:11" x14ac:dyDescent="0.25">
      <c r="A42" s="26" t="s">
        <v>17</v>
      </c>
      <c r="B42" s="26"/>
      <c r="C42" s="27" t="s">
        <v>21</v>
      </c>
      <c r="D42" s="57">
        <f>SUM(E42:G42)</f>
        <v>15235.554470254272</v>
      </c>
      <c r="E42" s="28">
        <f>E40*E43*10</f>
        <v>10749.847324977218</v>
      </c>
      <c r="F42" s="28">
        <f t="shared" ref="F42:G42" si="13">F40*F43*10</f>
        <v>3250.2801022415597</v>
      </c>
      <c r="G42" s="28">
        <f t="shared" si="13"/>
        <v>1235.4270430354957</v>
      </c>
    </row>
    <row r="43" spans="1:11" ht="17.25" x14ac:dyDescent="0.25">
      <c r="A43" s="22" t="s">
        <v>23</v>
      </c>
      <c r="B43" s="22"/>
      <c r="C43" s="23" t="s">
        <v>28</v>
      </c>
      <c r="D43" s="29"/>
      <c r="E43" s="29">
        <f>E35/E40/10</f>
        <v>0.12409084822100133</v>
      </c>
      <c r="F43" s="29">
        <f t="shared" ref="F43:G43" si="14">F35/F40/10</f>
        <v>0.1113639513389509</v>
      </c>
      <c r="G43" s="29">
        <f t="shared" si="14"/>
        <v>7.3734532263499117E-2</v>
      </c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63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showGridLines="0" zoomScale="80" zoomScaleNormal="80" zoomScaleSheetLayoutView="85" workbookViewId="0">
      <selection activeCell="H24" sqref="H24"/>
    </sheetView>
  </sheetViews>
  <sheetFormatPr defaultColWidth="12.5703125" defaultRowHeight="15" x14ac:dyDescent="0.25"/>
  <cols>
    <col min="1" max="1" width="60.42578125" customWidth="1"/>
    <col min="2" max="2" width="11.7109375" bestFit="1" customWidth="1"/>
    <col min="3" max="3" width="13.5703125" customWidth="1"/>
    <col min="4" max="4" width="12.42578125" customWidth="1"/>
    <col min="5" max="6" width="11.7109375" bestFit="1" customWidth="1"/>
    <col min="7" max="7" width="13.140625" customWidth="1"/>
    <col min="8" max="8" width="12.42578125" customWidth="1"/>
    <col min="9" max="13" width="11.7109375" bestFit="1" customWidth="1"/>
    <col min="14" max="14" width="1.5703125" customWidth="1"/>
    <col min="15" max="15" width="12.28515625" bestFit="1" customWidth="1"/>
  </cols>
  <sheetData>
    <row r="1" spans="1:15" s="2" customFormat="1" x14ac:dyDescent="0.25">
      <c r="A1" s="2" t="s">
        <v>0</v>
      </c>
    </row>
    <row r="2" spans="1:15" s="2" customFormat="1" x14ac:dyDescent="0.25">
      <c r="A2" s="2" t="str">
        <f>Summary!A2</f>
        <v>EB-2026-0149</v>
      </c>
    </row>
    <row r="3" spans="1:15" s="2" customFormat="1" x14ac:dyDescent="0.25">
      <c r="A3" s="2" t="s">
        <v>56</v>
      </c>
    </row>
    <row r="4" spans="1:15" s="2" customFormat="1" x14ac:dyDescent="0.25">
      <c r="A4" s="2" t="s">
        <v>38</v>
      </c>
    </row>
    <row r="5" spans="1:15" x14ac:dyDescent="0.25">
      <c r="A5" s="3"/>
      <c r="B5" s="4">
        <v>2025</v>
      </c>
      <c r="C5" s="4">
        <v>2025</v>
      </c>
      <c r="D5" s="4">
        <v>2025</v>
      </c>
      <c r="E5" s="4">
        <v>2025</v>
      </c>
      <c r="F5" s="4">
        <v>2025</v>
      </c>
      <c r="G5" s="4">
        <v>2025</v>
      </c>
      <c r="H5" s="4">
        <v>2025</v>
      </c>
      <c r="I5" s="4">
        <v>2025</v>
      </c>
      <c r="J5" s="4">
        <v>2025</v>
      </c>
      <c r="K5" s="4">
        <v>2025</v>
      </c>
      <c r="L5" s="4">
        <v>2025</v>
      </c>
      <c r="M5" s="4">
        <v>2025</v>
      </c>
      <c r="O5" s="4">
        <v>2026</v>
      </c>
    </row>
    <row r="6" spans="1:15" x14ac:dyDescent="0.25">
      <c r="A6" s="5"/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O6" s="6" t="s">
        <v>26</v>
      </c>
    </row>
    <row r="7" spans="1:15" x14ac:dyDescent="0.25">
      <c r="A7" s="7"/>
      <c r="B7" s="35"/>
      <c r="C7" s="35"/>
      <c r="D7" s="35"/>
      <c r="E7" s="35"/>
      <c r="F7" s="36"/>
      <c r="G7" s="36"/>
      <c r="H7" s="37"/>
      <c r="I7" s="36"/>
      <c r="J7" s="36"/>
      <c r="K7" s="36"/>
      <c r="L7" s="36"/>
      <c r="M7" s="36"/>
      <c r="O7" s="36"/>
    </row>
    <row r="8" spans="1:15" x14ac:dyDescent="0.25">
      <c r="A8" s="7" t="s">
        <v>58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667551</v>
      </c>
      <c r="O8" s="8"/>
    </row>
    <row r="9" spans="1:15" x14ac:dyDescent="0.25">
      <c r="A9" s="7" t="s">
        <v>59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372483</v>
      </c>
      <c r="O9" s="8"/>
    </row>
    <row r="10" spans="1:15" s="78" customFormat="1" x14ac:dyDescent="0.25">
      <c r="A10" s="42" t="s">
        <v>57</v>
      </c>
      <c r="B10" s="10">
        <f>B8-B9</f>
        <v>0</v>
      </c>
      <c r="C10" s="10">
        <f t="shared" ref="C10:M10" si="0">C8-C9</f>
        <v>0</v>
      </c>
      <c r="D10" s="10">
        <f t="shared" si="0"/>
        <v>0</v>
      </c>
      <c r="E10" s="10">
        <f t="shared" si="0"/>
        <v>0</v>
      </c>
      <c r="F10" s="10">
        <f t="shared" si="0"/>
        <v>0</v>
      </c>
      <c r="G10" s="10">
        <f t="shared" si="0"/>
        <v>0</v>
      </c>
      <c r="H10" s="10">
        <f t="shared" si="0"/>
        <v>0</v>
      </c>
      <c r="I10" s="10">
        <f t="shared" si="0"/>
        <v>0</v>
      </c>
      <c r="J10" s="10">
        <f t="shared" si="0"/>
        <v>0</v>
      </c>
      <c r="K10" s="10">
        <f t="shared" si="0"/>
        <v>0</v>
      </c>
      <c r="L10" s="10">
        <f t="shared" si="0"/>
        <v>0</v>
      </c>
      <c r="M10" s="10">
        <f t="shared" si="0"/>
        <v>295068</v>
      </c>
      <c r="O10" s="84"/>
    </row>
    <row r="11" spans="1:15" x14ac:dyDescent="0.25">
      <c r="A11" s="7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O11" s="8"/>
    </row>
    <row r="12" spans="1:15" x14ac:dyDescent="0.25">
      <c r="A12" s="7" t="s">
        <v>60</v>
      </c>
      <c r="B12" s="32">
        <v>0</v>
      </c>
      <c r="C12" s="32">
        <f>B14</f>
        <v>0</v>
      </c>
      <c r="D12" s="32">
        <f t="shared" ref="D12:M12" si="1">C14</f>
        <v>0</v>
      </c>
      <c r="E12" s="32">
        <f t="shared" si="1"/>
        <v>0</v>
      </c>
      <c r="F12" s="32">
        <f t="shared" si="1"/>
        <v>0</v>
      </c>
      <c r="G12" s="32">
        <f t="shared" si="1"/>
        <v>0</v>
      </c>
      <c r="H12" s="32">
        <f t="shared" si="1"/>
        <v>0</v>
      </c>
      <c r="I12" s="32">
        <f t="shared" si="1"/>
        <v>0</v>
      </c>
      <c r="J12" s="32">
        <f>I14</f>
        <v>0</v>
      </c>
      <c r="K12" s="32">
        <f t="shared" si="1"/>
        <v>0</v>
      </c>
      <c r="L12" s="32">
        <f t="shared" si="1"/>
        <v>0</v>
      </c>
      <c r="M12" s="32">
        <f t="shared" si="1"/>
        <v>0</v>
      </c>
      <c r="N12" s="1"/>
      <c r="O12" s="10"/>
    </row>
    <row r="13" spans="1:15" x14ac:dyDescent="0.25">
      <c r="A13" s="7" t="s">
        <v>61</v>
      </c>
      <c r="B13" s="31">
        <f>B10</f>
        <v>0</v>
      </c>
      <c r="C13" s="31">
        <f t="shared" ref="C13:M13" si="2">C10</f>
        <v>0</v>
      </c>
      <c r="D13" s="31">
        <f t="shared" si="2"/>
        <v>0</v>
      </c>
      <c r="E13" s="31">
        <f t="shared" si="2"/>
        <v>0</v>
      </c>
      <c r="F13" s="31">
        <f t="shared" si="2"/>
        <v>0</v>
      </c>
      <c r="G13" s="31">
        <f t="shared" si="2"/>
        <v>0</v>
      </c>
      <c r="H13" s="31">
        <f t="shared" si="2"/>
        <v>0</v>
      </c>
      <c r="I13" s="31">
        <f t="shared" si="2"/>
        <v>0</v>
      </c>
      <c r="J13" s="31">
        <f t="shared" si="2"/>
        <v>0</v>
      </c>
      <c r="K13" s="31">
        <f t="shared" si="2"/>
        <v>0</v>
      </c>
      <c r="L13" s="31">
        <f t="shared" si="2"/>
        <v>0</v>
      </c>
      <c r="M13" s="31">
        <f t="shared" si="2"/>
        <v>295068</v>
      </c>
      <c r="N13" s="1"/>
      <c r="O13" s="10"/>
    </row>
    <row r="14" spans="1:15" s="78" customFormat="1" x14ac:dyDescent="0.25">
      <c r="A14" s="42" t="s">
        <v>62</v>
      </c>
      <c r="B14" s="10">
        <f>SUM(B12:B13)</f>
        <v>0</v>
      </c>
      <c r="C14" s="10">
        <f t="shared" ref="C14:M14" si="3">SUM(C12:C13)</f>
        <v>0</v>
      </c>
      <c r="D14" s="10">
        <f t="shared" si="3"/>
        <v>0</v>
      </c>
      <c r="E14" s="10">
        <f t="shared" si="3"/>
        <v>0</v>
      </c>
      <c r="F14" s="10">
        <f t="shared" si="3"/>
        <v>0</v>
      </c>
      <c r="G14" s="10">
        <f t="shared" si="3"/>
        <v>0</v>
      </c>
      <c r="H14" s="10">
        <f t="shared" si="3"/>
        <v>0</v>
      </c>
      <c r="I14" s="10">
        <f t="shared" si="3"/>
        <v>0</v>
      </c>
      <c r="J14" s="10">
        <f t="shared" si="3"/>
        <v>0</v>
      </c>
      <c r="K14" s="10">
        <f t="shared" si="3"/>
        <v>0</v>
      </c>
      <c r="L14" s="10">
        <f t="shared" si="3"/>
        <v>0</v>
      </c>
      <c r="M14" s="10">
        <f t="shared" si="3"/>
        <v>295068</v>
      </c>
      <c r="N14" s="85"/>
      <c r="O14" s="10"/>
    </row>
    <row r="15" spans="1:15" x14ac:dyDescent="0.25">
      <c r="A15" s="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"/>
      <c r="O15" s="10"/>
    </row>
    <row r="16" spans="1:15" x14ac:dyDescent="0.25">
      <c r="A16" s="7" t="s">
        <v>13</v>
      </c>
      <c r="B16" s="73">
        <v>3.6400000000000002E-2</v>
      </c>
      <c r="C16" s="73">
        <v>3.6400000000000002E-2</v>
      </c>
      <c r="D16" s="73">
        <v>3.6400000000000002E-2</v>
      </c>
      <c r="E16" s="73">
        <v>3.1600000000000003E-2</v>
      </c>
      <c r="F16" s="73">
        <v>3.1600000000000003E-2</v>
      </c>
      <c r="G16" s="73">
        <v>3.1600000000000003E-2</v>
      </c>
      <c r="H16" s="73">
        <v>2.9100000000000001E-2</v>
      </c>
      <c r="I16" s="73">
        <v>2.9100000000000001E-2</v>
      </c>
      <c r="J16" s="73">
        <v>2.9100000000000001E-2</v>
      </c>
      <c r="K16" s="73">
        <v>2.9100000000000001E-2</v>
      </c>
      <c r="L16" s="73">
        <v>2.9100000000000001E-2</v>
      </c>
      <c r="M16" s="73">
        <v>2.9100000000000001E-2</v>
      </c>
      <c r="N16" s="1"/>
      <c r="O16" s="34">
        <f>(Summary!D7+Summary!E7+Summary!F7+Summary!G7)/4</f>
        <v>2.5499999999999998E-2</v>
      </c>
    </row>
    <row r="17" spans="1:15" x14ac:dyDescent="0.25">
      <c r="A17" s="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"/>
      <c r="O17" s="10"/>
    </row>
    <row r="18" spans="1:15" x14ac:dyDescent="0.25">
      <c r="A18" s="7" t="s">
        <v>14</v>
      </c>
      <c r="B18" s="32">
        <v>0</v>
      </c>
      <c r="C18" s="32">
        <f>B20</f>
        <v>0</v>
      </c>
      <c r="D18" s="32">
        <f t="shared" ref="D18:M18" si="4">C20</f>
        <v>0</v>
      </c>
      <c r="E18" s="32">
        <f t="shared" si="4"/>
        <v>0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1"/>
      <c r="O18" s="32">
        <f t="shared" ref="O18" si="5">M20</f>
        <v>0</v>
      </c>
    </row>
    <row r="19" spans="1:15" x14ac:dyDescent="0.25">
      <c r="A19" s="7" t="s">
        <v>15</v>
      </c>
      <c r="B19" s="31">
        <f t="shared" ref="B19:M19" si="6">B12*B16/12</f>
        <v>0</v>
      </c>
      <c r="C19" s="31">
        <f t="shared" si="6"/>
        <v>0</v>
      </c>
      <c r="D19" s="31">
        <f t="shared" si="6"/>
        <v>0</v>
      </c>
      <c r="E19" s="31">
        <f t="shared" si="6"/>
        <v>0</v>
      </c>
      <c r="F19" s="31">
        <f t="shared" si="6"/>
        <v>0</v>
      </c>
      <c r="G19" s="31">
        <f t="shared" si="6"/>
        <v>0</v>
      </c>
      <c r="H19" s="31">
        <f t="shared" si="6"/>
        <v>0</v>
      </c>
      <c r="I19" s="31">
        <f t="shared" si="6"/>
        <v>0</v>
      </c>
      <c r="J19" s="31">
        <f t="shared" si="6"/>
        <v>0</v>
      </c>
      <c r="K19" s="31">
        <f t="shared" si="6"/>
        <v>0</v>
      </c>
      <c r="L19" s="31">
        <f t="shared" si="6"/>
        <v>0</v>
      </c>
      <c r="M19" s="31">
        <f t="shared" si="6"/>
        <v>0</v>
      </c>
      <c r="N19" s="1"/>
      <c r="O19" s="31">
        <f>M14*O16</f>
        <v>7524.2339999999995</v>
      </c>
    </row>
    <row r="20" spans="1:15" x14ac:dyDescent="0.25">
      <c r="A20" s="33" t="s">
        <v>16</v>
      </c>
      <c r="B20" s="11">
        <f>SUM(B18:B19)</f>
        <v>0</v>
      </c>
      <c r="C20" s="11">
        <f t="shared" ref="C20:M20" si="7">SUM(C18:C19)</f>
        <v>0</v>
      </c>
      <c r="D20" s="11">
        <f t="shared" si="7"/>
        <v>0</v>
      </c>
      <c r="E20" s="11">
        <f t="shared" si="7"/>
        <v>0</v>
      </c>
      <c r="F20" s="11">
        <f t="shared" si="7"/>
        <v>0</v>
      </c>
      <c r="G20" s="11">
        <f t="shared" si="7"/>
        <v>0</v>
      </c>
      <c r="H20" s="11">
        <f t="shared" si="7"/>
        <v>0</v>
      </c>
      <c r="I20" s="11">
        <f t="shared" si="7"/>
        <v>0</v>
      </c>
      <c r="J20" s="11">
        <f t="shared" si="7"/>
        <v>0</v>
      </c>
      <c r="K20" s="11">
        <f t="shared" si="7"/>
        <v>0</v>
      </c>
      <c r="L20" s="11">
        <f t="shared" si="7"/>
        <v>0</v>
      </c>
      <c r="M20" s="11">
        <f t="shared" si="7"/>
        <v>0</v>
      </c>
      <c r="N20" s="1"/>
      <c r="O20" s="11">
        <f>SUM(O18:O19)</f>
        <v>7524.2339999999995</v>
      </c>
    </row>
    <row r="21" spans="1:15" x14ac:dyDescent="0.25">
      <c r="A21" s="2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O21" s="30"/>
    </row>
    <row r="22" spans="1:15" x14ac:dyDescent="0.25">
      <c r="E22" s="13"/>
      <c r="F22" s="13"/>
      <c r="G22" s="13"/>
      <c r="H22" s="13"/>
      <c r="I22" s="13"/>
    </row>
    <row r="23" spans="1:15" x14ac:dyDescent="0.25">
      <c r="A23" s="12" t="s">
        <v>63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5" ht="45" x14ac:dyDescent="0.25">
      <c r="A24" s="14"/>
      <c r="B24" s="14" t="s">
        <v>46</v>
      </c>
      <c r="C24" s="14" t="s">
        <v>150</v>
      </c>
      <c r="D24" s="14" t="s">
        <v>151</v>
      </c>
      <c r="E24" s="13"/>
      <c r="F24" s="13"/>
      <c r="G24" s="13"/>
      <c r="H24" s="13"/>
      <c r="I24" s="13"/>
      <c r="J24" s="15"/>
      <c r="K24" s="15"/>
      <c r="L24" s="13"/>
    </row>
    <row r="25" spans="1:15" x14ac:dyDescent="0.25">
      <c r="A25" s="51" t="s">
        <v>34</v>
      </c>
      <c r="B25" s="52">
        <f>M14</f>
        <v>295068</v>
      </c>
      <c r="C25" s="52"/>
      <c r="D25" s="52">
        <f>B25+C25</f>
        <v>295068</v>
      </c>
      <c r="E25" s="13"/>
      <c r="F25" s="13"/>
      <c r="G25" s="13"/>
      <c r="H25" s="13"/>
      <c r="I25" s="13"/>
      <c r="J25" s="13"/>
      <c r="K25" s="13"/>
      <c r="L25" s="13"/>
    </row>
    <row r="26" spans="1:15" x14ac:dyDescent="0.25">
      <c r="A26" s="16" t="s">
        <v>35</v>
      </c>
      <c r="B26" s="56">
        <f>M20</f>
        <v>0</v>
      </c>
      <c r="C26" s="56">
        <f>O19</f>
        <v>7524.2339999999995</v>
      </c>
      <c r="D26" s="56">
        <f t="shared" ref="D26:D27" si="8">B26+C26</f>
        <v>7524.2339999999995</v>
      </c>
      <c r="E26" s="13"/>
      <c r="F26" s="13"/>
      <c r="G26" s="13"/>
      <c r="H26" s="13"/>
      <c r="I26" s="13"/>
      <c r="J26" s="21"/>
      <c r="K26" s="21"/>
      <c r="L26" s="13"/>
    </row>
    <row r="27" spans="1:15" x14ac:dyDescent="0.25">
      <c r="A27" s="22" t="s">
        <v>17</v>
      </c>
      <c r="B27" s="53">
        <f>B26+B25</f>
        <v>295068</v>
      </c>
      <c r="C27" s="53">
        <f t="shared" ref="C27" si="9">C26+C25</f>
        <v>7524.2339999999995</v>
      </c>
      <c r="D27" s="53">
        <f t="shared" si="8"/>
        <v>302592.234</v>
      </c>
      <c r="E27" s="13"/>
      <c r="F27" s="13"/>
      <c r="G27" s="13"/>
      <c r="H27" s="13"/>
      <c r="I27" s="13"/>
      <c r="J27" s="13"/>
      <c r="K27" s="13"/>
    </row>
    <row r="28" spans="1:1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30" spans="1:15" x14ac:dyDescent="0.25">
      <c r="A30" s="12" t="s">
        <v>125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5" x14ac:dyDescent="0.25">
      <c r="A31" s="14"/>
      <c r="B31" s="14" t="s">
        <v>18</v>
      </c>
      <c r="C31" s="14" t="s">
        <v>19</v>
      </c>
      <c r="D31" s="14" t="s">
        <v>25</v>
      </c>
      <c r="E31" s="14" t="s">
        <v>122</v>
      </c>
      <c r="F31" s="14" t="s">
        <v>123</v>
      </c>
      <c r="G31" s="14" t="s">
        <v>124</v>
      </c>
      <c r="H31" s="15"/>
      <c r="I31" s="15"/>
      <c r="J31" s="15"/>
      <c r="K31" s="13"/>
    </row>
    <row r="32" spans="1:15" x14ac:dyDescent="0.25">
      <c r="A32" s="16" t="s">
        <v>135</v>
      </c>
      <c r="B32" s="17" t="s">
        <v>126</v>
      </c>
      <c r="C32" s="119">
        <f>SUM(D32:G32)</f>
        <v>54946.04</v>
      </c>
      <c r="D32" s="119">
        <v>32656.93</v>
      </c>
      <c r="E32" s="119">
        <v>11610.57</v>
      </c>
      <c r="F32" s="119">
        <v>1417.66</v>
      </c>
      <c r="G32" s="119">
        <v>9260.8799999999992</v>
      </c>
      <c r="H32" s="13"/>
      <c r="I32" s="13"/>
      <c r="J32" s="13"/>
      <c r="K32" s="13"/>
    </row>
    <row r="33" spans="1:11" x14ac:dyDescent="0.25">
      <c r="A33" s="16" t="s">
        <v>22</v>
      </c>
      <c r="B33" s="19" t="s">
        <v>20</v>
      </c>
      <c r="C33" s="20">
        <f>SUM(D33:G33)</f>
        <v>1</v>
      </c>
      <c r="D33" s="20">
        <f>D32/$C$32</f>
        <v>0.59434547057440357</v>
      </c>
      <c r="E33" s="20">
        <f t="shared" ref="E33:G33" si="10">E32/$C$32</f>
        <v>0.21130858565967628</v>
      </c>
      <c r="F33" s="20">
        <f t="shared" si="10"/>
        <v>2.5800949440578431E-2</v>
      </c>
      <c r="G33" s="20">
        <f t="shared" si="10"/>
        <v>0.16854499432534173</v>
      </c>
      <c r="H33" s="21"/>
      <c r="I33" s="21"/>
      <c r="J33" s="21"/>
      <c r="K33" s="13"/>
    </row>
    <row r="34" spans="1:11" x14ac:dyDescent="0.25">
      <c r="A34" s="22" t="s">
        <v>17</v>
      </c>
      <c r="B34" s="23" t="s">
        <v>21</v>
      </c>
      <c r="C34" s="24">
        <f>SUM(D34:G34)</f>
        <v>302592.234</v>
      </c>
      <c r="D34" s="24">
        <f>D33*($O$20+$M$14)</f>
        <v>179844.32370889004</v>
      </c>
      <c r="E34" s="24">
        <f>E33*($O$20+$M$14)</f>
        <v>63940.336998141807</v>
      </c>
      <c r="F34" s="24">
        <f>F33*($O$20+$M$14)</f>
        <v>7807.166930545678</v>
      </c>
      <c r="G34" s="24">
        <f>G33*($O$20+$M$14)</f>
        <v>51000.406362422473</v>
      </c>
      <c r="H34" s="13"/>
      <c r="I34" s="13"/>
      <c r="J34" s="13"/>
      <c r="K34" s="13"/>
    </row>
    <row r="35" spans="1:1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7" spans="1:11" x14ac:dyDescent="0.25">
      <c r="A37" s="12" t="s">
        <v>152</v>
      </c>
      <c r="B37" s="13"/>
      <c r="C37" s="13"/>
      <c r="D37" s="13"/>
      <c r="E37" s="13"/>
      <c r="F37" s="13"/>
      <c r="G37" s="13"/>
    </row>
    <row r="38" spans="1:11" x14ac:dyDescent="0.25">
      <c r="A38" s="14"/>
      <c r="B38" s="14" t="s">
        <v>18</v>
      </c>
      <c r="C38" s="14" t="s">
        <v>19</v>
      </c>
      <c r="D38" s="14" t="str">
        <f>D31</f>
        <v>Rate 1</v>
      </c>
      <c r="E38" s="14" t="str">
        <f t="shared" ref="E38:F38" si="11">E31</f>
        <v>Rate 6</v>
      </c>
      <c r="F38" s="14" t="str">
        <f t="shared" si="11"/>
        <v>Rate 11</v>
      </c>
      <c r="G38" s="14" t="s">
        <v>18</v>
      </c>
      <c r="H38" s="14" t="str">
        <f>G31</f>
        <v>Rate 16</v>
      </c>
    </row>
    <row r="39" spans="1:11" ht="16.5" x14ac:dyDescent="0.25">
      <c r="A39" s="16" t="s">
        <v>24</v>
      </c>
      <c r="B39" s="17" t="s">
        <v>27</v>
      </c>
      <c r="C39" s="113">
        <f>SUM(D39:F39)</f>
        <v>13257.002210030671</v>
      </c>
      <c r="D39" s="113">
        <f>'Load Forecast'!A7</f>
        <v>8662.8848775633542</v>
      </c>
      <c r="E39" s="113">
        <f>'Load Forecast'!B7</f>
        <v>2918.610612467317</v>
      </c>
      <c r="F39" s="113">
        <f>'Load Forecast'!C7</f>
        <v>1675.5067199999999</v>
      </c>
      <c r="G39" s="17" t="s">
        <v>127</v>
      </c>
      <c r="H39" s="113">
        <f>'Load Forecast'!D7</f>
        <v>95854.65711361311</v>
      </c>
    </row>
    <row r="40" spans="1:11" x14ac:dyDescent="0.25">
      <c r="A40" s="16" t="s">
        <v>22</v>
      </c>
      <c r="B40" s="114" t="s">
        <v>20</v>
      </c>
      <c r="C40" s="115">
        <f>SUM(D40:H40)</f>
        <v>1</v>
      </c>
      <c r="D40" s="116">
        <f t="shared" ref="D40:F40" si="12">D33</f>
        <v>0.59434547057440357</v>
      </c>
      <c r="E40" s="116">
        <f t="shared" si="12"/>
        <v>0.21130858565967628</v>
      </c>
      <c r="F40" s="116">
        <f t="shared" si="12"/>
        <v>2.5800949440578431E-2</v>
      </c>
      <c r="G40" s="114" t="s">
        <v>20</v>
      </c>
      <c r="H40" s="116">
        <f>G33</f>
        <v>0.16854499432534173</v>
      </c>
    </row>
    <row r="41" spans="1:11" x14ac:dyDescent="0.25">
      <c r="A41" s="26" t="s">
        <v>17</v>
      </c>
      <c r="B41" s="27" t="s">
        <v>21</v>
      </c>
      <c r="C41" s="117">
        <f>SUM(D41:H41)</f>
        <v>302591.87308281806</v>
      </c>
      <c r="D41" s="118">
        <f>D39*D42*10</f>
        <v>179844.32370889004</v>
      </c>
      <c r="E41" s="118">
        <f t="shared" ref="E41:F41" si="13">E39*E42*10</f>
        <v>63940.3369981418</v>
      </c>
      <c r="F41" s="118">
        <f t="shared" si="13"/>
        <v>7807.1669305456771</v>
      </c>
      <c r="G41" s="27" t="s">
        <v>21</v>
      </c>
      <c r="H41" s="118">
        <f>H39*H42/100*12</f>
        <v>51000.045445240539</v>
      </c>
    </row>
    <row r="42" spans="1:11" ht="17.25" x14ac:dyDescent="0.25">
      <c r="A42" s="22" t="s">
        <v>23</v>
      </c>
      <c r="B42" s="23" t="s">
        <v>28</v>
      </c>
      <c r="C42" s="29"/>
      <c r="D42" s="29">
        <f>D34/D39/10</f>
        <v>2.0760327102427754</v>
      </c>
      <c r="E42" s="29">
        <f t="shared" ref="E42:F42" si="14">E34/E39/10</f>
        <v>2.190779980207374</v>
      </c>
      <c r="F42" s="29">
        <f t="shared" si="14"/>
        <v>0.4659585567371331</v>
      </c>
      <c r="G42" s="23" t="s">
        <v>128</v>
      </c>
      <c r="H42" s="29">
        <f>ROUND(G34/H39*100/12,4)</f>
        <v>4.4337999999999997</v>
      </c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5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1C4E3-6501-4EE2-9824-C44E2A9E2B81}">
  <sheetPr>
    <pageSetUpPr fitToPage="1"/>
  </sheetPr>
  <dimension ref="A1:O46"/>
  <sheetViews>
    <sheetView showGridLines="0" zoomScale="80" zoomScaleNormal="80" zoomScaleSheetLayoutView="85" workbookViewId="0">
      <selection activeCell="C30" sqref="C30"/>
    </sheetView>
  </sheetViews>
  <sheetFormatPr defaultColWidth="12.5703125" defaultRowHeight="15" x14ac:dyDescent="0.25"/>
  <cols>
    <col min="1" max="1" width="41.28515625" customWidth="1"/>
    <col min="2" max="2" width="11.7109375" bestFit="1" customWidth="1"/>
    <col min="3" max="3" width="13.5703125" customWidth="1"/>
    <col min="4" max="4" width="12.42578125" customWidth="1"/>
    <col min="5" max="6" width="11.7109375" bestFit="1" customWidth="1"/>
    <col min="7" max="7" width="13.5703125" customWidth="1"/>
    <col min="8" max="8" width="11.28515625" bestFit="1" customWidth="1"/>
    <col min="9" max="12" width="11.7109375" bestFit="1" customWidth="1"/>
    <col min="13" max="13" width="13" bestFit="1" customWidth="1"/>
    <col min="14" max="14" width="1.5703125" customWidth="1"/>
    <col min="15" max="15" width="12.28515625" bestFit="1" customWidth="1"/>
  </cols>
  <sheetData>
    <row r="1" spans="1:15" s="2" customFormat="1" x14ac:dyDescent="0.25">
      <c r="A1" s="2" t="s">
        <v>0</v>
      </c>
    </row>
    <row r="2" spans="1:15" s="2" customFormat="1" x14ac:dyDescent="0.25">
      <c r="A2" s="2" t="str">
        <f>CIACVA!A2</f>
        <v>EB-2026-0149</v>
      </c>
    </row>
    <row r="3" spans="1:15" s="2" customFormat="1" x14ac:dyDescent="0.25">
      <c r="A3" s="2" t="s">
        <v>72</v>
      </c>
    </row>
    <row r="4" spans="1:15" s="2" customFormat="1" x14ac:dyDescent="0.25">
      <c r="A4" s="2" t="s">
        <v>38</v>
      </c>
    </row>
    <row r="5" spans="1:15" x14ac:dyDescent="0.25">
      <c r="A5" s="3"/>
      <c r="B5" s="4">
        <v>2025</v>
      </c>
      <c r="C5" s="4">
        <v>2025</v>
      </c>
      <c r="D5" s="4">
        <v>2025</v>
      </c>
      <c r="E5" s="4">
        <v>2025</v>
      </c>
      <c r="F5" s="4">
        <v>2025</v>
      </c>
      <c r="G5" s="4">
        <v>2025</v>
      </c>
      <c r="H5" s="4">
        <v>2025</v>
      </c>
      <c r="I5" s="4">
        <v>2025</v>
      </c>
      <c r="J5" s="4">
        <v>2025</v>
      </c>
      <c r="K5" s="4">
        <v>2025</v>
      </c>
      <c r="L5" s="4">
        <v>2025</v>
      </c>
      <c r="M5" s="4">
        <v>2025</v>
      </c>
      <c r="O5" s="4">
        <v>2026</v>
      </c>
    </row>
    <row r="6" spans="1:15" x14ac:dyDescent="0.25">
      <c r="A6" s="5"/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O6" s="6" t="s">
        <v>26</v>
      </c>
    </row>
    <row r="7" spans="1:15" x14ac:dyDescent="0.25">
      <c r="A7" s="7"/>
      <c r="B7" s="35"/>
      <c r="C7" s="35"/>
      <c r="D7" s="35"/>
      <c r="E7" s="35"/>
      <c r="F7" s="36"/>
      <c r="G7" s="36"/>
      <c r="H7" s="37"/>
      <c r="I7" s="36"/>
      <c r="J7" s="36"/>
      <c r="K7" s="36"/>
      <c r="L7" s="36"/>
      <c r="M7" s="36"/>
      <c r="O7" s="36"/>
    </row>
    <row r="8" spans="1:15" x14ac:dyDescent="0.25">
      <c r="A8" s="7" t="s">
        <v>77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7041761.1299999999</v>
      </c>
      <c r="O8" s="8"/>
    </row>
    <row r="9" spans="1:15" x14ac:dyDescent="0.25">
      <c r="A9" s="7" t="s">
        <v>78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7454573.7699296391</v>
      </c>
      <c r="O9" s="8"/>
    </row>
    <row r="10" spans="1:15" x14ac:dyDescent="0.25">
      <c r="A10" s="7" t="s">
        <v>79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623740.95171197201</v>
      </c>
      <c r="O10" s="8"/>
    </row>
    <row r="11" spans="1:15" x14ac:dyDescent="0.25">
      <c r="A11" s="7" t="s">
        <v>80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148">
        <v>8.3672248871964588E-2</v>
      </c>
      <c r="O11" s="8"/>
    </row>
    <row r="12" spans="1:15" x14ac:dyDescent="0.25">
      <c r="A12" s="7" t="s">
        <v>81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f>M8*M11</f>
        <v>589199.98976628657</v>
      </c>
      <c r="O12" s="8"/>
    </row>
    <row r="13" spans="1:15" x14ac:dyDescent="0.25">
      <c r="A13" s="7" t="s">
        <v>82</v>
      </c>
      <c r="B13" s="31">
        <v>0</v>
      </c>
      <c r="C13" s="31">
        <v>315214.25</v>
      </c>
      <c r="D13" s="31">
        <v>75.44</v>
      </c>
      <c r="E13" s="31"/>
      <c r="F13" s="31"/>
      <c r="G13" s="31"/>
      <c r="H13" s="31">
        <v>120399.81</v>
      </c>
      <c r="I13" s="31">
        <v>98271.640000000014</v>
      </c>
      <c r="J13" s="31"/>
      <c r="K13" s="31">
        <v>-37223.79</v>
      </c>
      <c r="L13" s="31"/>
      <c r="M13" s="31"/>
      <c r="O13" s="8"/>
    </row>
    <row r="14" spans="1:15" s="78" customFormat="1" x14ac:dyDescent="0.25">
      <c r="A14" s="42" t="s">
        <v>57</v>
      </c>
      <c r="B14" s="10">
        <f>B13-B12</f>
        <v>0</v>
      </c>
      <c r="C14" s="10">
        <f t="shared" ref="C14:M14" si="0">C13-C12</f>
        <v>315214.25</v>
      </c>
      <c r="D14" s="10">
        <f t="shared" si="0"/>
        <v>75.44</v>
      </c>
      <c r="E14" s="10">
        <f t="shared" si="0"/>
        <v>0</v>
      </c>
      <c r="F14" s="10">
        <f t="shared" si="0"/>
        <v>0</v>
      </c>
      <c r="G14" s="10">
        <f t="shared" si="0"/>
        <v>0</v>
      </c>
      <c r="H14" s="10">
        <f t="shared" si="0"/>
        <v>120399.81</v>
      </c>
      <c r="I14" s="10">
        <f t="shared" si="0"/>
        <v>98271.640000000014</v>
      </c>
      <c r="J14" s="10">
        <f t="shared" si="0"/>
        <v>0</v>
      </c>
      <c r="K14" s="10">
        <f t="shared" si="0"/>
        <v>-37223.79</v>
      </c>
      <c r="L14" s="10">
        <f t="shared" si="0"/>
        <v>0</v>
      </c>
      <c r="M14" s="10">
        <f t="shared" si="0"/>
        <v>-589199.98976628657</v>
      </c>
      <c r="O14" s="84"/>
    </row>
    <row r="15" spans="1:15" x14ac:dyDescent="0.25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O15" s="8"/>
    </row>
    <row r="16" spans="1:15" x14ac:dyDescent="0.25">
      <c r="A16" s="7" t="s">
        <v>73</v>
      </c>
      <c r="B16" s="32">
        <v>0</v>
      </c>
      <c r="C16" s="32">
        <f>B18</f>
        <v>0</v>
      </c>
      <c r="D16" s="32">
        <f t="shared" ref="D16:M16" si="1">C18</f>
        <v>315214.25</v>
      </c>
      <c r="E16" s="32">
        <f t="shared" si="1"/>
        <v>315289.69</v>
      </c>
      <c r="F16" s="32">
        <f t="shared" si="1"/>
        <v>315289.69</v>
      </c>
      <c r="G16" s="32">
        <f t="shared" si="1"/>
        <v>315289.69</v>
      </c>
      <c r="H16" s="32">
        <f t="shared" si="1"/>
        <v>315289.69</v>
      </c>
      <c r="I16" s="32">
        <f t="shared" si="1"/>
        <v>435689.5</v>
      </c>
      <c r="J16" s="32">
        <f>I18</f>
        <v>533961.14</v>
      </c>
      <c r="K16" s="32">
        <f t="shared" si="1"/>
        <v>533961.14</v>
      </c>
      <c r="L16" s="32">
        <f t="shared" si="1"/>
        <v>496737.35000000003</v>
      </c>
      <c r="M16" s="32">
        <f t="shared" si="1"/>
        <v>496737.35000000003</v>
      </c>
      <c r="N16" s="1"/>
      <c r="O16" s="10"/>
    </row>
    <row r="17" spans="1:15" x14ac:dyDescent="0.25">
      <c r="A17" s="7" t="s">
        <v>74</v>
      </c>
      <c r="B17" s="96">
        <f>B14</f>
        <v>0</v>
      </c>
      <c r="C17" s="96">
        <f t="shared" ref="C17:M17" si="2">C14</f>
        <v>315214.25</v>
      </c>
      <c r="D17" s="96">
        <f t="shared" si="2"/>
        <v>75.44</v>
      </c>
      <c r="E17" s="96">
        <f t="shared" si="2"/>
        <v>0</v>
      </c>
      <c r="F17" s="96">
        <f t="shared" si="2"/>
        <v>0</v>
      </c>
      <c r="G17" s="96">
        <f t="shared" si="2"/>
        <v>0</v>
      </c>
      <c r="H17" s="96">
        <f t="shared" si="2"/>
        <v>120399.81</v>
      </c>
      <c r="I17" s="96">
        <f t="shared" si="2"/>
        <v>98271.640000000014</v>
      </c>
      <c r="J17" s="96">
        <f t="shared" si="2"/>
        <v>0</v>
      </c>
      <c r="K17" s="96">
        <f t="shared" si="2"/>
        <v>-37223.79</v>
      </c>
      <c r="L17" s="96">
        <f t="shared" si="2"/>
        <v>0</v>
      </c>
      <c r="M17" s="96">
        <f t="shared" si="2"/>
        <v>-589199.98976628657</v>
      </c>
      <c r="N17" s="1"/>
      <c r="O17" s="10"/>
    </row>
    <row r="18" spans="1:15" s="78" customFormat="1" x14ac:dyDescent="0.25">
      <c r="A18" s="42" t="s">
        <v>75</v>
      </c>
      <c r="B18" s="10">
        <f>SUM(B16:B17)</f>
        <v>0</v>
      </c>
      <c r="C18" s="10">
        <f t="shared" ref="C18:M18" si="3">SUM(C16:C17)</f>
        <v>315214.25</v>
      </c>
      <c r="D18" s="10">
        <f t="shared" si="3"/>
        <v>315289.69</v>
      </c>
      <c r="E18" s="10">
        <f t="shared" si="3"/>
        <v>315289.69</v>
      </c>
      <c r="F18" s="10">
        <f t="shared" si="3"/>
        <v>315289.69</v>
      </c>
      <c r="G18" s="10">
        <f t="shared" si="3"/>
        <v>315289.69</v>
      </c>
      <c r="H18" s="10">
        <f t="shared" si="3"/>
        <v>435689.5</v>
      </c>
      <c r="I18" s="10">
        <f t="shared" si="3"/>
        <v>533961.14</v>
      </c>
      <c r="J18" s="10">
        <f t="shared" si="3"/>
        <v>533961.14</v>
      </c>
      <c r="K18" s="10">
        <f t="shared" si="3"/>
        <v>496737.35000000003</v>
      </c>
      <c r="L18" s="10">
        <f t="shared" si="3"/>
        <v>496737.35000000003</v>
      </c>
      <c r="M18" s="10">
        <f t="shared" si="3"/>
        <v>-92462.639766286535</v>
      </c>
      <c r="N18" s="85"/>
      <c r="O18" s="10"/>
    </row>
    <row r="19" spans="1:15" x14ac:dyDescent="0.25">
      <c r="A19" s="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"/>
      <c r="O19" s="10"/>
    </row>
    <row r="20" spans="1:15" x14ac:dyDescent="0.25">
      <c r="A20" s="7" t="s">
        <v>13</v>
      </c>
      <c r="B20" s="73">
        <v>3.6400000000000002E-2</v>
      </c>
      <c r="C20" s="73">
        <v>3.6400000000000002E-2</v>
      </c>
      <c r="D20" s="73">
        <v>3.6400000000000002E-2</v>
      </c>
      <c r="E20" s="73">
        <v>3.1600000000000003E-2</v>
      </c>
      <c r="F20" s="73">
        <v>3.1600000000000003E-2</v>
      </c>
      <c r="G20" s="73">
        <v>3.1600000000000003E-2</v>
      </c>
      <c r="H20" s="73">
        <v>2.9100000000000001E-2</v>
      </c>
      <c r="I20" s="73">
        <v>2.9100000000000001E-2</v>
      </c>
      <c r="J20" s="73">
        <v>2.9100000000000001E-2</v>
      </c>
      <c r="K20" s="73">
        <v>2.9100000000000001E-2</v>
      </c>
      <c r="L20" s="73">
        <v>2.9100000000000001E-2</v>
      </c>
      <c r="M20" s="73">
        <v>2.9100000000000001E-2</v>
      </c>
      <c r="N20" s="1"/>
      <c r="O20" s="34">
        <f>(Summary!D7+Summary!E7+Summary!F7+Summary!G7)/4</f>
        <v>2.5499999999999998E-2</v>
      </c>
    </row>
    <row r="21" spans="1:15" x14ac:dyDescent="0.25">
      <c r="A21" s="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"/>
      <c r="O21" s="10"/>
    </row>
    <row r="22" spans="1:15" x14ac:dyDescent="0.25">
      <c r="A22" s="7" t="s">
        <v>14</v>
      </c>
      <c r="B22" s="32">
        <v>0</v>
      </c>
      <c r="C22" s="32">
        <f>B24</f>
        <v>0</v>
      </c>
      <c r="D22" s="32">
        <f t="shared" ref="D22:M22" si="4">C24</f>
        <v>0</v>
      </c>
      <c r="E22" s="32">
        <f t="shared" si="4"/>
        <v>956.1498916666668</v>
      </c>
      <c r="F22" s="32">
        <f t="shared" si="4"/>
        <v>1786.4127420000002</v>
      </c>
      <c r="G22" s="32">
        <f t="shared" si="4"/>
        <v>2616.6755923333335</v>
      </c>
      <c r="H22" s="32">
        <f t="shared" si="4"/>
        <v>3446.938442666667</v>
      </c>
      <c r="I22" s="32">
        <f t="shared" si="4"/>
        <v>4211.5159409166672</v>
      </c>
      <c r="J22" s="32">
        <f t="shared" si="4"/>
        <v>5268.0629784166667</v>
      </c>
      <c r="K22" s="32">
        <f t="shared" si="4"/>
        <v>6562.9187429166668</v>
      </c>
      <c r="L22" s="32">
        <f t="shared" si="4"/>
        <v>7857.7745074166669</v>
      </c>
      <c r="M22" s="32">
        <f t="shared" si="4"/>
        <v>9062.362581166668</v>
      </c>
      <c r="N22" s="1"/>
      <c r="O22" s="32">
        <f t="shared" ref="O22" si="5">M24</f>
        <v>10266.950654916669</v>
      </c>
    </row>
    <row r="23" spans="1:15" x14ac:dyDescent="0.25">
      <c r="A23" s="7" t="s">
        <v>15</v>
      </c>
      <c r="B23" s="31">
        <f t="shared" ref="B23:M23" si="6">B16*B20/12</f>
        <v>0</v>
      </c>
      <c r="C23" s="31">
        <f t="shared" si="6"/>
        <v>0</v>
      </c>
      <c r="D23" s="31">
        <f t="shared" si="6"/>
        <v>956.1498916666668</v>
      </c>
      <c r="E23" s="31">
        <f t="shared" si="6"/>
        <v>830.2628503333334</v>
      </c>
      <c r="F23" s="31">
        <f t="shared" si="6"/>
        <v>830.2628503333334</v>
      </c>
      <c r="G23" s="31">
        <f t="shared" si="6"/>
        <v>830.2628503333334</v>
      </c>
      <c r="H23" s="31">
        <f t="shared" si="6"/>
        <v>764.57749825000008</v>
      </c>
      <c r="I23" s="31">
        <f t="shared" si="6"/>
        <v>1056.5470375</v>
      </c>
      <c r="J23" s="31">
        <f t="shared" si="6"/>
        <v>1294.8557645000001</v>
      </c>
      <c r="K23" s="31">
        <f t="shared" si="6"/>
        <v>1294.8557645000001</v>
      </c>
      <c r="L23" s="31">
        <f t="shared" si="6"/>
        <v>1204.5880737500001</v>
      </c>
      <c r="M23" s="31">
        <f t="shared" si="6"/>
        <v>1204.5880737500001</v>
      </c>
      <c r="N23" s="1"/>
      <c r="O23" s="31">
        <f>M18*O20</f>
        <v>-2357.7973140403064</v>
      </c>
    </row>
    <row r="24" spans="1:15" x14ac:dyDescent="0.25">
      <c r="A24" s="33" t="s">
        <v>16</v>
      </c>
      <c r="B24" s="11">
        <f>SUM(B22:B23)</f>
        <v>0</v>
      </c>
      <c r="C24" s="11">
        <f t="shared" ref="C24:M24" si="7">SUM(C22:C23)</f>
        <v>0</v>
      </c>
      <c r="D24" s="11">
        <f t="shared" si="7"/>
        <v>956.1498916666668</v>
      </c>
      <c r="E24" s="11">
        <f t="shared" si="7"/>
        <v>1786.4127420000002</v>
      </c>
      <c r="F24" s="11">
        <f t="shared" si="7"/>
        <v>2616.6755923333335</v>
      </c>
      <c r="G24" s="11">
        <f t="shared" si="7"/>
        <v>3446.938442666667</v>
      </c>
      <c r="H24" s="11">
        <f t="shared" si="7"/>
        <v>4211.5159409166672</v>
      </c>
      <c r="I24" s="11">
        <f t="shared" si="7"/>
        <v>5268.0629784166667</v>
      </c>
      <c r="J24" s="11">
        <f t="shared" si="7"/>
        <v>6562.9187429166668</v>
      </c>
      <c r="K24" s="11">
        <f t="shared" si="7"/>
        <v>7857.7745074166669</v>
      </c>
      <c r="L24" s="11">
        <f t="shared" si="7"/>
        <v>9062.362581166668</v>
      </c>
      <c r="M24" s="11">
        <f t="shared" si="7"/>
        <v>10266.950654916669</v>
      </c>
      <c r="N24" s="1"/>
      <c r="O24" s="11">
        <f>SUM(O22:O23)</f>
        <v>7909.1533408763626</v>
      </c>
    </row>
    <row r="25" spans="1:15" x14ac:dyDescent="0.25">
      <c r="A25" s="2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O25" s="30"/>
    </row>
    <row r="26" spans="1:15" x14ac:dyDescent="0.25">
      <c r="E26" s="13"/>
      <c r="F26" s="13"/>
      <c r="G26" s="13"/>
      <c r="H26" s="13"/>
      <c r="I26" s="13"/>
    </row>
    <row r="27" spans="1:15" x14ac:dyDescent="0.25">
      <c r="A27" s="12" t="s">
        <v>76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5" ht="45" x14ac:dyDescent="0.25">
      <c r="A28" s="14"/>
      <c r="B28" s="14" t="s">
        <v>46</v>
      </c>
      <c r="C28" s="14" t="s">
        <v>150</v>
      </c>
      <c r="D28" s="14" t="s">
        <v>151</v>
      </c>
      <c r="E28" s="13"/>
      <c r="F28" s="13"/>
      <c r="G28" s="13"/>
      <c r="H28" s="13"/>
      <c r="I28" s="13"/>
      <c r="J28" s="15"/>
      <c r="K28" s="15"/>
      <c r="L28" s="13"/>
    </row>
    <row r="29" spans="1:15" x14ac:dyDescent="0.25">
      <c r="A29" s="51" t="s">
        <v>34</v>
      </c>
      <c r="B29" s="52">
        <f>M18</f>
        <v>-92462.639766286535</v>
      </c>
      <c r="C29" s="52"/>
      <c r="D29" s="52">
        <f>B29+C29</f>
        <v>-92462.639766286535</v>
      </c>
      <c r="E29" s="13"/>
      <c r="F29" s="13"/>
      <c r="G29" s="13"/>
      <c r="H29" s="13"/>
      <c r="I29" s="13"/>
      <c r="J29" s="13"/>
      <c r="K29" s="13"/>
      <c r="L29" s="13"/>
    </row>
    <row r="30" spans="1:15" x14ac:dyDescent="0.25">
      <c r="A30" s="16" t="s">
        <v>35</v>
      </c>
      <c r="B30" s="56">
        <f>M24</f>
        <v>10266.950654916669</v>
      </c>
      <c r="C30" s="56">
        <f>O23</f>
        <v>-2357.7973140403064</v>
      </c>
      <c r="D30" s="56">
        <f t="shared" ref="D30:D31" si="8">B30+C30</f>
        <v>7909.1533408763626</v>
      </c>
      <c r="E30" s="13"/>
      <c r="F30" s="13"/>
      <c r="G30" s="13"/>
      <c r="H30" s="13"/>
      <c r="I30" s="13"/>
      <c r="J30" s="21"/>
      <c r="K30" s="21"/>
      <c r="L30" s="13"/>
    </row>
    <row r="31" spans="1:15" x14ac:dyDescent="0.25">
      <c r="A31" s="22" t="s">
        <v>17</v>
      </c>
      <c r="B31" s="53">
        <f>B30+B29</f>
        <v>-82195.689111369866</v>
      </c>
      <c r="C31" s="53">
        <f t="shared" ref="C31" si="9">C30+C29</f>
        <v>-2357.7973140403064</v>
      </c>
      <c r="D31" s="53">
        <f t="shared" si="8"/>
        <v>-84553.48642541017</v>
      </c>
      <c r="E31" s="13"/>
      <c r="F31" s="13"/>
      <c r="G31" s="13"/>
      <c r="H31" s="13"/>
      <c r="I31" s="13"/>
      <c r="J31" s="13"/>
      <c r="K31" s="13"/>
      <c r="L31" s="13"/>
    </row>
    <row r="32" spans="1:1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4" spans="1:11" x14ac:dyDescent="0.25">
      <c r="A34" s="12" t="s">
        <v>134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4"/>
      <c r="B35" s="14" t="s">
        <v>18</v>
      </c>
      <c r="C35" s="14" t="s">
        <v>19</v>
      </c>
      <c r="D35" s="14" t="s">
        <v>25</v>
      </c>
      <c r="E35" s="14" t="s">
        <v>122</v>
      </c>
      <c r="F35" s="14" t="s">
        <v>123</v>
      </c>
      <c r="G35" s="14" t="s">
        <v>124</v>
      </c>
      <c r="H35" s="15"/>
      <c r="I35" s="15"/>
      <c r="J35" s="15"/>
      <c r="K35" s="13"/>
    </row>
    <row r="36" spans="1:11" x14ac:dyDescent="0.25">
      <c r="A36" s="16" t="s">
        <v>136</v>
      </c>
      <c r="B36" s="17" t="s">
        <v>126</v>
      </c>
      <c r="C36" s="120">
        <f>SUM(D36:G36)</f>
        <v>630.03</v>
      </c>
      <c r="D36" s="120">
        <v>338.9</v>
      </c>
      <c r="E36" s="120">
        <v>156.36000000000001</v>
      </c>
      <c r="F36" s="120">
        <v>19.14</v>
      </c>
      <c r="G36" s="120">
        <v>115.63</v>
      </c>
      <c r="H36" s="13"/>
      <c r="I36" s="13"/>
      <c r="J36" s="13"/>
      <c r="K36" s="13"/>
    </row>
    <row r="37" spans="1:11" x14ac:dyDescent="0.25">
      <c r="A37" s="16" t="s">
        <v>22</v>
      </c>
      <c r="B37" s="19" t="s">
        <v>20</v>
      </c>
      <c r="C37" s="20">
        <f>SUM(D37:G37)</f>
        <v>1</v>
      </c>
      <c r="D37" s="20">
        <f>D36/$C$36</f>
        <v>0.53791089313207308</v>
      </c>
      <c r="E37" s="20">
        <f t="shared" ref="E37:G37" si="10">E36/$C$36</f>
        <v>0.24817865815913531</v>
      </c>
      <c r="F37" s="20">
        <f t="shared" si="10"/>
        <v>3.0379505737822009E-2</v>
      </c>
      <c r="G37" s="20">
        <f t="shared" si="10"/>
        <v>0.18353094297096964</v>
      </c>
      <c r="H37" s="21"/>
      <c r="I37" s="21"/>
      <c r="J37" s="21"/>
      <c r="K37" s="13"/>
    </row>
    <row r="38" spans="1:11" x14ac:dyDescent="0.25">
      <c r="A38" s="22" t="s">
        <v>17</v>
      </c>
      <c r="B38" s="23" t="s">
        <v>21</v>
      </c>
      <c r="C38" s="24">
        <f>SUM(D38:G38)</f>
        <v>-84553.48642541017</v>
      </c>
      <c r="D38" s="24">
        <f>D37*($O$24+$M$18)</f>
        <v>-45482.241400523002</v>
      </c>
      <c r="E38" s="24">
        <f>E37*($O$24+$M$18)</f>
        <v>-20984.370803734957</v>
      </c>
      <c r="F38" s="24">
        <f>F37*($O$24+$M$18)</f>
        <v>-2568.6931260136034</v>
      </c>
      <c r="G38" s="24">
        <f>G37*($O$24+$M$18)</f>
        <v>-15518.181095138609</v>
      </c>
      <c r="H38" s="13"/>
      <c r="I38" s="13"/>
      <c r="J38" s="13"/>
      <c r="K38" s="13"/>
    </row>
    <row r="39" spans="1:1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1" spans="1:11" x14ac:dyDescent="0.25">
      <c r="A41" s="12" t="s">
        <v>155</v>
      </c>
      <c r="B41" s="13"/>
      <c r="C41" s="13"/>
      <c r="D41" s="13"/>
      <c r="E41" s="13"/>
      <c r="F41" s="13"/>
      <c r="G41" s="13"/>
      <c r="H41" s="13"/>
    </row>
    <row r="42" spans="1:11" x14ac:dyDescent="0.25">
      <c r="A42" s="14"/>
      <c r="B42" s="14" t="s">
        <v>18</v>
      </c>
      <c r="C42" s="14" t="s">
        <v>19</v>
      </c>
      <c r="D42" s="14" t="str">
        <f>D35</f>
        <v>Rate 1</v>
      </c>
      <c r="E42" s="14" t="str">
        <f t="shared" ref="E42:F42" si="11">E35</f>
        <v>Rate 6</v>
      </c>
      <c r="F42" s="14" t="str">
        <f t="shared" si="11"/>
        <v>Rate 11</v>
      </c>
      <c r="G42" s="14" t="s">
        <v>18</v>
      </c>
      <c r="H42" s="14" t="str">
        <f>G35</f>
        <v>Rate 16</v>
      </c>
    </row>
    <row r="43" spans="1:11" ht="16.5" x14ac:dyDescent="0.25">
      <c r="A43" s="16" t="s">
        <v>24</v>
      </c>
      <c r="B43" s="17" t="s">
        <v>27</v>
      </c>
      <c r="C43" s="113">
        <f>SUM(D43:F43)</f>
        <v>13257.002210030671</v>
      </c>
      <c r="D43" s="113">
        <f>'Load Forecast'!A7</f>
        <v>8662.8848775633542</v>
      </c>
      <c r="E43" s="113">
        <f>'Load Forecast'!B7</f>
        <v>2918.610612467317</v>
      </c>
      <c r="F43" s="113">
        <f>'Load Forecast'!C7</f>
        <v>1675.5067199999999</v>
      </c>
      <c r="G43" s="17" t="s">
        <v>127</v>
      </c>
      <c r="H43" s="113">
        <f>'Load Forecast'!D7</f>
        <v>95854.65711361311</v>
      </c>
    </row>
    <row r="44" spans="1:11" x14ac:dyDescent="0.25">
      <c r="A44" s="16" t="s">
        <v>22</v>
      </c>
      <c r="B44" s="114" t="s">
        <v>20</v>
      </c>
      <c r="C44" s="115">
        <f>SUM(D44:H44)</f>
        <v>1</v>
      </c>
      <c r="D44" s="116">
        <f t="shared" ref="D44:F44" si="12">D37</f>
        <v>0.53791089313207308</v>
      </c>
      <c r="E44" s="116">
        <f t="shared" si="12"/>
        <v>0.24817865815913531</v>
      </c>
      <c r="F44" s="116">
        <f t="shared" si="12"/>
        <v>3.0379505737822009E-2</v>
      </c>
      <c r="G44" s="114" t="s">
        <v>20</v>
      </c>
      <c r="H44" s="116">
        <f>G37</f>
        <v>0.18353094297096964</v>
      </c>
    </row>
    <row r="45" spans="1:11" x14ac:dyDescent="0.25">
      <c r="A45" s="26" t="s">
        <v>17</v>
      </c>
      <c r="B45" s="27" t="s">
        <v>21</v>
      </c>
      <c r="C45" s="117">
        <f>SUM(D45:H45)</f>
        <v>-84553.407479708607</v>
      </c>
      <c r="D45" s="118">
        <f>D43*D46*10</f>
        <v>-45482.241400522995</v>
      </c>
      <c r="E45" s="118">
        <f t="shared" ref="E45:F45" si="13">E43*E46*10</f>
        <v>-20984.370803734961</v>
      </c>
      <c r="F45" s="118">
        <f t="shared" si="13"/>
        <v>-2568.6931260136039</v>
      </c>
      <c r="G45" s="27" t="s">
        <v>21</v>
      </c>
      <c r="H45" s="118">
        <f>H43*H46/100*12</f>
        <v>-15518.102149437053</v>
      </c>
    </row>
    <row r="46" spans="1:11" ht="17.25" x14ac:dyDescent="0.25">
      <c r="A46" s="22" t="s">
        <v>23</v>
      </c>
      <c r="B46" s="23" t="s">
        <v>28</v>
      </c>
      <c r="C46" s="29"/>
      <c r="D46" s="29">
        <f>D38/D43/10</f>
        <v>-0.5250241927873337</v>
      </c>
      <c r="E46" s="29">
        <f t="shared" ref="E46:F46" si="14">E38/E43/10</f>
        <v>-0.71898494146827352</v>
      </c>
      <c r="F46" s="29">
        <f t="shared" si="14"/>
        <v>-0.15330843471720626</v>
      </c>
      <c r="G46" s="23" t="s">
        <v>128</v>
      </c>
      <c r="H46" s="29">
        <f>ROUND(G38/H43*100/12,4)</f>
        <v>-1.3491</v>
      </c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6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43D0-95FA-43AD-B2AE-970FB41B600A}">
  <sheetPr>
    <pageSetUpPr fitToPage="1"/>
  </sheetPr>
  <dimension ref="A1:O45"/>
  <sheetViews>
    <sheetView showGridLines="0" zoomScale="80" zoomScaleNormal="80" zoomScaleSheetLayoutView="85" workbookViewId="0">
      <selection activeCell="G27" sqref="G27"/>
    </sheetView>
  </sheetViews>
  <sheetFormatPr defaultColWidth="12.5703125" defaultRowHeight="15" x14ac:dyDescent="0.25"/>
  <cols>
    <col min="1" max="1" width="35.7109375" customWidth="1"/>
    <col min="2" max="2" width="11.7109375" bestFit="1" customWidth="1"/>
    <col min="3" max="3" width="13.5703125" customWidth="1"/>
    <col min="4" max="4" width="12.42578125" customWidth="1"/>
    <col min="5" max="5" width="11.7109375" bestFit="1" customWidth="1"/>
    <col min="6" max="6" width="13.85546875" customWidth="1"/>
    <col min="7" max="7" width="12.140625" customWidth="1"/>
    <col min="8" max="8" width="11.28515625" bestFit="1" customWidth="1"/>
    <col min="9" max="13" width="11.7109375" bestFit="1" customWidth="1"/>
    <col min="14" max="14" width="1.5703125" customWidth="1"/>
    <col min="15" max="15" width="12.28515625" bestFit="1" customWidth="1"/>
  </cols>
  <sheetData>
    <row r="1" spans="1:15" s="2" customFormat="1" x14ac:dyDescent="0.25">
      <c r="A1" s="2" t="s">
        <v>0</v>
      </c>
    </row>
    <row r="2" spans="1:15" s="2" customFormat="1" x14ac:dyDescent="0.25">
      <c r="A2" s="2" t="str">
        <f>MTVA!A2</f>
        <v>EB-2026-0149</v>
      </c>
    </row>
    <row r="3" spans="1:15" s="2" customFormat="1" x14ac:dyDescent="0.25">
      <c r="A3" s="2" t="s">
        <v>83</v>
      </c>
    </row>
    <row r="4" spans="1:15" s="2" customFormat="1" x14ac:dyDescent="0.25">
      <c r="A4" s="2" t="s">
        <v>38</v>
      </c>
    </row>
    <row r="5" spans="1:15" x14ac:dyDescent="0.25">
      <c r="A5" s="3"/>
      <c r="B5" s="4">
        <v>2025</v>
      </c>
      <c r="C5" s="4">
        <v>2025</v>
      </c>
      <c r="D5" s="4">
        <v>2025</v>
      </c>
      <c r="E5" s="4">
        <v>2025</v>
      </c>
      <c r="F5" s="4">
        <v>2025</v>
      </c>
      <c r="G5" s="4">
        <v>2025</v>
      </c>
      <c r="H5" s="4">
        <v>2025</v>
      </c>
      <c r="I5" s="4">
        <v>2025</v>
      </c>
      <c r="J5" s="4">
        <v>2025</v>
      </c>
      <c r="K5" s="4">
        <v>2025</v>
      </c>
      <c r="L5" s="4">
        <v>2025</v>
      </c>
      <c r="M5" s="4">
        <v>2025</v>
      </c>
      <c r="O5" s="4">
        <v>2026</v>
      </c>
    </row>
    <row r="6" spans="1:15" x14ac:dyDescent="0.25">
      <c r="A6" s="5"/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O6" s="6" t="s">
        <v>26</v>
      </c>
    </row>
    <row r="7" spans="1:15" x14ac:dyDescent="0.25">
      <c r="A7" s="7"/>
      <c r="B7" s="35"/>
      <c r="C7" s="35"/>
      <c r="D7" s="35"/>
      <c r="E7" s="35"/>
      <c r="F7" s="36"/>
      <c r="G7" s="36"/>
      <c r="H7" s="37"/>
      <c r="I7" s="36"/>
      <c r="J7" s="36"/>
      <c r="K7" s="36"/>
      <c r="L7" s="36"/>
      <c r="M7" s="36"/>
      <c r="O7" s="36"/>
    </row>
    <row r="8" spans="1:15" x14ac:dyDescent="0.25">
      <c r="A8" s="7" t="s">
        <v>89</v>
      </c>
      <c r="B8" s="9">
        <v>1</v>
      </c>
      <c r="C8" s="9">
        <v>-2691</v>
      </c>
      <c r="D8" s="9">
        <v>-2554</v>
      </c>
      <c r="E8" s="9">
        <v>41</v>
      </c>
      <c r="F8" s="9">
        <v>-2884</v>
      </c>
      <c r="G8" s="9">
        <v>-2203</v>
      </c>
      <c r="H8" s="9">
        <v>-2165</v>
      </c>
      <c r="I8" s="9">
        <v>-2025</v>
      </c>
      <c r="J8" s="9">
        <v>-1872</v>
      </c>
      <c r="K8" s="9">
        <v>-1741.19</v>
      </c>
      <c r="L8" s="9">
        <v>-1515.12</v>
      </c>
      <c r="M8" s="9">
        <v>317.58</v>
      </c>
      <c r="O8" s="36"/>
    </row>
    <row r="9" spans="1:15" x14ac:dyDescent="0.25">
      <c r="A9" s="7" t="s">
        <v>90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O9" s="36"/>
    </row>
    <row r="10" spans="1:15" x14ac:dyDescent="0.25">
      <c r="A10" s="7" t="s">
        <v>91</v>
      </c>
      <c r="B10" s="9">
        <v>-100</v>
      </c>
      <c r="C10" s="9">
        <v>-120</v>
      </c>
      <c r="D10" s="9">
        <v>-80</v>
      </c>
      <c r="E10" s="9">
        <v>-80</v>
      </c>
      <c r="F10" s="9">
        <v>-80</v>
      </c>
      <c r="G10" s="9">
        <v>-100</v>
      </c>
      <c r="H10" s="9">
        <v>-100</v>
      </c>
      <c r="I10" s="9">
        <v>-60</v>
      </c>
      <c r="J10" s="9">
        <v>-20</v>
      </c>
      <c r="K10" s="9">
        <v>-40</v>
      </c>
      <c r="L10" s="9">
        <v>-40</v>
      </c>
      <c r="M10" s="9">
        <v>0</v>
      </c>
      <c r="O10" s="36"/>
    </row>
    <row r="11" spans="1:15" x14ac:dyDescent="0.25">
      <c r="A11" s="7" t="s">
        <v>92</v>
      </c>
      <c r="B11" s="9">
        <v>-630</v>
      </c>
      <c r="C11" s="9">
        <v>-525</v>
      </c>
      <c r="D11" s="9">
        <v>-315</v>
      </c>
      <c r="E11" s="9">
        <v>-770</v>
      </c>
      <c r="F11" s="9">
        <v>-910</v>
      </c>
      <c r="G11" s="9">
        <v>-420</v>
      </c>
      <c r="H11" s="9">
        <v>-1745</v>
      </c>
      <c r="I11" s="9">
        <v>-1085</v>
      </c>
      <c r="J11" s="9">
        <v>-820</v>
      </c>
      <c r="K11" s="9">
        <v>-1835</v>
      </c>
      <c r="L11" s="9">
        <v>-1170</v>
      </c>
      <c r="M11" s="9">
        <v>-595</v>
      </c>
      <c r="O11" s="8"/>
    </row>
    <row r="12" spans="1:15" x14ac:dyDescent="0.25">
      <c r="A12" s="7" t="s">
        <v>93</v>
      </c>
      <c r="B12" s="31">
        <v>0</v>
      </c>
      <c r="C12" s="31">
        <v>0</v>
      </c>
      <c r="D12" s="31">
        <v>0</v>
      </c>
      <c r="E12" s="31">
        <v>-40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O12" s="8"/>
    </row>
    <row r="13" spans="1:15" s="78" customFormat="1" x14ac:dyDescent="0.25">
      <c r="A13" s="42" t="s">
        <v>88</v>
      </c>
      <c r="B13" s="10">
        <f>SUM(B8:B12)</f>
        <v>-729</v>
      </c>
      <c r="C13" s="10">
        <f t="shared" ref="C13:M13" si="0">SUM(C8:C12)</f>
        <v>-3336</v>
      </c>
      <c r="D13" s="10">
        <f t="shared" si="0"/>
        <v>-2949</v>
      </c>
      <c r="E13" s="10">
        <f t="shared" si="0"/>
        <v>-849</v>
      </c>
      <c r="F13" s="10">
        <f t="shared" si="0"/>
        <v>-3874</v>
      </c>
      <c r="G13" s="10">
        <f t="shared" si="0"/>
        <v>-2723</v>
      </c>
      <c r="H13" s="10">
        <f t="shared" si="0"/>
        <v>-4010</v>
      </c>
      <c r="I13" s="10">
        <f t="shared" si="0"/>
        <v>-3170</v>
      </c>
      <c r="J13" s="10">
        <f t="shared" si="0"/>
        <v>-2712</v>
      </c>
      <c r="K13" s="10">
        <f t="shared" si="0"/>
        <v>-3616.19</v>
      </c>
      <c r="L13" s="10">
        <f t="shared" si="0"/>
        <v>-2725.12</v>
      </c>
      <c r="M13" s="10">
        <f t="shared" si="0"/>
        <v>-277.42</v>
      </c>
      <c r="O13" s="84"/>
    </row>
    <row r="14" spans="1:15" x14ac:dyDescent="0.25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O14" s="8"/>
    </row>
    <row r="15" spans="1:15" x14ac:dyDescent="0.25">
      <c r="A15" s="7" t="s">
        <v>84</v>
      </c>
      <c r="B15" s="32">
        <v>0</v>
      </c>
      <c r="C15" s="32">
        <f>B17</f>
        <v>-729</v>
      </c>
      <c r="D15" s="32">
        <f t="shared" ref="D15:M15" si="1">C17</f>
        <v>-4065</v>
      </c>
      <c r="E15" s="32">
        <f t="shared" si="1"/>
        <v>-7014</v>
      </c>
      <c r="F15" s="32">
        <f t="shared" si="1"/>
        <v>-7863</v>
      </c>
      <c r="G15" s="32">
        <f t="shared" si="1"/>
        <v>-11737</v>
      </c>
      <c r="H15" s="32">
        <f t="shared" si="1"/>
        <v>-14460</v>
      </c>
      <c r="I15" s="32">
        <f t="shared" si="1"/>
        <v>-18470</v>
      </c>
      <c r="J15" s="32">
        <f>I17</f>
        <v>-21640</v>
      </c>
      <c r="K15" s="32">
        <f t="shared" si="1"/>
        <v>-24352</v>
      </c>
      <c r="L15" s="32">
        <f t="shared" si="1"/>
        <v>-27968.19</v>
      </c>
      <c r="M15" s="32">
        <f t="shared" si="1"/>
        <v>-30693.309999999998</v>
      </c>
      <c r="N15" s="1"/>
      <c r="O15" s="10"/>
    </row>
    <row r="16" spans="1:15" x14ac:dyDescent="0.25">
      <c r="A16" s="7" t="s">
        <v>85</v>
      </c>
      <c r="B16" s="31">
        <f>B13</f>
        <v>-729</v>
      </c>
      <c r="C16" s="31">
        <f t="shared" ref="C16:M16" si="2">C13</f>
        <v>-3336</v>
      </c>
      <c r="D16" s="31">
        <f t="shared" si="2"/>
        <v>-2949</v>
      </c>
      <c r="E16" s="31">
        <f t="shared" si="2"/>
        <v>-849</v>
      </c>
      <c r="F16" s="31">
        <f t="shared" si="2"/>
        <v>-3874</v>
      </c>
      <c r="G16" s="31">
        <f t="shared" si="2"/>
        <v>-2723</v>
      </c>
      <c r="H16" s="31">
        <f t="shared" si="2"/>
        <v>-4010</v>
      </c>
      <c r="I16" s="31">
        <f t="shared" si="2"/>
        <v>-3170</v>
      </c>
      <c r="J16" s="31">
        <f t="shared" si="2"/>
        <v>-2712</v>
      </c>
      <c r="K16" s="31">
        <f t="shared" si="2"/>
        <v>-3616.19</v>
      </c>
      <c r="L16" s="31">
        <f t="shared" si="2"/>
        <v>-2725.12</v>
      </c>
      <c r="M16" s="31">
        <f t="shared" si="2"/>
        <v>-277.42</v>
      </c>
      <c r="N16" s="1"/>
      <c r="O16" s="10"/>
    </row>
    <row r="17" spans="1:15" s="78" customFormat="1" x14ac:dyDescent="0.25">
      <c r="A17" s="42" t="s">
        <v>86</v>
      </c>
      <c r="B17" s="10">
        <f>SUM(B15:B16)</f>
        <v>-729</v>
      </c>
      <c r="C17" s="10">
        <f t="shared" ref="C17:M17" si="3">SUM(C15:C16)</f>
        <v>-4065</v>
      </c>
      <c r="D17" s="10">
        <f t="shared" si="3"/>
        <v>-7014</v>
      </c>
      <c r="E17" s="10">
        <f t="shared" si="3"/>
        <v>-7863</v>
      </c>
      <c r="F17" s="10">
        <f t="shared" si="3"/>
        <v>-11737</v>
      </c>
      <c r="G17" s="10">
        <f t="shared" si="3"/>
        <v>-14460</v>
      </c>
      <c r="H17" s="10">
        <f t="shared" si="3"/>
        <v>-18470</v>
      </c>
      <c r="I17" s="10">
        <f t="shared" si="3"/>
        <v>-21640</v>
      </c>
      <c r="J17" s="10">
        <f t="shared" si="3"/>
        <v>-24352</v>
      </c>
      <c r="K17" s="10">
        <f t="shared" si="3"/>
        <v>-27968.19</v>
      </c>
      <c r="L17" s="10">
        <f t="shared" si="3"/>
        <v>-30693.309999999998</v>
      </c>
      <c r="M17" s="10">
        <f t="shared" si="3"/>
        <v>-30970.729999999996</v>
      </c>
      <c r="N17" s="85"/>
      <c r="O17" s="10"/>
    </row>
    <row r="18" spans="1:15" x14ac:dyDescent="0.25">
      <c r="A18" s="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"/>
      <c r="O18" s="10"/>
    </row>
    <row r="19" spans="1:15" x14ac:dyDescent="0.25">
      <c r="A19" s="7" t="s">
        <v>13</v>
      </c>
      <c r="B19" s="73">
        <v>3.6400000000000002E-2</v>
      </c>
      <c r="C19" s="73">
        <v>3.6400000000000002E-2</v>
      </c>
      <c r="D19" s="73">
        <v>3.6400000000000002E-2</v>
      </c>
      <c r="E19" s="73">
        <v>3.1600000000000003E-2</v>
      </c>
      <c r="F19" s="73">
        <v>3.1600000000000003E-2</v>
      </c>
      <c r="G19" s="73">
        <v>3.1600000000000003E-2</v>
      </c>
      <c r="H19" s="73">
        <v>2.9100000000000001E-2</v>
      </c>
      <c r="I19" s="73">
        <v>2.9100000000000001E-2</v>
      </c>
      <c r="J19" s="73">
        <v>2.9100000000000001E-2</v>
      </c>
      <c r="K19" s="73">
        <v>2.9100000000000001E-2</v>
      </c>
      <c r="L19" s="73">
        <v>2.9100000000000001E-2</v>
      </c>
      <c r="M19" s="73">
        <v>2.9100000000000001E-2</v>
      </c>
      <c r="N19" s="1"/>
      <c r="O19" s="34">
        <f>(Summary!D7+Summary!E7+Summary!F7+Summary!G7)/4</f>
        <v>2.5499999999999998E-2</v>
      </c>
    </row>
    <row r="20" spans="1:15" x14ac:dyDescent="0.25">
      <c r="A20" s="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"/>
      <c r="O20" s="10"/>
    </row>
    <row r="21" spans="1:15" x14ac:dyDescent="0.25">
      <c r="A21" s="7" t="s">
        <v>14</v>
      </c>
      <c r="B21" s="32">
        <v>0</v>
      </c>
      <c r="C21" s="32">
        <f>B23</f>
        <v>0</v>
      </c>
      <c r="D21" s="32">
        <f t="shared" ref="D21:M21" si="4">C23</f>
        <v>-2.2113</v>
      </c>
      <c r="E21" s="32">
        <f t="shared" si="4"/>
        <v>-14.5418</v>
      </c>
      <c r="F21" s="32">
        <f t="shared" si="4"/>
        <v>-33.012</v>
      </c>
      <c r="G21" s="32">
        <f t="shared" si="4"/>
        <v>-53.7179</v>
      </c>
      <c r="H21" s="32">
        <f t="shared" si="4"/>
        <v>-84.62533333333333</v>
      </c>
      <c r="I21" s="32">
        <f t="shared" si="4"/>
        <v>-119.69083333333333</v>
      </c>
      <c r="J21" s="32">
        <f t="shared" si="4"/>
        <v>-164.48058333333333</v>
      </c>
      <c r="K21" s="32">
        <f t="shared" si="4"/>
        <v>-216.95758333333333</v>
      </c>
      <c r="L21" s="32">
        <f t="shared" si="4"/>
        <v>-276.01118333333335</v>
      </c>
      <c r="M21" s="32">
        <f t="shared" si="4"/>
        <v>-343.83404408333337</v>
      </c>
      <c r="N21" s="1"/>
      <c r="O21" s="32">
        <f t="shared" ref="O21" si="5">M23</f>
        <v>-418.26532083333336</v>
      </c>
    </row>
    <row r="22" spans="1:15" x14ac:dyDescent="0.25">
      <c r="A22" s="7" t="s">
        <v>15</v>
      </c>
      <c r="B22" s="31">
        <f t="shared" ref="B22:M22" si="6">B15*B19/12</f>
        <v>0</v>
      </c>
      <c r="C22" s="31">
        <f t="shared" si="6"/>
        <v>-2.2113</v>
      </c>
      <c r="D22" s="31">
        <f t="shared" si="6"/>
        <v>-12.330500000000001</v>
      </c>
      <c r="E22" s="31">
        <f t="shared" si="6"/>
        <v>-18.470200000000002</v>
      </c>
      <c r="F22" s="31">
        <f t="shared" si="6"/>
        <v>-20.705900000000003</v>
      </c>
      <c r="G22" s="31">
        <f t="shared" si="6"/>
        <v>-30.907433333333334</v>
      </c>
      <c r="H22" s="31">
        <f t="shared" si="6"/>
        <v>-35.0655</v>
      </c>
      <c r="I22" s="31">
        <f t="shared" si="6"/>
        <v>-44.789749999999998</v>
      </c>
      <c r="J22" s="31">
        <f t="shared" si="6"/>
        <v>-52.477000000000004</v>
      </c>
      <c r="K22" s="31">
        <f t="shared" si="6"/>
        <v>-59.053599999999996</v>
      </c>
      <c r="L22" s="31">
        <f t="shared" si="6"/>
        <v>-67.822860750000004</v>
      </c>
      <c r="M22" s="31">
        <f t="shared" si="6"/>
        <v>-74.431276749999995</v>
      </c>
      <c r="N22" s="1"/>
      <c r="O22" s="31">
        <f>M17*O19</f>
        <v>-789.75361499999985</v>
      </c>
    </row>
    <row r="23" spans="1:15" x14ac:dyDescent="0.25">
      <c r="A23" s="33" t="s">
        <v>16</v>
      </c>
      <c r="B23" s="11">
        <f>SUM(B21:B22)</f>
        <v>0</v>
      </c>
      <c r="C23" s="11">
        <f t="shared" ref="C23:M23" si="7">SUM(C21:C22)</f>
        <v>-2.2113</v>
      </c>
      <c r="D23" s="11">
        <f t="shared" si="7"/>
        <v>-14.5418</v>
      </c>
      <c r="E23" s="11">
        <f t="shared" si="7"/>
        <v>-33.012</v>
      </c>
      <c r="F23" s="11">
        <f t="shared" si="7"/>
        <v>-53.7179</v>
      </c>
      <c r="G23" s="11">
        <f t="shared" si="7"/>
        <v>-84.62533333333333</v>
      </c>
      <c r="H23" s="11">
        <f t="shared" si="7"/>
        <v>-119.69083333333333</v>
      </c>
      <c r="I23" s="11">
        <f t="shared" si="7"/>
        <v>-164.48058333333333</v>
      </c>
      <c r="J23" s="11">
        <f t="shared" si="7"/>
        <v>-216.95758333333333</v>
      </c>
      <c r="K23" s="11">
        <f t="shared" si="7"/>
        <v>-276.01118333333335</v>
      </c>
      <c r="L23" s="11">
        <f t="shared" si="7"/>
        <v>-343.83404408333337</v>
      </c>
      <c r="M23" s="11">
        <f t="shared" si="7"/>
        <v>-418.26532083333336</v>
      </c>
      <c r="N23" s="1"/>
      <c r="O23" s="11">
        <f>SUM(O21:O22)</f>
        <v>-1208.0189358333332</v>
      </c>
    </row>
    <row r="24" spans="1:15" x14ac:dyDescent="0.25">
      <c r="A24" s="2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O24" s="30"/>
    </row>
    <row r="25" spans="1:15" x14ac:dyDescent="0.25">
      <c r="E25" s="13"/>
      <c r="F25" s="13"/>
      <c r="G25" s="13"/>
      <c r="H25" s="13"/>
      <c r="I25" s="13"/>
    </row>
    <row r="26" spans="1:15" x14ac:dyDescent="0.25">
      <c r="A26" s="12" t="s">
        <v>87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5" ht="45" x14ac:dyDescent="0.25">
      <c r="A27" s="14"/>
      <c r="B27" s="14" t="s">
        <v>46</v>
      </c>
      <c r="C27" s="14" t="s">
        <v>150</v>
      </c>
      <c r="D27" s="14" t="s">
        <v>151</v>
      </c>
      <c r="E27" s="13"/>
      <c r="F27" s="13"/>
      <c r="G27" s="13"/>
      <c r="H27" s="13"/>
      <c r="I27" s="13"/>
      <c r="J27" s="15"/>
      <c r="K27" s="15"/>
      <c r="L27" s="13"/>
    </row>
    <row r="28" spans="1:15" x14ac:dyDescent="0.25">
      <c r="A28" s="51" t="s">
        <v>34</v>
      </c>
      <c r="B28" s="52">
        <f>M17</f>
        <v>-30970.729999999996</v>
      </c>
      <c r="C28" s="52"/>
      <c r="D28" s="52">
        <f>B28+C28</f>
        <v>-30970.729999999996</v>
      </c>
      <c r="E28" s="13"/>
      <c r="F28" s="13"/>
      <c r="G28" s="13"/>
      <c r="H28" s="13"/>
      <c r="I28" s="13"/>
      <c r="J28" s="13"/>
      <c r="K28" s="13"/>
      <c r="L28" s="13"/>
    </row>
    <row r="29" spans="1:15" x14ac:dyDescent="0.25">
      <c r="A29" s="16" t="s">
        <v>35</v>
      </c>
      <c r="B29" s="56">
        <f>M23</f>
        <v>-418.26532083333336</v>
      </c>
      <c r="C29" s="56">
        <f>O22</f>
        <v>-789.75361499999985</v>
      </c>
      <c r="D29" s="56">
        <f t="shared" ref="D29:D30" si="8">B29+C29</f>
        <v>-1208.0189358333332</v>
      </c>
      <c r="E29" s="13"/>
      <c r="F29" s="13"/>
      <c r="G29" s="13"/>
      <c r="H29" s="13"/>
      <c r="I29" s="13"/>
      <c r="J29" s="21"/>
      <c r="K29" s="21"/>
      <c r="L29" s="13"/>
    </row>
    <row r="30" spans="1:15" x14ac:dyDescent="0.25">
      <c r="A30" s="22" t="s">
        <v>17</v>
      </c>
      <c r="B30" s="53">
        <f>B29+B28</f>
        <v>-31388.995320833328</v>
      </c>
      <c r="C30" s="53">
        <f t="shared" ref="C30" si="9">C29+C28</f>
        <v>-789.75361499999985</v>
      </c>
      <c r="D30" s="53">
        <f t="shared" si="8"/>
        <v>-32178.74893583333</v>
      </c>
      <c r="E30" s="13"/>
      <c r="F30" s="13"/>
      <c r="G30" s="13"/>
      <c r="H30" s="13"/>
      <c r="I30" s="13"/>
      <c r="J30" s="13"/>
      <c r="K30" s="13"/>
      <c r="L30" s="13"/>
    </row>
    <row r="31" spans="1:1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3" spans="1:11" x14ac:dyDescent="0.25">
      <c r="A33" s="12" t="s">
        <v>137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5">
      <c r="A34" s="14"/>
      <c r="B34" s="14" t="s">
        <v>18</v>
      </c>
      <c r="C34" s="14" t="s">
        <v>19</v>
      </c>
      <c r="D34" s="14" t="s">
        <v>25</v>
      </c>
      <c r="E34" s="14" t="s">
        <v>122</v>
      </c>
      <c r="F34" s="14" t="s">
        <v>123</v>
      </c>
      <c r="G34" s="14" t="s">
        <v>124</v>
      </c>
      <c r="H34" s="15"/>
      <c r="I34" s="15"/>
      <c r="J34" s="15"/>
      <c r="K34" s="13"/>
    </row>
    <row r="35" spans="1:11" x14ac:dyDescent="0.25">
      <c r="A35" s="16" t="s">
        <v>138</v>
      </c>
      <c r="B35" s="17" t="s">
        <v>126</v>
      </c>
      <c r="C35" s="119">
        <f>SUM(D35:G35)</f>
        <v>5653.0058427267941</v>
      </c>
      <c r="D35" s="119">
        <v>4159.7097863344798</v>
      </c>
      <c r="E35" s="119">
        <v>937.74458738480428</v>
      </c>
      <c r="F35" s="119">
        <v>228.82156612918939</v>
      </c>
      <c r="G35" s="119">
        <v>326.72990287832044</v>
      </c>
      <c r="H35" s="13"/>
      <c r="I35" s="13"/>
      <c r="J35" s="13"/>
      <c r="K35" s="13"/>
    </row>
    <row r="36" spans="1:11" x14ac:dyDescent="0.25">
      <c r="A36" s="16" t="s">
        <v>22</v>
      </c>
      <c r="B36" s="19" t="s">
        <v>20</v>
      </c>
      <c r="C36" s="20">
        <f>SUM(D36:G36)</f>
        <v>1</v>
      </c>
      <c r="D36" s="20">
        <f>D35/$C$35</f>
        <v>0.73584034796043918</v>
      </c>
      <c r="E36" s="20">
        <f t="shared" ref="E36:G36" si="10">E35/$C$35</f>
        <v>0.16588424167141355</v>
      </c>
      <c r="F36" s="20">
        <f t="shared" si="10"/>
        <v>4.0477857708849388E-2</v>
      </c>
      <c r="G36" s="20">
        <f t="shared" si="10"/>
        <v>5.7797552659297875E-2</v>
      </c>
      <c r="H36" s="21"/>
      <c r="I36" s="21"/>
      <c r="J36" s="21"/>
      <c r="K36" s="13"/>
    </row>
    <row r="37" spans="1:11" x14ac:dyDescent="0.25">
      <c r="A37" s="22" t="s">
        <v>17</v>
      </c>
      <c r="B37" s="23" t="s">
        <v>21</v>
      </c>
      <c r="C37" s="24">
        <f>SUM(D37:G37)</f>
        <v>-32178.74893583333</v>
      </c>
      <c r="D37" s="24">
        <f>D36*($D$30)</f>
        <v>-23678.421813875208</v>
      </c>
      <c r="E37" s="24">
        <f t="shared" ref="E37:G37" si="11">E36*($D$30)</f>
        <v>-5337.9473651555181</v>
      </c>
      <c r="F37" s="24">
        <f t="shared" si="11"/>
        <v>-1302.5268206734502</v>
      </c>
      <c r="G37" s="24">
        <f t="shared" si="11"/>
        <v>-1859.8529361291523</v>
      </c>
      <c r="H37" s="13"/>
      <c r="I37" s="13"/>
      <c r="J37" s="13"/>
      <c r="K37" s="13"/>
    </row>
    <row r="38" spans="1:1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40" spans="1:11" x14ac:dyDescent="0.25">
      <c r="A40" s="12" t="s">
        <v>156</v>
      </c>
      <c r="B40" s="13"/>
      <c r="C40" s="13"/>
      <c r="D40" s="13"/>
      <c r="E40" s="13"/>
      <c r="F40" s="13"/>
      <c r="G40" s="13"/>
      <c r="H40" s="13"/>
    </row>
    <row r="41" spans="1:11" x14ac:dyDescent="0.25">
      <c r="A41" s="14"/>
      <c r="B41" s="14" t="s">
        <v>18</v>
      </c>
      <c r="C41" s="14" t="s">
        <v>19</v>
      </c>
      <c r="D41" s="14" t="str">
        <f>D34</f>
        <v>Rate 1</v>
      </c>
      <c r="E41" s="14" t="str">
        <f t="shared" ref="E41:F41" si="12">E34</f>
        <v>Rate 6</v>
      </c>
      <c r="F41" s="14" t="str">
        <f t="shared" si="12"/>
        <v>Rate 11</v>
      </c>
      <c r="G41" s="14" t="s">
        <v>18</v>
      </c>
      <c r="H41" s="14" t="str">
        <f>G34</f>
        <v>Rate 16</v>
      </c>
    </row>
    <row r="42" spans="1:11" ht="16.5" x14ac:dyDescent="0.25">
      <c r="A42" s="16" t="s">
        <v>24</v>
      </c>
      <c r="B42" s="17" t="s">
        <v>27</v>
      </c>
      <c r="C42" s="113">
        <f>SUM(D42:F42)</f>
        <v>13257.002210030671</v>
      </c>
      <c r="D42" s="113">
        <f>'Load Forecast'!A7</f>
        <v>8662.8848775633542</v>
      </c>
      <c r="E42" s="113">
        <f>'Load Forecast'!B7</f>
        <v>2918.610612467317</v>
      </c>
      <c r="F42" s="113">
        <f>'Load Forecast'!C7</f>
        <v>1675.5067199999999</v>
      </c>
      <c r="G42" s="17" t="s">
        <v>127</v>
      </c>
      <c r="H42" s="113">
        <f>'Load Forecast'!D7</f>
        <v>95854.65711361311</v>
      </c>
    </row>
    <row r="43" spans="1:11" x14ac:dyDescent="0.25">
      <c r="A43" s="16" t="s">
        <v>22</v>
      </c>
      <c r="B43" s="114" t="s">
        <v>20</v>
      </c>
      <c r="C43" s="115">
        <f>SUM(D43:H43)</f>
        <v>1</v>
      </c>
      <c r="D43" s="116">
        <f t="shared" ref="D43:F43" si="13">D36</f>
        <v>0.73584034796043918</v>
      </c>
      <c r="E43" s="116">
        <f t="shared" si="13"/>
        <v>0.16588424167141355</v>
      </c>
      <c r="F43" s="116">
        <f t="shared" si="13"/>
        <v>4.0477857708849388E-2</v>
      </c>
      <c r="G43" s="114" t="s">
        <v>20</v>
      </c>
      <c r="H43" s="116">
        <f>G36</f>
        <v>5.7797552659297875E-2</v>
      </c>
    </row>
    <row r="44" spans="1:11" x14ac:dyDescent="0.25">
      <c r="A44" s="26" t="s">
        <v>17</v>
      </c>
      <c r="B44" s="27" t="s">
        <v>21</v>
      </c>
      <c r="C44" s="117">
        <f>SUM(D44:H44)</f>
        <v>-32178.859766336725</v>
      </c>
      <c r="D44" s="118">
        <f>D42*D45*10</f>
        <v>-23678.421813875211</v>
      </c>
      <c r="E44" s="118">
        <f t="shared" ref="E44:F44" si="14">E42*E45*10</f>
        <v>-5337.9473651555181</v>
      </c>
      <c r="F44" s="118">
        <f t="shared" si="14"/>
        <v>-1302.5268206734499</v>
      </c>
      <c r="G44" s="27" t="s">
        <v>21</v>
      </c>
      <c r="H44" s="118">
        <f>H42*H45/100*12</f>
        <v>-1859.9637666325489</v>
      </c>
    </row>
    <row r="45" spans="1:11" ht="17.25" x14ac:dyDescent="0.25">
      <c r="A45" s="22" t="s">
        <v>23</v>
      </c>
      <c r="B45" s="23" t="s">
        <v>28</v>
      </c>
      <c r="C45" s="29"/>
      <c r="D45" s="29">
        <f>D37/D42/10</f>
        <v>-0.2733318305452922</v>
      </c>
      <c r="E45" s="29">
        <f t="shared" ref="E45:F45" si="15">E37/E42/10</f>
        <v>-0.18289344054166093</v>
      </c>
      <c r="F45" s="29">
        <f t="shared" si="15"/>
        <v>-7.7739277624231204E-2</v>
      </c>
      <c r="G45" s="23" t="s">
        <v>128</v>
      </c>
      <c r="H45" s="29">
        <f>ROUND(G37/H42*100/12,4)</f>
        <v>-0.16170000000000001</v>
      </c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62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292CC-DA81-4162-8ABD-78CE5DC8F000}">
  <sheetPr>
    <pageSetUpPr fitToPage="1"/>
  </sheetPr>
  <dimension ref="A1:W47"/>
  <sheetViews>
    <sheetView showGridLines="0" zoomScale="80" zoomScaleNormal="80" zoomScaleSheetLayoutView="85" workbookViewId="0">
      <selection activeCell="V20" sqref="V20"/>
    </sheetView>
  </sheetViews>
  <sheetFormatPr defaultColWidth="12.5703125" defaultRowHeight="14.25" x14ac:dyDescent="0.2"/>
  <cols>
    <col min="1" max="1" width="35.7109375" style="58" customWidth="1"/>
    <col min="2" max="2" width="13.7109375" style="58" bestFit="1" customWidth="1"/>
    <col min="3" max="3" width="13.5703125" style="58" customWidth="1"/>
    <col min="4" max="4" width="12.42578125" style="58" customWidth="1"/>
    <col min="5" max="6" width="11.7109375" style="58" bestFit="1" customWidth="1"/>
    <col min="7" max="8" width="11.28515625" style="58" bestFit="1" customWidth="1"/>
    <col min="9" max="13" width="11.7109375" style="58" bestFit="1" customWidth="1"/>
    <col min="14" max="14" width="1.5703125" style="58" customWidth="1"/>
    <col min="15" max="15" width="12.28515625" style="58" bestFit="1" customWidth="1"/>
    <col min="16" max="20" width="12.5703125" style="58"/>
    <col min="21" max="21" width="25.85546875" style="58" bestFit="1" customWidth="1"/>
    <col min="22" max="22" width="15.5703125" style="58" bestFit="1" customWidth="1"/>
    <col min="23" max="23" width="14.28515625" style="58" customWidth="1"/>
    <col min="24" max="16384" width="12.5703125" style="58"/>
  </cols>
  <sheetData>
    <row r="1" spans="1:23" s="2" customFormat="1" ht="15" x14ac:dyDescent="0.25">
      <c r="A1" s="2" t="s">
        <v>0</v>
      </c>
    </row>
    <row r="2" spans="1:23" s="2" customFormat="1" ht="15" x14ac:dyDescent="0.25">
      <c r="A2" s="2" t="str">
        <f>CIACVA!A2</f>
        <v>EB-2026-0149</v>
      </c>
    </row>
    <row r="3" spans="1:23" s="2" customFormat="1" ht="15" x14ac:dyDescent="0.25">
      <c r="A3" s="2" t="s">
        <v>94</v>
      </c>
    </row>
    <row r="4" spans="1:23" s="2" customFormat="1" ht="15" x14ac:dyDescent="0.25">
      <c r="A4" s="2" t="s">
        <v>38</v>
      </c>
    </row>
    <row r="5" spans="1:23" ht="15" x14ac:dyDescent="0.25">
      <c r="A5" s="3"/>
      <c r="B5" s="4">
        <v>2025</v>
      </c>
      <c r="C5" s="4">
        <v>2025</v>
      </c>
      <c r="D5" s="4">
        <v>2025</v>
      </c>
      <c r="E5" s="4">
        <v>2025</v>
      </c>
      <c r="F5" s="4">
        <v>2025</v>
      </c>
      <c r="G5" s="4">
        <v>2025</v>
      </c>
      <c r="H5" s="4">
        <v>2025</v>
      </c>
      <c r="I5" s="4">
        <v>2025</v>
      </c>
      <c r="J5" s="4">
        <v>2025</v>
      </c>
      <c r="K5" s="4">
        <v>2025</v>
      </c>
      <c r="L5" s="4">
        <v>2025</v>
      </c>
      <c r="M5" s="4">
        <v>2025</v>
      </c>
      <c r="O5" s="4">
        <v>2026</v>
      </c>
      <c r="U5" s="106"/>
      <c r="V5" s="200" t="s">
        <v>214</v>
      </c>
      <c r="W5" s="200" t="s">
        <v>215</v>
      </c>
    </row>
    <row r="6" spans="1:23" ht="15" x14ac:dyDescent="0.25">
      <c r="A6" s="5"/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O6" s="6" t="s">
        <v>26</v>
      </c>
      <c r="U6" s="201" t="s">
        <v>216</v>
      </c>
      <c r="V6" s="202">
        <v>-173507.35</v>
      </c>
      <c r="W6" s="202">
        <f>V6+C47</f>
        <v>338400.76423029439</v>
      </c>
    </row>
    <row r="7" spans="1:23" x14ac:dyDescent="0.2">
      <c r="A7" s="7"/>
      <c r="B7" s="133"/>
      <c r="C7" s="133"/>
      <c r="D7" s="133"/>
      <c r="E7" s="133"/>
      <c r="F7" s="134"/>
      <c r="G7" s="134"/>
      <c r="H7" s="37"/>
      <c r="I7" s="134"/>
      <c r="J7" s="134"/>
      <c r="K7" s="134"/>
      <c r="L7" s="134"/>
      <c r="M7" s="134"/>
      <c r="O7" s="134"/>
      <c r="U7" s="124"/>
      <c r="V7" s="63"/>
      <c r="W7" s="63"/>
    </row>
    <row r="8" spans="1:23" x14ac:dyDescent="0.2">
      <c r="A8" s="7" t="s">
        <v>99</v>
      </c>
      <c r="B8" s="31">
        <v>93789.931349230581</v>
      </c>
      <c r="C8" s="31">
        <v>116569.43033204263</v>
      </c>
      <c r="D8" s="31">
        <v>88350.8915298137</v>
      </c>
      <c r="E8" s="31">
        <v>40773.037672964885</v>
      </c>
      <c r="F8" s="31">
        <v>31315.70065224843</v>
      </c>
      <c r="G8" s="31">
        <v>22722.895144848095</v>
      </c>
      <c r="H8" s="31">
        <v>19935.020075406603</v>
      </c>
      <c r="I8" s="31">
        <v>17224.754562975751</v>
      </c>
      <c r="J8" s="31">
        <v>17689.018808444467</v>
      </c>
      <c r="K8" s="31">
        <v>18300.272929993633</v>
      </c>
      <c r="L8" s="31">
        <v>-3120.895493490214</v>
      </c>
      <c r="M8" s="31">
        <v>48358.056665816053</v>
      </c>
      <c r="O8" s="135"/>
      <c r="U8" s="201" t="s">
        <v>217</v>
      </c>
      <c r="V8" s="63"/>
      <c r="W8" s="63"/>
    </row>
    <row r="9" spans="1:23" s="48" customFormat="1" ht="15" x14ac:dyDescent="0.25">
      <c r="A9" s="42" t="s">
        <v>88</v>
      </c>
      <c r="B9" s="10">
        <f t="shared" ref="B9:M9" si="0">SUM(B8:B8)</f>
        <v>93789.931349230581</v>
      </c>
      <c r="C9" s="10">
        <f t="shared" si="0"/>
        <v>116569.43033204263</v>
      </c>
      <c r="D9" s="10">
        <f t="shared" si="0"/>
        <v>88350.8915298137</v>
      </c>
      <c r="E9" s="10">
        <f t="shared" si="0"/>
        <v>40773.037672964885</v>
      </c>
      <c r="F9" s="10">
        <f t="shared" si="0"/>
        <v>31315.70065224843</v>
      </c>
      <c r="G9" s="10">
        <f t="shared" si="0"/>
        <v>22722.895144848095</v>
      </c>
      <c r="H9" s="10">
        <f t="shared" si="0"/>
        <v>19935.020075406603</v>
      </c>
      <c r="I9" s="10">
        <f t="shared" si="0"/>
        <v>17224.754562975751</v>
      </c>
      <c r="J9" s="10">
        <f t="shared" si="0"/>
        <v>17689.018808444467</v>
      </c>
      <c r="K9" s="10">
        <f t="shared" si="0"/>
        <v>18300.272929993633</v>
      </c>
      <c r="L9" s="10">
        <f t="shared" si="0"/>
        <v>-3120.895493490214</v>
      </c>
      <c r="M9" s="10">
        <f t="shared" si="0"/>
        <v>48358.056665816053</v>
      </c>
      <c r="O9" s="84"/>
      <c r="U9" s="203" t="s">
        <v>218</v>
      </c>
      <c r="V9" s="202">
        <v>94223330</v>
      </c>
      <c r="W9" s="202">
        <f>V9</f>
        <v>94223330</v>
      </c>
    </row>
    <row r="10" spans="1:23" x14ac:dyDescent="0.2">
      <c r="A10" s="7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O10" s="135"/>
      <c r="U10" s="203" t="s">
        <v>219</v>
      </c>
      <c r="V10" s="207">
        <v>92779959.840000004</v>
      </c>
      <c r="W10" s="207">
        <f t="shared" ref="W10:W11" si="1">V10</f>
        <v>92779959.840000004</v>
      </c>
    </row>
    <row r="11" spans="1:23" ht="15" x14ac:dyDescent="0.25">
      <c r="A11" s="7" t="s">
        <v>95</v>
      </c>
      <c r="B11" s="83">
        <v>0</v>
      </c>
      <c r="C11" s="83">
        <f>B13</f>
        <v>93789.931349230581</v>
      </c>
      <c r="D11" s="83">
        <f t="shared" ref="D11:M11" si="2">C13</f>
        <v>210359.36168127321</v>
      </c>
      <c r="E11" s="83">
        <f t="shared" si="2"/>
        <v>298710.25321108691</v>
      </c>
      <c r="F11" s="83">
        <f t="shared" si="2"/>
        <v>339483.29088405182</v>
      </c>
      <c r="G11" s="83">
        <f t="shared" si="2"/>
        <v>370798.99153630028</v>
      </c>
      <c r="H11" s="83">
        <f t="shared" si="2"/>
        <v>393521.88668114837</v>
      </c>
      <c r="I11" s="83">
        <f t="shared" si="2"/>
        <v>413456.90675655496</v>
      </c>
      <c r="J11" s="83">
        <f>I13</f>
        <v>430681.66131953069</v>
      </c>
      <c r="K11" s="83">
        <f t="shared" si="2"/>
        <v>448370.68012797518</v>
      </c>
      <c r="L11" s="83">
        <f t="shared" si="2"/>
        <v>466670.95305796881</v>
      </c>
      <c r="M11" s="83">
        <f t="shared" si="2"/>
        <v>463550.0575644786</v>
      </c>
      <c r="N11" s="65"/>
      <c r="O11" s="10"/>
      <c r="U11" s="203" t="s">
        <v>220</v>
      </c>
      <c r="V11" s="202">
        <f>(V9+V10)/2</f>
        <v>93501644.920000002</v>
      </c>
      <c r="W11" s="202">
        <f t="shared" si="1"/>
        <v>93501644.920000002</v>
      </c>
    </row>
    <row r="12" spans="1:23" ht="15.75" thickBot="1" x14ac:dyDescent="0.3">
      <c r="A12" s="7" t="s">
        <v>96</v>
      </c>
      <c r="B12" s="31">
        <f>B9</f>
        <v>93789.931349230581</v>
      </c>
      <c r="C12" s="31">
        <f t="shared" ref="C12:M12" si="3">C9</f>
        <v>116569.43033204263</v>
      </c>
      <c r="D12" s="31">
        <f t="shared" si="3"/>
        <v>88350.8915298137</v>
      </c>
      <c r="E12" s="31">
        <f t="shared" si="3"/>
        <v>40773.037672964885</v>
      </c>
      <c r="F12" s="31">
        <f t="shared" si="3"/>
        <v>31315.70065224843</v>
      </c>
      <c r="G12" s="31">
        <f t="shared" si="3"/>
        <v>22722.895144848095</v>
      </c>
      <c r="H12" s="31">
        <f t="shared" si="3"/>
        <v>19935.020075406603</v>
      </c>
      <c r="I12" s="31">
        <f t="shared" si="3"/>
        <v>17224.754562975751</v>
      </c>
      <c r="J12" s="31">
        <f t="shared" si="3"/>
        <v>17689.018808444467</v>
      </c>
      <c r="K12" s="31">
        <f t="shared" si="3"/>
        <v>18300.272929993633</v>
      </c>
      <c r="L12" s="31">
        <f t="shared" si="3"/>
        <v>-3120.895493490214</v>
      </c>
      <c r="M12" s="31">
        <f t="shared" si="3"/>
        <v>48358.056665816053</v>
      </c>
      <c r="N12" s="65"/>
      <c r="O12" s="10"/>
      <c r="U12" s="203" t="s">
        <v>221</v>
      </c>
      <c r="V12" s="204">
        <v>0.36</v>
      </c>
      <c r="W12" s="204">
        <v>0.36</v>
      </c>
    </row>
    <row r="13" spans="1:23" s="48" customFormat="1" ht="15" x14ac:dyDescent="0.25">
      <c r="A13" s="42" t="s">
        <v>97</v>
      </c>
      <c r="B13" s="10">
        <f>SUM(B11:B12)</f>
        <v>93789.931349230581</v>
      </c>
      <c r="C13" s="10">
        <f t="shared" ref="C13:M13" si="4">SUM(C11:C12)</f>
        <v>210359.36168127321</v>
      </c>
      <c r="D13" s="10">
        <f t="shared" si="4"/>
        <v>298710.25321108691</v>
      </c>
      <c r="E13" s="10">
        <f t="shared" si="4"/>
        <v>339483.29088405182</v>
      </c>
      <c r="F13" s="10">
        <f t="shared" si="4"/>
        <v>370798.99153630028</v>
      </c>
      <c r="G13" s="10">
        <f t="shared" si="4"/>
        <v>393521.88668114837</v>
      </c>
      <c r="H13" s="10">
        <f t="shared" si="4"/>
        <v>413456.90675655496</v>
      </c>
      <c r="I13" s="10">
        <f t="shared" si="4"/>
        <v>430681.66131953069</v>
      </c>
      <c r="J13" s="10">
        <f t="shared" si="4"/>
        <v>448370.68012797518</v>
      </c>
      <c r="K13" s="10">
        <f t="shared" si="4"/>
        <v>466670.95305796881</v>
      </c>
      <c r="L13" s="10">
        <f t="shared" si="4"/>
        <v>463550.0575644786</v>
      </c>
      <c r="M13" s="10">
        <f t="shared" si="4"/>
        <v>511908.11423029465</v>
      </c>
      <c r="N13" s="77"/>
      <c r="O13" s="10"/>
      <c r="U13" s="124"/>
      <c r="V13" s="202">
        <f>V11*V12</f>
        <v>33660592.1712</v>
      </c>
      <c r="W13" s="202">
        <f>W11*W12</f>
        <v>33660592.1712</v>
      </c>
    </row>
    <row r="14" spans="1:23" ht="15.75" thickBot="1" x14ac:dyDescent="0.3">
      <c r="A14" s="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65"/>
      <c r="O14" s="10"/>
      <c r="U14" s="124"/>
      <c r="V14" s="63"/>
      <c r="W14" s="63"/>
    </row>
    <row r="15" spans="1:23" ht="15" x14ac:dyDescent="0.2">
      <c r="A15" s="7" t="s">
        <v>13</v>
      </c>
      <c r="B15" s="136">
        <v>3.6400000000000002E-2</v>
      </c>
      <c r="C15" s="136">
        <v>3.6400000000000002E-2</v>
      </c>
      <c r="D15" s="136">
        <v>3.6400000000000002E-2</v>
      </c>
      <c r="E15" s="136">
        <v>3.1600000000000003E-2</v>
      </c>
      <c r="F15" s="136">
        <v>3.1600000000000003E-2</v>
      </c>
      <c r="G15" s="136">
        <v>3.1600000000000003E-2</v>
      </c>
      <c r="H15" s="136">
        <v>2.9100000000000001E-2</v>
      </c>
      <c r="I15" s="136">
        <v>2.9100000000000001E-2</v>
      </c>
      <c r="J15" s="136">
        <v>2.9100000000000001E-2</v>
      </c>
      <c r="K15" s="136">
        <v>2.9100000000000001E-2</v>
      </c>
      <c r="L15" s="136">
        <v>2.9100000000000001E-2</v>
      </c>
      <c r="M15" s="136">
        <v>2.9100000000000001E-2</v>
      </c>
      <c r="N15" s="65"/>
      <c r="O15" s="137">
        <f>(Summary!D7+Summary!E7+Summary!F7+Summary!G7)/4</f>
        <v>2.5499999999999998E-2</v>
      </c>
      <c r="U15" s="205" t="s">
        <v>222</v>
      </c>
      <c r="V15" s="206">
        <f>V6/V13</f>
        <v>-5.1546137131970272E-3</v>
      </c>
      <c r="W15" s="206">
        <f>W6/W13</f>
        <v>1.0053321774886362E-2</v>
      </c>
    </row>
    <row r="16" spans="1:23" ht="15" x14ac:dyDescent="0.25">
      <c r="A16" s="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65"/>
      <c r="O16" s="10"/>
      <c r="U16" s="199"/>
    </row>
    <row r="17" spans="1:21" x14ac:dyDescent="0.2">
      <c r="A17" s="7" t="s">
        <v>14</v>
      </c>
      <c r="B17" s="83">
        <v>0</v>
      </c>
      <c r="C17" s="83">
        <f>B19</f>
        <v>0</v>
      </c>
      <c r="D17" s="83">
        <f t="shared" ref="D17:M17" si="5">C19</f>
        <v>284.49612509266609</v>
      </c>
      <c r="E17" s="83">
        <f t="shared" si="5"/>
        <v>922.58618885919486</v>
      </c>
      <c r="F17" s="83">
        <f t="shared" si="5"/>
        <v>1709.1898556483907</v>
      </c>
      <c r="G17" s="83">
        <f t="shared" si="5"/>
        <v>2603.1625216430607</v>
      </c>
      <c r="H17" s="83">
        <f t="shared" si="5"/>
        <v>3579.5998660219848</v>
      </c>
      <c r="I17" s="83">
        <f t="shared" si="5"/>
        <v>4533.8904412237698</v>
      </c>
      <c r="J17" s="83">
        <f t="shared" si="5"/>
        <v>5536.5234401084153</v>
      </c>
      <c r="K17" s="83">
        <f t="shared" si="5"/>
        <v>6580.9264688082776</v>
      </c>
      <c r="L17" s="83">
        <f t="shared" si="5"/>
        <v>7668.2253681186176</v>
      </c>
      <c r="M17" s="83">
        <f t="shared" si="5"/>
        <v>8799.9024292841914</v>
      </c>
      <c r="N17" s="65"/>
      <c r="O17" s="83">
        <f t="shared" ref="O17" si="6">M19</f>
        <v>9924.0113188780524</v>
      </c>
      <c r="U17" s="199"/>
    </row>
    <row r="18" spans="1:21" x14ac:dyDescent="0.2">
      <c r="A18" s="7" t="s">
        <v>15</v>
      </c>
      <c r="B18" s="31">
        <f t="shared" ref="B18:M18" si="7">B11*B15/12</f>
        <v>0</v>
      </c>
      <c r="C18" s="31">
        <f t="shared" si="7"/>
        <v>284.49612509266609</v>
      </c>
      <c r="D18" s="31">
        <f t="shared" si="7"/>
        <v>638.09006376652871</v>
      </c>
      <c r="E18" s="31">
        <f t="shared" si="7"/>
        <v>786.6036667891957</v>
      </c>
      <c r="F18" s="31">
        <f t="shared" si="7"/>
        <v>893.97266599466991</v>
      </c>
      <c r="G18" s="31">
        <f t="shared" si="7"/>
        <v>976.43734437892419</v>
      </c>
      <c r="H18" s="31">
        <f t="shared" si="7"/>
        <v>954.29057520178492</v>
      </c>
      <c r="I18" s="31">
        <f t="shared" si="7"/>
        <v>1002.6329988846459</v>
      </c>
      <c r="J18" s="31">
        <f t="shared" si="7"/>
        <v>1044.403028699862</v>
      </c>
      <c r="K18" s="31">
        <f t="shared" si="7"/>
        <v>1087.2988993103397</v>
      </c>
      <c r="L18" s="31">
        <f t="shared" si="7"/>
        <v>1131.6770611655745</v>
      </c>
      <c r="M18" s="31">
        <f t="shared" si="7"/>
        <v>1124.1088895938606</v>
      </c>
      <c r="N18" s="65"/>
      <c r="O18" s="31">
        <f>M13*O15</f>
        <v>13053.656912872513</v>
      </c>
      <c r="U18" s="199"/>
    </row>
    <row r="19" spans="1:21" ht="15" x14ac:dyDescent="0.25">
      <c r="A19" s="33" t="s">
        <v>16</v>
      </c>
      <c r="B19" s="11">
        <f>SUM(B17:B18)</f>
        <v>0</v>
      </c>
      <c r="C19" s="11">
        <f t="shared" ref="C19:M19" si="8">SUM(C17:C18)</f>
        <v>284.49612509266609</v>
      </c>
      <c r="D19" s="11">
        <f t="shared" si="8"/>
        <v>922.58618885919486</v>
      </c>
      <c r="E19" s="11">
        <f t="shared" si="8"/>
        <v>1709.1898556483907</v>
      </c>
      <c r="F19" s="11">
        <f t="shared" si="8"/>
        <v>2603.1625216430607</v>
      </c>
      <c r="G19" s="11">
        <f t="shared" si="8"/>
        <v>3579.5998660219848</v>
      </c>
      <c r="H19" s="11">
        <f t="shared" si="8"/>
        <v>4533.8904412237698</v>
      </c>
      <c r="I19" s="11">
        <f t="shared" si="8"/>
        <v>5536.5234401084153</v>
      </c>
      <c r="J19" s="11">
        <f t="shared" si="8"/>
        <v>6580.9264688082776</v>
      </c>
      <c r="K19" s="11">
        <f t="shared" si="8"/>
        <v>7668.2253681186176</v>
      </c>
      <c r="L19" s="11">
        <f t="shared" si="8"/>
        <v>8799.9024292841914</v>
      </c>
      <c r="M19" s="11">
        <f t="shared" si="8"/>
        <v>9924.0113188780524</v>
      </c>
      <c r="N19" s="65"/>
      <c r="O19" s="11">
        <f>SUM(O17:O18)</f>
        <v>22977.668231750566</v>
      </c>
    </row>
    <row r="20" spans="1:21" ht="15" x14ac:dyDescent="0.25">
      <c r="A20" s="2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O20" s="30"/>
    </row>
    <row r="21" spans="1:21" x14ac:dyDescent="0.2">
      <c r="E21" s="86"/>
      <c r="F21" s="86"/>
      <c r="G21" s="86"/>
      <c r="H21" s="86"/>
      <c r="I21" s="86"/>
    </row>
    <row r="22" spans="1:21" ht="15" x14ac:dyDescent="0.25">
      <c r="A22" s="12" t="s">
        <v>98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</row>
    <row r="23" spans="1:21" ht="45" x14ac:dyDescent="0.2">
      <c r="A23" s="14"/>
      <c r="B23" s="14" t="s">
        <v>46</v>
      </c>
      <c r="C23" s="14" t="s">
        <v>150</v>
      </c>
      <c r="D23" s="14" t="s">
        <v>151</v>
      </c>
      <c r="E23" s="86"/>
      <c r="F23" s="86"/>
      <c r="G23" s="86"/>
      <c r="H23" s="86"/>
      <c r="I23" s="86"/>
      <c r="J23" s="138"/>
      <c r="K23" s="138"/>
      <c r="L23" s="86"/>
    </row>
    <row r="24" spans="1:21" x14ac:dyDescent="0.2">
      <c r="A24" s="51" t="s">
        <v>34</v>
      </c>
      <c r="B24" s="52">
        <f>M13</f>
        <v>511908.11423029465</v>
      </c>
      <c r="C24" s="52"/>
      <c r="D24" s="52">
        <f>B24+C24</f>
        <v>511908.11423029465</v>
      </c>
      <c r="E24" s="86"/>
      <c r="F24" s="86"/>
      <c r="G24" s="86"/>
      <c r="H24" s="86"/>
      <c r="I24" s="86"/>
      <c r="J24" s="86"/>
      <c r="K24" s="86"/>
      <c r="L24" s="86"/>
    </row>
    <row r="25" spans="1:21" x14ac:dyDescent="0.2">
      <c r="A25" s="16" t="s">
        <v>35</v>
      </c>
      <c r="B25" s="56">
        <f>M19</f>
        <v>9924.0113188780524</v>
      </c>
      <c r="C25" s="56">
        <f>O18</f>
        <v>13053.656912872513</v>
      </c>
      <c r="D25" s="56">
        <f t="shared" ref="D25:D26" si="9">B25+C25</f>
        <v>22977.668231750566</v>
      </c>
      <c r="E25" s="86"/>
      <c r="F25" s="86"/>
      <c r="G25" s="86"/>
      <c r="H25" s="86"/>
      <c r="I25" s="86"/>
      <c r="J25" s="139"/>
      <c r="K25" s="139"/>
      <c r="L25" s="86"/>
    </row>
    <row r="26" spans="1:21" ht="15" x14ac:dyDescent="0.25">
      <c r="A26" s="22" t="s">
        <v>17</v>
      </c>
      <c r="B26" s="53">
        <f>B25+B24</f>
        <v>521832.12554917269</v>
      </c>
      <c r="C26" s="53">
        <f t="shared" ref="C26" si="10">C25+C24</f>
        <v>13053.656912872513</v>
      </c>
      <c r="D26" s="53">
        <f t="shared" si="9"/>
        <v>534885.7824620452</v>
      </c>
      <c r="E26" s="86"/>
      <c r="F26" s="86"/>
      <c r="G26" s="86"/>
      <c r="H26" s="86"/>
      <c r="I26" s="86"/>
      <c r="J26" s="86"/>
      <c r="K26" s="86"/>
      <c r="L26" s="86"/>
    </row>
    <row r="27" spans="1:2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</row>
    <row r="29" spans="1:21" ht="15" x14ac:dyDescent="0.25">
      <c r="A29" s="12" t="s">
        <v>157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</row>
    <row r="30" spans="1:21" ht="15" x14ac:dyDescent="0.2">
      <c r="A30" s="14"/>
      <c r="B30" s="14" t="s">
        <v>18</v>
      </c>
      <c r="C30" s="14" t="s">
        <v>19</v>
      </c>
      <c r="D30" s="14" t="s">
        <v>25</v>
      </c>
      <c r="E30" s="14" t="s">
        <v>122</v>
      </c>
      <c r="F30" s="138"/>
      <c r="G30" s="138"/>
      <c r="H30" s="86"/>
    </row>
    <row r="31" spans="1:21" ht="16.5" x14ac:dyDescent="0.2">
      <c r="A31" s="16" t="s">
        <v>24</v>
      </c>
      <c r="B31" s="17" t="s">
        <v>27</v>
      </c>
      <c r="C31" s="18">
        <f>SUM(D31:E31)</f>
        <v>511908.11423029436</v>
      </c>
      <c r="D31" s="18">
        <f>C45</f>
        <v>502844.29160499485</v>
      </c>
      <c r="E31" s="18">
        <f>C46</f>
        <v>9063.8226252995373</v>
      </c>
      <c r="F31" s="86"/>
      <c r="G31" s="86"/>
      <c r="H31" s="86"/>
    </row>
    <row r="32" spans="1:21" x14ac:dyDescent="0.2">
      <c r="A32" s="16" t="s">
        <v>22</v>
      </c>
      <c r="B32" s="19" t="s">
        <v>20</v>
      </c>
      <c r="C32" s="20">
        <f>SUM(D32:E32)</f>
        <v>1</v>
      </c>
      <c r="D32" s="20">
        <f>D45</f>
        <v>0.98229404384627139</v>
      </c>
      <c r="E32" s="20">
        <f>D46</f>
        <v>1.7705956153728705E-2</v>
      </c>
      <c r="F32" s="139"/>
      <c r="G32" s="139"/>
      <c r="H32" s="86"/>
    </row>
    <row r="33" spans="1:8" ht="15" x14ac:dyDescent="0.25">
      <c r="A33" s="22" t="s">
        <v>17</v>
      </c>
      <c r="B33" s="23" t="s">
        <v>21</v>
      </c>
      <c r="C33" s="24">
        <f>SUM(D33:E33)</f>
        <v>534885.7824620452</v>
      </c>
      <c r="D33" s="24">
        <f>D32*($O$19+$M$13)</f>
        <v>525415.11825051939</v>
      </c>
      <c r="E33" s="24">
        <f>E32*($O$19+$M$13)</f>
        <v>9470.6642115258419</v>
      </c>
      <c r="F33" s="86"/>
      <c r="G33" s="86"/>
      <c r="H33" s="86"/>
    </row>
    <row r="34" spans="1:8" x14ac:dyDescent="0.2">
      <c r="A34" s="86"/>
      <c r="B34" s="86"/>
      <c r="C34" s="86"/>
      <c r="D34" s="86"/>
      <c r="E34" s="86"/>
      <c r="F34" s="86"/>
      <c r="G34" s="86"/>
      <c r="H34" s="86"/>
    </row>
    <row r="36" spans="1:8" ht="15" x14ac:dyDescent="0.25">
      <c r="A36" s="12" t="s">
        <v>159</v>
      </c>
      <c r="B36" s="86"/>
      <c r="C36" s="86"/>
      <c r="D36" s="86"/>
      <c r="E36" s="86"/>
      <c r="F36" s="86"/>
      <c r="G36" s="86"/>
      <c r="H36" s="86"/>
    </row>
    <row r="37" spans="1:8" ht="15" x14ac:dyDescent="0.2">
      <c r="A37" s="14"/>
      <c r="B37" s="14" t="s">
        <v>18</v>
      </c>
      <c r="C37" s="14" t="s">
        <v>19</v>
      </c>
      <c r="D37" s="14" t="s">
        <v>25</v>
      </c>
      <c r="E37" s="14" t="s">
        <v>122</v>
      </c>
    </row>
    <row r="38" spans="1:8" x14ac:dyDescent="0.2">
      <c r="A38" s="16" t="s">
        <v>141</v>
      </c>
      <c r="B38" s="17" t="s">
        <v>142</v>
      </c>
      <c r="C38" s="18">
        <f>SUM(D38:E38)</f>
        <v>5532</v>
      </c>
      <c r="D38" s="18">
        <f>'Load Forecast'!A12</f>
        <v>5454</v>
      </c>
      <c r="E38" s="18">
        <f>'Load Forecast'!B12</f>
        <v>78</v>
      </c>
    </row>
    <row r="39" spans="1:8" x14ac:dyDescent="0.2">
      <c r="A39" s="16" t="s">
        <v>22</v>
      </c>
      <c r="B39" s="19" t="s">
        <v>20</v>
      </c>
      <c r="C39" s="20">
        <f>SUM(D39:E39)</f>
        <v>1</v>
      </c>
      <c r="D39" s="25">
        <f t="shared" ref="D39:E39" si="11">D32</f>
        <v>0.98229404384627139</v>
      </c>
      <c r="E39" s="25">
        <f t="shared" si="11"/>
        <v>1.7705956153728705E-2</v>
      </c>
    </row>
    <row r="40" spans="1:8" ht="15" x14ac:dyDescent="0.25">
      <c r="A40" s="26" t="s">
        <v>17</v>
      </c>
      <c r="B40" s="27" t="s">
        <v>21</v>
      </c>
      <c r="C40" s="57">
        <f>SUM(D40:E40)</f>
        <v>534885.78246204532</v>
      </c>
      <c r="D40" s="28">
        <f>D38*D41*12</f>
        <v>525415.1182505195</v>
      </c>
      <c r="E40" s="28">
        <f>E38*E41*12</f>
        <v>9470.6642115258419</v>
      </c>
    </row>
    <row r="41" spans="1:8" ht="15" x14ac:dyDescent="0.25">
      <c r="A41" s="22" t="s">
        <v>23</v>
      </c>
      <c r="B41" s="23" t="s">
        <v>143</v>
      </c>
      <c r="C41" s="29"/>
      <c r="D41" s="132">
        <f>D33/D38/12</f>
        <v>8.0279782155378232</v>
      </c>
      <c r="E41" s="132">
        <f>E33/E38/12</f>
        <v>10.118230995219916</v>
      </c>
    </row>
    <row r="44" spans="1:8" ht="30" x14ac:dyDescent="0.2">
      <c r="A44" s="131" t="s">
        <v>140</v>
      </c>
      <c r="B44" s="14" t="s">
        <v>158</v>
      </c>
      <c r="C44" s="14" t="s">
        <v>139</v>
      </c>
      <c r="D44" s="14" t="s">
        <v>22</v>
      </c>
    </row>
    <row r="45" spans="1:8" x14ac:dyDescent="0.2">
      <c r="A45" s="122" t="s">
        <v>33</v>
      </c>
      <c r="B45" s="123">
        <v>1005688.5832099897</v>
      </c>
      <c r="C45" s="123">
        <f>B45/2</f>
        <v>502844.29160499485</v>
      </c>
      <c r="D45" s="128">
        <f>C45/$C$47</f>
        <v>0.98229404384627139</v>
      </c>
    </row>
    <row r="46" spans="1:8" ht="16.5" x14ac:dyDescent="0.35">
      <c r="A46" s="124" t="s">
        <v>129</v>
      </c>
      <c r="B46" s="127">
        <v>18127.645250599075</v>
      </c>
      <c r="C46" s="127">
        <f>B46/2</f>
        <v>9063.8226252995373</v>
      </c>
      <c r="D46" s="130">
        <f t="shared" ref="D46:D47" si="12">C46/$C$47</f>
        <v>1.7705956153728705E-2</v>
      </c>
    </row>
    <row r="47" spans="1:8" ht="15" x14ac:dyDescent="0.25">
      <c r="A47" s="125" t="s">
        <v>17</v>
      </c>
      <c r="B47" s="126">
        <f>SUM(B45:B46)</f>
        <v>1023816.2284605887</v>
      </c>
      <c r="C47" s="126">
        <f>SUM(C45:C46)</f>
        <v>511908.11423029436</v>
      </c>
      <c r="D47" s="129">
        <f t="shared" si="12"/>
        <v>1</v>
      </c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62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39"/>
  <sheetViews>
    <sheetView showGridLines="0" zoomScale="85" zoomScaleNormal="85" zoomScaleSheetLayoutView="85" workbookViewId="0">
      <pane xSplit="1" ySplit="6" topLeftCell="B7" activePane="bottomRight" state="frozen"/>
      <selection activeCell="F37" sqref="F37"/>
      <selection pane="topRight" activeCell="F37" sqref="F37"/>
      <selection pane="bottomLeft" activeCell="F37" sqref="F37"/>
      <selection pane="bottomRight" activeCell="H36" sqref="H36"/>
    </sheetView>
  </sheetViews>
  <sheetFormatPr defaultColWidth="9.140625" defaultRowHeight="14.25" x14ac:dyDescent="0.2"/>
  <cols>
    <col min="1" max="1" width="44.5703125" style="38" customWidth="1"/>
    <col min="2" max="6" width="11.7109375" style="38" bestFit="1" customWidth="1"/>
    <col min="7" max="7" width="12.5703125" style="38" customWidth="1"/>
    <col min="8" max="8" width="10.7109375" style="38" bestFit="1" customWidth="1"/>
    <col min="9" max="13" width="11.7109375" style="38" bestFit="1" customWidth="1"/>
    <col min="14" max="18" width="11.7109375" style="38" customWidth="1"/>
    <col min="19" max="19" width="10.7109375" style="38" customWidth="1"/>
    <col min="20" max="21" width="10" style="38" customWidth="1"/>
    <col min="22" max="25" width="11.7109375" style="38" customWidth="1"/>
    <col min="26" max="26" width="11.7109375" style="38" customWidth="1" collapsed="1"/>
    <col min="27" max="30" width="11.7109375" style="38" customWidth="1"/>
    <col min="31" max="31" width="11" style="38" customWidth="1"/>
    <col min="32" max="32" width="10.7109375" style="38" customWidth="1"/>
    <col min="33" max="33" width="10" style="38" customWidth="1"/>
    <col min="34" max="37" width="11.7109375" style="38" customWidth="1"/>
    <col min="38" max="42" width="11.7109375" style="38" bestFit="1" customWidth="1"/>
    <col min="43" max="43" width="10" style="38" bestFit="1" customWidth="1"/>
    <col min="44" max="44" width="10.7109375" style="38" bestFit="1" customWidth="1"/>
    <col min="45" max="48" width="11.7109375" style="38" bestFit="1" customWidth="1"/>
    <col min="49" max="49" width="12.140625" style="38" bestFit="1" customWidth="1"/>
    <col min="50" max="50" width="10" style="38" bestFit="1" customWidth="1"/>
    <col min="51" max="51" width="9.28515625" style="38" bestFit="1" customWidth="1"/>
    <col min="52" max="16384" width="9.140625" style="38"/>
  </cols>
  <sheetData>
    <row r="1" spans="1:14" ht="15" x14ac:dyDescent="0.25">
      <c r="A1" s="2" t="str">
        <f>CIACVA!A1</f>
        <v>EPCOR Natural Gas Limited Partnership</v>
      </c>
    </row>
    <row r="2" spans="1:14" ht="15" x14ac:dyDescent="0.25">
      <c r="A2" s="2" t="str">
        <f>CIACVA!A2</f>
        <v>EB-2026-0149</v>
      </c>
    </row>
    <row r="3" spans="1:14" ht="15" x14ac:dyDescent="0.25">
      <c r="A3" s="2" t="s">
        <v>39</v>
      </c>
    </row>
    <row r="4" spans="1:14" ht="15" x14ac:dyDescent="0.25">
      <c r="A4" s="2" t="str">
        <f>CIACVA!A4</f>
        <v>Continuity Schedule</v>
      </c>
    </row>
    <row r="5" spans="1:14" ht="15" x14ac:dyDescent="0.25">
      <c r="A5" s="40"/>
      <c r="B5" s="4">
        <v>2025</v>
      </c>
      <c r="C5" s="4">
        <v>2025</v>
      </c>
      <c r="D5" s="4">
        <v>2025</v>
      </c>
      <c r="E5" s="4">
        <v>2025</v>
      </c>
      <c r="F5" s="4">
        <v>2025</v>
      </c>
      <c r="G5" s="4">
        <v>2025</v>
      </c>
      <c r="H5" s="4">
        <v>2025</v>
      </c>
      <c r="I5" s="4">
        <v>2025</v>
      </c>
      <c r="J5" s="4">
        <v>2025</v>
      </c>
      <c r="K5" s="4">
        <v>2025</v>
      </c>
      <c r="L5" s="4">
        <v>2025</v>
      </c>
      <c r="M5" s="4">
        <v>2025</v>
      </c>
      <c r="N5" s="4">
        <v>2026</v>
      </c>
    </row>
    <row r="6" spans="1:14" ht="15" x14ac:dyDescent="0.25">
      <c r="A6" s="41"/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6" t="s">
        <v>29</v>
      </c>
    </row>
    <row r="7" spans="1:14" ht="15" x14ac:dyDescent="0.25">
      <c r="A7" s="44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s="48" customFormat="1" ht="15" x14ac:dyDescent="0.25">
      <c r="A8" s="44" t="s">
        <v>100</v>
      </c>
      <c r="B8" s="10">
        <v>-397.64302606205558</v>
      </c>
      <c r="C8" s="10">
        <v>-19435.390449330287</v>
      </c>
      <c r="D8" s="10">
        <v>5054.3432716044581</v>
      </c>
      <c r="E8" s="10">
        <v>9782.2650116633304</v>
      </c>
      <c r="F8" s="10">
        <v>-3033.0153933830543</v>
      </c>
      <c r="G8" s="10">
        <v>3226.5194413631807</v>
      </c>
      <c r="H8" s="10">
        <v>8716.2990005788051</v>
      </c>
      <c r="I8" s="10">
        <v>2899.7282802753789</v>
      </c>
      <c r="J8" s="10">
        <v>2498.3877115210803</v>
      </c>
      <c r="K8" s="10">
        <v>8612.897156811583</v>
      </c>
      <c r="L8" s="10">
        <v>128777.56858469032</v>
      </c>
      <c r="M8" s="10">
        <v>10917.320778126244</v>
      </c>
      <c r="N8" s="77"/>
    </row>
    <row r="9" spans="1:14" x14ac:dyDescent="0.2">
      <c r="A9" s="65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41"/>
    </row>
    <row r="10" spans="1:14" ht="15" x14ac:dyDescent="0.25">
      <c r="A10" s="65" t="s">
        <v>30</v>
      </c>
      <c r="B10" s="10">
        <v>0</v>
      </c>
      <c r="C10" s="9">
        <f>B12</f>
        <v>-397.64302606205558</v>
      </c>
      <c r="D10" s="9">
        <f t="shared" ref="D10:M10" si="0">C12</f>
        <v>-19833.033475392342</v>
      </c>
      <c r="E10" s="9">
        <f t="shared" si="0"/>
        <v>-14778.690203787883</v>
      </c>
      <c r="F10" s="9">
        <f t="shared" si="0"/>
        <v>-4996.4251921245523</v>
      </c>
      <c r="G10" s="9">
        <f t="shared" si="0"/>
        <v>-8029.4405855076066</v>
      </c>
      <c r="H10" s="9">
        <f t="shared" si="0"/>
        <v>-4802.9211441444259</v>
      </c>
      <c r="I10" s="9">
        <f t="shared" si="0"/>
        <v>3913.3778564343793</v>
      </c>
      <c r="J10" s="9">
        <f t="shared" si="0"/>
        <v>6813.1061367097582</v>
      </c>
      <c r="K10" s="9">
        <f t="shared" si="0"/>
        <v>9311.4938482308389</v>
      </c>
      <c r="L10" s="9">
        <f t="shared" si="0"/>
        <v>17924.391005042424</v>
      </c>
      <c r="M10" s="9">
        <f t="shared" si="0"/>
        <v>146701.95958973275</v>
      </c>
      <c r="N10" s="41"/>
    </row>
    <row r="11" spans="1:14" ht="15" x14ac:dyDescent="0.25">
      <c r="A11" s="65" t="s">
        <v>47</v>
      </c>
      <c r="B11" s="31">
        <f>B8</f>
        <v>-397.64302606205558</v>
      </c>
      <c r="C11" s="31">
        <f t="shared" ref="C11:M11" si="1">C8</f>
        <v>-19435.390449330287</v>
      </c>
      <c r="D11" s="31">
        <f t="shared" si="1"/>
        <v>5054.3432716044581</v>
      </c>
      <c r="E11" s="31">
        <f t="shared" si="1"/>
        <v>9782.2650116633304</v>
      </c>
      <c r="F11" s="31">
        <f t="shared" si="1"/>
        <v>-3033.0153933830543</v>
      </c>
      <c r="G11" s="31">
        <f t="shared" si="1"/>
        <v>3226.5194413631807</v>
      </c>
      <c r="H11" s="31">
        <f t="shared" si="1"/>
        <v>8716.2990005788051</v>
      </c>
      <c r="I11" s="31">
        <f t="shared" si="1"/>
        <v>2899.7282802753789</v>
      </c>
      <c r="J11" s="31">
        <f t="shared" si="1"/>
        <v>2498.3877115210803</v>
      </c>
      <c r="K11" s="31">
        <f t="shared" si="1"/>
        <v>8612.897156811583</v>
      </c>
      <c r="L11" s="31">
        <f t="shared" si="1"/>
        <v>128777.56858469032</v>
      </c>
      <c r="M11" s="31">
        <f t="shared" si="1"/>
        <v>10917.320778126244</v>
      </c>
      <c r="N11" s="41"/>
    </row>
    <row r="12" spans="1:14" ht="15" x14ac:dyDescent="0.25">
      <c r="A12" s="65" t="s">
        <v>31</v>
      </c>
      <c r="B12" s="72">
        <f t="shared" ref="B12:M12" si="2">B10+B11</f>
        <v>-397.64302606205558</v>
      </c>
      <c r="C12" s="72">
        <f t="shared" si="2"/>
        <v>-19833.033475392342</v>
      </c>
      <c r="D12" s="72">
        <f t="shared" si="2"/>
        <v>-14778.690203787883</v>
      </c>
      <c r="E12" s="72">
        <f t="shared" si="2"/>
        <v>-4996.4251921245523</v>
      </c>
      <c r="F12" s="72">
        <f t="shared" si="2"/>
        <v>-8029.4405855076066</v>
      </c>
      <c r="G12" s="72">
        <f t="shared" si="2"/>
        <v>-4802.9211441444259</v>
      </c>
      <c r="H12" s="72">
        <f t="shared" si="2"/>
        <v>3913.3778564343793</v>
      </c>
      <c r="I12" s="72">
        <f t="shared" si="2"/>
        <v>6813.1061367097582</v>
      </c>
      <c r="J12" s="72">
        <f t="shared" si="2"/>
        <v>9311.4938482308389</v>
      </c>
      <c r="K12" s="72">
        <f t="shared" si="2"/>
        <v>17924.391005042424</v>
      </c>
      <c r="L12" s="72">
        <f t="shared" si="2"/>
        <v>146701.95958973275</v>
      </c>
      <c r="M12" s="98">
        <f t="shared" si="2"/>
        <v>157619.280367859</v>
      </c>
      <c r="N12" s="41"/>
    </row>
    <row r="13" spans="1:14" x14ac:dyDescent="0.2">
      <c r="A13" s="6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1"/>
    </row>
    <row r="14" spans="1:14" ht="15" x14ac:dyDescent="0.25">
      <c r="A14" s="44" t="s">
        <v>32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1"/>
    </row>
    <row r="15" spans="1:14" x14ac:dyDescent="0.2">
      <c r="A15" s="79" t="s">
        <v>13</v>
      </c>
      <c r="B15" s="73">
        <v>3.6400000000000002E-2</v>
      </c>
      <c r="C15" s="73">
        <v>3.6400000000000002E-2</v>
      </c>
      <c r="D15" s="73">
        <v>3.6400000000000002E-2</v>
      </c>
      <c r="E15" s="73">
        <v>3.1600000000000003E-2</v>
      </c>
      <c r="F15" s="73">
        <v>3.1600000000000003E-2</v>
      </c>
      <c r="G15" s="73">
        <v>3.1600000000000003E-2</v>
      </c>
      <c r="H15" s="73">
        <v>2.9100000000000001E-2</v>
      </c>
      <c r="I15" s="73">
        <v>2.9100000000000001E-2</v>
      </c>
      <c r="J15" s="73">
        <v>2.9100000000000001E-2</v>
      </c>
      <c r="K15" s="73">
        <v>2.9100000000000001E-2</v>
      </c>
      <c r="L15" s="73">
        <v>2.9100000000000001E-2</v>
      </c>
      <c r="M15" s="73">
        <v>2.9100000000000001E-2</v>
      </c>
      <c r="N15" s="73">
        <f>CIACVA!O16</f>
        <v>2.5499999999999998E-2</v>
      </c>
    </row>
    <row r="16" spans="1:14" x14ac:dyDescent="0.2">
      <c r="A16" s="80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5"/>
    </row>
    <row r="17" spans="1:48" x14ac:dyDescent="0.2">
      <c r="A17" s="79" t="s">
        <v>14</v>
      </c>
      <c r="B17" s="72">
        <v>0</v>
      </c>
      <c r="C17" s="72">
        <f t="shared" ref="C17:M17" si="3">B19</f>
        <v>0</v>
      </c>
      <c r="D17" s="72">
        <f t="shared" si="3"/>
        <v>-1.2061838457215688</v>
      </c>
      <c r="E17" s="72">
        <f t="shared" si="3"/>
        <v>-61.366385387745005</v>
      </c>
      <c r="F17" s="72">
        <f t="shared" si="3"/>
        <v>-100.28360292438643</v>
      </c>
      <c r="G17" s="72">
        <f t="shared" si="3"/>
        <v>-113.44085593031441</v>
      </c>
      <c r="H17" s="72">
        <f t="shared" si="3"/>
        <v>-134.58504947215113</v>
      </c>
      <c r="I17" s="72">
        <f t="shared" si="3"/>
        <v>-146.23213324670135</v>
      </c>
      <c r="J17" s="72">
        <f t="shared" si="3"/>
        <v>-136.74219194484797</v>
      </c>
      <c r="K17" s="72">
        <f t="shared" si="3"/>
        <v>-120.22040956332681</v>
      </c>
      <c r="L17" s="72">
        <f t="shared" si="3"/>
        <v>-97.640036981367032</v>
      </c>
      <c r="M17" s="72">
        <f t="shared" si="3"/>
        <v>-54.17338879413915</v>
      </c>
      <c r="N17" s="72">
        <f>M19</f>
        <v>301.57886321096282</v>
      </c>
    </row>
    <row r="18" spans="1:48" x14ac:dyDescent="0.2">
      <c r="A18" s="81" t="s">
        <v>15</v>
      </c>
      <c r="B18" s="76">
        <f t="shared" ref="B18:M18" si="4">B10*B15/12</f>
        <v>0</v>
      </c>
      <c r="C18" s="76">
        <f t="shared" si="4"/>
        <v>-1.2061838457215688</v>
      </c>
      <c r="D18" s="76">
        <f t="shared" si="4"/>
        <v>-60.160201542023437</v>
      </c>
      <c r="E18" s="76">
        <f t="shared" si="4"/>
        <v>-38.917217536641424</v>
      </c>
      <c r="F18" s="76">
        <f t="shared" si="4"/>
        <v>-13.15725300592799</v>
      </c>
      <c r="G18" s="76">
        <f t="shared" si="4"/>
        <v>-21.1441935418367</v>
      </c>
      <c r="H18" s="76">
        <f t="shared" si="4"/>
        <v>-11.647083774550232</v>
      </c>
      <c r="I18" s="76">
        <f t="shared" si="4"/>
        <v>9.4899413018533689</v>
      </c>
      <c r="J18" s="76">
        <f t="shared" si="4"/>
        <v>16.521782381521163</v>
      </c>
      <c r="K18" s="76">
        <f t="shared" si="4"/>
        <v>22.580372581959782</v>
      </c>
      <c r="L18" s="76">
        <f t="shared" si="4"/>
        <v>43.466648187227882</v>
      </c>
      <c r="M18" s="76">
        <f t="shared" si="4"/>
        <v>355.75225200510198</v>
      </c>
      <c r="N18" s="76">
        <f>N15*M12</f>
        <v>4019.2916493804041</v>
      </c>
    </row>
    <row r="19" spans="1:48" ht="15" x14ac:dyDescent="0.25">
      <c r="A19" s="97" t="s">
        <v>16</v>
      </c>
      <c r="B19" s="74">
        <f t="shared" ref="B19:N19" si="5">B17+B18</f>
        <v>0</v>
      </c>
      <c r="C19" s="74">
        <f t="shared" si="5"/>
        <v>-1.2061838457215688</v>
      </c>
      <c r="D19" s="74">
        <f t="shared" si="5"/>
        <v>-61.366385387745005</v>
      </c>
      <c r="E19" s="74">
        <f t="shared" si="5"/>
        <v>-100.28360292438643</v>
      </c>
      <c r="F19" s="74">
        <f t="shared" si="5"/>
        <v>-113.44085593031441</v>
      </c>
      <c r="G19" s="74">
        <f t="shared" si="5"/>
        <v>-134.58504947215113</v>
      </c>
      <c r="H19" s="74">
        <f t="shared" si="5"/>
        <v>-146.23213324670135</v>
      </c>
      <c r="I19" s="74">
        <f t="shared" si="5"/>
        <v>-136.74219194484797</v>
      </c>
      <c r="J19" s="74">
        <f t="shared" si="5"/>
        <v>-120.22040956332681</v>
      </c>
      <c r="K19" s="74">
        <f t="shared" si="5"/>
        <v>-97.640036981367032</v>
      </c>
      <c r="L19" s="74">
        <f t="shared" si="5"/>
        <v>-54.17338879413915</v>
      </c>
      <c r="M19" s="74">
        <f t="shared" si="5"/>
        <v>301.57886321096282</v>
      </c>
      <c r="N19" s="75">
        <f t="shared" si="5"/>
        <v>4320.8705125913666</v>
      </c>
    </row>
    <row r="20" spans="1:48" x14ac:dyDescent="0.2">
      <c r="J20" s="39"/>
      <c r="K20" s="39"/>
      <c r="L20" s="39"/>
      <c r="M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</row>
    <row r="21" spans="1:48" x14ac:dyDescent="0.2">
      <c r="J21" s="39"/>
      <c r="K21" s="39"/>
      <c r="L21" s="39"/>
      <c r="M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</row>
    <row r="22" spans="1:48" customFormat="1" ht="15" x14ac:dyDescent="0.25">
      <c r="A22" s="12" t="s">
        <v>36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48" customFormat="1" ht="45" x14ac:dyDescent="0.25">
      <c r="A23" s="14"/>
      <c r="B23" s="14" t="s">
        <v>46</v>
      </c>
      <c r="C23" s="14" t="s">
        <v>150</v>
      </c>
      <c r="D23" s="14" t="s">
        <v>151</v>
      </c>
      <c r="E23" s="13"/>
      <c r="F23" s="13"/>
      <c r="G23" s="13"/>
      <c r="H23" s="13"/>
      <c r="I23" s="13"/>
      <c r="J23" s="15"/>
      <c r="K23" s="15"/>
      <c r="L23" s="13"/>
    </row>
    <row r="24" spans="1:48" customFormat="1" ht="15" x14ac:dyDescent="0.25">
      <c r="A24" s="51" t="s">
        <v>34</v>
      </c>
      <c r="B24" s="52">
        <f>M12</f>
        <v>157619.280367859</v>
      </c>
      <c r="C24" s="52"/>
      <c r="D24" s="52">
        <f>B24+C24</f>
        <v>157619.280367859</v>
      </c>
      <c r="E24" s="13"/>
      <c r="F24" s="13"/>
      <c r="G24" s="13"/>
      <c r="H24" s="13"/>
      <c r="I24" s="13"/>
      <c r="J24" s="13"/>
      <c r="K24" s="13"/>
      <c r="L24" s="13"/>
    </row>
    <row r="25" spans="1:48" customFormat="1" ht="15" x14ac:dyDescent="0.25">
      <c r="A25" s="16" t="s">
        <v>35</v>
      </c>
      <c r="B25" s="56">
        <f>M19</f>
        <v>301.57886321096282</v>
      </c>
      <c r="C25" s="56">
        <f>N18</f>
        <v>4019.2916493804041</v>
      </c>
      <c r="D25" s="56">
        <f t="shared" ref="D25:D26" si="6">B25+C25</f>
        <v>4320.8705125913666</v>
      </c>
      <c r="E25" s="13"/>
      <c r="F25" s="13"/>
      <c r="G25" s="13"/>
      <c r="H25" s="13"/>
      <c r="I25" s="21"/>
      <c r="J25" s="21"/>
      <c r="K25" s="13"/>
    </row>
    <row r="26" spans="1:48" customFormat="1" ht="15" x14ac:dyDescent="0.25">
      <c r="A26" s="22" t="s">
        <v>17</v>
      </c>
      <c r="B26" s="53">
        <f>B25+B24</f>
        <v>157920.85923106998</v>
      </c>
      <c r="C26" s="53">
        <f t="shared" ref="C26" si="7">C25+C24</f>
        <v>4019.2916493804041</v>
      </c>
      <c r="D26" s="53">
        <f t="shared" si="6"/>
        <v>161940.15088045038</v>
      </c>
      <c r="E26" s="13"/>
      <c r="F26" s="13"/>
      <c r="G26" s="13"/>
      <c r="H26" s="13"/>
      <c r="I26" s="13"/>
      <c r="J26" s="13"/>
      <c r="K26" s="13"/>
    </row>
    <row r="27" spans="1:48" customFormat="1" ht="15" x14ac:dyDescent="0.25">
      <c r="A27" s="54"/>
      <c r="B27" s="55"/>
      <c r="C27" s="55"/>
      <c r="D27" s="55"/>
      <c r="E27" s="13"/>
      <c r="F27" s="13"/>
      <c r="G27" s="13"/>
      <c r="H27" s="13"/>
      <c r="I27" s="13"/>
      <c r="J27" s="13"/>
      <c r="K27" s="13"/>
    </row>
    <row r="28" spans="1:48" customFormat="1" ht="15" x14ac:dyDescent="0.25">
      <c r="A28" s="12" t="s">
        <v>160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48" customFormat="1" ht="15" x14ac:dyDescent="0.25">
      <c r="A29" s="14"/>
      <c r="B29" s="14" t="s">
        <v>18</v>
      </c>
      <c r="C29" s="14" t="s">
        <v>19</v>
      </c>
      <c r="D29" s="14" t="s">
        <v>25</v>
      </c>
      <c r="E29" s="14" t="s">
        <v>122</v>
      </c>
      <c r="F29" s="14" t="s">
        <v>123</v>
      </c>
      <c r="G29" s="14" t="s">
        <v>124</v>
      </c>
      <c r="H29" s="15"/>
      <c r="I29" s="15"/>
      <c r="J29" s="15"/>
      <c r="K29" s="13"/>
    </row>
    <row r="30" spans="1:48" customFormat="1" ht="16.5" x14ac:dyDescent="0.25">
      <c r="A30" s="16" t="s">
        <v>24</v>
      </c>
      <c r="B30" s="17" t="s">
        <v>27</v>
      </c>
      <c r="C30" s="18">
        <f>SUM(D30:G30)</f>
        <v>33080.97771297532</v>
      </c>
      <c r="D30" s="18">
        <f>'Load Forecast'!A17</f>
        <v>8756.8949229753234</v>
      </c>
      <c r="E30" s="18">
        <f>'Load Forecast'!B17</f>
        <v>2969.2950000000001</v>
      </c>
      <c r="F30" s="18">
        <f>'Load Forecast'!C17</f>
        <v>1675.5067199999999</v>
      </c>
      <c r="G30" s="18">
        <f>'Load Forecast'!D17</f>
        <v>19679.281070000001</v>
      </c>
      <c r="H30" s="13"/>
      <c r="I30" s="13"/>
      <c r="J30" s="13"/>
      <c r="K30" s="13"/>
    </row>
    <row r="31" spans="1:48" customFormat="1" ht="15" x14ac:dyDescent="0.25">
      <c r="A31" s="16" t="s">
        <v>22</v>
      </c>
      <c r="B31" s="19" t="s">
        <v>20</v>
      </c>
      <c r="C31" s="20">
        <f>SUM(D31:G31)</f>
        <v>1.0000000000000002</v>
      </c>
      <c r="D31" s="20">
        <f>D30/$C$30</f>
        <v>0.26471088608546822</v>
      </c>
      <c r="E31" s="20">
        <f t="shared" ref="E31:G31" si="8">E30/$C$30</f>
        <v>8.9758380957264045E-2</v>
      </c>
      <c r="F31" s="20">
        <f t="shared" si="8"/>
        <v>5.0648645712270395E-2</v>
      </c>
      <c r="G31" s="20">
        <f t="shared" si="8"/>
        <v>0.59488208724499747</v>
      </c>
      <c r="H31" s="21"/>
      <c r="I31" s="21"/>
      <c r="J31" s="21"/>
      <c r="K31" s="13"/>
    </row>
    <row r="32" spans="1:48" customFormat="1" ht="15" x14ac:dyDescent="0.25">
      <c r="A32" s="22" t="s">
        <v>17</v>
      </c>
      <c r="B32" s="23" t="s">
        <v>21</v>
      </c>
      <c r="C32" s="24">
        <f>SUM(D32:G32)</f>
        <v>161940.15088045038</v>
      </c>
      <c r="D32" s="24">
        <f>D31*($D$26)</f>
        <v>42867.320832378435</v>
      </c>
      <c r="E32" s="24">
        <f t="shared" ref="E32:G32" si="9">E31*($D$26)</f>
        <v>14535.485755004283</v>
      </c>
      <c r="F32" s="24">
        <f t="shared" si="9"/>
        <v>8202.0493285355442</v>
      </c>
      <c r="G32" s="24">
        <f t="shared" si="9"/>
        <v>96335.294964532135</v>
      </c>
      <c r="H32" s="13"/>
      <c r="I32" s="13"/>
      <c r="J32" s="13"/>
      <c r="K32" s="13"/>
    </row>
    <row r="33" spans="1:11" customFormat="1" ht="1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customFormat="1" ht="15" x14ac:dyDescent="0.25">
      <c r="A34" s="12" t="s">
        <v>161</v>
      </c>
      <c r="B34" s="13"/>
      <c r="C34" s="13"/>
      <c r="D34" s="13"/>
      <c r="E34" s="13"/>
      <c r="F34" s="13"/>
      <c r="G34" s="13"/>
    </row>
    <row r="35" spans="1:11" customFormat="1" ht="15" x14ac:dyDescent="0.25">
      <c r="A35" s="14"/>
      <c r="B35" s="14" t="s">
        <v>18</v>
      </c>
      <c r="C35" s="14" t="s">
        <v>19</v>
      </c>
      <c r="D35" s="14" t="s">
        <v>25</v>
      </c>
      <c r="E35" s="14" t="s">
        <v>122</v>
      </c>
      <c r="F35" s="14" t="s">
        <v>123</v>
      </c>
      <c r="G35" s="14" t="s">
        <v>18</v>
      </c>
      <c r="H35" s="14" t="s">
        <v>124</v>
      </c>
    </row>
    <row r="36" spans="1:11" customFormat="1" ht="16.5" x14ac:dyDescent="0.25">
      <c r="A36" s="16" t="s">
        <v>24</v>
      </c>
      <c r="B36" s="17" t="s">
        <v>27</v>
      </c>
      <c r="C36" s="113">
        <f>SUM(D36:F36)</f>
        <v>13257.002210030671</v>
      </c>
      <c r="D36" s="113">
        <f>'Load Forecast'!A7</f>
        <v>8662.8848775633542</v>
      </c>
      <c r="E36" s="113">
        <f>'Load Forecast'!B7</f>
        <v>2918.610612467317</v>
      </c>
      <c r="F36" s="113">
        <f>'Load Forecast'!C7</f>
        <v>1675.5067199999999</v>
      </c>
      <c r="G36" s="17" t="s">
        <v>127</v>
      </c>
      <c r="H36" s="113">
        <f>'Load Forecast'!D7</f>
        <v>95854.65711361311</v>
      </c>
    </row>
    <row r="37" spans="1:11" customFormat="1" ht="15" x14ac:dyDescent="0.25">
      <c r="A37" s="16" t="s">
        <v>22</v>
      </c>
      <c r="B37" s="114" t="s">
        <v>20</v>
      </c>
      <c r="C37" s="115">
        <f>SUM(D37:H37)</f>
        <v>1.0000000000000002</v>
      </c>
      <c r="D37" s="116">
        <f>D31</f>
        <v>0.26471088608546822</v>
      </c>
      <c r="E37" s="116">
        <f t="shared" ref="E37:F37" si="10">E31</f>
        <v>8.9758380957264045E-2</v>
      </c>
      <c r="F37" s="116">
        <f t="shared" si="10"/>
        <v>5.0648645712270395E-2</v>
      </c>
      <c r="G37" s="114" t="s">
        <v>20</v>
      </c>
      <c r="H37" s="116">
        <f>G31</f>
        <v>0.59488208724499747</v>
      </c>
    </row>
    <row r="38" spans="1:11" customFormat="1" ht="15" x14ac:dyDescent="0.25">
      <c r="A38" s="26" t="s">
        <v>17</v>
      </c>
      <c r="B38" s="27" t="s">
        <v>21</v>
      </c>
      <c r="C38" s="117">
        <f>SUM(D38:H38)</f>
        <v>161939.93657098481</v>
      </c>
      <c r="D38" s="118">
        <f>D36*D39*10</f>
        <v>42867.320832378435</v>
      </c>
      <c r="E38" s="118">
        <f t="shared" ref="E38:F38" si="11">E36*E39*10</f>
        <v>14535.485755004283</v>
      </c>
      <c r="F38" s="118">
        <f t="shared" si="11"/>
        <v>8202.0493285355442</v>
      </c>
      <c r="G38" s="27" t="s">
        <v>21</v>
      </c>
      <c r="H38" s="118">
        <f>H36*H39/100*12</f>
        <v>96335.080655066544</v>
      </c>
    </row>
    <row r="39" spans="1:11" customFormat="1" ht="17.25" x14ac:dyDescent="0.25">
      <c r="A39" s="22" t="s">
        <v>23</v>
      </c>
      <c r="B39" s="23" t="s">
        <v>28</v>
      </c>
      <c r="C39" s="29"/>
      <c r="D39" s="29">
        <f>D32/D36/10</f>
        <v>0.49483886070567185</v>
      </c>
      <c r="E39" s="29">
        <f t="shared" ref="E39:F39" si="12">E32/E36/10</f>
        <v>0.49802757835915507</v>
      </c>
      <c r="F39" s="29">
        <f t="shared" si="12"/>
        <v>0.48952649551507293</v>
      </c>
      <c r="G39" s="23" t="s">
        <v>128</v>
      </c>
      <c r="H39" s="29">
        <f>ROUND(G32/H36*100/12,4)</f>
        <v>8.3750999999999998</v>
      </c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63" fitToWidth="3" orientation="landscape" r:id="rId1"/>
  <rowBreaks count="1" manualBreakCount="1">
    <brk id="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D309-F2B1-4ECF-97E1-106EB132D44E}">
  <sheetPr>
    <pageSetUpPr fitToPage="1"/>
  </sheetPr>
  <dimension ref="A1:BQ43"/>
  <sheetViews>
    <sheetView showGridLines="0" zoomScale="90" zoomScaleNormal="90" workbookViewId="0">
      <selection activeCell="BL28" sqref="BL28"/>
    </sheetView>
  </sheetViews>
  <sheetFormatPr defaultColWidth="12.5703125" defaultRowHeight="15" outlineLevelCol="1" x14ac:dyDescent="0.25"/>
  <cols>
    <col min="1" max="1" width="48.140625" customWidth="1"/>
    <col min="2" max="2" width="11.7109375" hidden="1" customWidth="1" outlineLevel="1"/>
    <col min="3" max="3" width="13.5703125" hidden="1" customWidth="1" outlineLevel="1"/>
    <col min="4" max="4" width="12.42578125" hidden="1" customWidth="1" outlineLevel="1"/>
    <col min="5" max="11" width="13.7109375" hidden="1" customWidth="1" outlineLevel="1"/>
    <col min="12" max="12" width="15.140625" hidden="1" customWidth="1" outlineLevel="1"/>
    <col min="13" max="13" width="11.7109375" customWidth="1" collapsed="1"/>
    <col min="14" max="14" width="12.42578125" hidden="1" customWidth="1" outlineLevel="1"/>
    <col min="15" max="15" width="12.28515625" hidden="1" customWidth="1" outlineLevel="1"/>
    <col min="16" max="24" width="12.5703125" hidden="1" customWidth="1" outlineLevel="1"/>
    <col min="25" max="25" width="12.5703125" collapsed="1"/>
    <col min="26" max="36" width="12.5703125" hidden="1" customWidth="1" outlineLevel="1"/>
    <col min="37" max="37" width="12.5703125" collapsed="1"/>
    <col min="38" max="48" width="12.5703125" hidden="1" customWidth="1" outlineLevel="1"/>
    <col min="49" max="49" width="12.5703125" collapsed="1"/>
    <col min="62" max="62" width="2.7109375" customWidth="1"/>
    <col min="66" max="66" width="16.28515625" bestFit="1" customWidth="1"/>
    <col min="67" max="67" width="14.5703125" customWidth="1"/>
    <col min="68" max="68" width="16.28515625" customWidth="1"/>
    <col min="69" max="69" width="15.42578125" customWidth="1"/>
  </cols>
  <sheetData>
    <row r="1" spans="1:69" s="2" customFormat="1" x14ac:dyDescent="0.25">
      <c r="A1" s="2" t="s">
        <v>0</v>
      </c>
    </row>
    <row r="2" spans="1:69" s="2" customFormat="1" x14ac:dyDescent="0.25">
      <c r="A2" s="2" t="s">
        <v>163</v>
      </c>
    </row>
    <row r="3" spans="1:69" s="2" customFormat="1" x14ac:dyDescent="0.25">
      <c r="A3" s="2" t="s">
        <v>164</v>
      </c>
    </row>
    <row r="4" spans="1:69" s="2" customFormat="1" ht="45" x14ac:dyDescent="0.25">
      <c r="A4" s="2" t="s">
        <v>38</v>
      </c>
      <c r="BN4" s="149" t="s">
        <v>165</v>
      </c>
      <c r="BO4" s="149" t="s">
        <v>166</v>
      </c>
      <c r="BP4" s="149" t="s">
        <v>167</v>
      </c>
      <c r="BQ4" s="149" t="s">
        <v>168</v>
      </c>
    </row>
    <row r="5" spans="1:69" x14ac:dyDescent="0.25">
      <c r="A5" s="150"/>
      <c r="B5" s="151">
        <v>2021</v>
      </c>
      <c r="C5" s="151">
        <v>2021</v>
      </c>
      <c r="D5" s="151">
        <v>2021</v>
      </c>
      <c r="E5" s="151">
        <v>2021</v>
      </c>
      <c r="F5" s="151">
        <v>2021</v>
      </c>
      <c r="G5" s="151">
        <v>2021</v>
      </c>
      <c r="H5" s="151">
        <v>2021</v>
      </c>
      <c r="I5" s="151">
        <v>2021</v>
      </c>
      <c r="J5" s="151">
        <v>2021</v>
      </c>
      <c r="K5" s="151">
        <v>2021</v>
      </c>
      <c r="L5" s="151">
        <v>2021</v>
      </c>
      <c r="M5" s="151">
        <v>2021</v>
      </c>
      <c r="N5" s="151">
        <v>2022</v>
      </c>
      <c r="O5" s="151">
        <v>2022</v>
      </c>
      <c r="P5" s="151">
        <v>2022</v>
      </c>
      <c r="Q5" s="151">
        <v>2022</v>
      </c>
      <c r="R5" s="151">
        <v>2022</v>
      </c>
      <c r="S5" s="151">
        <v>2022</v>
      </c>
      <c r="T5" s="151">
        <v>2022</v>
      </c>
      <c r="U5" s="151">
        <v>2022</v>
      </c>
      <c r="V5" s="151">
        <v>2022</v>
      </c>
      <c r="W5" s="151">
        <v>2022</v>
      </c>
      <c r="X5" s="151">
        <v>2022</v>
      </c>
      <c r="Y5" s="151">
        <v>2022</v>
      </c>
      <c r="Z5" s="151">
        <v>2023</v>
      </c>
      <c r="AA5" s="151">
        <v>2023</v>
      </c>
      <c r="AB5" s="151">
        <v>2023</v>
      </c>
      <c r="AC5" s="151">
        <v>2023</v>
      </c>
      <c r="AD5" s="151">
        <v>2023</v>
      </c>
      <c r="AE5" s="151">
        <v>2023</v>
      </c>
      <c r="AF5" s="151">
        <v>2023</v>
      </c>
      <c r="AG5" s="151">
        <v>2023</v>
      </c>
      <c r="AH5" s="151">
        <v>2023</v>
      </c>
      <c r="AI5" s="151">
        <v>2023</v>
      </c>
      <c r="AJ5" s="151">
        <v>2023</v>
      </c>
      <c r="AK5" s="151">
        <v>2023</v>
      </c>
      <c r="AL5" s="151">
        <v>2024</v>
      </c>
      <c r="AM5" s="151">
        <v>2024</v>
      </c>
      <c r="AN5" s="151">
        <v>2024</v>
      </c>
      <c r="AO5" s="151">
        <v>2024</v>
      </c>
      <c r="AP5" s="151">
        <v>2024</v>
      </c>
      <c r="AQ5" s="151">
        <v>2024</v>
      </c>
      <c r="AR5" s="151">
        <v>2024</v>
      </c>
      <c r="AS5" s="151">
        <v>2024</v>
      </c>
      <c r="AT5" s="151">
        <v>2024</v>
      </c>
      <c r="AU5" s="151">
        <v>2024</v>
      </c>
      <c r="AV5" s="151">
        <v>2024</v>
      </c>
      <c r="AW5" s="151">
        <v>2024</v>
      </c>
      <c r="AX5" s="4">
        <v>2025</v>
      </c>
      <c r="AY5" s="4">
        <v>2025</v>
      </c>
      <c r="AZ5" s="4">
        <v>2025</v>
      </c>
      <c r="BA5" s="4">
        <v>2025</v>
      </c>
      <c r="BB5" s="4">
        <v>2025</v>
      </c>
      <c r="BC5" s="4">
        <v>2025</v>
      </c>
      <c r="BD5" s="4">
        <v>2025</v>
      </c>
      <c r="BE5" s="4">
        <v>2025</v>
      </c>
      <c r="BF5" s="4">
        <v>2025</v>
      </c>
      <c r="BG5" s="4">
        <v>2025</v>
      </c>
      <c r="BH5" s="4">
        <v>2025</v>
      </c>
      <c r="BI5" s="4">
        <v>2025</v>
      </c>
      <c r="BK5" s="4">
        <v>2026</v>
      </c>
      <c r="BN5" s="152" t="s">
        <v>176</v>
      </c>
      <c r="BO5" s="153">
        <v>132700</v>
      </c>
      <c r="BP5" s="154">
        <v>44926</v>
      </c>
      <c r="BQ5" s="154">
        <f>BP5+720</f>
        <v>45646</v>
      </c>
    </row>
    <row r="6" spans="1:69" x14ac:dyDescent="0.25">
      <c r="A6" s="155"/>
      <c r="B6" s="156" t="s">
        <v>1</v>
      </c>
      <c r="C6" s="156" t="s">
        <v>2</v>
      </c>
      <c r="D6" s="156" t="s">
        <v>3</v>
      </c>
      <c r="E6" s="156" t="s">
        <v>4</v>
      </c>
      <c r="F6" s="156" t="s">
        <v>5</v>
      </c>
      <c r="G6" s="156" t="s">
        <v>6</v>
      </c>
      <c r="H6" s="156" t="s">
        <v>7</v>
      </c>
      <c r="I6" s="156" t="s">
        <v>8</v>
      </c>
      <c r="J6" s="156" t="s">
        <v>9</v>
      </c>
      <c r="K6" s="156" t="s">
        <v>10</v>
      </c>
      <c r="L6" s="156" t="s">
        <v>11</v>
      </c>
      <c r="M6" s="156" t="s">
        <v>12</v>
      </c>
      <c r="N6" s="156" t="s">
        <v>1</v>
      </c>
      <c r="O6" s="156" t="s">
        <v>2</v>
      </c>
      <c r="P6" s="156" t="s">
        <v>3</v>
      </c>
      <c r="Q6" s="156" t="s">
        <v>4</v>
      </c>
      <c r="R6" s="156" t="s">
        <v>5</v>
      </c>
      <c r="S6" s="156" t="s">
        <v>6</v>
      </c>
      <c r="T6" s="156" t="s">
        <v>7</v>
      </c>
      <c r="U6" s="156" t="s">
        <v>8</v>
      </c>
      <c r="V6" s="156" t="s">
        <v>9</v>
      </c>
      <c r="W6" s="156" t="s">
        <v>10</v>
      </c>
      <c r="X6" s="156" t="s">
        <v>11</v>
      </c>
      <c r="Y6" s="156" t="s">
        <v>12</v>
      </c>
      <c r="Z6" s="156" t="s">
        <v>1</v>
      </c>
      <c r="AA6" s="156" t="s">
        <v>2</v>
      </c>
      <c r="AB6" s="156" t="s">
        <v>3</v>
      </c>
      <c r="AC6" s="156" t="s">
        <v>4</v>
      </c>
      <c r="AD6" s="156" t="s">
        <v>5</v>
      </c>
      <c r="AE6" s="156" t="s">
        <v>6</v>
      </c>
      <c r="AF6" s="156" t="s">
        <v>7</v>
      </c>
      <c r="AG6" s="156" t="s">
        <v>8</v>
      </c>
      <c r="AH6" s="156" t="s">
        <v>9</v>
      </c>
      <c r="AI6" s="156" t="s">
        <v>10</v>
      </c>
      <c r="AJ6" s="156" t="s">
        <v>11</v>
      </c>
      <c r="AK6" s="156" t="s">
        <v>12</v>
      </c>
      <c r="AL6" s="156" t="s">
        <v>1</v>
      </c>
      <c r="AM6" s="156" t="s">
        <v>2</v>
      </c>
      <c r="AN6" s="156" t="s">
        <v>3</v>
      </c>
      <c r="AO6" s="156" t="s">
        <v>4</v>
      </c>
      <c r="AP6" s="156" t="s">
        <v>5</v>
      </c>
      <c r="AQ6" s="156" t="s">
        <v>6</v>
      </c>
      <c r="AR6" s="156" t="s">
        <v>7</v>
      </c>
      <c r="AS6" s="156" t="s">
        <v>8</v>
      </c>
      <c r="AT6" s="156" t="s">
        <v>9</v>
      </c>
      <c r="AU6" s="156" t="s">
        <v>10</v>
      </c>
      <c r="AV6" s="156" t="s">
        <v>11</v>
      </c>
      <c r="AW6" s="156" t="s">
        <v>12</v>
      </c>
      <c r="AX6" s="6" t="s">
        <v>1</v>
      </c>
      <c r="AY6" s="6" t="s">
        <v>2</v>
      </c>
      <c r="AZ6" s="6" t="s">
        <v>3</v>
      </c>
      <c r="BA6" s="6" t="s">
        <v>4</v>
      </c>
      <c r="BB6" s="6" t="s">
        <v>5</v>
      </c>
      <c r="BC6" s="6" t="s">
        <v>6</v>
      </c>
      <c r="BD6" s="6" t="s">
        <v>7</v>
      </c>
      <c r="BE6" s="6" t="s">
        <v>8</v>
      </c>
      <c r="BF6" s="6" t="s">
        <v>9</v>
      </c>
      <c r="BG6" s="6" t="s">
        <v>10</v>
      </c>
      <c r="BH6" s="6" t="s">
        <v>11</v>
      </c>
      <c r="BI6" s="6" t="s">
        <v>12</v>
      </c>
      <c r="BK6" s="6" t="s">
        <v>26</v>
      </c>
      <c r="BN6" s="162" t="s">
        <v>177</v>
      </c>
      <c r="BO6" s="163">
        <v>50786</v>
      </c>
      <c r="BP6" s="164">
        <v>45291</v>
      </c>
      <c r="BQ6" s="164">
        <f>BP6+720</f>
        <v>46011</v>
      </c>
    </row>
    <row r="7" spans="1:69" x14ac:dyDescent="0.25">
      <c r="A7" s="157"/>
      <c r="B7" s="158"/>
      <c r="C7" s="158"/>
      <c r="D7" s="158"/>
      <c r="E7" s="158"/>
      <c r="F7" s="159"/>
      <c r="G7" s="159"/>
      <c r="H7" s="160"/>
      <c r="I7" s="159"/>
      <c r="J7" s="159"/>
      <c r="K7" s="159"/>
      <c r="L7" s="159"/>
      <c r="M7" s="159"/>
      <c r="N7" s="158"/>
      <c r="O7" s="158"/>
      <c r="P7" s="158"/>
      <c r="Q7" s="158"/>
      <c r="R7" s="159"/>
      <c r="S7" s="159"/>
      <c r="T7" s="160"/>
      <c r="U7" s="159"/>
      <c r="V7" s="159"/>
      <c r="W7" s="159"/>
      <c r="X7" s="159"/>
      <c r="Y7" s="159"/>
      <c r="Z7" s="158"/>
      <c r="AA7" s="158"/>
      <c r="AB7" s="158"/>
      <c r="AC7" s="158"/>
      <c r="AD7" s="159"/>
      <c r="AE7" s="159"/>
      <c r="AF7" s="160"/>
      <c r="AG7" s="159"/>
      <c r="AH7" s="159"/>
      <c r="AI7" s="159"/>
      <c r="AJ7" s="159"/>
      <c r="AK7" s="159"/>
      <c r="AL7" s="158"/>
      <c r="AM7" s="158"/>
      <c r="AN7" s="158"/>
      <c r="AO7" s="158"/>
      <c r="AP7" s="159"/>
      <c r="AQ7" s="159"/>
      <c r="AR7" s="160"/>
      <c r="AS7" s="159"/>
      <c r="AT7" s="159"/>
      <c r="AU7" s="159"/>
      <c r="AV7" s="159"/>
      <c r="AW7" s="159"/>
      <c r="AX7" s="133"/>
      <c r="AY7" s="133"/>
      <c r="AZ7" s="133"/>
      <c r="BA7" s="133"/>
      <c r="BB7" s="134"/>
      <c r="BC7" s="134"/>
      <c r="BD7" s="37"/>
      <c r="BE7" s="134"/>
      <c r="BF7" s="134"/>
      <c r="BG7" s="134"/>
      <c r="BH7" s="134"/>
      <c r="BI7" s="134"/>
      <c r="BK7" s="134"/>
    </row>
    <row r="8" spans="1:69" x14ac:dyDescent="0.25">
      <c r="A8" s="157" t="s">
        <v>174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>
        <v>131892.12</v>
      </c>
      <c r="N8" s="161">
        <v>-5928.1832129671429</v>
      </c>
      <c r="O8" s="161">
        <v>-9262.3619951389719</v>
      </c>
      <c r="P8" s="161">
        <v>-8857.7116162318525</v>
      </c>
      <c r="Q8" s="161">
        <v>-8441.0051149654264</v>
      </c>
      <c r="R8" s="161">
        <v>-6160.8276120308074</v>
      </c>
      <c r="S8" s="161">
        <v>-3988.1116053441619</v>
      </c>
      <c r="T8" s="161">
        <v>-2988.6858973146491</v>
      </c>
      <c r="U8" s="161">
        <v>-2639.7938419324209</v>
      </c>
      <c r="V8" s="161">
        <v>-2706.9523075398533</v>
      </c>
      <c r="W8" s="161">
        <v>-2998.078342186489</v>
      </c>
      <c r="X8" s="161">
        <v>-5926.3146630878773</v>
      </c>
      <c r="Y8" s="161">
        <v>-8788.7144180304604</v>
      </c>
      <c r="Z8" s="161">
        <v>-14046.972803805387</v>
      </c>
      <c r="AA8" s="161">
        <v>0</v>
      </c>
      <c r="AB8" s="161">
        <v>0</v>
      </c>
      <c r="AC8" s="161">
        <v>0</v>
      </c>
      <c r="AD8" s="161">
        <v>0</v>
      </c>
      <c r="AE8" s="161">
        <v>0</v>
      </c>
      <c r="AF8" s="161">
        <v>0</v>
      </c>
      <c r="AG8" s="161">
        <v>0</v>
      </c>
      <c r="AH8" s="161">
        <v>0</v>
      </c>
      <c r="AI8" s="161">
        <v>0</v>
      </c>
      <c r="AJ8" s="161">
        <v>0</v>
      </c>
      <c r="AK8" s="161">
        <v>0</v>
      </c>
      <c r="AL8" s="161">
        <v>-109.71</v>
      </c>
      <c r="AM8" s="161">
        <v>0</v>
      </c>
      <c r="AN8" s="161">
        <v>-11.95</v>
      </c>
      <c r="AO8" s="161">
        <v>0</v>
      </c>
      <c r="AP8" s="161">
        <v>0</v>
      </c>
      <c r="AQ8" s="161">
        <v>0</v>
      </c>
      <c r="AR8" s="161">
        <v>0</v>
      </c>
      <c r="AS8" s="161">
        <v>0</v>
      </c>
      <c r="AT8" s="161">
        <v>0</v>
      </c>
      <c r="AU8" s="161">
        <v>0</v>
      </c>
      <c r="AV8" s="161">
        <v>0</v>
      </c>
      <c r="AW8" s="161">
        <v>0</v>
      </c>
      <c r="AX8" s="83">
        <v>0</v>
      </c>
      <c r="AY8" s="83">
        <v>0</v>
      </c>
      <c r="AZ8" s="83">
        <v>0</v>
      </c>
      <c r="BA8" s="83">
        <v>0</v>
      </c>
      <c r="BB8" s="83">
        <v>0</v>
      </c>
      <c r="BC8" s="83">
        <v>0</v>
      </c>
      <c r="BD8" s="83">
        <v>0</v>
      </c>
      <c r="BE8" s="83">
        <v>0</v>
      </c>
      <c r="BF8" s="83">
        <v>0</v>
      </c>
      <c r="BG8" s="83">
        <v>0</v>
      </c>
      <c r="BH8" s="83">
        <v>0</v>
      </c>
      <c r="BI8" s="83">
        <v>0</v>
      </c>
      <c r="BK8" s="135"/>
    </row>
    <row r="9" spans="1:69" x14ac:dyDescent="0.25">
      <c r="A9" s="157" t="s">
        <v>175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>
        <v>50356</v>
      </c>
      <c r="Z9" s="161">
        <v>0</v>
      </c>
      <c r="AA9" s="161">
        <v>-7350.8198724057766</v>
      </c>
      <c r="AB9" s="161">
        <v>-7675.3684865907971</v>
      </c>
      <c r="AC9" s="161">
        <v>-7725.8870980191405</v>
      </c>
      <c r="AD9" s="161">
        <v>-3684.536998385382</v>
      </c>
      <c r="AE9" s="161">
        <v>-3042.3408403890835</v>
      </c>
      <c r="AF9" s="161">
        <v>-1152.8753656519498</v>
      </c>
      <c r="AG9" s="161">
        <v>-757.759340763203</v>
      </c>
      <c r="AH9" s="161">
        <v>-1019.2266191470094</v>
      </c>
      <c r="AI9" s="161">
        <v>-987.507475288465</v>
      </c>
      <c r="AJ9" s="161">
        <v>-3656.3278816996803</v>
      </c>
      <c r="AK9" s="161">
        <v>-8582.2345748828411</v>
      </c>
      <c r="AL9" s="161">
        <v>0</v>
      </c>
      <c r="AM9" s="161">
        <v>0</v>
      </c>
      <c r="AN9" s="161">
        <v>0</v>
      </c>
      <c r="AO9" s="161">
        <v>0</v>
      </c>
      <c r="AP9" s="161">
        <v>0</v>
      </c>
      <c r="AQ9" s="161">
        <v>0</v>
      </c>
      <c r="AR9" s="161">
        <v>0</v>
      </c>
      <c r="AS9" s="161">
        <v>0</v>
      </c>
      <c r="AT9" s="161">
        <v>0</v>
      </c>
      <c r="AU9" s="161">
        <v>0</v>
      </c>
      <c r="AV9" s="161">
        <v>0</v>
      </c>
      <c r="AW9" s="161">
        <v>0</v>
      </c>
      <c r="AX9" s="83">
        <v>0</v>
      </c>
      <c r="AY9" s="83">
        <v>0</v>
      </c>
      <c r="AZ9" s="83">
        <v>0</v>
      </c>
      <c r="BA9" s="83">
        <v>0</v>
      </c>
      <c r="BB9" s="83">
        <v>0</v>
      </c>
      <c r="BC9" s="83">
        <v>0</v>
      </c>
      <c r="BD9" s="83">
        <v>0</v>
      </c>
      <c r="BE9" s="83">
        <v>0</v>
      </c>
      <c r="BF9" s="83">
        <v>0</v>
      </c>
      <c r="BG9" s="83">
        <v>0</v>
      </c>
      <c r="BH9" s="83">
        <v>0</v>
      </c>
      <c r="BI9" s="83">
        <v>0</v>
      </c>
      <c r="BK9" s="135"/>
    </row>
    <row r="10" spans="1:69" x14ac:dyDescent="0.25">
      <c r="A10" s="166" t="s">
        <v>17</v>
      </c>
      <c r="B10" s="167">
        <f t="shared" ref="B10:AG10" si="0">SUM(B8:B9)</f>
        <v>0</v>
      </c>
      <c r="C10" s="167">
        <f t="shared" si="0"/>
        <v>0</v>
      </c>
      <c r="D10" s="167">
        <f t="shared" si="0"/>
        <v>0</v>
      </c>
      <c r="E10" s="167">
        <f t="shared" si="0"/>
        <v>0</v>
      </c>
      <c r="F10" s="167">
        <f t="shared" si="0"/>
        <v>0</v>
      </c>
      <c r="G10" s="167">
        <f t="shared" si="0"/>
        <v>0</v>
      </c>
      <c r="H10" s="167">
        <f t="shared" si="0"/>
        <v>0</v>
      </c>
      <c r="I10" s="167">
        <f t="shared" si="0"/>
        <v>0</v>
      </c>
      <c r="J10" s="167">
        <f t="shared" si="0"/>
        <v>0</v>
      </c>
      <c r="K10" s="167">
        <f t="shared" si="0"/>
        <v>0</v>
      </c>
      <c r="L10" s="167">
        <f t="shared" si="0"/>
        <v>0</v>
      </c>
      <c r="M10" s="167">
        <f t="shared" si="0"/>
        <v>131892.12</v>
      </c>
      <c r="N10" s="167">
        <f t="shared" si="0"/>
        <v>-5928.1832129671429</v>
      </c>
      <c r="O10" s="167">
        <f t="shared" si="0"/>
        <v>-9262.3619951389719</v>
      </c>
      <c r="P10" s="167">
        <f t="shared" si="0"/>
        <v>-8857.7116162318525</v>
      </c>
      <c r="Q10" s="167">
        <f t="shared" si="0"/>
        <v>-8441.0051149654264</v>
      </c>
      <c r="R10" s="167">
        <f t="shared" si="0"/>
        <v>-6160.8276120308074</v>
      </c>
      <c r="S10" s="167">
        <f t="shared" si="0"/>
        <v>-3988.1116053441619</v>
      </c>
      <c r="T10" s="167">
        <f t="shared" si="0"/>
        <v>-2988.6858973146491</v>
      </c>
      <c r="U10" s="167">
        <f t="shared" si="0"/>
        <v>-2639.7938419324209</v>
      </c>
      <c r="V10" s="167">
        <f t="shared" si="0"/>
        <v>-2706.9523075398533</v>
      </c>
      <c r="W10" s="167">
        <f t="shared" si="0"/>
        <v>-2998.078342186489</v>
      </c>
      <c r="X10" s="167">
        <f t="shared" si="0"/>
        <v>-5926.3146630878773</v>
      </c>
      <c r="Y10" s="167">
        <f t="shared" si="0"/>
        <v>41567.28558196954</v>
      </c>
      <c r="Z10" s="167">
        <f t="shared" si="0"/>
        <v>-14046.972803805387</v>
      </c>
      <c r="AA10" s="167">
        <f t="shared" si="0"/>
        <v>-7350.8198724057766</v>
      </c>
      <c r="AB10" s="167">
        <f t="shared" si="0"/>
        <v>-7675.3684865907971</v>
      </c>
      <c r="AC10" s="167">
        <f t="shared" si="0"/>
        <v>-7725.8870980191405</v>
      </c>
      <c r="AD10" s="167">
        <f t="shared" si="0"/>
        <v>-3684.536998385382</v>
      </c>
      <c r="AE10" s="167">
        <f t="shared" si="0"/>
        <v>-3042.3408403890835</v>
      </c>
      <c r="AF10" s="167">
        <f t="shared" si="0"/>
        <v>-1152.8753656519498</v>
      </c>
      <c r="AG10" s="167">
        <f t="shared" si="0"/>
        <v>-757.759340763203</v>
      </c>
      <c r="AH10" s="167">
        <f t="shared" ref="AH10:BI10" si="1">SUM(AH8:AH9)</f>
        <v>-1019.2266191470094</v>
      </c>
      <c r="AI10" s="167">
        <f t="shared" si="1"/>
        <v>-987.507475288465</v>
      </c>
      <c r="AJ10" s="167">
        <f t="shared" si="1"/>
        <v>-3656.3278816996803</v>
      </c>
      <c r="AK10" s="167">
        <f t="shared" si="1"/>
        <v>-8582.2345748828411</v>
      </c>
      <c r="AL10" s="167">
        <f t="shared" si="1"/>
        <v>-109.71</v>
      </c>
      <c r="AM10" s="167">
        <f t="shared" si="1"/>
        <v>0</v>
      </c>
      <c r="AN10" s="167">
        <f t="shared" si="1"/>
        <v>-11.95</v>
      </c>
      <c r="AO10" s="167">
        <f t="shared" si="1"/>
        <v>0</v>
      </c>
      <c r="AP10" s="167">
        <f t="shared" si="1"/>
        <v>0</v>
      </c>
      <c r="AQ10" s="167">
        <f t="shared" si="1"/>
        <v>0</v>
      </c>
      <c r="AR10" s="167">
        <f t="shared" si="1"/>
        <v>0</v>
      </c>
      <c r="AS10" s="167">
        <f t="shared" si="1"/>
        <v>0</v>
      </c>
      <c r="AT10" s="167">
        <f t="shared" si="1"/>
        <v>0</v>
      </c>
      <c r="AU10" s="167">
        <f t="shared" si="1"/>
        <v>0</v>
      </c>
      <c r="AV10" s="167">
        <f t="shared" si="1"/>
        <v>0</v>
      </c>
      <c r="AW10" s="167">
        <f t="shared" si="1"/>
        <v>0</v>
      </c>
      <c r="AX10" s="10">
        <f t="shared" si="1"/>
        <v>0</v>
      </c>
      <c r="AY10" s="10">
        <f t="shared" si="1"/>
        <v>0</v>
      </c>
      <c r="AZ10" s="10">
        <f t="shared" si="1"/>
        <v>0</v>
      </c>
      <c r="BA10" s="10">
        <f t="shared" si="1"/>
        <v>0</v>
      </c>
      <c r="BB10" s="10">
        <f t="shared" si="1"/>
        <v>0</v>
      </c>
      <c r="BC10" s="10">
        <f t="shared" si="1"/>
        <v>0</v>
      </c>
      <c r="BD10" s="10">
        <f t="shared" si="1"/>
        <v>0</v>
      </c>
      <c r="BE10" s="10">
        <f t="shared" si="1"/>
        <v>0</v>
      </c>
      <c r="BF10" s="10">
        <f t="shared" si="1"/>
        <v>0</v>
      </c>
      <c r="BG10" s="10">
        <f t="shared" si="1"/>
        <v>0</v>
      </c>
      <c r="BH10" s="10">
        <f t="shared" si="1"/>
        <v>0</v>
      </c>
      <c r="BI10" s="10">
        <f t="shared" si="1"/>
        <v>0</v>
      </c>
      <c r="BK10" s="135"/>
    </row>
    <row r="11" spans="1:69" x14ac:dyDescent="0.25">
      <c r="A11" s="157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K11" s="135"/>
    </row>
    <row r="12" spans="1:69" x14ac:dyDescent="0.25">
      <c r="A12" s="157" t="s">
        <v>169</v>
      </c>
      <c r="B12" s="161">
        <v>0</v>
      </c>
      <c r="C12" s="161">
        <f>B14</f>
        <v>0</v>
      </c>
      <c r="D12" s="161">
        <f t="shared" ref="D12:BI12" si="2">C14</f>
        <v>0</v>
      </c>
      <c r="E12" s="161">
        <f t="shared" si="2"/>
        <v>0</v>
      </c>
      <c r="F12" s="161">
        <f t="shared" si="2"/>
        <v>0</v>
      </c>
      <c r="G12" s="161">
        <f t="shared" si="2"/>
        <v>0</v>
      </c>
      <c r="H12" s="161">
        <f t="shared" si="2"/>
        <v>0</v>
      </c>
      <c r="I12" s="161">
        <f t="shared" si="2"/>
        <v>0</v>
      </c>
      <c r="J12" s="161">
        <f t="shared" si="2"/>
        <v>0</v>
      </c>
      <c r="K12" s="161">
        <f t="shared" si="2"/>
        <v>0</v>
      </c>
      <c r="L12" s="161">
        <f t="shared" si="2"/>
        <v>0</v>
      </c>
      <c r="M12" s="161">
        <f t="shared" si="2"/>
        <v>0</v>
      </c>
      <c r="N12" s="161">
        <f t="shared" si="2"/>
        <v>131892.12</v>
      </c>
      <c r="O12" s="161">
        <f t="shared" si="2"/>
        <v>125963.93678703286</v>
      </c>
      <c r="P12" s="161">
        <f t="shared" si="2"/>
        <v>116701.57479189389</v>
      </c>
      <c r="Q12" s="161">
        <f t="shared" si="2"/>
        <v>107843.86317566203</v>
      </c>
      <c r="R12" s="161">
        <f t="shared" si="2"/>
        <v>99402.858060696599</v>
      </c>
      <c r="S12" s="161">
        <f t="shared" si="2"/>
        <v>93242.030448665784</v>
      </c>
      <c r="T12" s="161">
        <f t="shared" si="2"/>
        <v>89253.918843321619</v>
      </c>
      <c r="U12" s="161">
        <f t="shared" si="2"/>
        <v>86265.232946006974</v>
      </c>
      <c r="V12" s="161">
        <f t="shared" si="2"/>
        <v>83625.439104074554</v>
      </c>
      <c r="W12" s="161">
        <f t="shared" si="2"/>
        <v>80918.486796534708</v>
      </c>
      <c r="X12" s="161">
        <f t="shared" si="2"/>
        <v>77920.408454348217</v>
      </c>
      <c r="Y12" s="161">
        <f t="shared" si="2"/>
        <v>71994.09379126034</v>
      </c>
      <c r="Z12" s="161">
        <f t="shared" si="2"/>
        <v>113561.37937322988</v>
      </c>
      <c r="AA12" s="161">
        <f t="shared" si="2"/>
        <v>99514.406569424493</v>
      </c>
      <c r="AB12" s="161">
        <f t="shared" si="2"/>
        <v>92163.58669701872</v>
      </c>
      <c r="AC12" s="161">
        <f t="shared" si="2"/>
        <v>84488.21821042792</v>
      </c>
      <c r="AD12" s="161">
        <f t="shared" si="2"/>
        <v>76762.331112408778</v>
      </c>
      <c r="AE12" s="161">
        <f t="shared" si="2"/>
        <v>73077.794114023389</v>
      </c>
      <c r="AF12" s="161">
        <f t="shared" si="2"/>
        <v>70035.45327363431</v>
      </c>
      <c r="AG12" s="161">
        <f t="shared" si="2"/>
        <v>68882.577907982355</v>
      </c>
      <c r="AH12" s="161">
        <f t="shared" si="2"/>
        <v>68124.818567219147</v>
      </c>
      <c r="AI12" s="161">
        <f t="shared" si="2"/>
        <v>67105.591948072135</v>
      </c>
      <c r="AJ12" s="161">
        <f t="shared" si="2"/>
        <v>66118.084472783667</v>
      </c>
      <c r="AK12" s="161">
        <f t="shared" si="2"/>
        <v>62461.756591083984</v>
      </c>
      <c r="AL12" s="161">
        <f t="shared" si="2"/>
        <v>53879.522016201139</v>
      </c>
      <c r="AM12" s="161">
        <f t="shared" si="2"/>
        <v>53769.81201620114</v>
      </c>
      <c r="AN12" s="161">
        <f t="shared" si="2"/>
        <v>53769.81201620114</v>
      </c>
      <c r="AO12" s="161">
        <f t="shared" si="2"/>
        <v>53757.862016201143</v>
      </c>
      <c r="AP12" s="161">
        <f t="shared" si="2"/>
        <v>53757.862016201143</v>
      </c>
      <c r="AQ12" s="161">
        <f t="shared" si="2"/>
        <v>53757.862016201143</v>
      </c>
      <c r="AR12" s="161">
        <f t="shared" si="2"/>
        <v>53757.862016201143</v>
      </c>
      <c r="AS12" s="161">
        <f t="shared" si="2"/>
        <v>53757.862016201143</v>
      </c>
      <c r="AT12" s="161">
        <f t="shared" si="2"/>
        <v>53757.862016201143</v>
      </c>
      <c r="AU12" s="161">
        <f t="shared" si="2"/>
        <v>53757.862016201143</v>
      </c>
      <c r="AV12" s="161">
        <f t="shared" si="2"/>
        <v>53757.862016201143</v>
      </c>
      <c r="AW12" s="161">
        <f t="shared" si="2"/>
        <v>53757.862016201143</v>
      </c>
      <c r="AX12" s="83">
        <f t="shared" si="2"/>
        <v>53757.862016201143</v>
      </c>
      <c r="AY12" s="83">
        <f t="shared" si="2"/>
        <v>53757.862016201143</v>
      </c>
      <c r="AZ12" s="83">
        <f t="shared" si="2"/>
        <v>53757.862016201143</v>
      </c>
      <c r="BA12" s="83">
        <f t="shared" si="2"/>
        <v>53757.862016201143</v>
      </c>
      <c r="BB12" s="83">
        <f t="shared" si="2"/>
        <v>53757.862016201143</v>
      </c>
      <c r="BC12" s="83">
        <f t="shared" si="2"/>
        <v>53757.862016201143</v>
      </c>
      <c r="BD12" s="83">
        <f t="shared" si="2"/>
        <v>53757.862016201143</v>
      </c>
      <c r="BE12" s="83">
        <f t="shared" si="2"/>
        <v>53757.862016201143</v>
      </c>
      <c r="BF12" s="83">
        <f t="shared" si="2"/>
        <v>53757.862016201143</v>
      </c>
      <c r="BG12" s="83">
        <f t="shared" si="2"/>
        <v>53757.862016201143</v>
      </c>
      <c r="BH12" s="83">
        <f t="shared" si="2"/>
        <v>53757.862016201143</v>
      </c>
      <c r="BI12" s="83">
        <f t="shared" si="2"/>
        <v>53757.862016201143</v>
      </c>
      <c r="BJ12" s="91"/>
      <c r="BK12" s="10"/>
    </row>
    <row r="13" spans="1:69" x14ac:dyDescent="0.25">
      <c r="A13" s="157" t="s">
        <v>170</v>
      </c>
      <c r="B13" s="165">
        <f>B12+B10</f>
        <v>0</v>
      </c>
      <c r="C13" s="165">
        <f t="shared" ref="C13" si="3">C12+C10</f>
        <v>0</v>
      </c>
      <c r="D13" s="165">
        <f>D10</f>
        <v>0</v>
      </c>
      <c r="E13" s="165">
        <f t="shared" ref="E13:BI13" si="4">E10</f>
        <v>0</v>
      </c>
      <c r="F13" s="165">
        <f t="shared" si="4"/>
        <v>0</v>
      </c>
      <c r="G13" s="165">
        <f t="shared" si="4"/>
        <v>0</v>
      </c>
      <c r="H13" s="165">
        <f t="shared" si="4"/>
        <v>0</v>
      </c>
      <c r="I13" s="165">
        <f t="shared" si="4"/>
        <v>0</v>
      </c>
      <c r="J13" s="165">
        <f t="shared" si="4"/>
        <v>0</v>
      </c>
      <c r="K13" s="165">
        <f t="shared" si="4"/>
        <v>0</v>
      </c>
      <c r="L13" s="165">
        <f t="shared" si="4"/>
        <v>0</v>
      </c>
      <c r="M13" s="165">
        <f t="shared" si="4"/>
        <v>131892.12</v>
      </c>
      <c r="N13" s="165">
        <f t="shared" si="4"/>
        <v>-5928.1832129671429</v>
      </c>
      <c r="O13" s="165">
        <f t="shared" si="4"/>
        <v>-9262.3619951389719</v>
      </c>
      <c r="P13" s="165">
        <f t="shared" si="4"/>
        <v>-8857.7116162318525</v>
      </c>
      <c r="Q13" s="165">
        <f t="shared" si="4"/>
        <v>-8441.0051149654264</v>
      </c>
      <c r="R13" s="165">
        <f t="shared" si="4"/>
        <v>-6160.8276120308074</v>
      </c>
      <c r="S13" s="165">
        <f t="shared" si="4"/>
        <v>-3988.1116053441619</v>
      </c>
      <c r="T13" s="165">
        <f t="shared" si="4"/>
        <v>-2988.6858973146491</v>
      </c>
      <c r="U13" s="165">
        <f t="shared" si="4"/>
        <v>-2639.7938419324209</v>
      </c>
      <c r="V13" s="165">
        <f t="shared" si="4"/>
        <v>-2706.9523075398533</v>
      </c>
      <c r="W13" s="165">
        <f t="shared" si="4"/>
        <v>-2998.078342186489</v>
      </c>
      <c r="X13" s="165">
        <f t="shared" si="4"/>
        <v>-5926.3146630878773</v>
      </c>
      <c r="Y13" s="165">
        <f t="shared" si="4"/>
        <v>41567.28558196954</v>
      </c>
      <c r="Z13" s="165">
        <f t="shared" si="4"/>
        <v>-14046.972803805387</v>
      </c>
      <c r="AA13" s="165">
        <f t="shared" si="4"/>
        <v>-7350.8198724057766</v>
      </c>
      <c r="AB13" s="165">
        <f t="shared" si="4"/>
        <v>-7675.3684865907971</v>
      </c>
      <c r="AC13" s="165">
        <f t="shared" si="4"/>
        <v>-7725.8870980191405</v>
      </c>
      <c r="AD13" s="165">
        <f t="shared" si="4"/>
        <v>-3684.536998385382</v>
      </c>
      <c r="AE13" s="165">
        <f t="shared" si="4"/>
        <v>-3042.3408403890835</v>
      </c>
      <c r="AF13" s="165">
        <f t="shared" si="4"/>
        <v>-1152.8753656519498</v>
      </c>
      <c r="AG13" s="165">
        <f t="shared" si="4"/>
        <v>-757.759340763203</v>
      </c>
      <c r="AH13" s="165">
        <f t="shared" si="4"/>
        <v>-1019.2266191470094</v>
      </c>
      <c r="AI13" s="165">
        <f t="shared" si="4"/>
        <v>-987.507475288465</v>
      </c>
      <c r="AJ13" s="165">
        <f t="shared" si="4"/>
        <v>-3656.3278816996803</v>
      </c>
      <c r="AK13" s="165">
        <f t="shared" si="4"/>
        <v>-8582.2345748828411</v>
      </c>
      <c r="AL13" s="165">
        <f t="shared" si="4"/>
        <v>-109.71</v>
      </c>
      <c r="AM13" s="165">
        <f t="shared" si="4"/>
        <v>0</v>
      </c>
      <c r="AN13" s="165">
        <f t="shared" si="4"/>
        <v>-11.95</v>
      </c>
      <c r="AO13" s="165">
        <f t="shared" si="4"/>
        <v>0</v>
      </c>
      <c r="AP13" s="165">
        <f t="shared" si="4"/>
        <v>0</v>
      </c>
      <c r="AQ13" s="165">
        <f t="shared" si="4"/>
        <v>0</v>
      </c>
      <c r="AR13" s="165">
        <f t="shared" si="4"/>
        <v>0</v>
      </c>
      <c r="AS13" s="165">
        <f t="shared" si="4"/>
        <v>0</v>
      </c>
      <c r="AT13" s="165">
        <f t="shared" si="4"/>
        <v>0</v>
      </c>
      <c r="AU13" s="165">
        <f t="shared" si="4"/>
        <v>0</v>
      </c>
      <c r="AV13" s="165">
        <f t="shared" si="4"/>
        <v>0</v>
      </c>
      <c r="AW13" s="165">
        <f t="shared" si="4"/>
        <v>0</v>
      </c>
      <c r="AX13" s="31">
        <f t="shared" si="4"/>
        <v>0</v>
      </c>
      <c r="AY13" s="31">
        <f t="shared" si="4"/>
        <v>0</v>
      </c>
      <c r="AZ13" s="31">
        <f t="shared" si="4"/>
        <v>0</v>
      </c>
      <c r="BA13" s="31">
        <f t="shared" si="4"/>
        <v>0</v>
      </c>
      <c r="BB13" s="31">
        <f t="shared" si="4"/>
        <v>0</v>
      </c>
      <c r="BC13" s="31">
        <f t="shared" si="4"/>
        <v>0</v>
      </c>
      <c r="BD13" s="31">
        <f t="shared" si="4"/>
        <v>0</v>
      </c>
      <c r="BE13" s="31">
        <f t="shared" si="4"/>
        <v>0</v>
      </c>
      <c r="BF13" s="31">
        <f t="shared" si="4"/>
        <v>0</v>
      </c>
      <c r="BG13" s="31">
        <f t="shared" si="4"/>
        <v>0</v>
      </c>
      <c r="BH13" s="31">
        <f t="shared" si="4"/>
        <v>0</v>
      </c>
      <c r="BI13" s="31">
        <f t="shared" si="4"/>
        <v>0</v>
      </c>
      <c r="BJ13" s="91"/>
      <c r="BK13" s="10"/>
    </row>
    <row r="14" spans="1:69" x14ac:dyDescent="0.25">
      <c r="A14" s="157" t="s">
        <v>171</v>
      </c>
      <c r="B14" s="167">
        <f>SUM(B12:B13)</f>
        <v>0</v>
      </c>
      <c r="C14" s="167">
        <f t="shared" ref="C14:BI14" si="5">SUM(C12:C13)</f>
        <v>0</v>
      </c>
      <c r="D14" s="167">
        <f t="shared" si="5"/>
        <v>0</v>
      </c>
      <c r="E14" s="167">
        <f t="shared" si="5"/>
        <v>0</v>
      </c>
      <c r="F14" s="167">
        <f t="shared" si="5"/>
        <v>0</v>
      </c>
      <c r="G14" s="167">
        <f t="shared" si="5"/>
        <v>0</v>
      </c>
      <c r="H14" s="167">
        <f t="shared" si="5"/>
        <v>0</v>
      </c>
      <c r="I14" s="167">
        <f t="shared" si="5"/>
        <v>0</v>
      </c>
      <c r="J14" s="167">
        <f t="shared" si="5"/>
        <v>0</v>
      </c>
      <c r="K14" s="167">
        <f t="shared" si="5"/>
        <v>0</v>
      </c>
      <c r="L14" s="167">
        <f t="shared" si="5"/>
        <v>0</v>
      </c>
      <c r="M14" s="167">
        <f t="shared" si="5"/>
        <v>131892.12</v>
      </c>
      <c r="N14" s="167">
        <f t="shared" si="5"/>
        <v>125963.93678703286</v>
      </c>
      <c r="O14" s="167">
        <f t="shared" si="5"/>
        <v>116701.57479189389</v>
      </c>
      <c r="P14" s="167">
        <f t="shared" si="5"/>
        <v>107843.86317566203</v>
      </c>
      <c r="Q14" s="167">
        <f t="shared" si="5"/>
        <v>99402.858060696599</v>
      </c>
      <c r="R14" s="167">
        <f t="shared" si="5"/>
        <v>93242.030448665784</v>
      </c>
      <c r="S14" s="167">
        <f t="shared" si="5"/>
        <v>89253.918843321619</v>
      </c>
      <c r="T14" s="167">
        <f t="shared" si="5"/>
        <v>86265.232946006974</v>
      </c>
      <c r="U14" s="167">
        <f t="shared" si="5"/>
        <v>83625.439104074554</v>
      </c>
      <c r="V14" s="167">
        <f t="shared" si="5"/>
        <v>80918.486796534708</v>
      </c>
      <c r="W14" s="167">
        <f t="shared" si="5"/>
        <v>77920.408454348217</v>
      </c>
      <c r="X14" s="167">
        <f t="shared" si="5"/>
        <v>71994.09379126034</v>
      </c>
      <c r="Y14" s="167">
        <f t="shared" si="5"/>
        <v>113561.37937322988</v>
      </c>
      <c r="Z14" s="167">
        <f t="shared" si="5"/>
        <v>99514.406569424493</v>
      </c>
      <c r="AA14" s="167">
        <f t="shared" si="5"/>
        <v>92163.58669701872</v>
      </c>
      <c r="AB14" s="167">
        <f t="shared" si="5"/>
        <v>84488.21821042792</v>
      </c>
      <c r="AC14" s="167">
        <f t="shared" si="5"/>
        <v>76762.331112408778</v>
      </c>
      <c r="AD14" s="167">
        <f t="shared" si="5"/>
        <v>73077.794114023389</v>
      </c>
      <c r="AE14" s="167">
        <f t="shared" si="5"/>
        <v>70035.45327363431</v>
      </c>
      <c r="AF14" s="167">
        <f t="shared" si="5"/>
        <v>68882.577907982355</v>
      </c>
      <c r="AG14" s="167">
        <f t="shared" si="5"/>
        <v>68124.818567219147</v>
      </c>
      <c r="AH14" s="167">
        <f t="shared" si="5"/>
        <v>67105.591948072135</v>
      </c>
      <c r="AI14" s="167">
        <f t="shared" si="5"/>
        <v>66118.084472783667</v>
      </c>
      <c r="AJ14" s="167">
        <f t="shared" si="5"/>
        <v>62461.756591083984</v>
      </c>
      <c r="AK14" s="167">
        <f t="shared" si="5"/>
        <v>53879.522016201139</v>
      </c>
      <c r="AL14" s="167">
        <f t="shared" si="5"/>
        <v>53769.81201620114</v>
      </c>
      <c r="AM14" s="167">
        <f t="shared" si="5"/>
        <v>53769.81201620114</v>
      </c>
      <c r="AN14" s="167">
        <f t="shared" si="5"/>
        <v>53757.862016201143</v>
      </c>
      <c r="AO14" s="167">
        <f t="shared" si="5"/>
        <v>53757.862016201143</v>
      </c>
      <c r="AP14" s="167">
        <f t="shared" si="5"/>
        <v>53757.862016201143</v>
      </c>
      <c r="AQ14" s="167">
        <f t="shared" si="5"/>
        <v>53757.862016201143</v>
      </c>
      <c r="AR14" s="167">
        <f t="shared" si="5"/>
        <v>53757.862016201143</v>
      </c>
      <c r="AS14" s="167">
        <f t="shared" si="5"/>
        <v>53757.862016201143</v>
      </c>
      <c r="AT14" s="167">
        <f t="shared" si="5"/>
        <v>53757.862016201143</v>
      </c>
      <c r="AU14" s="167">
        <f t="shared" si="5"/>
        <v>53757.862016201143</v>
      </c>
      <c r="AV14" s="167">
        <f t="shared" si="5"/>
        <v>53757.862016201143</v>
      </c>
      <c r="AW14" s="167">
        <f t="shared" si="5"/>
        <v>53757.862016201143</v>
      </c>
      <c r="AX14" s="10">
        <f t="shared" si="5"/>
        <v>53757.862016201143</v>
      </c>
      <c r="AY14" s="10">
        <f t="shared" si="5"/>
        <v>53757.862016201143</v>
      </c>
      <c r="AZ14" s="10">
        <f t="shared" si="5"/>
        <v>53757.862016201143</v>
      </c>
      <c r="BA14" s="10">
        <f t="shared" si="5"/>
        <v>53757.862016201143</v>
      </c>
      <c r="BB14" s="10">
        <f t="shared" si="5"/>
        <v>53757.862016201143</v>
      </c>
      <c r="BC14" s="10">
        <f t="shared" si="5"/>
        <v>53757.862016201143</v>
      </c>
      <c r="BD14" s="10">
        <f t="shared" si="5"/>
        <v>53757.862016201143</v>
      </c>
      <c r="BE14" s="10">
        <f t="shared" si="5"/>
        <v>53757.862016201143</v>
      </c>
      <c r="BF14" s="10">
        <f t="shared" si="5"/>
        <v>53757.862016201143</v>
      </c>
      <c r="BG14" s="10">
        <f t="shared" si="5"/>
        <v>53757.862016201143</v>
      </c>
      <c r="BH14" s="10">
        <f t="shared" si="5"/>
        <v>53757.862016201143</v>
      </c>
      <c r="BI14" s="10">
        <f t="shared" si="5"/>
        <v>53757.862016201143</v>
      </c>
      <c r="BJ14" s="91"/>
      <c r="BK14" s="10"/>
    </row>
    <row r="15" spans="1:69" x14ac:dyDescent="0.25">
      <c r="A15" s="157"/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91"/>
      <c r="BK15" s="10"/>
    </row>
    <row r="16" spans="1:69" x14ac:dyDescent="0.25">
      <c r="A16" s="157" t="s">
        <v>172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91"/>
      <c r="BK16" s="10"/>
    </row>
    <row r="17" spans="1:63" x14ac:dyDescent="0.25">
      <c r="A17" s="157" t="s">
        <v>13</v>
      </c>
      <c r="B17" s="168">
        <v>5.7000000000000002E-3</v>
      </c>
      <c r="C17" s="168">
        <v>5.7000000000000002E-3</v>
      </c>
      <c r="D17" s="168">
        <v>5.7000000000000002E-3</v>
      </c>
      <c r="E17" s="168">
        <v>5.7000000000000002E-3</v>
      </c>
      <c r="F17" s="168">
        <v>5.7000000000000002E-3</v>
      </c>
      <c r="G17" s="168">
        <v>5.7000000000000002E-3</v>
      </c>
      <c r="H17" s="168">
        <v>5.7000000000000002E-3</v>
      </c>
      <c r="I17" s="168">
        <v>5.7000000000000002E-3</v>
      </c>
      <c r="J17" s="168">
        <v>5.7000000000000002E-3</v>
      </c>
      <c r="K17" s="168">
        <v>5.7000000000000002E-3</v>
      </c>
      <c r="L17" s="168">
        <v>5.7000000000000002E-3</v>
      </c>
      <c r="M17" s="168">
        <v>5.7000000000000002E-3</v>
      </c>
      <c r="N17" s="168">
        <v>5.7000000000000002E-3</v>
      </c>
      <c r="O17" s="168">
        <v>5.7000000000000002E-3</v>
      </c>
      <c r="P17" s="168">
        <v>5.7000000000000002E-3</v>
      </c>
      <c r="Q17" s="168">
        <v>1.0200000000000001E-2</v>
      </c>
      <c r="R17" s="168">
        <v>1.0200000000000001E-2</v>
      </c>
      <c r="S17" s="168">
        <v>1.0200000000000001E-2</v>
      </c>
      <c r="T17" s="168">
        <v>2.1999999999999999E-2</v>
      </c>
      <c r="U17" s="168">
        <v>2.1999999999999999E-2</v>
      </c>
      <c r="V17" s="168">
        <v>2.1999999999999999E-2</v>
      </c>
      <c r="W17" s="168">
        <v>3.8699999999999998E-2</v>
      </c>
      <c r="X17" s="168">
        <v>3.8699999999999998E-2</v>
      </c>
      <c r="Y17" s="168">
        <v>3.8699999999999998E-2</v>
      </c>
      <c r="Z17" s="168">
        <v>4.7300000000000002E-2</v>
      </c>
      <c r="AA17" s="168">
        <v>4.7300000000000002E-2</v>
      </c>
      <c r="AB17" s="168">
        <v>4.7300000000000002E-2</v>
      </c>
      <c r="AC17" s="168">
        <v>4.9799999999999997E-2</v>
      </c>
      <c r="AD17" s="168">
        <v>4.9799999999999997E-2</v>
      </c>
      <c r="AE17" s="168">
        <v>4.9799999999999997E-2</v>
      </c>
      <c r="AF17" s="168">
        <v>4.9799999999999997E-2</v>
      </c>
      <c r="AG17" s="168">
        <v>4.9799999999999997E-2</v>
      </c>
      <c r="AH17" s="168">
        <v>4.9799999999999997E-2</v>
      </c>
      <c r="AI17" s="168">
        <v>5.4899999999999997E-2</v>
      </c>
      <c r="AJ17" s="168">
        <v>5.4899999999999997E-2</v>
      </c>
      <c r="AK17" s="168">
        <v>5.4899999999999997E-2</v>
      </c>
      <c r="AL17" s="168">
        <v>5.4899999999999997E-2</v>
      </c>
      <c r="AM17" s="168">
        <v>5.4899999999999997E-2</v>
      </c>
      <c r="AN17" s="168">
        <v>5.4899999999999997E-2</v>
      </c>
      <c r="AO17" s="168">
        <v>5.4899999999999997E-2</v>
      </c>
      <c r="AP17" s="168">
        <v>5.4899999999999997E-2</v>
      </c>
      <c r="AQ17" s="168">
        <v>5.4899999999999997E-2</v>
      </c>
      <c r="AR17" s="168">
        <v>5.1999999999999998E-2</v>
      </c>
      <c r="AS17" s="168">
        <v>5.1999999999999998E-2</v>
      </c>
      <c r="AT17" s="168">
        <v>5.1999999999999998E-2</v>
      </c>
      <c r="AU17" s="168">
        <v>4.3999999999999997E-2</v>
      </c>
      <c r="AV17" s="168">
        <v>4.3999999999999997E-2</v>
      </c>
      <c r="AW17" s="168">
        <v>4.3999999999999997E-2</v>
      </c>
      <c r="AX17" s="136">
        <v>3.6400000000000002E-2</v>
      </c>
      <c r="AY17" s="136">
        <v>3.6400000000000002E-2</v>
      </c>
      <c r="AZ17" s="136">
        <v>3.6400000000000002E-2</v>
      </c>
      <c r="BA17" s="136">
        <v>3.1600000000000003E-2</v>
      </c>
      <c r="BB17" s="136">
        <v>3.1600000000000003E-2</v>
      </c>
      <c r="BC17" s="136">
        <v>3.1600000000000003E-2</v>
      </c>
      <c r="BD17" s="136">
        <v>2.9100000000000001E-2</v>
      </c>
      <c r="BE17" s="136">
        <v>2.9100000000000001E-2</v>
      </c>
      <c r="BF17" s="136">
        <v>2.9100000000000001E-2</v>
      </c>
      <c r="BG17" s="136">
        <v>2.9100000000000001E-2</v>
      </c>
      <c r="BH17" s="136">
        <v>2.9100000000000001E-2</v>
      </c>
      <c r="BI17" s="136">
        <v>2.9100000000000001E-2</v>
      </c>
      <c r="BJ17" s="91"/>
      <c r="BK17" s="137">
        <v>2.5499999999999998E-2</v>
      </c>
    </row>
    <row r="18" spans="1:63" x14ac:dyDescent="0.25">
      <c r="A18" s="157"/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91"/>
      <c r="BK18" s="10"/>
    </row>
    <row r="19" spans="1:63" x14ac:dyDescent="0.25">
      <c r="A19" s="157" t="s">
        <v>14</v>
      </c>
      <c r="B19" s="161">
        <v>0</v>
      </c>
      <c r="C19" s="161">
        <f>B21</f>
        <v>0</v>
      </c>
      <c r="D19" s="161">
        <f t="shared" ref="D19:M19" si="6">C21</f>
        <v>0</v>
      </c>
      <c r="E19" s="161">
        <f t="shared" si="6"/>
        <v>0</v>
      </c>
      <c r="F19" s="161">
        <f t="shared" si="6"/>
        <v>0</v>
      </c>
      <c r="G19" s="161">
        <f t="shared" si="6"/>
        <v>0</v>
      </c>
      <c r="H19" s="161">
        <f t="shared" si="6"/>
        <v>0</v>
      </c>
      <c r="I19" s="161">
        <f t="shared" si="6"/>
        <v>0</v>
      </c>
      <c r="J19" s="161">
        <f t="shared" si="6"/>
        <v>0</v>
      </c>
      <c r="K19" s="161">
        <f t="shared" si="6"/>
        <v>0</v>
      </c>
      <c r="L19" s="161">
        <f t="shared" si="6"/>
        <v>0</v>
      </c>
      <c r="M19" s="161">
        <f t="shared" si="6"/>
        <v>0</v>
      </c>
      <c r="N19" s="161">
        <f>M21</f>
        <v>0</v>
      </c>
      <c r="O19" s="161">
        <f>N21</f>
        <v>62.648756999999996</v>
      </c>
      <c r="P19" s="161">
        <f t="shared" ref="P19:Y19" si="7">O21</f>
        <v>122.4816269738406</v>
      </c>
      <c r="Q19" s="161">
        <f t="shared" si="7"/>
        <v>177.91487499999019</v>
      </c>
      <c r="R19" s="161">
        <f t="shared" si="7"/>
        <v>269.58215869930291</v>
      </c>
      <c r="S19" s="161">
        <f t="shared" si="7"/>
        <v>354.07458805089504</v>
      </c>
      <c r="T19" s="161">
        <f t="shared" si="7"/>
        <v>433.33031393226099</v>
      </c>
      <c r="U19" s="161">
        <f t="shared" si="7"/>
        <v>596.96249847835065</v>
      </c>
      <c r="V19" s="161">
        <f t="shared" si="7"/>
        <v>755.11542554603011</v>
      </c>
      <c r="W19" s="161">
        <f t="shared" si="7"/>
        <v>908.42873057016675</v>
      </c>
      <c r="X19" s="161">
        <f t="shared" si="7"/>
        <v>1169.3908504889912</v>
      </c>
      <c r="Y19" s="161">
        <f t="shared" si="7"/>
        <v>1420.6841677542643</v>
      </c>
      <c r="Z19" s="161">
        <f>Y21</f>
        <v>1652.8651202310789</v>
      </c>
      <c r="AA19" s="161">
        <f>Z21</f>
        <v>2100.4862239272265</v>
      </c>
      <c r="AB19" s="161">
        <f t="shared" ref="AB19:AK19" si="8">AA21</f>
        <v>2492.7388431550416</v>
      </c>
      <c r="AC19" s="161">
        <f t="shared" si="8"/>
        <v>2856.0169807191237</v>
      </c>
      <c r="AD19" s="161">
        <f t="shared" si="8"/>
        <v>3206.6430862923994</v>
      </c>
      <c r="AE19" s="161">
        <f t="shared" si="8"/>
        <v>3525.2067604088957</v>
      </c>
      <c r="AF19" s="161">
        <f t="shared" si="8"/>
        <v>3828.4796059820928</v>
      </c>
      <c r="AG19" s="161">
        <f t="shared" si="8"/>
        <v>4119.1267370676751</v>
      </c>
      <c r="AH19" s="161">
        <f t="shared" si="8"/>
        <v>4404.9894353858017</v>
      </c>
      <c r="AI19" s="161">
        <f t="shared" si="8"/>
        <v>4687.7074324397609</v>
      </c>
      <c r="AJ19" s="161">
        <f t="shared" si="8"/>
        <v>4994.7155156021909</v>
      </c>
      <c r="AK19" s="161">
        <f t="shared" si="8"/>
        <v>5297.2057520651761</v>
      </c>
      <c r="AL19" s="161">
        <f>AK21</f>
        <v>5582.9682884693857</v>
      </c>
      <c r="AM19" s="161">
        <f>AL21</f>
        <v>5829.4671016935063</v>
      </c>
      <c r="AN19" s="161">
        <f t="shared" ref="AN19:AW19" si="9">AM21</f>
        <v>6075.463991667626</v>
      </c>
      <c r="AO19" s="161">
        <f t="shared" si="9"/>
        <v>6321.4608816417458</v>
      </c>
      <c r="AP19" s="161">
        <f t="shared" si="9"/>
        <v>6567.4031003658656</v>
      </c>
      <c r="AQ19" s="161">
        <f t="shared" si="9"/>
        <v>6813.3453190899854</v>
      </c>
      <c r="AR19" s="161">
        <f t="shared" si="9"/>
        <v>7059.2875378141052</v>
      </c>
      <c r="AS19" s="161">
        <f t="shared" si="9"/>
        <v>7292.2382732176438</v>
      </c>
      <c r="AT19" s="161">
        <f t="shared" si="9"/>
        <v>7525.1890086211824</v>
      </c>
      <c r="AU19" s="161">
        <f t="shared" si="9"/>
        <v>7758.139744024721</v>
      </c>
      <c r="AV19" s="161">
        <f t="shared" si="9"/>
        <v>7955.2519047507922</v>
      </c>
      <c r="AW19" s="161">
        <f t="shared" si="9"/>
        <v>8152.3640654768633</v>
      </c>
      <c r="AX19" s="83">
        <f>AW21</f>
        <v>8349.4762262029344</v>
      </c>
      <c r="AY19" s="83">
        <f>AX21</f>
        <v>8512.5417409854108</v>
      </c>
      <c r="AZ19" s="83">
        <f t="shared" ref="AZ19:BI19" si="10">AY21</f>
        <v>8675.6072557678872</v>
      </c>
      <c r="BA19" s="83">
        <f t="shared" si="10"/>
        <v>8838.6727705503636</v>
      </c>
      <c r="BB19" s="83">
        <f t="shared" si="10"/>
        <v>8980.2351405263598</v>
      </c>
      <c r="BC19" s="83">
        <f t="shared" si="10"/>
        <v>9121.7975105023561</v>
      </c>
      <c r="BD19" s="83">
        <f t="shared" si="10"/>
        <v>9263.3598804783524</v>
      </c>
      <c r="BE19" s="83">
        <f t="shared" si="10"/>
        <v>9393.7226958676401</v>
      </c>
      <c r="BF19" s="83">
        <f t="shared" si="10"/>
        <v>9524.0855112569279</v>
      </c>
      <c r="BG19" s="83">
        <f t="shared" si="10"/>
        <v>9654.4483266462157</v>
      </c>
      <c r="BH19" s="83">
        <f t="shared" si="10"/>
        <v>9784.8111420355035</v>
      </c>
      <c r="BI19" s="83">
        <f t="shared" si="10"/>
        <v>9915.1739574247913</v>
      </c>
      <c r="BJ19" s="91"/>
      <c r="BK19" s="83">
        <f t="shared" ref="BK19" si="11">BI21</f>
        <v>10045.536772814079</v>
      </c>
    </row>
    <row r="20" spans="1:63" x14ac:dyDescent="0.25">
      <c r="A20" s="157" t="s">
        <v>15</v>
      </c>
      <c r="B20" s="165">
        <f t="shared" ref="B20:BI20" si="12">B12*B17/12</f>
        <v>0</v>
      </c>
      <c r="C20" s="165">
        <f t="shared" si="12"/>
        <v>0</v>
      </c>
      <c r="D20" s="165">
        <f t="shared" si="12"/>
        <v>0</v>
      </c>
      <c r="E20" s="165">
        <f t="shared" si="12"/>
        <v>0</v>
      </c>
      <c r="F20" s="165">
        <f t="shared" si="12"/>
        <v>0</v>
      </c>
      <c r="G20" s="165">
        <f t="shared" si="12"/>
        <v>0</v>
      </c>
      <c r="H20" s="165">
        <f t="shared" si="12"/>
        <v>0</v>
      </c>
      <c r="I20" s="165">
        <f t="shared" si="12"/>
        <v>0</v>
      </c>
      <c r="J20" s="165">
        <f t="shared" si="12"/>
        <v>0</v>
      </c>
      <c r="K20" s="165">
        <f t="shared" si="12"/>
        <v>0</v>
      </c>
      <c r="L20" s="165">
        <f t="shared" si="12"/>
        <v>0</v>
      </c>
      <c r="M20" s="165">
        <f t="shared" si="12"/>
        <v>0</v>
      </c>
      <c r="N20" s="165">
        <f t="shared" si="12"/>
        <v>62.648756999999996</v>
      </c>
      <c r="O20" s="165">
        <f t="shared" si="12"/>
        <v>59.832869973840609</v>
      </c>
      <c r="P20" s="165">
        <f t="shared" si="12"/>
        <v>55.433248026149592</v>
      </c>
      <c r="Q20" s="165">
        <f t="shared" si="12"/>
        <v>91.667283699312733</v>
      </c>
      <c r="R20" s="165">
        <f t="shared" si="12"/>
        <v>84.492429351592122</v>
      </c>
      <c r="S20" s="165">
        <f t="shared" si="12"/>
        <v>79.255725881365919</v>
      </c>
      <c r="T20" s="165">
        <f t="shared" si="12"/>
        <v>163.63218454608963</v>
      </c>
      <c r="U20" s="165">
        <f t="shared" si="12"/>
        <v>158.15292706767943</v>
      </c>
      <c r="V20" s="165">
        <f t="shared" si="12"/>
        <v>153.31330502413667</v>
      </c>
      <c r="W20" s="165">
        <f t="shared" si="12"/>
        <v>260.96211991882438</v>
      </c>
      <c r="X20" s="165">
        <f t="shared" si="12"/>
        <v>251.293317265273</v>
      </c>
      <c r="Y20" s="165">
        <f t="shared" si="12"/>
        <v>232.18095247681458</v>
      </c>
      <c r="Z20" s="165">
        <f t="shared" si="12"/>
        <v>447.62110369614783</v>
      </c>
      <c r="AA20" s="165">
        <f t="shared" si="12"/>
        <v>392.25261922781488</v>
      </c>
      <c r="AB20" s="165">
        <f t="shared" si="12"/>
        <v>363.2781375640821</v>
      </c>
      <c r="AC20" s="165">
        <f t="shared" si="12"/>
        <v>350.62610557327588</v>
      </c>
      <c r="AD20" s="165">
        <f t="shared" si="12"/>
        <v>318.56367411649643</v>
      </c>
      <c r="AE20" s="165">
        <f t="shared" si="12"/>
        <v>303.27284557319706</v>
      </c>
      <c r="AF20" s="165">
        <f t="shared" si="12"/>
        <v>290.64713108558237</v>
      </c>
      <c r="AG20" s="165">
        <f t="shared" si="12"/>
        <v>285.86269831812677</v>
      </c>
      <c r="AH20" s="165">
        <f t="shared" si="12"/>
        <v>282.71799705395944</v>
      </c>
      <c r="AI20" s="165">
        <f t="shared" si="12"/>
        <v>307.00808316243001</v>
      </c>
      <c r="AJ20" s="165">
        <f t="shared" si="12"/>
        <v>302.49023646298525</v>
      </c>
      <c r="AK20" s="165">
        <f t="shared" si="12"/>
        <v>285.76253640420924</v>
      </c>
      <c r="AL20" s="165">
        <f t="shared" si="12"/>
        <v>246.4988132241202</v>
      </c>
      <c r="AM20" s="165">
        <f t="shared" si="12"/>
        <v>245.99688997412022</v>
      </c>
      <c r="AN20" s="165">
        <f t="shared" si="12"/>
        <v>245.99688997412022</v>
      </c>
      <c r="AO20" s="165">
        <f t="shared" si="12"/>
        <v>245.94221872412024</v>
      </c>
      <c r="AP20" s="165">
        <f t="shared" si="12"/>
        <v>245.94221872412024</v>
      </c>
      <c r="AQ20" s="165">
        <f t="shared" si="12"/>
        <v>245.94221872412024</v>
      </c>
      <c r="AR20" s="165">
        <f t="shared" si="12"/>
        <v>232.95073540353826</v>
      </c>
      <c r="AS20" s="165">
        <f t="shared" si="12"/>
        <v>232.95073540353826</v>
      </c>
      <c r="AT20" s="165">
        <f t="shared" si="12"/>
        <v>232.95073540353826</v>
      </c>
      <c r="AU20" s="165">
        <f t="shared" si="12"/>
        <v>197.11216072607087</v>
      </c>
      <c r="AV20" s="165">
        <f t="shared" si="12"/>
        <v>197.11216072607087</v>
      </c>
      <c r="AW20" s="165">
        <f t="shared" si="12"/>
        <v>197.11216072607087</v>
      </c>
      <c r="AX20" s="31">
        <f t="shared" si="12"/>
        <v>163.06551478247681</v>
      </c>
      <c r="AY20" s="31">
        <f t="shared" si="12"/>
        <v>163.06551478247681</v>
      </c>
      <c r="AZ20" s="31">
        <f t="shared" si="12"/>
        <v>163.06551478247681</v>
      </c>
      <c r="BA20" s="31">
        <f t="shared" si="12"/>
        <v>141.56236997599635</v>
      </c>
      <c r="BB20" s="31">
        <f t="shared" si="12"/>
        <v>141.56236997599635</v>
      </c>
      <c r="BC20" s="31">
        <f t="shared" si="12"/>
        <v>141.56236997599635</v>
      </c>
      <c r="BD20" s="31">
        <f t="shared" si="12"/>
        <v>130.36281538928776</v>
      </c>
      <c r="BE20" s="31">
        <f t="shared" si="12"/>
        <v>130.36281538928776</v>
      </c>
      <c r="BF20" s="31">
        <f t="shared" si="12"/>
        <v>130.36281538928776</v>
      </c>
      <c r="BG20" s="31">
        <f t="shared" si="12"/>
        <v>130.36281538928776</v>
      </c>
      <c r="BH20" s="31">
        <f t="shared" si="12"/>
        <v>130.36281538928776</v>
      </c>
      <c r="BI20" s="31">
        <f t="shared" si="12"/>
        <v>130.36281538928776</v>
      </c>
      <c r="BJ20" s="91"/>
      <c r="BK20" s="31">
        <f>BI14*BK17</f>
        <v>1370.825481413129</v>
      </c>
    </row>
    <row r="21" spans="1:63" x14ac:dyDescent="0.25">
      <c r="A21" s="169" t="s">
        <v>16</v>
      </c>
      <c r="B21" s="170">
        <f>SUM(B19:B20)</f>
        <v>0</v>
      </c>
      <c r="C21" s="170">
        <f t="shared" ref="C21:M21" si="13">SUM(C19:C20)</f>
        <v>0</v>
      </c>
      <c r="D21" s="170">
        <f t="shared" si="13"/>
        <v>0</v>
      </c>
      <c r="E21" s="170">
        <f t="shared" si="13"/>
        <v>0</v>
      </c>
      <c r="F21" s="170">
        <f t="shared" si="13"/>
        <v>0</v>
      </c>
      <c r="G21" s="170">
        <f t="shared" si="13"/>
        <v>0</v>
      </c>
      <c r="H21" s="170">
        <f t="shared" si="13"/>
        <v>0</v>
      </c>
      <c r="I21" s="170">
        <f t="shared" si="13"/>
        <v>0</v>
      </c>
      <c r="J21" s="170">
        <f t="shared" si="13"/>
        <v>0</v>
      </c>
      <c r="K21" s="170">
        <f t="shared" si="13"/>
        <v>0</v>
      </c>
      <c r="L21" s="170">
        <f t="shared" si="13"/>
        <v>0</v>
      </c>
      <c r="M21" s="170">
        <f t="shared" si="13"/>
        <v>0</v>
      </c>
      <c r="N21" s="170">
        <f>SUM(N19:N20)</f>
        <v>62.648756999999996</v>
      </c>
      <c r="O21" s="170">
        <f t="shared" ref="O21:Y21" si="14">SUM(O19:O20)</f>
        <v>122.4816269738406</v>
      </c>
      <c r="P21" s="170">
        <f t="shared" si="14"/>
        <v>177.91487499999019</v>
      </c>
      <c r="Q21" s="170">
        <f t="shared" si="14"/>
        <v>269.58215869930291</v>
      </c>
      <c r="R21" s="170">
        <f t="shared" si="14"/>
        <v>354.07458805089504</v>
      </c>
      <c r="S21" s="170">
        <f t="shared" si="14"/>
        <v>433.33031393226099</v>
      </c>
      <c r="T21" s="170">
        <f t="shared" si="14"/>
        <v>596.96249847835065</v>
      </c>
      <c r="U21" s="170">
        <f t="shared" si="14"/>
        <v>755.11542554603011</v>
      </c>
      <c r="V21" s="170">
        <f t="shared" si="14"/>
        <v>908.42873057016675</v>
      </c>
      <c r="W21" s="170">
        <f t="shared" si="14"/>
        <v>1169.3908504889912</v>
      </c>
      <c r="X21" s="170">
        <f t="shared" si="14"/>
        <v>1420.6841677542643</v>
      </c>
      <c r="Y21" s="170">
        <f t="shared" si="14"/>
        <v>1652.8651202310789</v>
      </c>
      <c r="Z21" s="170">
        <f>SUM(Z19:Z20)</f>
        <v>2100.4862239272265</v>
      </c>
      <c r="AA21" s="170">
        <f t="shared" ref="AA21:AK21" si="15">SUM(AA19:AA20)</f>
        <v>2492.7388431550416</v>
      </c>
      <c r="AB21" s="170">
        <f t="shared" si="15"/>
        <v>2856.0169807191237</v>
      </c>
      <c r="AC21" s="170">
        <f t="shared" si="15"/>
        <v>3206.6430862923994</v>
      </c>
      <c r="AD21" s="170">
        <f t="shared" si="15"/>
        <v>3525.2067604088957</v>
      </c>
      <c r="AE21" s="170">
        <f t="shared" si="15"/>
        <v>3828.4796059820928</v>
      </c>
      <c r="AF21" s="170">
        <f t="shared" si="15"/>
        <v>4119.1267370676751</v>
      </c>
      <c r="AG21" s="170">
        <f t="shared" si="15"/>
        <v>4404.9894353858017</v>
      </c>
      <c r="AH21" s="170">
        <f t="shared" si="15"/>
        <v>4687.7074324397609</v>
      </c>
      <c r="AI21" s="170">
        <f t="shared" si="15"/>
        <v>4994.7155156021909</v>
      </c>
      <c r="AJ21" s="170">
        <f t="shared" si="15"/>
        <v>5297.2057520651761</v>
      </c>
      <c r="AK21" s="170">
        <f t="shared" si="15"/>
        <v>5582.9682884693857</v>
      </c>
      <c r="AL21" s="170">
        <f>SUM(AL19:AL20)</f>
        <v>5829.4671016935063</v>
      </c>
      <c r="AM21" s="170">
        <f t="shared" ref="AM21:AW21" si="16">SUM(AM19:AM20)</f>
        <v>6075.463991667626</v>
      </c>
      <c r="AN21" s="170">
        <f t="shared" si="16"/>
        <v>6321.4608816417458</v>
      </c>
      <c r="AO21" s="170">
        <f t="shared" si="16"/>
        <v>6567.4031003658656</v>
      </c>
      <c r="AP21" s="170">
        <f t="shared" si="16"/>
        <v>6813.3453190899854</v>
      </c>
      <c r="AQ21" s="170">
        <f t="shared" si="16"/>
        <v>7059.2875378141052</v>
      </c>
      <c r="AR21" s="170">
        <f t="shared" si="16"/>
        <v>7292.2382732176438</v>
      </c>
      <c r="AS21" s="170">
        <f t="shared" si="16"/>
        <v>7525.1890086211824</v>
      </c>
      <c r="AT21" s="170">
        <f t="shared" si="16"/>
        <v>7758.139744024721</v>
      </c>
      <c r="AU21" s="170">
        <f t="shared" si="16"/>
        <v>7955.2519047507922</v>
      </c>
      <c r="AV21" s="170">
        <f t="shared" si="16"/>
        <v>8152.3640654768633</v>
      </c>
      <c r="AW21" s="170">
        <f t="shared" si="16"/>
        <v>8349.4762262029344</v>
      </c>
      <c r="AX21" s="11">
        <f>SUM(AX19:AX20)</f>
        <v>8512.5417409854108</v>
      </c>
      <c r="AY21" s="11">
        <f t="shared" ref="AY21:BI21" si="17">SUM(AY19:AY20)</f>
        <v>8675.6072557678872</v>
      </c>
      <c r="AZ21" s="11">
        <f t="shared" si="17"/>
        <v>8838.6727705503636</v>
      </c>
      <c r="BA21" s="11">
        <f t="shared" si="17"/>
        <v>8980.2351405263598</v>
      </c>
      <c r="BB21" s="11">
        <f t="shared" si="17"/>
        <v>9121.7975105023561</v>
      </c>
      <c r="BC21" s="11">
        <f t="shared" si="17"/>
        <v>9263.3598804783524</v>
      </c>
      <c r="BD21" s="11">
        <f t="shared" si="17"/>
        <v>9393.7226958676401</v>
      </c>
      <c r="BE21" s="11">
        <f t="shared" si="17"/>
        <v>9524.0855112569279</v>
      </c>
      <c r="BF21" s="11">
        <f t="shared" si="17"/>
        <v>9654.4483266462157</v>
      </c>
      <c r="BG21" s="11">
        <f t="shared" si="17"/>
        <v>9784.8111420355035</v>
      </c>
      <c r="BH21" s="11">
        <f t="shared" si="17"/>
        <v>9915.1739574247913</v>
      </c>
      <c r="BI21" s="11">
        <f t="shared" si="17"/>
        <v>10045.536772814079</v>
      </c>
      <c r="BJ21" s="91"/>
      <c r="BK21" s="11">
        <f>SUM(BK19:BK20)</f>
        <v>11416.362254227208</v>
      </c>
    </row>
    <row r="22" spans="1:63" x14ac:dyDescent="0.25">
      <c r="A22" s="2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O22" s="30"/>
    </row>
    <row r="23" spans="1:63" x14ac:dyDescent="0.25">
      <c r="E23" s="86"/>
      <c r="F23" s="86"/>
      <c r="G23" s="86"/>
      <c r="H23" s="86"/>
      <c r="I23" s="86"/>
    </row>
    <row r="24" spans="1:63" x14ac:dyDescent="0.25">
      <c r="A24" s="12" t="s">
        <v>173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</row>
    <row r="25" spans="1:63" ht="45" x14ac:dyDescent="0.25">
      <c r="A25" s="14"/>
      <c r="J25" s="138"/>
      <c r="K25" s="138"/>
      <c r="L25" s="86"/>
      <c r="AX25" s="14" t="s">
        <v>46</v>
      </c>
      <c r="AY25" s="14" t="s">
        <v>150</v>
      </c>
      <c r="AZ25" s="14" t="s">
        <v>151</v>
      </c>
      <c r="BA25" s="86"/>
      <c r="BB25" s="86"/>
      <c r="BC25" s="86"/>
      <c r="BD25" s="86"/>
      <c r="BE25" s="86"/>
    </row>
    <row r="26" spans="1:63" x14ac:dyDescent="0.25">
      <c r="A26" s="51" t="s">
        <v>34</v>
      </c>
      <c r="J26" s="86"/>
      <c r="K26" s="86"/>
      <c r="L26" s="86"/>
      <c r="AX26" s="52">
        <f>BI14</f>
        <v>53757.862016201143</v>
      </c>
      <c r="AY26" s="52"/>
      <c r="AZ26" s="52">
        <f>AX26+AY26</f>
        <v>53757.862016201143</v>
      </c>
      <c r="BA26" s="86"/>
      <c r="BB26" s="86"/>
      <c r="BC26" s="86"/>
      <c r="BD26" s="86"/>
      <c r="BE26" s="86"/>
    </row>
    <row r="27" spans="1:63" x14ac:dyDescent="0.25">
      <c r="A27" s="16" t="s">
        <v>35</v>
      </c>
      <c r="J27" s="139"/>
      <c r="K27" s="139"/>
      <c r="L27" s="86"/>
      <c r="AX27" s="56">
        <f>BI21</f>
        <v>10045.536772814079</v>
      </c>
      <c r="AY27" s="56">
        <f>BK20</f>
        <v>1370.825481413129</v>
      </c>
      <c r="AZ27" s="56">
        <f t="shared" ref="AZ27:AZ28" si="18">AX27+AY27</f>
        <v>11416.362254227208</v>
      </c>
      <c r="BA27" s="86"/>
      <c r="BB27" s="86"/>
      <c r="BC27" s="86"/>
      <c r="BD27" s="86"/>
      <c r="BE27" s="86"/>
    </row>
    <row r="28" spans="1:63" x14ac:dyDescent="0.25">
      <c r="A28" s="22" t="s">
        <v>17</v>
      </c>
      <c r="J28" s="86"/>
      <c r="K28" s="86"/>
      <c r="L28" s="86"/>
      <c r="AX28" s="53">
        <f>AX27+AX26</f>
        <v>63803.39878901522</v>
      </c>
      <c r="AY28" s="53">
        <f t="shared" ref="AY28" si="19">AY27+AY26</f>
        <v>1370.825481413129</v>
      </c>
      <c r="AZ28" s="53">
        <f t="shared" si="18"/>
        <v>65174.224270428349</v>
      </c>
      <c r="BA28" s="86"/>
      <c r="BB28" s="86"/>
      <c r="BC28" s="86"/>
      <c r="BD28" s="86"/>
      <c r="BE28" s="86"/>
    </row>
    <row r="29" spans="1:63" x14ac:dyDescent="0.25">
      <c r="A29" s="86"/>
      <c r="J29" s="86"/>
      <c r="K29" s="86"/>
      <c r="L29" s="86"/>
      <c r="AX29" s="86"/>
      <c r="AY29" s="86"/>
      <c r="AZ29" s="86"/>
      <c r="BA29" s="86"/>
      <c r="BB29" s="86"/>
      <c r="BC29" s="86"/>
      <c r="BD29" s="86"/>
      <c r="BE29" s="86"/>
    </row>
    <row r="31" spans="1:63" x14ac:dyDescent="0.25">
      <c r="A31" s="12" t="s">
        <v>200</v>
      </c>
      <c r="J31" s="86"/>
      <c r="K31" s="86"/>
      <c r="L31" s="86"/>
      <c r="AX31" s="86"/>
      <c r="AY31" s="86"/>
      <c r="AZ31" s="86"/>
      <c r="BA31" s="86"/>
      <c r="BB31" s="86"/>
      <c r="BC31" s="86"/>
    </row>
    <row r="32" spans="1:63" x14ac:dyDescent="0.25">
      <c r="A32" s="14"/>
      <c r="J32" s="138"/>
      <c r="K32" s="138"/>
      <c r="L32" s="138"/>
      <c r="M32" s="86"/>
      <c r="AX32" s="14" t="s">
        <v>18</v>
      </c>
      <c r="AY32" s="14" t="s">
        <v>19</v>
      </c>
      <c r="AZ32" s="14" t="s">
        <v>25</v>
      </c>
      <c r="BA32" s="14" t="s">
        <v>122</v>
      </c>
      <c r="BB32" s="14" t="s">
        <v>123</v>
      </c>
      <c r="BC32" s="14" t="s">
        <v>124</v>
      </c>
    </row>
    <row r="33" spans="1:56" x14ac:dyDescent="0.25">
      <c r="A33" s="16" t="s">
        <v>24</v>
      </c>
      <c r="J33" s="86"/>
      <c r="K33" s="86"/>
      <c r="L33" s="86"/>
      <c r="M33" s="86"/>
      <c r="AX33" s="17" t="s">
        <v>21</v>
      </c>
      <c r="AY33" s="18">
        <f>SUM(AZ33:BE33)</f>
        <v>468963.37405799999</v>
      </c>
      <c r="AZ33" s="18">
        <f>'Load Forecast'!B35</f>
        <v>284339.65936520905</v>
      </c>
      <c r="BA33" s="18">
        <f>'Load Forecast'!C35</f>
        <v>98538.681593041925</v>
      </c>
      <c r="BB33" s="18">
        <f>'Load Forecast'!D35</f>
        <v>16207.861424749026</v>
      </c>
      <c r="BC33" s="18">
        <f>'Load Forecast'!E35</f>
        <v>69877.171674999991</v>
      </c>
    </row>
    <row r="34" spans="1:56" x14ac:dyDescent="0.25">
      <c r="A34" s="16" t="s">
        <v>22</v>
      </c>
      <c r="J34" s="139"/>
      <c r="K34" s="139"/>
      <c r="L34" s="139"/>
      <c r="M34" s="86"/>
      <c r="AX34" s="19" t="s">
        <v>20</v>
      </c>
      <c r="AY34" s="20">
        <f>SUM(AZ34:BE34)</f>
        <v>1</v>
      </c>
      <c r="AZ34" s="20">
        <f t="shared" ref="AZ34:BC34" si="20">AZ33/$AY$33</f>
        <v>0.60631527981552513</v>
      </c>
      <c r="BA34" s="20">
        <f t="shared" si="20"/>
        <v>0.2101202077688373</v>
      </c>
      <c r="BB34" s="20">
        <f t="shared" si="20"/>
        <v>3.4561038924000247E-2</v>
      </c>
      <c r="BC34" s="20">
        <f t="shared" si="20"/>
        <v>0.14900347349163731</v>
      </c>
    </row>
    <row r="35" spans="1:56" x14ac:dyDescent="0.25">
      <c r="A35" s="22" t="s">
        <v>17</v>
      </c>
      <c r="J35" s="86"/>
      <c r="K35" s="86"/>
      <c r="L35" s="86"/>
      <c r="M35" s="86"/>
      <c r="AX35" s="23" t="s">
        <v>21</v>
      </c>
      <c r="AY35" s="24">
        <f>SUM(AZ35:BE35)</f>
        <v>65174.224270428342</v>
      </c>
      <c r="AZ35" s="24">
        <f>AZ34*($BK$21+$BI$14)</f>
        <v>39516.128025284554</v>
      </c>
      <c r="BA35" s="24">
        <f t="shared" ref="BA35:BC35" si="21">BA34*($BK$21+$BI$14)</f>
        <v>13694.421544875204</v>
      </c>
      <c r="BB35" s="24">
        <f t="shared" si="21"/>
        <v>2252.4889018517956</v>
      </c>
      <c r="BC35" s="24">
        <f t="shared" si="21"/>
        <v>9711.1857984167964</v>
      </c>
    </row>
    <row r="36" spans="1:56" x14ac:dyDescent="0.25">
      <c r="A36" s="86"/>
      <c r="J36" s="86"/>
      <c r="K36" s="86"/>
      <c r="L36" s="86"/>
      <c r="M36" s="86"/>
      <c r="AX36" s="86"/>
      <c r="AY36" s="86"/>
      <c r="AZ36" s="86"/>
      <c r="BA36" s="86"/>
      <c r="BB36" s="86"/>
      <c r="BC36" s="86"/>
    </row>
    <row r="38" spans="1:56" x14ac:dyDescent="0.25">
      <c r="A38" s="12" t="s">
        <v>197</v>
      </c>
      <c r="AX38" s="86"/>
      <c r="AY38" s="86"/>
      <c r="AZ38" s="86"/>
      <c r="BA38" s="86"/>
      <c r="BB38" s="86"/>
      <c r="BC38" s="86"/>
    </row>
    <row r="39" spans="1:56" x14ac:dyDescent="0.25">
      <c r="A39" s="14"/>
      <c r="AX39" s="14" t="s">
        <v>18</v>
      </c>
      <c r="AY39" s="14" t="s">
        <v>19</v>
      </c>
      <c r="AZ39" s="14" t="s">
        <v>25</v>
      </c>
      <c r="BA39" s="14" t="s">
        <v>122</v>
      </c>
      <c r="BB39" s="14" t="s">
        <v>123</v>
      </c>
      <c r="BC39" s="14" t="s">
        <v>18</v>
      </c>
      <c r="BD39" s="14" t="s">
        <v>124</v>
      </c>
    </row>
    <row r="40" spans="1:56" ht="16.5" x14ac:dyDescent="0.25">
      <c r="A40" s="16" t="s">
        <v>24</v>
      </c>
      <c r="AX40" s="17" t="s">
        <v>27</v>
      </c>
      <c r="AY40" s="113">
        <f>SUM(AZ40:BB40)</f>
        <v>13257.002210030671</v>
      </c>
      <c r="AZ40" s="113">
        <f>'Load Forecast'!A7</f>
        <v>8662.8848775633542</v>
      </c>
      <c r="BA40" s="113">
        <f>'Load Forecast'!B7</f>
        <v>2918.610612467317</v>
      </c>
      <c r="BB40" s="113">
        <f>'Load Forecast'!C7</f>
        <v>1675.5067199999999</v>
      </c>
      <c r="BC40" s="17" t="s">
        <v>127</v>
      </c>
      <c r="BD40" s="113">
        <f>'Load Forecast'!D7</f>
        <v>95854.65711361311</v>
      </c>
    </row>
    <row r="41" spans="1:56" x14ac:dyDescent="0.25">
      <c r="A41" s="16" t="s">
        <v>22</v>
      </c>
      <c r="AX41" s="114" t="s">
        <v>20</v>
      </c>
      <c r="AY41" s="115">
        <f>SUM(AZ41:BD41)</f>
        <v>1</v>
      </c>
      <c r="AZ41" s="116">
        <f>AZ34</f>
        <v>0.60631527981552513</v>
      </c>
      <c r="BA41" s="116">
        <f t="shared" ref="BA41:BB41" si="22">BA34</f>
        <v>0.2101202077688373</v>
      </c>
      <c r="BB41" s="116">
        <f t="shared" si="22"/>
        <v>3.4561038924000247E-2</v>
      </c>
      <c r="BC41" s="114" t="s">
        <v>20</v>
      </c>
      <c r="BD41" s="116">
        <f>BC34</f>
        <v>0.14900347349163731</v>
      </c>
    </row>
    <row r="42" spans="1:56" x14ac:dyDescent="0.25">
      <c r="A42" s="26" t="s">
        <v>17</v>
      </c>
      <c r="AX42" s="27" t="s">
        <v>21</v>
      </c>
      <c r="AY42" s="117">
        <f>SUM(AZ42:BD42)</f>
        <v>65174.648912134377</v>
      </c>
      <c r="AZ42" s="118">
        <f>AZ40*AZ43*10</f>
        <v>39516.128025284554</v>
      </c>
      <c r="BA42" s="118">
        <f t="shared" ref="BA42:BB42" si="23">BA40*BA43*10</f>
        <v>13694.421544875204</v>
      </c>
      <c r="BB42" s="118">
        <f t="shared" si="23"/>
        <v>2252.4889018517956</v>
      </c>
      <c r="BC42" s="27" t="s">
        <v>21</v>
      </c>
      <c r="BD42" s="118">
        <f>BD40*BD43/100*12</f>
        <v>9711.6104401228258</v>
      </c>
    </row>
    <row r="43" spans="1:56" ht="17.25" x14ac:dyDescent="0.25">
      <c r="A43" s="22" t="s">
        <v>23</v>
      </c>
      <c r="AX43" s="23" t="s">
        <v>28</v>
      </c>
      <c r="AY43" s="29"/>
      <c r="AZ43" s="29">
        <f>AZ35/AZ40/10</f>
        <v>0.4561543710182539</v>
      </c>
      <c r="BA43" s="29">
        <f t="shared" ref="BA43:BB43" si="24">BA35/BA40/10</f>
        <v>0.46921029774843098</v>
      </c>
      <c r="BB43" s="29">
        <f t="shared" si="24"/>
        <v>0.13443627978118738</v>
      </c>
      <c r="BC43" s="23" t="s">
        <v>128</v>
      </c>
      <c r="BD43" s="29">
        <f>ROUND(BC35/BD40*100/12,4)</f>
        <v>0.84430000000000005</v>
      </c>
    </row>
  </sheetData>
  <sheetProtection sheet="1" objects="1" scenarios="1"/>
  <pageMargins left="0.7" right="0.7" top="0.75" bottom="0.75" header="0.3" footer="0.3"/>
  <pageSetup scale="3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355C1-80FE-417F-AF56-5F50CD6AFF18}">
  <sheetPr>
    <pageSetUpPr fitToPage="1"/>
  </sheetPr>
  <dimension ref="A1:AB101"/>
  <sheetViews>
    <sheetView showGridLines="0" zoomScale="80" zoomScaleNormal="80" zoomScaleSheetLayoutView="85" workbookViewId="0">
      <selection activeCell="H40" sqref="H40"/>
    </sheetView>
  </sheetViews>
  <sheetFormatPr defaultColWidth="12.5703125" defaultRowHeight="15" x14ac:dyDescent="0.25"/>
  <cols>
    <col min="1" max="1" width="34.5703125" customWidth="1"/>
    <col min="2" max="3" width="14.42578125" bestFit="1" customWidth="1"/>
    <col min="4" max="4" width="13" bestFit="1" customWidth="1"/>
    <col min="5" max="5" width="14.42578125" bestFit="1" customWidth="1"/>
    <col min="6" max="12" width="13" bestFit="1" customWidth="1"/>
    <col min="13" max="13" width="14.42578125" bestFit="1" customWidth="1"/>
    <col min="14" max="14" width="1.5703125" customWidth="1"/>
    <col min="15" max="15" width="14.42578125" bestFit="1" customWidth="1"/>
    <col min="20" max="20" width="17.28515625" bestFit="1" customWidth="1"/>
    <col min="21" max="23" width="14.42578125" bestFit="1" customWidth="1"/>
  </cols>
  <sheetData>
    <row r="1" spans="1:15" s="2" customFormat="1" x14ac:dyDescent="0.25">
      <c r="A1" s="2" t="s">
        <v>0</v>
      </c>
    </row>
    <row r="2" spans="1:15" s="2" customFormat="1" x14ac:dyDescent="0.25">
      <c r="A2" s="2" t="str">
        <f>ECVA!A2</f>
        <v>EB-2026-0149</v>
      </c>
    </row>
    <row r="3" spans="1:15" s="2" customFormat="1" x14ac:dyDescent="0.25">
      <c r="A3" s="2" t="s">
        <v>117</v>
      </c>
    </row>
    <row r="4" spans="1:15" s="2" customFormat="1" x14ac:dyDescent="0.25">
      <c r="A4" s="2" t="s">
        <v>38</v>
      </c>
    </row>
    <row r="5" spans="1:15" x14ac:dyDescent="0.25">
      <c r="A5" s="3"/>
      <c r="B5" s="4">
        <v>2025</v>
      </c>
      <c r="C5" s="4">
        <v>2025</v>
      </c>
      <c r="D5" s="4">
        <v>2025</v>
      </c>
      <c r="E5" s="4">
        <v>2025</v>
      </c>
      <c r="F5" s="4">
        <v>2025</v>
      </c>
      <c r="G5" s="4">
        <v>2025</v>
      </c>
      <c r="H5" s="4">
        <v>2025</v>
      </c>
      <c r="I5" s="4">
        <v>2025</v>
      </c>
      <c r="J5" s="4">
        <v>2025</v>
      </c>
      <c r="K5" s="4">
        <v>2025</v>
      </c>
      <c r="L5" s="4">
        <v>2025</v>
      </c>
      <c r="M5" s="4">
        <v>2025</v>
      </c>
      <c r="O5" s="4">
        <v>2026</v>
      </c>
    </row>
    <row r="6" spans="1:15" x14ac:dyDescent="0.25">
      <c r="A6" s="5"/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O6" s="6" t="s">
        <v>26</v>
      </c>
    </row>
    <row r="7" spans="1:15" x14ac:dyDescent="0.25">
      <c r="A7" s="7"/>
      <c r="B7" s="35"/>
      <c r="C7" s="35"/>
      <c r="D7" s="35"/>
      <c r="E7" s="35"/>
      <c r="F7" s="36"/>
      <c r="G7" s="36"/>
      <c r="H7" s="37"/>
      <c r="I7" s="36"/>
      <c r="J7" s="36"/>
      <c r="K7" s="36"/>
      <c r="L7" s="36"/>
      <c r="M7" s="36"/>
      <c r="O7" s="36"/>
    </row>
    <row r="8" spans="1:15" x14ac:dyDescent="0.25">
      <c r="A8" s="7" t="s">
        <v>106</v>
      </c>
      <c r="B8" s="83">
        <v>7179.33</v>
      </c>
      <c r="C8" s="83">
        <v>7262.73</v>
      </c>
      <c r="D8" s="83">
        <v>7223.7099999999991</v>
      </c>
      <c r="E8" s="83">
        <v>7612.33</v>
      </c>
      <c r="F8" s="83">
        <v>7222.83</v>
      </c>
      <c r="G8" s="83">
        <v>7182.51</v>
      </c>
      <c r="H8" s="83">
        <v>7173.74</v>
      </c>
      <c r="I8" s="83">
        <v>7166.47</v>
      </c>
      <c r="J8" s="83">
        <v>7137.68</v>
      </c>
      <c r="K8" s="83">
        <v>7083.33</v>
      </c>
      <c r="L8" s="83">
        <v>7083.33</v>
      </c>
      <c r="M8" s="83">
        <v>7273.92</v>
      </c>
      <c r="O8" s="8"/>
    </row>
    <row r="9" spans="1:15" x14ac:dyDescent="0.25">
      <c r="A9" s="7" t="s">
        <v>107</v>
      </c>
      <c r="B9" s="83">
        <v>28329.144177880044</v>
      </c>
      <c r="C9" s="83">
        <v>28256.519642501687</v>
      </c>
      <c r="D9" s="83">
        <v>28001.842052947701</v>
      </c>
      <c r="E9" s="83">
        <v>27828.591699626435</v>
      </c>
      <c r="F9" s="83">
        <v>27449.236433822945</v>
      </c>
      <c r="G9" s="83">
        <v>27154.325654130116</v>
      </c>
      <c r="H9" s="83">
        <v>27160.833303362349</v>
      </c>
      <c r="I9" s="83">
        <v>27166.414870046363</v>
      </c>
      <c r="J9" s="83">
        <v>27191.523258371148</v>
      </c>
      <c r="K9" s="83">
        <v>27591.683773282915</v>
      </c>
      <c r="L9" s="83">
        <v>28541.876387237091</v>
      </c>
      <c r="M9" s="83">
        <v>28238.690600394155</v>
      </c>
      <c r="O9" s="8"/>
    </row>
    <row r="10" spans="1:15" x14ac:dyDescent="0.25">
      <c r="A10" s="7" t="s">
        <v>147</v>
      </c>
      <c r="B10" s="83">
        <v>2592.14244052187</v>
      </c>
      <c r="C10" s="83">
        <v>2247.2202609363007</v>
      </c>
      <c r="D10" s="83">
        <v>1672.3499616270144</v>
      </c>
      <c r="E10" s="83">
        <v>799.38206048180393</v>
      </c>
      <c r="F10" s="83">
        <v>420.18800615069188</v>
      </c>
      <c r="G10" s="83">
        <v>153.72731932342384</v>
      </c>
      <c r="H10" s="83">
        <v>183.41094310609938</v>
      </c>
      <c r="I10" s="83">
        <v>169.30240902101482</v>
      </c>
      <c r="J10" s="83">
        <v>159.89671963095847</v>
      </c>
      <c r="K10" s="83">
        <v>421.93234238851869</v>
      </c>
      <c r="L10" s="83">
        <v>4008.357252690927</v>
      </c>
      <c r="M10" s="83">
        <v>3118.080010251153</v>
      </c>
      <c r="O10" s="8"/>
    </row>
    <row r="11" spans="1:15" x14ac:dyDescent="0.25">
      <c r="A11" s="7" t="s">
        <v>146</v>
      </c>
      <c r="B11" s="83">
        <v>6993.5980302464013</v>
      </c>
      <c r="C11" s="83">
        <v>6457.9080890847999</v>
      </c>
      <c r="D11" s="83">
        <v>5779.1584744816</v>
      </c>
      <c r="E11" s="83">
        <v>5099.4610521176</v>
      </c>
      <c r="F11" s="83">
        <v>4385.7440847135995</v>
      </c>
      <c r="G11" s="83">
        <v>3876.6543999999999</v>
      </c>
      <c r="H11" s="83">
        <v>3975.0763999999999</v>
      </c>
      <c r="I11" s="83">
        <v>4140.71</v>
      </c>
      <c r="J11" s="83">
        <v>3954.3107999999997</v>
      </c>
      <c r="K11" s="83">
        <v>4868.6038064976001</v>
      </c>
      <c r="L11" s="83">
        <v>7753.9503036015985</v>
      </c>
      <c r="M11" s="83">
        <v>-1917.3192571695995</v>
      </c>
      <c r="O11" s="8"/>
    </row>
    <row r="12" spans="1:15" x14ac:dyDescent="0.25">
      <c r="A12" s="7" t="s">
        <v>109</v>
      </c>
      <c r="B12" s="83">
        <v>20017.583333333332</v>
      </c>
      <c r="C12" s="83">
        <v>20017.583333333332</v>
      </c>
      <c r="D12" s="83">
        <v>20017.583333333332</v>
      </c>
      <c r="E12" s="83">
        <v>20017.583333333332</v>
      </c>
      <c r="F12" s="83">
        <v>20017.583333333332</v>
      </c>
      <c r="G12" s="83">
        <v>20017.583333333332</v>
      </c>
      <c r="H12" s="83">
        <v>20017.583333333332</v>
      </c>
      <c r="I12" s="83">
        <v>20017.583333333332</v>
      </c>
      <c r="J12" s="83">
        <v>20017.583333333332</v>
      </c>
      <c r="K12" s="83">
        <v>-230.75</v>
      </c>
      <c r="L12" s="83">
        <v>-230.75</v>
      </c>
      <c r="M12" s="83">
        <v>-230.75</v>
      </c>
      <c r="O12" s="8"/>
    </row>
    <row r="13" spans="1:15" x14ac:dyDescent="0.25">
      <c r="A13" s="7" t="s">
        <v>110</v>
      </c>
      <c r="B13" s="83">
        <v>0</v>
      </c>
      <c r="C13" s="83">
        <v>0</v>
      </c>
      <c r="D13" s="83">
        <v>0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78721.37</v>
      </c>
      <c r="L13" s="83">
        <v>222070.2</v>
      </c>
      <c r="M13" s="83">
        <v>70967.460000000006</v>
      </c>
      <c r="O13" s="8"/>
    </row>
    <row r="14" spans="1:15" x14ac:dyDescent="0.25">
      <c r="A14" s="7" t="s">
        <v>111</v>
      </c>
      <c r="B14" s="31">
        <v>18821.940149851118</v>
      </c>
      <c r="C14" s="31">
        <v>18821.940149851118</v>
      </c>
      <c r="D14" s="31">
        <v>18821.940149851118</v>
      </c>
      <c r="E14" s="31">
        <v>18821.940149851118</v>
      </c>
      <c r="F14" s="31">
        <v>18821.940149851118</v>
      </c>
      <c r="G14" s="31">
        <v>18821.940149851118</v>
      </c>
      <c r="H14" s="31">
        <v>18821.940149851118</v>
      </c>
      <c r="I14" s="31">
        <v>18821.940149851118</v>
      </c>
      <c r="J14" s="31">
        <v>18821.940149851118</v>
      </c>
      <c r="K14" s="31">
        <v>18821.940149851118</v>
      </c>
      <c r="L14" s="31">
        <v>18821.940149851118</v>
      </c>
      <c r="M14" s="31">
        <v>18821.940149851118</v>
      </c>
      <c r="O14" s="8"/>
    </row>
    <row r="15" spans="1:15" x14ac:dyDescent="0.25">
      <c r="A15" s="7" t="s">
        <v>112</v>
      </c>
      <c r="B15" s="83">
        <f>SUM(B8:B14)</f>
        <v>83933.738131832768</v>
      </c>
      <c r="C15" s="83">
        <f t="shared" ref="C15:M15" si="0">SUM(C8:C14)</f>
        <v>83063.901475707229</v>
      </c>
      <c r="D15" s="83">
        <f t="shared" si="0"/>
        <v>81516.583972240755</v>
      </c>
      <c r="E15" s="83">
        <f t="shared" si="0"/>
        <v>80179.288295410282</v>
      </c>
      <c r="F15" s="83">
        <f t="shared" si="0"/>
        <v>78317.522007871681</v>
      </c>
      <c r="G15" s="83">
        <f t="shared" si="0"/>
        <v>77206.740856637989</v>
      </c>
      <c r="H15" s="83">
        <f t="shared" si="0"/>
        <v>77332.584129652896</v>
      </c>
      <c r="I15" s="83">
        <f t="shared" si="0"/>
        <v>77482.42076225183</v>
      </c>
      <c r="J15" s="83">
        <f t="shared" si="0"/>
        <v>77282.934261186558</v>
      </c>
      <c r="K15" s="83">
        <f t="shared" si="0"/>
        <v>137278.11007202015</v>
      </c>
      <c r="L15" s="83">
        <f t="shared" si="0"/>
        <v>288048.90409338078</v>
      </c>
      <c r="M15" s="83">
        <f t="shared" si="0"/>
        <v>126272.02150332683</v>
      </c>
      <c r="O15" s="8"/>
    </row>
    <row r="16" spans="1:15" x14ac:dyDescent="0.25">
      <c r="A16" s="7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O16" s="8"/>
    </row>
    <row r="17" spans="1:28" x14ac:dyDescent="0.25">
      <c r="A17" s="7" t="s">
        <v>115</v>
      </c>
      <c r="B17" s="83">
        <v>-81354.010000000068</v>
      </c>
      <c r="C17" s="83">
        <v>-72489.340000000055</v>
      </c>
      <c r="D17" s="83">
        <v>-71105.2</v>
      </c>
      <c r="E17" s="83">
        <v>-49133.789999999921</v>
      </c>
      <c r="F17" s="83">
        <v>-33295.059999999961</v>
      </c>
      <c r="G17" s="83">
        <v>-23226.139999999948</v>
      </c>
      <c r="H17" s="83">
        <v>-7201.4400000000232</v>
      </c>
      <c r="I17" s="83">
        <v>-5854.6800000000103</v>
      </c>
      <c r="J17" s="83">
        <v>-7028.0000000000264</v>
      </c>
      <c r="K17" s="83">
        <v>-7349.7700000000168</v>
      </c>
      <c r="L17" s="83">
        <v>-25202.839999999997</v>
      </c>
      <c r="M17" s="83">
        <v>-62866.31999999992</v>
      </c>
      <c r="O17" s="8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</row>
    <row r="18" spans="1:28" x14ac:dyDescent="0.25">
      <c r="A18" s="7" t="s">
        <v>116</v>
      </c>
      <c r="B18" s="31">
        <v>-30057.900000000063</v>
      </c>
      <c r="C18" s="31">
        <v>-38880.369999999974</v>
      </c>
      <c r="D18" s="31">
        <v>-38030.789999999921</v>
      </c>
      <c r="E18" s="31">
        <v>-26215.119999999955</v>
      </c>
      <c r="F18" s="31">
        <v>-17779.059999999805</v>
      </c>
      <c r="G18" s="31">
        <v>-10271.709999999677</v>
      </c>
      <c r="H18" s="31">
        <v>-3839.4699999999425</v>
      </c>
      <c r="I18" s="31">
        <v>-3018.6299999999769</v>
      </c>
      <c r="J18" s="31">
        <v>-3727.6499999999569</v>
      </c>
      <c r="K18" s="31">
        <v>-3883.2199999999589</v>
      </c>
      <c r="L18" s="31">
        <v>-11836.769999999695</v>
      </c>
      <c r="M18" s="31">
        <v>-23465.949999999932</v>
      </c>
      <c r="O18" s="8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</row>
    <row r="19" spans="1:28" s="78" customFormat="1" x14ac:dyDescent="0.25">
      <c r="A19" s="42" t="s">
        <v>88</v>
      </c>
      <c r="B19" s="10">
        <f>B15+B17+B18</f>
        <v>-27478.171868167363</v>
      </c>
      <c r="C19" s="10">
        <f t="shared" ref="C19:M19" si="1">C15+C17+C18</f>
        <v>-28305.808524292799</v>
      </c>
      <c r="D19" s="10">
        <f t="shared" si="1"/>
        <v>-27619.406027759163</v>
      </c>
      <c r="E19" s="10">
        <f t="shared" si="1"/>
        <v>4830.3782954104063</v>
      </c>
      <c r="F19" s="10">
        <f t="shared" si="1"/>
        <v>27243.402007871915</v>
      </c>
      <c r="G19" s="10">
        <f t="shared" si="1"/>
        <v>43708.890856638362</v>
      </c>
      <c r="H19" s="10">
        <f t="shared" si="1"/>
        <v>66291.674129652936</v>
      </c>
      <c r="I19" s="10">
        <f t="shared" si="1"/>
        <v>68609.110762251847</v>
      </c>
      <c r="J19" s="10">
        <f t="shared" si="1"/>
        <v>66527.284261186578</v>
      </c>
      <c r="K19" s="10">
        <f t="shared" si="1"/>
        <v>126045.12007202017</v>
      </c>
      <c r="L19" s="10">
        <f t="shared" si="1"/>
        <v>251009.29409338112</v>
      </c>
      <c r="M19" s="10">
        <f t="shared" si="1"/>
        <v>39939.751503326981</v>
      </c>
      <c r="O19" s="84"/>
    </row>
    <row r="20" spans="1:28" x14ac:dyDescent="0.25">
      <c r="A20" s="7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O20" s="8"/>
    </row>
    <row r="21" spans="1:28" x14ac:dyDescent="0.25">
      <c r="A21" s="7" t="s">
        <v>118</v>
      </c>
      <c r="B21" s="32">
        <v>0</v>
      </c>
      <c r="C21" s="32">
        <f>B23</f>
        <v>-27478.171868167363</v>
      </c>
      <c r="D21" s="32">
        <f t="shared" ref="D21:M21" si="2">C23</f>
        <v>-55783.980392460158</v>
      </c>
      <c r="E21" s="32">
        <f t="shared" si="2"/>
        <v>-83403.386420219322</v>
      </c>
      <c r="F21" s="32">
        <f t="shared" si="2"/>
        <v>-78573.008124808912</v>
      </c>
      <c r="G21" s="32">
        <f t="shared" si="2"/>
        <v>-51329.606116936993</v>
      </c>
      <c r="H21" s="32">
        <f t="shared" si="2"/>
        <v>-7620.7152602986316</v>
      </c>
      <c r="I21" s="32">
        <f t="shared" si="2"/>
        <v>58670.958869354305</v>
      </c>
      <c r="J21" s="32">
        <f>I23</f>
        <v>127280.06963160615</v>
      </c>
      <c r="K21" s="32">
        <f t="shared" si="2"/>
        <v>193807.35389279271</v>
      </c>
      <c r="L21" s="32">
        <f t="shared" si="2"/>
        <v>319852.47396481287</v>
      </c>
      <c r="M21" s="32">
        <f t="shared" si="2"/>
        <v>570861.76805819396</v>
      </c>
      <c r="N21" s="1"/>
      <c r="O21" s="10"/>
    </row>
    <row r="22" spans="1:28" x14ac:dyDescent="0.25">
      <c r="A22" s="7" t="s">
        <v>119</v>
      </c>
      <c r="B22" s="31">
        <f>B19</f>
        <v>-27478.171868167363</v>
      </c>
      <c r="C22" s="31">
        <f t="shared" ref="C22:M22" si="3">C19</f>
        <v>-28305.808524292799</v>
      </c>
      <c r="D22" s="31">
        <f t="shared" si="3"/>
        <v>-27619.406027759163</v>
      </c>
      <c r="E22" s="31">
        <f t="shared" si="3"/>
        <v>4830.3782954104063</v>
      </c>
      <c r="F22" s="31">
        <f t="shared" si="3"/>
        <v>27243.402007871915</v>
      </c>
      <c r="G22" s="31">
        <f t="shared" si="3"/>
        <v>43708.890856638362</v>
      </c>
      <c r="H22" s="31">
        <f t="shared" si="3"/>
        <v>66291.674129652936</v>
      </c>
      <c r="I22" s="31">
        <f t="shared" si="3"/>
        <v>68609.110762251847</v>
      </c>
      <c r="J22" s="31">
        <f t="shared" si="3"/>
        <v>66527.284261186578</v>
      </c>
      <c r="K22" s="31">
        <f t="shared" si="3"/>
        <v>126045.12007202017</v>
      </c>
      <c r="L22" s="31">
        <f t="shared" si="3"/>
        <v>251009.29409338112</v>
      </c>
      <c r="M22" s="31">
        <f t="shared" si="3"/>
        <v>39939.751503326981</v>
      </c>
      <c r="N22" s="1"/>
      <c r="O22" s="10"/>
    </row>
    <row r="23" spans="1:28" s="78" customFormat="1" x14ac:dyDescent="0.25">
      <c r="A23" s="42" t="s">
        <v>120</v>
      </c>
      <c r="B23" s="10">
        <f>SUM(B21:B22)</f>
        <v>-27478.171868167363</v>
      </c>
      <c r="C23" s="10">
        <f t="shared" ref="C23:M23" si="4">SUM(C21:C22)</f>
        <v>-55783.980392460158</v>
      </c>
      <c r="D23" s="10">
        <f t="shared" si="4"/>
        <v>-83403.386420219322</v>
      </c>
      <c r="E23" s="10">
        <f t="shared" si="4"/>
        <v>-78573.008124808912</v>
      </c>
      <c r="F23" s="10">
        <f t="shared" si="4"/>
        <v>-51329.606116936993</v>
      </c>
      <c r="G23" s="10">
        <f t="shared" si="4"/>
        <v>-7620.7152602986316</v>
      </c>
      <c r="H23" s="10">
        <f t="shared" si="4"/>
        <v>58670.958869354305</v>
      </c>
      <c r="I23" s="10">
        <f t="shared" si="4"/>
        <v>127280.06963160615</v>
      </c>
      <c r="J23" s="10">
        <f t="shared" si="4"/>
        <v>193807.35389279271</v>
      </c>
      <c r="K23" s="10">
        <f t="shared" si="4"/>
        <v>319852.47396481287</v>
      </c>
      <c r="L23" s="10">
        <f t="shared" si="4"/>
        <v>570861.76805819396</v>
      </c>
      <c r="M23" s="10">
        <f t="shared" si="4"/>
        <v>610801.51956152089</v>
      </c>
      <c r="N23" s="85"/>
      <c r="O23" s="10"/>
    </row>
    <row r="24" spans="1:28" x14ac:dyDescent="0.25">
      <c r="A24" s="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"/>
      <c r="O24" s="10"/>
    </row>
    <row r="25" spans="1:28" x14ac:dyDescent="0.25">
      <c r="A25" s="7" t="s">
        <v>13</v>
      </c>
      <c r="B25" s="73">
        <v>3.7199999999999997E-2</v>
      </c>
      <c r="C25" s="73">
        <v>3.7199999999999997E-2</v>
      </c>
      <c r="D25" s="73">
        <v>3.7199999999999997E-2</v>
      </c>
      <c r="E25" s="73">
        <v>3.7199999999999997E-2</v>
      </c>
      <c r="F25" s="73">
        <v>3.7199999999999997E-2</v>
      </c>
      <c r="G25" s="73">
        <v>3.7199999999999997E-2</v>
      </c>
      <c r="H25" s="73">
        <v>3.7199999999999997E-2</v>
      </c>
      <c r="I25" s="73">
        <v>3.7199999999999997E-2</v>
      </c>
      <c r="J25" s="73">
        <v>3.7199999999999997E-2</v>
      </c>
      <c r="K25" s="73">
        <v>3.7199999999999997E-2</v>
      </c>
      <c r="L25" s="73">
        <v>3.7199999999999997E-2</v>
      </c>
      <c r="M25" s="73">
        <v>3.7199999999999997E-2</v>
      </c>
      <c r="N25" s="73">
        <v>3.7199999999999997E-2</v>
      </c>
      <c r="O25" s="34">
        <f>M25</f>
        <v>3.7199999999999997E-2</v>
      </c>
    </row>
    <row r="26" spans="1:28" x14ac:dyDescent="0.25">
      <c r="A26" s="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"/>
      <c r="O26" s="10"/>
    </row>
    <row r="27" spans="1:28" x14ac:dyDescent="0.25">
      <c r="A27" s="7" t="s">
        <v>14</v>
      </c>
      <c r="B27" s="32">
        <v>0</v>
      </c>
      <c r="C27" s="32">
        <f>B29</f>
        <v>0</v>
      </c>
      <c r="D27" s="32">
        <f t="shared" ref="D27:M27" si="5">C29</f>
        <v>-85.182332791318814</v>
      </c>
      <c r="E27" s="32">
        <f t="shared" si="5"/>
        <v>-258.11267200794532</v>
      </c>
      <c r="F27" s="32">
        <f t="shared" si="5"/>
        <v>-516.66316991062513</v>
      </c>
      <c r="G27" s="32">
        <f t="shared" si="5"/>
        <v>-760.23949509753277</v>
      </c>
      <c r="H27" s="32">
        <f t="shared" si="5"/>
        <v>-919.36127406003743</v>
      </c>
      <c r="I27" s="32">
        <f t="shared" si="5"/>
        <v>-942.98549136696317</v>
      </c>
      <c r="J27" s="32">
        <f t="shared" si="5"/>
        <v>-761.10551887196482</v>
      </c>
      <c r="K27" s="32">
        <f t="shared" si="5"/>
        <v>-366.53730301398576</v>
      </c>
      <c r="L27" s="32">
        <f t="shared" si="5"/>
        <v>234.2654940536716</v>
      </c>
      <c r="M27" s="32">
        <f t="shared" si="5"/>
        <v>1225.8081633445915</v>
      </c>
      <c r="N27" s="1"/>
      <c r="O27" s="32">
        <f t="shared" ref="O27" si="6">M29</f>
        <v>2995.4796443249925</v>
      </c>
    </row>
    <row r="28" spans="1:28" x14ac:dyDescent="0.25">
      <c r="A28" s="7" t="s">
        <v>15</v>
      </c>
      <c r="B28" s="31">
        <f>B21*B25/12</f>
        <v>0</v>
      </c>
      <c r="C28" s="31">
        <f t="shared" ref="C28:N28" si="7">C21*C25/12</f>
        <v>-85.182332791318814</v>
      </c>
      <c r="D28" s="31">
        <f t="shared" si="7"/>
        <v>-172.93033921662649</v>
      </c>
      <c r="E28" s="31">
        <f t="shared" si="7"/>
        <v>-258.55049790267987</v>
      </c>
      <c r="F28" s="31">
        <f t="shared" si="7"/>
        <v>-243.57632518690761</v>
      </c>
      <c r="G28" s="31">
        <f t="shared" si="7"/>
        <v>-159.12177896250466</v>
      </c>
      <c r="H28" s="31">
        <f t="shared" si="7"/>
        <v>-23.624217306925757</v>
      </c>
      <c r="I28" s="31">
        <f t="shared" si="7"/>
        <v>181.87997249499833</v>
      </c>
      <c r="J28" s="31">
        <f t="shared" si="7"/>
        <v>394.56821585797906</v>
      </c>
      <c r="K28" s="31">
        <f t="shared" si="7"/>
        <v>600.80279706765737</v>
      </c>
      <c r="L28" s="31">
        <f t="shared" si="7"/>
        <v>991.54266929091989</v>
      </c>
      <c r="M28" s="31">
        <f t="shared" si="7"/>
        <v>1769.6714809804009</v>
      </c>
      <c r="N28" s="31">
        <f t="shared" si="7"/>
        <v>0</v>
      </c>
      <c r="O28" s="31">
        <f>M23*O25</f>
        <v>22721.816527688574</v>
      </c>
    </row>
    <row r="29" spans="1:28" x14ac:dyDescent="0.25">
      <c r="A29" s="33" t="s">
        <v>16</v>
      </c>
      <c r="B29" s="11">
        <f>SUM(B27:B28)</f>
        <v>0</v>
      </c>
      <c r="C29" s="11">
        <f t="shared" ref="C29:M29" si="8">SUM(C27:C28)</f>
        <v>-85.182332791318814</v>
      </c>
      <c r="D29" s="11">
        <f t="shared" si="8"/>
        <v>-258.11267200794532</v>
      </c>
      <c r="E29" s="11">
        <f t="shared" si="8"/>
        <v>-516.66316991062513</v>
      </c>
      <c r="F29" s="11">
        <f t="shared" si="8"/>
        <v>-760.23949509753277</v>
      </c>
      <c r="G29" s="11">
        <f t="shared" si="8"/>
        <v>-919.36127406003743</v>
      </c>
      <c r="H29" s="11">
        <f t="shared" si="8"/>
        <v>-942.98549136696317</v>
      </c>
      <c r="I29" s="11">
        <f t="shared" si="8"/>
        <v>-761.10551887196482</v>
      </c>
      <c r="J29" s="11">
        <f t="shared" si="8"/>
        <v>-366.53730301398576</v>
      </c>
      <c r="K29" s="11">
        <f t="shared" si="8"/>
        <v>234.2654940536716</v>
      </c>
      <c r="L29" s="11">
        <f t="shared" si="8"/>
        <v>1225.8081633445915</v>
      </c>
      <c r="M29" s="11">
        <f t="shared" si="8"/>
        <v>2995.4796443249925</v>
      </c>
      <c r="N29" s="1"/>
      <c r="O29" s="11">
        <f>SUM(O27:O28)</f>
        <v>25717.296172013565</v>
      </c>
    </row>
    <row r="30" spans="1:28" x14ac:dyDescent="0.25">
      <c r="A30" s="2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O30" s="30"/>
    </row>
    <row r="31" spans="1:28" hidden="1" x14ac:dyDescent="0.25">
      <c r="A31" s="2" t="s">
        <v>178</v>
      </c>
      <c r="B31" s="30">
        <f>B14+B18</f>
        <v>-11235.959850148945</v>
      </c>
      <c r="C31" s="30">
        <f t="shared" ref="C31:N31" si="9">C14+C18</f>
        <v>-20058.429850148856</v>
      </c>
      <c r="D31" s="30">
        <f t="shared" si="9"/>
        <v>-19208.849850148803</v>
      </c>
      <c r="E31" s="30">
        <f t="shared" si="9"/>
        <v>-7393.1798501488374</v>
      </c>
      <c r="F31" s="30">
        <f t="shared" si="9"/>
        <v>1042.880149851313</v>
      </c>
      <c r="G31" s="30">
        <f t="shared" si="9"/>
        <v>8550.2301498514407</v>
      </c>
      <c r="H31" s="30">
        <f t="shared" si="9"/>
        <v>14982.470149851175</v>
      </c>
      <c r="I31" s="30">
        <f t="shared" si="9"/>
        <v>15803.310149851141</v>
      </c>
      <c r="J31" s="30">
        <f t="shared" si="9"/>
        <v>15094.29014985116</v>
      </c>
      <c r="K31" s="30">
        <f t="shared" si="9"/>
        <v>14938.720149851159</v>
      </c>
      <c r="L31" s="30">
        <f t="shared" si="9"/>
        <v>6985.170149851423</v>
      </c>
      <c r="M31" s="30">
        <f t="shared" si="9"/>
        <v>-4644.0098501488137</v>
      </c>
      <c r="N31" s="30">
        <f t="shared" si="9"/>
        <v>0</v>
      </c>
      <c r="O31" s="30"/>
    </row>
    <row r="32" spans="1:28" hidden="1" x14ac:dyDescent="0.25">
      <c r="A32" s="2" t="s">
        <v>179</v>
      </c>
      <c r="B32" s="30">
        <f>0</f>
        <v>0</v>
      </c>
      <c r="C32" s="30">
        <f>B33</f>
        <v>-11235.959850148945</v>
      </c>
      <c r="D32" s="30">
        <f t="shared" ref="D32:N32" si="10">C33</f>
        <v>-31294.389700297801</v>
      </c>
      <c r="E32" s="30">
        <f t="shared" si="10"/>
        <v>-50503.239550446604</v>
      </c>
      <c r="F32" s="30">
        <f t="shared" si="10"/>
        <v>-57896.419400595441</v>
      </c>
      <c r="G32" s="30">
        <f t="shared" si="10"/>
        <v>-56853.539250744128</v>
      </c>
      <c r="H32" s="30">
        <f t="shared" si="10"/>
        <v>-48303.309100892686</v>
      </c>
      <c r="I32" s="30">
        <f t="shared" si="10"/>
        <v>-33320.838951041515</v>
      </c>
      <c r="J32" s="30">
        <f t="shared" si="10"/>
        <v>-17517.528801190376</v>
      </c>
      <c r="K32" s="30">
        <f t="shared" si="10"/>
        <v>-2423.2386513392157</v>
      </c>
      <c r="L32" s="30">
        <f t="shared" si="10"/>
        <v>12515.481498511943</v>
      </c>
      <c r="M32" s="30">
        <f t="shared" si="10"/>
        <v>19500.651648363368</v>
      </c>
      <c r="N32" s="30">
        <f t="shared" si="10"/>
        <v>14856.641798214554</v>
      </c>
      <c r="O32" s="30"/>
    </row>
    <row r="33" spans="1:15" hidden="1" x14ac:dyDescent="0.25">
      <c r="A33" s="2" t="s">
        <v>180</v>
      </c>
      <c r="B33" s="30">
        <f>B32+B31</f>
        <v>-11235.959850148945</v>
      </c>
      <c r="C33" s="30">
        <f>C32+C31</f>
        <v>-31294.389700297801</v>
      </c>
      <c r="D33" s="30">
        <f t="shared" ref="D33:N33" si="11">D32+D31</f>
        <v>-50503.239550446604</v>
      </c>
      <c r="E33" s="30">
        <f t="shared" si="11"/>
        <v>-57896.419400595441</v>
      </c>
      <c r="F33" s="30">
        <f t="shared" si="11"/>
        <v>-56853.539250744128</v>
      </c>
      <c r="G33" s="30">
        <f t="shared" si="11"/>
        <v>-48303.309100892686</v>
      </c>
      <c r="H33" s="30">
        <f t="shared" si="11"/>
        <v>-33320.838951041515</v>
      </c>
      <c r="I33" s="30">
        <f t="shared" si="11"/>
        <v>-17517.528801190376</v>
      </c>
      <c r="J33" s="30">
        <f t="shared" si="11"/>
        <v>-2423.2386513392157</v>
      </c>
      <c r="K33" s="30">
        <f t="shared" si="11"/>
        <v>12515.481498511943</v>
      </c>
      <c r="L33" s="30">
        <f t="shared" si="11"/>
        <v>19500.651648363368</v>
      </c>
      <c r="M33" s="30">
        <f t="shared" si="11"/>
        <v>14856.641798214554</v>
      </c>
      <c r="N33" s="30">
        <f t="shared" si="11"/>
        <v>14856.641798214554</v>
      </c>
      <c r="O33" s="30">
        <f>M33</f>
        <v>14856.641798214554</v>
      </c>
    </row>
    <row r="34" spans="1:15" hidden="1" x14ac:dyDescent="0.25">
      <c r="A34" s="2" t="s">
        <v>35</v>
      </c>
      <c r="B34" s="30">
        <f>B32*B25/12</f>
        <v>0</v>
      </c>
      <c r="C34" s="30">
        <f t="shared" ref="C34:M34" si="12">C32*C25/12</f>
        <v>-34.831475535461728</v>
      </c>
      <c r="D34" s="30">
        <f t="shared" si="12"/>
        <v>-97.012608070923179</v>
      </c>
      <c r="E34" s="30">
        <f t="shared" si="12"/>
        <v>-156.56004260638446</v>
      </c>
      <c r="F34" s="30">
        <f t="shared" si="12"/>
        <v>-179.47890014184586</v>
      </c>
      <c r="G34" s="30">
        <f t="shared" si="12"/>
        <v>-176.24597167730678</v>
      </c>
      <c r="H34" s="30">
        <f t="shared" si="12"/>
        <v>-149.74025821276732</v>
      </c>
      <c r="I34" s="30">
        <f t="shared" si="12"/>
        <v>-103.29460074822869</v>
      </c>
      <c r="J34" s="30">
        <f t="shared" si="12"/>
        <v>-54.304339283690162</v>
      </c>
      <c r="K34" s="30">
        <f t="shared" si="12"/>
        <v>-7.5120398191515676</v>
      </c>
      <c r="L34" s="30">
        <f t="shared" si="12"/>
        <v>38.797992645387019</v>
      </c>
      <c r="M34" s="30">
        <f t="shared" si="12"/>
        <v>60.45202010992643</v>
      </c>
      <c r="N34" s="30"/>
      <c r="O34" s="30">
        <f>SUM(B34:M34)</f>
        <v>-859.7302233404464</v>
      </c>
    </row>
    <row r="35" spans="1:15" hidden="1" x14ac:dyDescent="0.25">
      <c r="A35" s="2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15" hidden="1" x14ac:dyDescent="0.25">
      <c r="A36" s="2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O36" s="30"/>
    </row>
    <row r="37" spans="1:15" x14ac:dyDescent="0.25">
      <c r="E37" s="13"/>
      <c r="F37" s="13"/>
      <c r="G37" s="13"/>
      <c r="H37" s="13"/>
      <c r="I37" s="13"/>
    </row>
    <row r="38" spans="1:15" x14ac:dyDescent="0.25">
      <c r="A38" s="12" t="s">
        <v>121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5" ht="45" x14ac:dyDescent="0.25">
      <c r="A39" s="14"/>
      <c r="B39" s="14" t="s">
        <v>46</v>
      </c>
      <c r="C39" s="14" t="s">
        <v>150</v>
      </c>
      <c r="D39" s="14" t="s">
        <v>151</v>
      </c>
      <c r="E39" s="13"/>
      <c r="F39" s="13"/>
      <c r="G39" s="13"/>
      <c r="H39" s="13"/>
      <c r="I39" s="13"/>
      <c r="J39" s="15"/>
      <c r="K39" s="15"/>
      <c r="L39" s="13"/>
    </row>
    <row r="40" spans="1:15" x14ac:dyDescent="0.25">
      <c r="A40" s="51" t="s">
        <v>34</v>
      </c>
      <c r="B40" s="52">
        <f>M23</f>
        <v>610801.51956152089</v>
      </c>
      <c r="C40" s="52"/>
      <c r="D40" s="52">
        <f>B40+C40</f>
        <v>610801.51956152089</v>
      </c>
      <c r="E40" s="13"/>
      <c r="F40" s="13"/>
      <c r="G40" s="13"/>
      <c r="H40" s="13"/>
      <c r="I40" s="13"/>
      <c r="J40" s="13"/>
      <c r="K40" s="13"/>
      <c r="L40" s="13"/>
    </row>
    <row r="41" spans="1:15" x14ac:dyDescent="0.25">
      <c r="A41" s="16" t="s">
        <v>35</v>
      </c>
      <c r="B41" s="56">
        <f>M29</f>
        <v>2995.4796443249925</v>
      </c>
      <c r="C41" s="56">
        <f>O28</f>
        <v>22721.816527688574</v>
      </c>
      <c r="D41" s="56">
        <f t="shared" ref="D41:D42" si="13">B41+C41</f>
        <v>25717.296172013565</v>
      </c>
      <c r="E41" s="13"/>
      <c r="F41" s="13"/>
      <c r="G41" s="13"/>
      <c r="H41" s="13"/>
      <c r="I41" s="13"/>
      <c r="J41" s="21"/>
      <c r="K41" s="21"/>
      <c r="L41" s="13"/>
    </row>
    <row r="42" spans="1:15" x14ac:dyDescent="0.25">
      <c r="A42" s="22" t="s">
        <v>17</v>
      </c>
      <c r="B42" s="53">
        <f>B41+B40</f>
        <v>613796.99920584587</v>
      </c>
      <c r="C42" s="53">
        <f t="shared" ref="C42" si="14">C41+C40</f>
        <v>22721.816527688574</v>
      </c>
      <c r="D42" s="53">
        <f t="shared" si="13"/>
        <v>636518.8157335344</v>
      </c>
      <c r="E42" s="13"/>
      <c r="F42" s="13"/>
      <c r="G42" s="13"/>
      <c r="H42" s="13"/>
      <c r="I42" s="13"/>
      <c r="J42" s="13"/>
      <c r="K42" s="13"/>
      <c r="L42" s="13"/>
    </row>
    <row r="43" spans="1:1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5" spans="1:15" x14ac:dyDescent="0.25">
      <c r="A45" s="12" t="s">
        <v>202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15" x14ac:dyDescent="0.25">
      <c r="A46" s="14"/>
      <c r="B46" s="14" t="s">
        <v>18</v>
      </c>
      <c r="C46" s="14" t="s">
        <v>19</v>
      </c>
      <c r="D46" s="14" t="s">
        <v>25</v>
      </c>
      <c r="E46" s="14" t="s">
        <v>122</v>
      </c>
      <c r="F46" s="14" t="s">
        <v>123</v>
      </c>
      <c r="G46" s="15"/>
      <c r="H46" s="15"/>
      <c r="I46" s="15"/>
      <c r="J46" s="13"/>
    </row>
    <row r="47" spans="1:15" ht="16.5" x14ac:dyDescent="0.25">
      <c r="A47" s="16" t="s">
        <v>24</v>
      </c>
      <c r="B47" s="17" t="s">
        <v>27</v>
      </c>
      <c r="C47" s="18">
        <f>SUM(D47:F47)</f>
        <v>13401.696642975323</v>
      </c>
      <c r="D47" s="18">
        <f>'Load Forecast'!A17</f>
        <v>8756.8949229753234</v>
      </c>
      <c r="E47" s="18">
        <f>'Load Forecast'!B17</f>
        <v>2969.2950000000001</v>
      </c>
      <c r="F47" s="18">
        <f>'Load Forecast'!C17</f>
        <v>1675.5067199999999</v>
      </c>
      <c r="G47" s="13"/>
      <c r="H47" s="13"/>
      <c r="I47" s="13"/>
      <c r="J47" s="13"/>
    </row>
    <row r="48" spans="1:15" x14ac:dyDescent="0.25">
      <c r="A48" s="16" t="s">
        <v>22</v>
      </c>
      <c r="B48" s="19" t="s">
        <v>20</v>
      </c>
      <c r="C48" s="20">
        <f>SUM(D48:F48)</f>
        <v>1.0000000000000002</v>
      </c>
      <c r="D48" s="20">
        <f>D47/$C$47</f>
        <v>0.65341688864188452</v>
      </c>
      <c r="E48" s="20">
        <f t="shared" ref="E48:F48" si="15">E47/$C$47</f>
        <v>0.22156112610983442</v>
      </c>
      <c r="F48" s="20">
        <f t="shared" si="15"/>
        <v>0.12502198524828115</v>
      </c>
      <c r="G48" s="21"/>
      <c r="H48" s="21"/>
      <c r="I48" s="21"/>
      <c r="J48" s="13"/>
    </row>
    <row r="49" spans="1:10" x14ac:dyDescent="0.25">
      <c r="A49" s="22" t="s">
        <v>17</v>
      </c>
      <c r="B49" s="23" t="s">
        <v>21</v>
      </c>
      <c r="C49" s="24">
        <f>D42-C56</f>
        <v>622521.90415866033</v>
      </c>
      <c r="D49" s="24">
        <f>D48*$C$49</f>
        <v>406766.32572677324</v>
      </c>
      <c r="E49" s="24">
        <f t="shared" ref="E49:F49" si="16">E48*$C$49</f>
        <v>137926.6541134312</v>
      </c>
      <c r="F49" s="24">
        <f t="shared" si="16"/>
        <v>77828.924318455916</v>
      </c>
      <c r="G49" s="13"/>
      <c r="H49" s="13"/>
      <c r="I49" s="13"/>
      <c r="J49" s="13"/>
    </row>
    <row r="50" spans="1:10" x14ac:dyDescent="0.25">
      <c r="A50" s="54"/>
      <c r="B50" s="146"/>
      <c r="C50" s="147"/>
      <c r="D50" s="147"/>
      <c r="E50" s="147"/>
      <c r="F50" s="147"/>
      <c r="G50" s="13"/>
      <c r="H50" s="13"/>
      <c r="I50" s="13"/>
      <c r="J50" s="13"/>
    </row>
    <row r="51" spans="1:10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12" t="s">
        <v>145</v>
      </c>
      <c r="B52" s="13"/>
      <c r="C52" s="13"/>
      <c r="D52" s="13"/>
      <c r="E52" s="13"/>
      <c r="F52" s="13"/>
    </row>
    <row r="53" spans="1:10" x14ac:dyDescent="0.25">
      <c r="A53" s="14"/>
      <c r="B53" s="14" t="s">
        <v>18</v>
      </c>
      <c r="C53" s="14" t="s">
        <v>19</v>
      </c>
      <c r="D53" s="14" t="s">
        <v>25</v>
      </c>
      <c r="E53" s="14" t="s">
        <v>122</v>
      </c>
      <c r="F53" s="14" t="s">
        <v>123</v>
      </c>
    </row>
    <row r="54" spans="1:10" x14ac:dyDescent="0.25">
      <c r="A54" s="16" t="s">
        <v>24</v>
      </c>
      <c r="B54" s="17" t="s">
        <v>126</v>
      </c>
      <c r="C54" s="18">
        <f>SUM(D54:F54)</f>
        <v>2538.0602369971775</v>
      </c>
      <c r="D54" s="18">
        <v>1578.7796557271608</v>
      </c>
      <c r="E54" s="18">
        <v>959.28058127001668</v>
      </c>
      <c r="F54" s="18">
        <v>0</v>
      </c>
    </row>
    <row r="55" spans="1:10" x14ac:dyDescent="0.25">
      <c r="A55" s="16" t="s">
        <v>22</v>
      </c>
      <c r="B55" s="19" t="s">
        <v>20</v>
      </c>
      <c r="C55" s="20">
        <f>SUM(D55:F55)</f>
        <v>1</v>
      </c>
      <c r="D55" s="20">
        <f>D54/$C$54</f>
        <v>0.6220418383745856</v>
      </c>
      <c r="E55" s="20">
        <f t="shared" ref="E55:F55" si="17">E54/$C$54</f>
        <v>0.37795816162541435</v>
      </c>
      <c r="F55" s="20">
        <f t="shared" si="17"/>
        <v>0</v>
      </c>
    </row>
    <row r="56" spans="1:10" x14ac:dyDescent="0.25">
      <c r="A56" s="22" t="s">
        <v>17</v>
      </c>
      <c r="B56" s="23" t="s">
        <v>21</v>
      </c>
      <c r="C56" s="24">
        <f>O33+O34</f>
        <v>13996.911574874108</v>
      </c>
      <c r="D56" s="24">
        <f>D55*$C$56</f>
        <v>8706.6646076012057</v>
      </c>
      <c r="E56" s="24">
        <f t="shared" ref="E56:F56" si="18">E55*$C$56</f>
        <v>5290.2469672729012</v>
      </c>
      <c r="F56" s="24">
        <f t="shared" si="18"/>
        <v>0</v>
      </c>
    </row>
    <row r="57" spans="1:10" x14ac:dyDescent="0.25">
      <c r="A57" s="54"/>
      <c r="B57" s="146"/>
      <c r="C57" s="147"/>
      <c r="D57" s="147"/>
      <c r="E57" s="147"/>
      <c r="F57" s="147"/>
    </row>
    <row r="59" spans="1:10" x14ac:dyDescent="0.25">
      <c r="A59" s="12" t="s">
        <v>181</v>
      </c>
      <c r="B59" s="13"/>
      <c r="C59" s="13"/>
      <c r="D59" s="13"/>
      <c r="E59" s="13"/>
      <c r="F59" s="13"/>
    </row>
    <row r="60" spans="1:10" x14ac:dyDescent="0.25">
      <c r="A60" s="14"/>
      <c r="B60" s="14" t="s">
        <v>18</v>
      </c>
      <c r="C60" s="14" t="s">
        <v>19</v>
      </c>
      <c r="D60" s="14" t="s">
        <v>25</v>
      </c>
      <c r="E60" s="14" t="s">
        <v>122</v>
      </c>
      <c r="F60" s="14" t="s">
        <v>123</v>
      </c>
    </row>
    <row r="61" spans="1:10" x14ac:dyDescent="0.25">
      <c r="A61" s="16" t="s">
        <v>22</v>
      </c>
      <c r="B61" s="19" t="s">
        <v>20</v>
      </c>
      <c r="C61" s="20">
        <f>SUM(D61:F61)</f>
        <v>0.99999999999999989</v>
      </c>
      <c r="D61" s="20">
        <f>D62/$C$62</f>
        <v>0.65272695804848546</v>
      </c>
      <c r="E61" s="20">
        <f t="shared" ref="E61:F61" si="19">E62/$C$62</f>
        <v>0.22500026321399255</v>
      </c>
      <c r="F61" s="20">
        <f t="shared" si="19"/>
        <v>0.12227277873752186</v>
      </c>
    </row>
    <row r="62" spans="1:10" x14ac:dyDescent="0.25">
      <c r="A62" s="22" t="s">
        <v>17</v>
      </c>
      <c r="B62" s="23" t="s">
        <v>21</v>
      </c>
      <c r="C62" s="24">
        <f>SUM(D62:F62)</f>
        <v>636518.81573353452</v>
      </c>
      <c r="D62" s="24">
        <f>D49+D56</f>
        <v>415472.99033437442</v>
      </c>
      <c r="E62" s="24">
        <f t="shared" ref="E62:F62" si="20">E49+E56</f>
        <v>143216.90108070409</v>
      </c>
      <c r="F62" s="24">
        <f t="shared" si="20"/>
        <v>77828.924318455916</v>
      </c>
    </row>
    <row r="63" spans="1:10" x14ac:dyDescent="0.25">
      <c r="A63" s="54"/>
      <c r="B63" s="146"/>
      <c r="C63" s="147"/>
      <c r="D63" s="147"/>
      <c r="E63" s="147"/>
      <c r="F63" s="147"/>
    </row>
    <row r="64" spans="1:10" x14ac:dyDescent="0.25">
      <c r="A64" s="54"/>
      <c r="B64" s="146"/>
      <c r="C64" s="147"/>
      <c r="D64" s="147"/>
      <c r="E64" s="147"/>
      <c r="F64" s="147"/>
    </row>
    <row r="65" spans="1:23" x14ac:dyDescent="0.25">
      <c r="A65" s="12" t="s">
        <v>190</v>
      </c>
      <c r="T65" s="102"/>
      <c r="U65" s="102" t="s">
        <v>188</v>
      </c>
      <c r="V65" s="102" t="s">
        <v>151</v>
      </c>
      <c r="W65" s="102" t="s">
        <v>199</v>
      </c>
    </row>
    <row r="66" spans="1:23" x14ac:dyDescent="0.25">
      <c r="A66" s="3" t="s">
        <v>188</v>
      </c>
      <c r="B66" s="4">
        <v>2026</v>
      </c>
      <c r="C66" s="4">
        <v>2026</v>
      </c>
      <c r="D66" s="4">
        <v>2026</v>
      </c>
      <c r="E66" s="4">
        <v>2026</v>
      </c>
      <c r="F66" s="4">
        <v>2026</v>
      </c>
      <c r="G66" s="4">
        <v>2026</v>
      </c>
      <c r="H66" s="4">
        <v>2026</v>
      </c>
      <c r="I66" s="4">
        <v>2026</v>
      </c>
      <c r="J66" s="4">
        <v>2026</v>
      </c>
      <c r="K66" s="4">
        <v>2026</v>
      </c>
      <c r="L66" s="4">
        <v>2026</v>
      </c>
      <c r="M66" s="4">
        <v>2026</v>
      </c>
      <c r="T66" s="106" t="s">
        <v>34</v>
      </c>
      <c r="U66" s="209">
        <f>B40</f>
        <v>610801.51956152089</v>
      </c>
      <c r="V66" s="209">
        <f>M70*12/287</f>
        <v>150009.11108902135</v>
      </c>
      <c r="W66" s="212">
        <f>U66+V66</f>
        <v>760810.63065054221</v>
      </c>
    </row>
    <row r="67" spans="1:23" x14ac:dyDescent="0.25">
      <c r="A67" s="171"/>
      <c r="B67" s="172" t="s">
        <v>1</v>
      </c>
      <c r="C67" s="172" t="s">
        <v>2</v>
      </c>
      <c r="D67" s="172" t="s">
        <v>3</v>
      </c>
      <c r="E67" s="172" t="s">
        <v>4</v>
      </c>
      <c r="F67" s="172" t="s">
        <v>5</v>
      </c>
      <c r="G67" s="172" t="s">
        <v>6</v>
      </c>
      <c r="H67" s="172" t="s">
        <v>7</v>
      </c>
      <c r="I67" s="172" t="s">
        <v>8</v>
      </c>
      <c r="J67" s="172" t="s">
        <v>9</v>
      </c>
      <c r="K67" s="172" t="s">
        <v>10</v>
      </c>
      <c r="L67" s="172" t="s">
        <v>11</v>
      </c>
      <c r="M67" s="172" t="s">
        <v>12</v>
      </c>
      <c r="T67" s="101" t="s">
        <v>35</v>
      </c>
      <c r="U67" s="210">
        <f>D41</f>
        <v>25717.296172013565</v>
      </c>
      <c r="V67" s="210">
        <f>SUM(B71:M71)*12/287</f>
        <v>5580.3389325115932</v>
      </c>
      <c r="W67" s="213">
        <f t="shared" ref="W67:W68" si="21">U67+V67</f>
        <v>31297.635104525158</v>
      </c>
    </row>
    <row r="68" spans="1:23" x14ac:dyDescent="0.25">
      <c r="A68" s="16" t="s">
        <v>184</v>
      </c>
      <c r="B68" s="83">
        <f>3737727</f>
        <v>3737727</v>
      </c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T68" s="71" t="s">
        <v>17</v>
      </c>
      <c r="U68" s="211">
        <f>U66+U67</f>
        <v>636518.81573353452</v>
      </c>
      <c r="V68" s="211">
        <f>V66+V67</f>
        <v>155589.45002153295</v>
      </c>
      <c r="W68" s="211">
        <f t="shared" si="21"/>
        <v>792108.26575506746</v>
      </c>
    </row>
    <row r="69" spans="1:23" x14ac:dyDescent="0.25">
      <c r="A69" s="16" t="s">
        <v>185</v>
      </c>
      <c r="B69" s="83">
        <v>-150009.09312090601</v>
      </c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U69" s="145"/>
    </row>
    <row r="70" spans="1:23" x14ac:dyDescent="0.25">
      <c r="A70" s="173" t="s">
        <v>186</v>
      </c>
      <c r="B70" s="10">
        <f>B68+B69</f>
        <v>3587717.906879094</v>
      </c>
      <c r="C70" s="10">
        <f>B70</f>
        <v>3587717.906879094</v>
      </c>
      <c r="D70" s="10">
        <f t="shared" ref="D70:M70" si="22">C70</f>
        <v>3587717.906879094</v>
      </c>
      <c r="E70" s="10">
        <f t="shared" si="22"/>
        <v>3587717.906879094</v>
      </c>
      <c r="F70" s="10">
        <f t="shared" si="22"/>
        <v>3587717.906879094</v>
      </c>
      <c r="G70" s="10">
        <f t="shared" si="22"/>
        <v>3587717.906879094</v>
      </c>
      <c r="H70" s="10">
        <f t="shared" si="22"/>
        <v>3587717.906879094</v>
      </c>
      <c r="I70" s="10">
        <f t="shared" si="22"/>
        <v>3587717.906879094</v>
      </c>
      <c r="J70" s="10">
        <f t="shared" si="22"/>
        <v>3587717.906879094</v>
      </c>
      <c r="K70" s="10">
        <f t="shared" si="22"/>
        <v>3587717.906879094</v>
      </c>
      <c r="L70" s="10">
        <f t="shared" si="22"/>
        <v>3587717.906879094</v>
      </c>
      <c r="M70" s="10">
        <f t="shared" si="22"/>
        <v>3587717.906879094</v>
      </c>
    </row>
    <row r="71" spans="1:23" x14ac:dyDescent="0.25">
      <c r="A71" s="16" t="s">
        <v>189</v>
      </c>
      <c r="B71" s="83">
        <f>B70*B25/12</f>
        <v>11121.925511325191</v>
      </c>
      <c r="C71" s="83">
        <f t="shared" ref="C71:M71" si="23">C70*C25/12</f>
        <v>11121.925511325191</v>
      </c>
      <c r="D71" s="83">
        <f t="shared" si="23"/>
        <v>11121.925511325191</v>
      </c>
      <c r="E71" s="83">
        <f t="shared" si="23"/>
        <v>11121.925511325191</v>
      </c>
      <c r="F71" s="83">
        <f t="shared" si="23"/>
        <v>11121.925511325191</v>
      </c>
      <c r="G71" s="83">
        <f t="shared" si="23"/>
        <v>11121.925511325191</v>
      </c>
      <c r="H71" s="83">
        <f t="shared" si="23"/>
        <v>11121.925511325191</v>
      </c>
      <c r="I71" s="83">
        <f t="shared" si="23"/>
        <v>11121.925511325191</v>
      </c>
      <c r="J71" s="83">
        <f t="shared" si="23"/>
        <v>11121.925511325191</v>
      </c>
      <c r="K71" s="83">
        <f t="shared" si="23"/>
        <v>11121.925511325191</v>
      </c>
      <c r="L71" s="83">
        <f t="shared" si="23"/>
        <v>11121.925511325191</v>
      </c>
      <c r="M71" s="83">
        <f t="shared" si="23"/>
        <v>11121.925511325191</v>
      </c>
      <c r="O71" s="145"/>
    </row>
    <row r="72" spans="1:23" s="78" customFormat="1" x14ac:dyDescent="0.25">
      <c r="A72" s="174" t="s">
        <v>187</v>
      </c>
      <c r="B72" s="11">
        <f>B70+B71</f>
        <v>3598839.8323904192</v>
      </c>
      <c r="C72" s="11">
        <f>C70+SUM($B71:C71)</f>
        <v>3609961.7579017445</v>
      </c>
      <c r="D72" s="11">
        <f>D70+SUM($B71:D71)</f>
        <v>3621083.6834130697</v>
      </c>
      <c r="E72" s="11">
        <f>E70+SUM($B71:E71)</f>
        <v>3632205.6089243949</v>
      </c>
      <c r="F72" s="11">
        <f>F70+SUM($B71:F71)</f>
        <v>3643327.5344357197</v>
      </c>
      <c r="G72" s="11">
        <f>G70+SUM($B71:G71)</f>
        <v>3654449.459947045</v>
      </c>
      <c r="H72" s="11">
        <f>H70+SUM($B71:H71)</f>
        <v>3665571.3854583702</v>
      </c>
      <c r="I72" s="11">
        <f>I70+SUM($B71:I71)</f>
        <v>3676693.3109696954</v>
      </c>
      <c r="J72" s="11">
        <f>J70+SUM($B71:J71)</f>
        <v>3687815.2364810207</v>
      </c>
      <c r="K72" s="11">
        <f>K70+SUM($B71:K71)</f>
        <v>3698937.1619923459</v>
      </c>
      <c r="L72" s="11">
        <f>L70+SUM($B71:L71)</f>
        <v>3710059.0875036712</v>
      </c>
      <c r="M72" s="11">
        <f>M70+SUM($B71:M71)</f>
        <v>3721181.0130149964</v>
      </c>
      <c r="O72" s="175"/>
    </row>
    <row r="75" spans="1:23" x14ac:dyDescent="0.25">
      <c r="A75" s="12" t="s">
        <v>225</v>
      </c>
      <c r="B75" s="13"/>
      <c r="C75" s="13"/>
      <c r="D75" s="13"/>
      <c r="E75" s="13"/>
      <c r="F75" s="13"/>
    </row>
    <row r="76" spans="1:23" x14ac:dyDescent="0.25">
      <c r="A76" s="14"/>
      <c r="B76" s="14" t="s">
        <v>18</v>
      </c>
      <c r="C76" s="14" t="s">
        <v>19</v>
      </c>
      <c r="D76" s="14" t="s">
        <v>25</v>
      </c>
      <c r="E76" s="14" t="s">
        <v>122</v>
      </c>
      <c r="F76" s="14" t="s">
        <v>123</v>
      </c>
    </row>
    <row r="77" spans="1:23" x14ac:dyDescent="0.25">
      <c r="A77" s="16" t="s">
        <v>22</v>
      </c>
      <c r="B77" s="19" t="s">
        <v>20</v>
      </c>
      <c r="C77" s="20">
        <f>SUM(D77:F77)</f>
        <v>0.99999999999999989</v>
      </c>
      <c r="D77" s="20">
        <v>0.68391578249246476</v>
      </c>
      <c r="E77" s="20">
        <v>0.25765327454399539</v>
      </c>
      <c r="F77" s="20">
        <v>5.8430942963539761E-2</v>
      </c>
    </row>
    <row r="78" spans="1:23" x14ac:dyDescent="0.25">
      <c r="A78" s="22" t="s">
        <v>17</v>
      </c>
      <c r="B78" s="23" t="s">
        <v>21</v>
      </c>
      <c r="C78" s="24">
        <f>M72*12/(299-12)</f>
        <v>155589.45002153295</v>
      </c>
      <c r="D78" s="24">
        <f>C78*D77</f>
        <v>106410.08045904894</v>
      </c>
      <c r="E78" s="24">
        <f>C78*E77</f>
        <v>40088.131282547278</v>
      </c>
      <c r="F78" s="24">
        <f>C78*F77</f>
        <v>9091.2382799367115</v>
      </c>
    </row>
    <row r="81" spans="1:6" x14ac:dyDescent="0.25">
      <c r="A81" s="12" t="s">
        <v>182</v>
      </c>
      <c r="B81" s="13"/>
      <c r="C81" s="13"/>
      <c r="D81" s="13"/>
      <c r="E81" s="13"/>
      <c r="F81" s="13"/>
    </row>
    <row r="82" spans="1:6" x14ac:dyDescent="0.25">
      <c r="A82" s="14"/>
      <c r="B82" s="14" t="s">
        <v>18</v>
      </c>
      <c r="C82" s="14" t="s">
        <v>19</v>
      </c>
      <c r="D82" s="14" t="s">
        <v>25</v>
      </c>
      <c r="E82" s="14" t="s">
        <v>122</v>
      </c>
      <c r="F82" s="14" t="s">
        <v>123</v>
      </c>
    </row>
    <row r="83" spans="1:6" x14ac:dyDescent="0.25">
      <c r="A83" s="16" t="s">
        <v>22</v>
      </c>
      <c r="B83" s="19" t="s">
        <v>20</v>
      </c>
      <c r="C83" s="20">
        <f>SUM(D83:F83)</f>
        <v>0.99999999999999989</v>
      </c>
      <c r="D83" s="20">
        <f>D84/$C$84</f>
        <v>0.65885320650699786</v>
      </c>
      <c r="E83" s="20">
        <f t="shared" ref="E83:F83" si="24">E84/$C$84</f>
        <v>0.23141411381248261</v>
      </c>
      <c r="F83" s="20">
        <f t="shared" si="24"/>
        <v>0.10973267968051952</v>
      </c>
    </row>
    <row r="84" spans="1:6" x14ac:dyDescent="0.25">
      <c r="A84" s="22" t="s">
        <v>17</v>
      </c>
      <c r="B84" s="23" t="s">
        <v>21</v>
      </c>
      <c r="C84" s="24">
        <f>SUM(D84:F84)</f>
        <v>792108.26575506735</v>
      </c>
      <c r="D84" s="24">
        <f>D78+D62</f>
        <v>521883.07079342334</v>
      </c>
      <c r="E84" s="24">
        <f>E78+E62</f>
        <v>183305.03236325138</v>
      </c>
      <c r="F84" s="24">
        <f>F78+F62</f>
        <v>86920.162598392635</v>
      </c>
    </row>
    <row r="87" spans="1:6" x14ac:dyDescent="0.25">
      <c r="A87" s="12" t="s">
        <v>183</v>
      </c>
      <c r="B87" s="13"/>
      <c r="C87" s="13"/>
      <c r="D87" s="13"/>
      <c r="E87" s="13"/>
      <c r="F87" s="13"/>
    </row>
    <row r="88" spans="1:6" x14ac:dyDescent="0.25">
      <c r="A88" s="14"/>
      <c r="B88" s="14" t="s">
        <v>18</v>
      </c>
      <c r="C88" s="14" t="s">
        <v>19</v>
      </c>
      <c r="D88" s="14" t="s">
        <v>25</v>
      </c>
      <c r="E88" s="14" t="s">
        <v>122</v>
      </c>
      <c r="F88" s="14" t="s">
        <v>123</v>
      </c>
    </row>
    <row r="89" spans="1:6" ht="16.5" x14ac:dyDescent="0.25">
      <c r="A89" s="16" t="s">
        <v>24</v>
      </c>
      <c r="B89" s="17" t="s">
        <v>27</v>
      </c>
      <c r="C89" s="18">
        <f>SUM(D89:F89)</f>
        <v>13257.002210030671</v>
      </c>
      <c r="D89" s="18">
        <f>'Load Forecast'!A7</f>
        <v>8662.8848775633542</v>
      </c>
      <c r="E89" s="18">
        <f>'Load Forecast'!B7</f>
        <v>2918.610612467317</v>
      </c>
      <c r="F89" s="18">
        <f>'Load Forecast'!C7</f>
        <v>1675.5067199999999</v>
      </c>
    </row>
    <row r="90" spans="1:6" x14ac:dyDescent="0.25">
      <c r="A90" s="16" t="s">
        <v>22</v>
      </c>
      <c r="B90" s="19" t="s">
        <v>20</v>
      </c>
      <c r="C90" s="20">
        <f>SUM(D90:F90)</f>
        <v>0.99999999999999989</v>
      </c>
      <c r="D90" s="25">
        <f>D61</f>
        <v>0.65272695804848546</v>
      </c>
      <c r="E90" s="25">
        <f>E61</f>
        <v>0.22500026321399255</v>
      </c>
      <c r="F90" s="25">
        <f>F61</f>
        <v>0.12227277873752186</v>
      </c>
    </row>
    <row r="91" spans="1:6" x14ac:dyDescent="0.25">
      <c r="A91" s="26" t="s">
        <v>17</v>
      </c>
      <c r="B91" s="27" t="s">
        <v>21</v>
      </c>
      <c r="C91" s="57">
        <f>SUM(D91:F91)</f>
        <v>792108.26575506735</v>
      </c>
      <c r="D91" s="28">
        <f>D89*D92*10</f>
        <v>521883.07079342334</v>
      </c>
      <c r="E91" s="28">
        <f t="shared" ref="E91:F91" si="25">E89*E92*10</f>
        <v>183305.03236325138</v>
      </c>
      <c r="F91" s="28">
        <f t="shared" si="25"/>
        <v>86920.162598392635</v>
      </c>
    </row>
    <row r="92" spans="1:6" ht="17.25" x14ac:dyDescent="0.25">
      <c r="A92" s="22" t="s">
        <v>23</v>
      </c>
      <c r="B92" s="23" t="s">
        <v>28</v>
      </c>
      <c r="C92" s="29"/>
      <c r="D92" s="29">
        <f>D84/D89/10</f>
        <v>6.0243565298332298</v>
      </c>
      <c r="E92" s="29">
        <f t="shared" ref="E92:F92" si="26">E84/E89/10</f>
        <v>6.28055800181889</v>
      </c>
      <c r="F92" s="29">
        <f t="shared" si="26"/>
        <v>5.1876940605999264</v>
      </c>
    </row>
    <row r="94" spans="1:6" x14ac:dyDescent="0.25">
      <c r="A94" s="58"/>
      <c r="B94" s="140"/>
      <c r="C94" s="58"/>
    </row>
    <row r="95" spans="1:6" x14ac:dyDescent="0.25">
      <c r="A95" s="58"/>
      <c r="B95" s="140"/>
      <c r="C95" s="58"/>
    </row>
    <row r="96" spans="1:6" x14ac:dyDescent="0.25">
      <c r="E96" s="145"/>
    </row>
    <row r="97" spans="1:5" x14ac:dyDescent="0.25">
      <c r="A97" s="58"/>
      <c r="B97" s="140"/>
    </row>
    <row r="98" spans="1:5" x14ac:dyDescent="0.25">
      <c r="A98" s="58"/>
      <c r="B98" s="140"/>
    </row>
    <row r="99" spans="1:5" x14ac:dyDescent="0.25">
      <c r="A99" s="58"/>
      <c r="B99" s="141"/>
      <c r="D99" s="142"/>
      <c r="E99" s="144"/>
    </row>
    <row r="100" spans="1:5" x14ac:dyDescent="0.25">
      <c r="B100" s="143"/>
      <c r="E100" s="145"/>
    </row>
    <row r="101" spans="1:5" x14ac:dyDescent="0.25">
      <c r="D101" s="142"/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57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C565-10D7-4E2E-96F4-94DA5BE9843F}">
  <sheetPr>
    <pageSetUpPr fitToPage="1"/>
  </sheetPr>
  <dimension ref="A1:AB79"/>
  <sheetViews>
    <sheetView showGridLines="0" zoomScale="80" zoomScaleNormal="80" zoomScaleSheetLayoutView="85" workbookViewId="0">
      <selection activeCell="D71" sqref="D71"/>
    </sheetView>
  </sheetViews>
  <sheetFormatPr defaultColWidth="12.5703125" defaultRowHeight="15" x14ac:dyDescent="0.25"/>
  <cols>
    <col min="1" max="1" width="37.85546875" customWidth="1"/>
    <col min="2" max="3" width="13" bestFit="1" customWidth="1"/>
    <col min="4" max="4" width="15.140625" bestFit="1" customWidth="1"/>
    <col min="5" max="13" width="13" bestFit="1" customWidth="1"/>
    <col min="14" max="14" width="1.5703125" customWidth="1"/>
    <col min="15" max="15" width="12.28515625" bestFit="1" customWidth="1"/>
  </cols>
  <sheetData>
    <row r="1" spans="1:28" s="2" customFormat="1" x14ac:dyDescent="0.25">
      <c r="A1" s="2" t="s">
        <v>0</v>
      </c>
    </row>
    <row r="2" spans="1:28" s="2" customFormat="1" x14ac:dyDescent="0.25">
      <c r="A2" s="2" t="str">
        <f>CIACVA!A2</f>
        <v>EB-2026-0149</v>
      </c>
    </row>
    <row r="3" spans="1:28" s="2" customFormat="1" x14ac:dyDescent="0.25">
      <c r="A3" s="2" t="s">
        <v>101</v>
      </c>
    </row>
    <row r="4" spans="1:28" s="2" customFormat="1" x14ac:dyDescent="0.25">
      <c r="A4" s="2" t="s">
        <v>38</v>
      </c>
    </row>
    <row r="5" spans="1:28" x14ac:dyDescent="0.25">
      <c r="A5" s="3"/>
      <c r="B5" s="4">
        <v>2025</v>
      </c>
      <c r="C5" s="4">
        <v>2025</v>
      </c>
      <c r="D5" s="4">
        <v>2025</v>
      </c>
      <c r="E5" s="4">
        <v>2025</v>
      </c>
      <c r="F5" s="4">
        <v>2025</v>
      </c>
      <c r="G5" s="4">
        <v>2025</v>
      </c>
      <c r="H5" s="4">
        <v>2025</v>
      </c>
      <c r="I5" s="4">
        <v>2025</v>
      </c>
      <c r="J5" s="4">
        <v>2025</v>
      </c>
      <c r="K5" s="4">
        <v>2025</v>
      </c>
      <c r="L5" s="4">
        <v>2025</v>
      </c>
      <c r="M5" s="4">
        <v>2025</v>
      </c>
      <c r="O5" s="4">
        <v>2026</v>
      </c>
    </row>
    <row r="6" spans="1:28" x14ac:dyDescent="0.25">
      <c r="A6" s="5"/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O6" s="6" t="s">
        <v>26</v>
      </c>
    </row>
    <row r="7" spans="1:28" x14ac:dyDescent="0.25">
      <c r="A7" s="7"/>
      <c r="B7" s="35"/>
      <c r="C7" s="35"/>
      <c r="D7" s="35"/>
      <c r="E7" s="35"/>
      <c r="F7" s="36"/>
      <c r="G7" s="36"/>
      <c r="H7" s="37"/>
      <c r="I7" s="36"/>
      <c r="J7" s="36"/>
      <c r="K7" s="36"/>
      <c r="L7" s="36"/>
      <c r="M7" s="36"/>
      <c r="O7" s="36"/>
    </row>
    <row r="8" spans="1:28" x14ac:dyDescent="0.25">
      <c r="A8" s="7" t="s">
        <v>106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>
        <v>0</v>
      </c>
      <c r="L8" s="83">
        <v>0</v>
      </c>
      <c r="M8" s="83">
        <v>0</v>
      </c>
      <c r="O8" s="8"/>
    </row>
    <row r="9" spans="1:28" x14ac:dyDescent="0.25">
      <c r="A9" s="7" t="s">
        <v>107</v>
      </c>
      <c r="B9" s="83">
        <v>21049.935822119955</v>
      </c>
      <c r="C9" s="83">
        <v>21039.276357498307</v>
      </c>
      <c r="D9" s="83">
        <v>21237.983947052293</v>
      </c>
      <c r="E9" s="83">
        <v>21316.854300373561</v>
      </c>
      <c r="F9" s="83">
        <v>21603.119566177058</v>
      </c>
      <c r="G9" s="83">
        <v>21768.374345869885</v>
      </c>
      <c r="H9" s="83">
        <v>21737.258696637651</v>
      </c>
      <c r="I9" s="83">
        <v>21737.671129953636</v>
      </c>
      <c r="J9" s="83">
        <v>21721.115741628848</v>
      </c>
      <c r="K9" s="83">
        <v>21393.654226717084</v>
      </c>
      <c r="L9" s="83">
        <v>20705.427612762909</v>
      </c>
      <c r="M9" s="83">
        <v>20972.496399605843</v>
      </c>
      <c r="O9" s="8"/>
    </row>
    <row r="10" spans="1:28" x14ac:dyDescent="0.25">
      <c r="A10" s="7" t="s">
        <v>108</v>
      </c>
      <c r="B10" s="83">
        <v>3223.2601287551997</v>
      </c>
      <c r="C10" s="83">
        <v>2866.4319109152002</v>
      </c>
      <c r="D10" s="83">
        <v>3031.1015255184002</v>
      </c>
      <c r="E10" s="83">
        <v>2695.6389478823999</v>
      </c>
      <c r="F10" s="83">
        <v>2521.5559152864002</v>
      </c>
      <c r="G10" s="83">
        <v>1801.9656</v>
      </c>
      <c r="H10" s="83">
        <v>2010.2235999999998</v>
      </c>
      <c r="I10" s="83">
        <v>1959.96</v>
      </c>
      <c r="J10" s="83">
        <v>2218.3992000000003</v>
      </c>
      <c r="K10" s="83">
        <v>2504.1861935023999</v>
      </c>
      <c r="L10" s="83">
        <v>2751.7596963984006</v>
      </c>
      <c r="M10" s="83">
        <v>3604.2392571695996</v>
      </c>
      <c r="O10" s="8"/>
    </row>
    <row r="11" spans="1:28" x14ac:dyDescent="0.25">
      <c r="A11" s="7" t="s">
        <v>109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O11" s="8"/>
    </row>
    <row r="12" spans="1:28" x14ac:dyDescent="0.25">
      <c r="A12" s="7" t="s">
        <v>110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O12" s="8"/>
    </row>
    <row r="13" spans="1:28" x14ac:dyDescent="0.25">
      <c r="A13" s="7" t="s">
        <v>111</v>
      </c>
      <c r="B13" s="31">
        <v>12218.337370122896</v>
      </c>
      <c r="C13" s="31">
        <v>12218.337370122896</v>
      </c>
      <c r="D13" s="31">
        <v>12218.337370122896</v>
      </c>
      <c r="E13" s="31">
        <v>12218.337370122896</v>
      </c>
      <c r="F13" s="31">
        <v>12218.337370122896</v>
      </c>
      <c r="G13" s="31">
        <v>12218.337370122896</v>
      </c>
      <c r="H13" s="31">
        <v>12218.337370122896</v>
      </c>
      <c r="I13" s="31">
        <v>12218.337370122896</v>
      </c>
      <c r="J13" s="31">
        <v>12218.337370122896</v>
      </c>
      <c r="K13" s="31">
        <v>12218.337370122896</v>
      </c>
      <c r="L13" s="31">
        <v>12218.337370122896</v>
      </c>
      <c r="M13" s="31">
        <v>12218.337370122896</v>
      </c>
      <c r="O13" s="8"/>
    </row>
    <row r="14" spans="1:28" x14ac:dyDescent="0.25">
      <c r="A14" s="7" t="s">
        <v>112</v>
      </c>
      <c r="B14" s="83">
        <f>SUM(B8:B13)</f>
        <v>36491.533320998045</v>
      </c>
      <c r="C14" s="83">
        <f t="shared" ref="C14:M14" si="0">SUM(C8:C13)</f>
        <v>36124.045638536409</v>
      </c>
      <c r="D14" s="83">
        <f t="shared" si="0"/>
        <v>36487.422842693588</v>
      </c>
      <c r="E14" s="83">
        <f t="shared" si="0"/>
        <v>36230.830618378852</v>
      </c>
      <c r="F14" s="83">
        <f t="shared" si="0"/>
        <v>36343.012851586354</v>
      </c>
      <c r="G14" s="83">
        <f t="shared" si="0"/>
        <v>35788.677315992783</v>
      </c>
      <c r="H14" s="83">
        <f t="shared" si="0"/>
        <v>35965.819666760552</v>
      </c>
      <c r="I14" s="83">
        <f t="shared" si="0"/>
        <v>35915.968500076531</v>
      </c>
      <c r="J14" s="83">
        <f t="shared" si="0"/>
        <v>36157.852311751747</v>
      </c>
      <c r="K14" s="83">
        <f t="shared" si="0"/>
        <v>36116.177790342379</v>
      </c>
      <c r="L14" s="83">
        <f t="shared" si="0"/>
        <v>35675.524679284208</v>
      </c>
      <c r="M14" s="83">
        <f t="shared" si="0"/>
        <v>36795.073026898339</v>
      </c>
      <c r="O14" s="8"/>
    </row>
    <row r="15" spans="1:28" x14ac:dyDescent="0.25">
      <c r="A15" s="7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O15" s="8"/>
    </row>
    <row r="16" spans="1:28" x14ac:dyDescent="0.25">
      <c r="A16" s="7" t="s">
        <v>113</v>
      </c>
      <c r="B16" s="83">
        <v>-17535.699999999997</v>
      </c>
      <c r="C16" s="83">
        <v>-17535.699999999997</v>
      </c>
      <c r="D16" s="83">
        <v>-17535.699999999997</v>
      </c>
      <c r="E16" s="83">
        <v>-17535.699999999997</v>
      </c>
      <c r="F16" s="83">
        <v>-17535.699999999997</v>
      </c>
      <c r="G16" s="83">
        <v>-17535.699999999997</v>
      </c>
      <c r="H16" s="83">
        <v>-17535.699999999997</v>
      </c>
      <c r="I16" s="83">
        <v>-17535.699999999997</v>
      </c>
      <c r="J16" s="83">
        <v>-17535.699999999997</v>
      </c>
      <c r="K16" s="83">
        <v>-17535.699999999997</v>
      </c>
      <c r="L16" s="83">
        <v>-17535.699999999997</v>
      </c>
      <c r="M16" s="83">
        <v>-17535.699999999997</v>
      </c>
      <c r="O16" s="8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</row>
    <row r="17" spans="1:28" x14ac:dyDescent="0.25">
      <c r="A17" s="7" t="s">
        <v>114</v>
      </c>
      <c r="B17" s="31">
        <v>-13648.6</v>
      </c>
      <c r="C17" s="31">
        <v>-13648.6</v>
      </c>
      <c r="D17" s="31">
        <v>-13648.6</v>
      </c>
      <c r="E17" s="31">
        <v>-13648.6</v>
      </c>
      <c r="F17" s="31">
        <v>-13648.6</v>
      </c>
      <c r="G17" s="31">
        <v>-13648.6</v>
      </c>
      <c r="H17" s="31">
        <v>-13648.6</v>
      </c>
      <c r="I17" s="31">
        <v>-13648.6</v>
      </c>
      <c r="J17" s="31">
        <v>-13648.6</v>
      </c>
      <c r="K17" s="31">
        <v>-13648.6</v>
      </c>
      <c r="L17" s="31">
        <v>-13648.6</v>
      </c>
      <c r="M17" s="31">
        <v>-13648.6</v>
      </c>
      <c r="O17" s="8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</row>
    <row r="18" spans="1:28" s="78" customFormat="1" x14ac:dyDescent="0.25">
      <c r="A18" s="42" t="s">
        <v>88</v>
      </c>
      <c r="B18" s="10">
        <f>B14+B16+B17</f>
        <v>5307.2333209980479</v>
      </c>
      <c r="C18" s="10">
        <f t="shared" ref="C18:M18" si="1">C14+C16+C17</f>
        <v>4939.7456385364112</v>
      </c>
      <c r="D18" s="10">
        <f t="shared" si="1"/>
        <v>5303.1228426935904</v>
      </c>
      <c r="E18" s="10">
        <f t="shared" si="1"/>
        <v>5046.5306183788543</v>
      </c>
      <c r="F18" s="10">
        <f t="shared" si="1"/>
        <v>5158.7128515863569</v>
      </c>
      <c r="G18" s="10">
        <f t="shared" si="1"/>
        <v>4604.377315992786</v>
      </c>
      <c r="H18" s="10">
        <f t="shared" si="1"/>
        <v>4781.5196667605542</v>
      </c>
      <c r="I18" s="10">
        <f t="shared" si="1"/>
        <v>4731.6685000765337</v>
      </c>
      <c r="J18" s="10">
        <f t="shared" si="1"/>
        <v>4973.5523117517496</v>
      </c>
      <c r="K18" s="10">
        <f t="shared" si="1"/>
        <v>4931.8777903423816</v>
      </c>
      <c r="L18" s="10">
        <f t="shared" si="1"/>
        <v>4491.2246792842107</v>
      </c>
      <c r="M18" s="10">
        <f t="shared" si="1"/>
        <v>5610.7730268983414</v>
      </c>
      <c r="O18" s="84"/>
    </row>
    <row r="19" spans="1:28" x14ac:dyDescent="0.25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O19" s="8"/>
    </row>
    <row r="20" spans="1:28" x14ac:dyDescent="0.25">
      <c r="A20" s="7" t="s">
        <v>102</v>
      </c>
      <c r="B20" s="32">
        <v>0</v>
      </c>
      <c r="C20" s="32">
        <f>B22</f>
        <v>5307.2333209980479</v>
      </c>
      <c r="D20" s="32">
        <f t="shared" ref="D20:M20" si="2">C22</f>
        <v>10246.978959534459</v>
      </c>
      <c r="E20" s="32">
        <f t="shared" si="2"/>
        <v>15550.10180222805</v>
      </c>
      <c r="F20" s="32">
        <f t="shared" si="2"/>
        <v>20596.632420606904</v>
      </c>
      <c r="G20" s="32">
        <f t="shared" si="2"/>
        <v>25755.345272193263</v>
      </c>
      <c r="H20" s="32">
        <f t="shared" si="2"/>
        <v>30359.72258818605</v>
      </c>
      <c r="I20" s="32">
        <f t="shared" si="2"/>
        <v>35141.242254946606</v>
      </c>
      <c r="J20" s="32">
        <f>I22</f>
        <v>39872.910755023142</v>
      </c>
      <c r="K20" s="32">
        <f t="shared" si="2"/>
        <v>44846.463066774893</v>
      </c>
      <c r="L20" s="32">
        <f t="shared" si="2"/>
        <v>49778.340857117277</v>
      </c>
      <c r="M20" s="32">
        <f t="shared" si="2"/>
        <v>54269.565536401489</v>
      </c>
      <c r="N20" s="1"/>
      <c r="O20" s="10"/>
    </row>
    <row r="21" spans="1:28" x14ac:dyDescent="0.25">
      <c r="A21" s="7" t="s">
        <v>103</v>
      </c>
      <c r="B21" s="31">
        <f>B18</f>
        <v>5307.2333209980479</v>
      </c>
      <c r="C21" s="31">
        <f t="shared" ref="C21:M21" si="3">C18</f>
        <v>4939.7456385364112</v>
      </c>
      <c r="D21" s="31">
        <f t="shared" si="3"/>
        <v>5303.1228426935904</v>
      </c>
      <c r="E21" s="31">
        <f t="shared" si="3"/>
        <v>5046.5306183788543</v>
      </c>
      <c r="F21" s="31">
        <f t="shared" si="3"/>
        <v>5158.7128515863569</v>
      </c>
      <c r="G21" s="31">
        <f t="shared" si="3"/>
        <v>4604.377315992786</v>
      </c>
      <c r="H21" s="31">
        <f t="shared" si="3"/>
        <v>4781.5196667605542</v>
      </c>
      <c r="I21" s="31">
        <f t="shared" si="3"/>
        <v>4731.6685000765337</v>
      </c>
      <c r="J21" s="31">
        <f t="shared" si="3"/>
        <v>4973.5523117517496</v>
      </c>
      <c r="K21" s="31">
        <f t="shared" si="3"/>
        <v>4931.8777903423816</v>
      </c>
      <c r="L21" s="31">
        <f t="shared" si="3"/>
        <v>4491.2246792842107</v>
      </c>
      <c r="M21" s="31">
        <f t="shared" si="3"/>
        <v>5610.7730268983414</v>
      </c>
      <c r="N21" s="1"/>
      <c r="O21" s="10"/>
      <c r="R21" s="99"/>
    </row>
    <row r="22" spans="1:28" s="78" customFormat="1" x14ac:dyDescent="0.25">
      <c r="A22" s="42" t="s">
        <v>104</v>
      </c>
      <c r="B22" s="10">
        <f>SUM(B20:B21)</f>
        <v>5307.2333209980479</v>
      </c>
      <c r="C22" s="10">
        <f t="shared" ref="C22:M22" si="4">SUM(C20:C21)</f>
        <v>10246.978959534459</v>
      </c>
      <c r="D22" s="10">
        <f t="shared" si="4"/>
        <v>15550.10180222805</v>
      </c>
      <c r="E22" s="10">
        <f t="shared" si="4"/>
        <v>20596.632420606904</v>
      </c>
      <c r="F22" s="10">
        <f t="shared" si="4"/>
        <v>25755.345272193263</v>
      </c>
      <c r="G22" s="10">
        <f t="shared" si="4"/>
        <v>30359.72258818605</v>
      </c>
      <c r="H22" s="10">
        <f t="shared" si="4"/>
        <v>35141.242254946606</v>
      </c>
      <c r="I22" s="10">
        <f t="shared" si="4"/>
        <v>39872.910755023142</v>
      </c>
      <c r="J22" s="10">
        <f t="shared" si="4"/>
        <v>44846.463066774893</v>
      </c>
      <c r="K22" s="10">
        <f t="shared" si="4"/>
        <v>49778.340857117277</v>
      </c>
      <c r="L22" s="10">
        <f t="shared" si="4"/>
        <v>54269.565536401489</v>
      </c>
      <c r="M22" s="10">
        <f t="shared" si="4"/>
        <v>59880.338563299832</v>
      </c>
      <c r="N22" s="85"/>
      <c r="O22" s="10"/>
    </row>
    <row r="23" spans="1:28" x14ac:dyDescent="0.25">
      <c r="A23" s="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"/>
      <c r="O23" s="10"/>
    </row>
    <row r="24" spans="1:28" x14ac:dyDescent="0.25">
      <c r="A24" s="7" t="s">
        <v>13</v>
      </c>
      <c r="B24" s="73">
        <v>3.7199999999999997E-2</v>
      </c>
      <c r="C24" s="73">
        <v>3.7199999999999997E-2</v>
      </c>
      <c r="D24" s="73">
        <v>3.7199999999999997E-2</v>
      </c>
      <c r="E24" s="73">
        <v>3.7199999999999997E-2</v>
      </c>
      <c r="F24" s="73">
        <v>3.7199999999999997E-2</v>
      </c>
      <c r="G24" s="73">
        <v>3.7199999999999997E-2</v>
      </c>
      <c r="H24" s="73">
        <v>3.7199999999999997E-2</v>
      </c>
      <c r="I24" s="73">
        <v>3.7199999999999997E-2</v>
      </c>
      <c r="J24" s="73">
        <v>3.7199999999999997E-2</v>
      </c>
      <c r="K24" s="73">
        <v>3.7199999999999997E-2</v>
      </c>
      <c r="L24" s="73">
        <v>3.7199999999999997E-2</v>
      </c>
      <c r="M24" s="73">
        <v>3.7199999999999997E-2</v>
      </c>
      <c r="N24" s="73">
        <v>3.7199999999999997E-2</v>
      </c>
      <c r="O24" s="34">
        <f>M24</f>
        <v>3.7199999999999997E-2</v>
      </c>
    </row>
    <row r="25" spans="1:28" x14ac:dyDescent="0.25">
      <c r="A25" s="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"/>
      <c r="O25" s="10"/>
    </row>
    <row r="26" spans="1:28" x14ac:dyDescent="0.25">
      <c r="A26" s="7" t="s">
        <v>14</v>
      </c>
      <c r="B26" s="32">
        <v>0</v>
      </c>
      <c r="C26" s="32">
        <f>B28</f>
        <v>0</v>
      </c>
      <c r="D26" s="32">
        <f t="shared" ref="D26:M26" si="5">C28</f>
        <v>16.452423295093947</v>
      </c>
      <c r="E26" s="32">
        <f t="shared" si="5"/>
        <v>48.218058069650766</v>
      </c>
      <c r="F26" s="32">
        <f t="shared" si="5"/>
        <v>96.423373656557715</v>
      </c>
      <c r="G26" s="32">
        <f t="shared" si="5"/>
        <v>160.27293416043912</v>
      </c>
      <c r="H26" s="32">
        <f t="shared" si="5"/>
        <v>240.11450450423823</v>
      </c>
      <c r="I26" s="32">
        <f t="shared" si="5"/>
        <v>334.22964452761499</v>
      </c>
      <c r="J26" s="32">
        <f t="shared" si="5"/>
        <v>443.16749551794948</v>
      </c>
      <c r="K26" s="32">
        <f t="shared" si="5"/>
        <v>566.77351885852124</v>
      </c>
      <c r="L26" s="32">
        <f t="shared" si="5"/>
        <v>705.79755436552341</v>
      </c>
      <c r="M26" s="32">
        <f t="shared" si="5"/>
        <v>860.11041102258696</v>
      </c>
      <c r="N26" s="1"/>
      <c r="O26" s="32">
        <f t="shared" ref="O26" si="6">M28</f>
        <v>1028.3460641854315</v>
      </c>
    </row>
    <row r="27" spans="1:28" x14ac:dyDescent="0.25">
      <c r="A27" s="7" t="s">
        <v>15</v>
      </c>
      <c r="B27" s="31">
        <f>B20*B24/12</f>
        <v>0</v>
      </c>
      <c r="C27" s="31">
        <f t="shared" ref="C27:M27" si="7">C20*C24/12</f>
        <v>16.452423295093947</v>
      </c>
      <c r="D27" s="31">
        <f t="shared" si="7"/>
        <v>31.765634774556819</v>
      </c>
      <c r="E27" s="31">
        <f t="shared" si="7"/>
        <v>48.205315586906949</v>
      </c>
      <c r="F27" s="31">
        <f t="shared" si="7"/>
        <v>63.849560503881399</v>
      </c>
      <c r="G27" s="31">
        <f t="shared" si="7"/>
        <v>79.841570343799106</v>
      </c>
      <c r="H27" s="31">
        <f t="shared" si="7"/>
        <v>94.115140023376753</v>
      </c>
      <c r="I27" s="31">
        <f t="shared" si="7"/>
        <v>108.93785099033447</v>
      </c>
      <c r="J27" s="31">
        <f t="shared" si="7"/>
        <v>123.60602334057172</v>
      </c>
      <c r="K27" s="31">
        <f t="shared" si="7"/>
        <v>139.02403550700214</v>
      </c>
      <c r="L27" s="31">
        <f t="shared" si="7"/>
        <v>154.31285665706355</v>
      </c>
      <c r="M27" s="31">
        <f t="shared" si="7"/>
        <v>168.23565316284461</v>
      </c>
      <c r="N27" s="31">
        <f t="shared" ref="N27" si="8">N22*N24/12</f>
        <v>0</v>
      </c>
      <c r="O27" s="31">
        <f>M22*O24</f>
        <v>2227.5485945547534</v>
      </c>
    </row>
    <row r="28" spans="1:28" x14ac:dyDescent="0.25">
      <c r="A28" s="33" t="s">
        <v>16</v>
      </c>
      <c r="B28" s="11">
        <f>SUM(B26:B27)</f>
        <v>0</v>
      </c>
      <c r="C28" s="11">
        <f t="shared" ref="C28:M28" si="9">SUM(C26:C27)</f>
        <v>16.452423295093947</v>
      </c>
      <c r="D28" s="11">
        <f t="shared" si="9"/>
        <v>48.218058069650766</v>
      </c>
      <c r="E28" s="11">
        <f t="shared" si="9"/>
        <v>96.423373656557715</v>
      </c>
      <c r="F28" s="11">
        <f t="shared" si="9"/>
        <v>160.27293416043912</v>
      </c>
      <c r="G28" s="11">
        <f t="shared" si="9"/>
        <v>240.11450450423823</v>
      </c>
      <c r="H28" s="11">
        <f t="shared" si="9"/>
        <v>334.22964452761499</v>
      </c>
      <c r="I28" s="11">
        <f t="shared" si="9"/>
        <v>443.16749551794948</v>
      </c>
      <c r="J28" s="11">
        <f t="shared" si="9"/>
        <v>566.77351885852124</v>
      </c>
      <c r="K28" s="11">
        <f t="shared" si="9"/>
        <v>705.79755436552341</v>
      </c>
      <c r="L28" s="11">
        <f t="shared" si="9"/>
        <v>860.11041102258696</v>
      </c>
      <c r="M28" s="11">
        <f t="shared" si="9"/>
        <v>1028.3460641854315</v>
      </c>
      <c r="N28" s="1"/>
      <c r="O28" s="11">
        <f>SUM(O26:O27)</f>
        <v>3255.8946587401852</v>
      </c>
    </row>
    <row r="29" spans="1:28" x14ac:dyDescent="0.25">
      <c r="A29" s="2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O29" s="30"/>
    </row>
    <row r="30" spans="1:28" x14ac:dyDescent="0.25">
      <c r="E30" s="13"/>
      <c r="F30" s="13"/>
      <c r="G30" s="13"/>
      <c r="H30" s="13"/>
      <c r="I30" s="13"/>
    </row>
    <row r="31" spans="1:28" x14ac:dyDescent="0.25">
      <c r="A31" s="12" t="s">
        <v>105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8" ht="45" x14ac:dyDescent="0.25">
      <c r="A32" s="14"/>
      <c r="B32" s="14" t="s">
        <v>46</v>
      </c>
      <c r="C32" s="14" t="s">
        <v>150</v>
      </c>
      <c r="D32" s="14" t="s">
        <v>151</v>
      </c>
      <c r="E32" s="13"/>
      <c r="F32" s="13"/>
      <c r="G32" s="13"/>
      <c r="H32" s="13"/>
      <c r="I32" s="13"/>
      <c r="J32" s="15"/>
      <c r="K32" s="15"/>
      <c r="L32" s="13"/>
    </row>
    <row r="33" spans="1:22" x14ac:dyDescent="0.25">
      <c r="A33" s="51" t="s">
        <v>34</v>
      </c>
      <c r="B33" s="52">
        <f>M22</f>
        <v>59880.338563299832</v>
      </c>
      <c r="C33" s="52"/>
      <c r="D33" s="52">
        <f>B33+C33</f>
        <v>59880.338563299832</v>
      </c>
      <c r="E33" s="13"/>
      <c r="F33" s="13"/>
      <c r="G33" s="13"/>
      <c r="H33" s="13"/>
      <c r="I33" s="13"/>
      <c r="J33" s="13"/>
      <c r="K33" s="13"/>
      <c r="L33" s="13"/>
    </row>
    <row r="34" spans="1:22" x14ac:dyDescent="0.25">
      <c r="A34" s="16" t="s">
        <v>35</v>
      </c>
      <c r="B34" s="56">
        <f>M28</f>
        <v>1028.3460641854315</v>
      </c>
      <c r="C34" s="56">
        <f>O27</f>
        <v>2227.5485945547534</v>
      </c>
      <c r="D34" s="56">
        <f t="shared" ref="D34:D35" si="10">B34+C34</f>
        <v>3255.8946587401852</v>
      </c>
      <c r="E34" s="13"/>
      <c r="F34" s="13"/>
      <c r="G34" s="13"/>
      <c r="H34" s="13"/>
      <c r="I34" s="13"/>
      <c r="J34" s="21"/>
      <c r="K34" s="21"/>
      <c r="L34" s="13"/>
    </row>
    <row r="35" spans="1:22" x14ac:dyDescent="0.25">
      <c r="A35" s="22" t="s">
        <v>17</v>
      </c>
      <c r="B35" s="53">
        <f>B34+B33</f>
        <v>60908.684627485265</v>
      </c>
      <c r="C35" s="53">
        <f t="shared" ref="C35" si="11">C34+C33</f>
        <v>2227.5485945547534</v>
      </c>
      <c r="D35" s="53">
        <f t="shared" si="10"/>
        <v>63136.23322204002</v>
      </c>
      <c r="E35" s="13"/>
      <c r="F35" s="13"/>
      <c r="G35" s="13"/>
      <c r="H35" s="13"/>
      <c r="I35" s="13"/>
      <c r="J35" s="13"/>
      <c r="K35" s="13"/>
      <c r="L35" s="13"/>
    </row>
    <row r="36" spans="1:22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8" spans="1:22" x14ac:dyDescent="0.25">
      <c r="A38" s="12" t="s">
        <v>144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22" x14ac:dyDescent="0.25">
      <c r="A39" s="14"/>
      <c r="B39" s="14" t="s">
        <v>18</v>
      </c>
      <c r="C39" s="14" t="s">
        <v>19</v>
      </c>
      <c r="D39" s="14" t="s">
        <v>124</v>
      </c>
      <c r="E39" s="15"/>
      <c r="F39" s="15"/>
      <c r="G39" s="15"/>
      <c r="H39" s="13"/>
    </row>
    <row r="40" spans="1:22" x14ac:dyDescent="0.25">
      <c r="A40" s="16" t="s">
        <v>22</v>
      </c>
      <c r="B40" s="19" t="s">
        <v>20</v>
      </c>
      <c r="C40" s="20">
        <f>SUM(D40:D40)</f>
        <v>1</v>
      </c>
      <c r="D40" s="20">
        <v>1</v>
      </c>
      <c r="E40" s="21"/>
      <c r="F40" s="21"/>
      <c r="G40" s="21"/>
      <c r="H40" s="13"/>
    </row>
    <row r="41" spans="1:22" x14ac:dyDescent="0.25">
      <c r="A41" s="22" t="s">
        <v>17</v>
      </c>
      <c r="B41" s="23" t="s">
        <v>21</v>
      </c>
      <c r="C41" s="24">
        <f>SUM(D41:D41)</f>
        <v>63136.23322204002</v>
      </c>
      <c r="D41" s="24">
        <f>D40*($O$28+$M$22)</f>
        <v>63136.23322204002</v>
      </c>
      <c r="E41" s="13"/>
      <c r="F41" s="13"/>
      <c r="G41" s="13"/>
      <c r="H41" s="13"/>
    </row>
    <row r="42" spans="1:22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4" spans="1:22" x14ac:dyDescent="0.25">
      <c r="A44" s="12" t="s">
        <v>191</v>
      </c>
    </row>
    <row r="45" spans="1:22" x14ac:dyDescent="0.25">
      <c r="A45" s="3" t="s">
        <v>188</v>
      </c>
      <c r="B45" s="4">
        <v>2026</v>
      </c>
      <c r="C45" s="4">
        <v>2026</v>
      </c>
      <c r="D45" s="4">
        <v>2026</v>
      </c>
      <c r="E45" s="4">
        <v>2026</v>
      </c>
      <c r="F45" s="4">
        <v>2026</v>
      </c>
      <c r="G45" s="4">
        <v>2026</v>
      </c>
      <c r="H45" s="4">
        <v>2026</v>
      </c>
      <c r="I45" s="4">
        <v>2026</v>
      </c>
      <c r="J45" s="4">
        <v>2026</v>
      </c>
      <c r="K45" s="4">
        <v>2026</v>
      </c>
      <c r="L45" s="4">
        <v>2026</v>
      </c>
      <c r="M45" s="4">
        <v>2026</v>
      </c>
      <c r="S45" s="102"/>
      <c r="T45" s="102" t="s">
        <v>188</v>
      </c>
      <c r="U45" s="102" t="s">
        <v>151</v>
      </c>
      <c r="V45" s="102" t="s">
        <v>199</v>
      </c>
    </row>
    <row r="46" spans="1:22" x14ac:dyDescent="0.25">
      <c r="A46" s="171"/>
      <c r="B46" s="172" t="s">
        <v>1</v>
      </c>
      <c r="C46" s="172" t="s">
        <v>2</v>
      </c>
      <c r="D46" s="172" t="s">
        <v>3</v>
      </c>
      <c r="E46" s="172" t="s">
        <v>4</v>
      </c>
      <c r="F46" s="172" t="s">
        <v>5</v>
      </c>
      <c r="G46" s="172" t="s">
        <v>6</v>
      </c>
      <c r="H46" s="172" t="s">
        <v>7</v>
      </c>
      <c r="I46" s="172" t="s">
        <v>8</v>
      </c>
      <c r="J46" s="172" t="s">
        <v>9</v>
      </c>
      <c r="K46" s="172" t="s">
        <v>10</v>
      </c>
      <c r="L46" s="172" t="s">
        <v>11</v>
      </c>
      <c r="M46" s="172" t="s">
        <v>12</v>
      </c>
      <c r="S46" s="106" t="s">
        <v>34</v>
      </c>
      <c r="T46" s="209">
        <f>B33</f>
        <v>59880.338563299832</v>
      </c>
      <c r="U46" s="209">
        <f>M49*12/107</f>
        <v>47428.199381169143</v>
      </c>
      <c r="V46" s="212">
        <f>T46+U46</f>
        <v>107308.53794446898</v>
      </c>
    </row>
    <row r="47" spans="1:22" x14ac:dyDescent="0.25">
      <c r="A47" s="16" t="s">
        <v>184</v>
      </c>
      <c r="B47" s="83">
        <v>470329.64386326063</v>
      </c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S47" s="101" t="s">
        <v>35</v>
      </c>
      <c r="T47" s="210">
        <f>D34</f>
        <v>3255.8946587401852</v>
      </c>
      <c r="U47" s="210">
        <f>SUM(B50:M50)*12/107</f>
        <v>1764.3290169794925</v>
      </c>
      <c r="V47" s="213">
        <f t="shared" ref="V47:V48" si="12">T47+U47</f>
        <v>5020.2236757196779</v>
      </c>
    </row>
    <row r="48" spans="1:22" x14ac:dyDescent="0.25">
      <c r="A48" s="16" t="s">
        <v>185</v>
      </c>
      <c r="B48" s="83">
        <v>-47428.199381169099</v>
      </c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S48" s="71" t="s">
        <v>17</v>
      </c>
      <c r="T48" s="211">
        <f>T46+T47</f>
        <v>63136.23322204002</v>
      </c>
      <c r="U48" s="211">
        <f>U46+U47</f>
        <v>49192.528398148635</v>
      </c>
      <c r="V48" s="211">
        <f t="shared" si="12"/>
        <v>112328.76162018866</v>
      </c>
    </row>
    <row r="49" spans="1:13" x14ac:dyDescent="0.25">
      <c r="A49" s="173" t="s">
        <v>186</v>
      </c>
      <c r="B49" s="10">
        <f>B47+B48</f>
        <v>422901.44448209152</v>
      </c>
      <c r="C49" s="10">
        <f>B49</f>
        <v>422901.44448209152</v>
      </c>
      <c r="D49" s="10">
        <f t="shared" ref="D49:M49" si="13">C49</f>
        <v>422901.44448209152</v>
      </c>
      <c r="E49" s="10">
        <f t="shared" si="13"/>
        <v>422901.44448209152</v>
      </c>
      <c r="F49" s="10">
        <f t="shared" si="13"/>
        <v>422901.44448209152</v>
      </c>
      <c r="G49" s="10">
        <f t="shared" si="13"/>
        <v>422901.44448209152</v>
      </c>
      <c r="H49" s="10">
        <f t="shared" si="13"/>
        <v>422901.44448209152</v>
      </c>
      <c r="I49" s="10">
        <f t="shared" si="13"/>
        <v>422901.44448209152</v>
      </c>
      <c r="J49" s="10">
        <f t="shared" si="13"/>
        <v>422901.44448209152</v>
      </c>
      <c r="K49" s="10">
        <f t="shared" si="13"/>
        <v>422901.44448209152</v>
      </c>
      <c r="L49" s="10">
        <f t="shared" si="13"/>
        <v>422901.44448209152</v>
      </c>
      <c r="M49" s="10">
        <f t="shared" si="13"/>
        <v>422901.44448209152</v>
      </c>
    </row>
    <row r="50" spans="1:13" x14ac:dyDescent="0.25">
      <c r="A50" s="16" t="s">
        <v>189</v>
      </c>
      <c r="B50" s="83">
        <f>B49*B24/12</f>
        <v>1310.9944778944837</v>
      </c>
      <c r="C50" s="83">
        <f t="shared" ref="C50:M50" si="14">C49*C24/12</f>
        <v>1310.9944778944837</v>
      </c>
      <c r="D50" s="83">
        <f t="shared" si="14"/>
        <v>1310.9944778944837</v>
      </c>
      <c r="E50" s="83">
        <f t="shared" si="14"/>
        <v>1310.9944778944837</v>
      </c>
      <c r="F50" s="83">
        <f t="shared" si="14"/>
        <v>1310.9944778944837</v>
      </c>
      <c r="G50" s="83">
        <f t="shared" si="14"/>
        <v>1310.9944778944837</v>
      </c>
      <c r="H50" s="83">
        <f t="shared" si="14"/>
        <v>1310.9944778944837</v>
      </c>
      <c r="I50" s="83">
        <f t="shared" si="14"/>
        <v>1310.9944778944837</v>
      </c>
      <c r="J50" s="83">
        <f t="shared" si="14"/>
        <v>1310.9944778944837</v>
      </c>
      <c r="K50" s="83">
        <f t="shared" si="14"/>
        <v>1310.9944778944837</v>
      </c>
      <c r="L50" s="83">
        <f t="shared" si="14"/>
        <v>1310.9944778944837</v>
      </c>
      <c r="M50" s="83">
        <f t="shared" si="14"/>
        <v>1310.9944778944837</v>
      </c>
    </row>
    <row r="51" spans="1:13" x14ac:dyDescent="0.25">
      <c r="A51" s="174" t="s">
        <v>187</v>
      </c>
      <c r="B51" s="11">
        <f>B49+B50</f>
        <v>424212.43895998603</v>
      </c>
      <c r="C51" s="11">
        <f>C49+SUM($B50:C50)</f>
        <v>425523.43343788048</v>
      </c>
      <c r="D51" s="11">
        <f>D49+SUM($B50:D50)</f>
        <v>426834.42791577498</v>
      </c>
      <c r="E51" s="11">
        <f>E49+SUM($B50:E50)</f>
        <v>428145.42239366943</v>
      </c>
      <c r="F51" s="11">
        <f>F49+SUM($B50:F50)</f>
        <v>429456.41687156394</v>
      </c>
      <c r="G51" s="11">
        <f>G49+SUM($B50:G50)</f>
        <v>430767.41134945845</v>
      </c>
      <c r="H51" s="11">
        <f>H49+SUM($B50:H50)</f>
        <v>432078.40582735289</v>
      </c>
      <c r="I51" s="11">
        <f>I49+SUM($B50:I50)</f>
        <v>433389.4003052474</v>
      </c>
      <c r="J51" s="11">
        <f>J49+SUM($B50:J50)</f>
        <v>434700.39478314191</v>
      </c>
      <c r="K51" s="11">
        <f>K49+SUM($B50:K50)</f>
        <v>436011.38926103635</v>
      </c>
      <c r="L51" s="11">
        <f>L49+SUM($B50:L50)</f>
        <v>437322.38373893086</v>
      </c>
      <c r="M51" s="11">
        <f>M49+SUM($B50:M50)</f>
        <v>438633.37821682531</v>
      </c>
    </row>
    <row r="54" spans="1:13" x14ac:dyDescent="0.25">
      <c r="A54" s="12" t="s">
        <v>226</v>
      </c>
      <c r="B54" s="13"/>
      <c r="C54" s="13"/>
      <c r="D54" s="13"/>
      <c r="E54" s="13"/>
      <c r="F54" s="13"/>
    </row>
    <row r="55" spans="1:13" x14ac:dyDescent="0.25">
      <c r="A55" s="14"/>
      <c r="B55" s="14" t="s">
        <v>18</v>
      </c>
      <c r="C55" s="14" t="s">
        <v>19</v>
      </c>
      <c r="D55" s="14" t="s">
        <v>124</v>
      </c>
    </row>
    <row r="56" spans="1:13" x14ac:dyDescent="0.25">
      <c r="A56" s="16" t="s">
        <v>22</v>
      </c>
      <c r="B56" s="19" t="s">
        <v>20</v>
      </c>
      <c r="C56" s="20">
        <f>SUM(D56:F56)</f>
        <v>1</v>
      </c>
      <c r="D56" s="20">
        <v>1</v>
      </c>
    </row>
    <row r="57" spans="1:13" x14ac:dyDescent="0.25">
      <c r="A57" s="22" t="s">
        <v>17</v>
      </c>
      <c r="B57" s="23" t="s">
        <v>21</v>
      </c>
      <c r="C57" s="24">
        <f>M51*12/107</f>
        <v>49192.528398148628</v>
      </c>
      <c r="D57" s="24">
        <f>C57*D56</f>
        <v>49192.528398148628</v>
      </c>
    </row>
    <row r="60" spans="1:13" x14ac:dyDescent="0.25">
      <c r="A60" s="12" t="s">
        <v>192</v>
      </c>
      <c r="B60" s="13"/>
      <c r="C60" s="13"/>
      <c r="D60" s="13"/>
      <c r="E60" s="13"/>
      <c r="F60" s="13"/>
    </row>
    <row r="61" spans="1:13" x14ac:dyDescent="0.25">
      <c r="A61" s="14"/>
      <c r="B61" s="14" t="s">
        <v>18</v>
      </c>
      <c r="C61" s="14" t="s">
        <v>19</v>
      </c>
      <c r="D61" s="14" t="s">
        <v>124</v>
      </c>
      <c r="E61" s="13"/>
      <c r="F61" s="13"/>
      <c r="G61" s="13"/>
    </row>
    <row r="62" spans="1:13" x14ac:dyDescent="0.25">
      <c r="A62" s="16" t="s">
        <v>22</v>
      </c>
      <c r="B62" s="19" t="s">
        <v>20</v>
      </c>
      <c r="C62" s="20">
        <f>SUM(D62:F62)</f>
        <v>1</v>
      </c>
      <c r="D62" s="20">
        <v>1</v>
      </c>
      <c r="E62" s="13"/>
      <c r="F62" s="13"/>
      <c r="G62" s="13"/>
    </row>
    <row r="63" spans="1:13" x14ac:dyDescent="0.25">
      <c r="A63" s="22" t="s">
        <v>17</v>
      </c>
      <c r="B63" s="23" t="s">
        <v>21</v>
      </c>
      <c r="C63" s="24">
        <f>SUM(D63:F63)</f>
        <v>112328.76162018866</v>
      </c>
      <c r="D63" s="24">
        <f>D41+D57</f>
        <v>112328.76162018866</v>
      </c>
      <c r="E63" s="13"/>
      <c r="F63" s="13"/>
      <c r="G63" s="13"/>
    </row>
    <row r="65" spans="1:9" x14ac:dyDescent="0.25">
      <c r="I65" s="145"/>
    </row>
    <row r="66" spans="1:9" x14ac:dyDescent="0.25">
      <c r="A66" s="12" t="s">
        <v>148</v>
      </c>
      <c r="B66" s="13"/>
      <c r="C66" s="13"/>
      <c r="D66" s="13"/>
      <c r="E66" s="13"/>
      <c r="F66" s="13"/>
      <c r="G66" s="13"/>
      <c r="H66" s="13"/>
      <c r="I66" s="208"/>
    </row>
    <row r="67" spans="1:9" x14ac:dyDescent="0.25">
      <c r="A67" s="14"/>
      <c r="B67" s="14" t="s">
        <v>18</v>
      </c>
      <c r="C67" s="14" t="s">
        <v>19</v>
      </c>
      <c r="D67" s="14" t="str">
        <f>D39</f>
        <v>Rate 16</v>
      </c>
    </row>
    <row r="68" spans="1:9" x14ac:dyDescent="0.25">
      <c r="A68" s="16" t="s">
        <v>24</v>
      </c>
      <c r="B68" s="17" t="s">
        <v>127</v>
      </c>
      <c r="C68" s="18">
        <f>SUM(D68:D68)</f>
        <v>95854.65711361311</v>
      </c>
      <c r="D68" s="18">
        <f>'Load Forecast'!D7</f>
        <v>95854.65711361311</v>
      </c>
    </row>
    <row r="69" spans="1:9" x14ac:dyDescent="0.25">
      <c r="A69" s="16" t="s">
        <v>22</v>
      </c>
      <c r="B69" s="114" t="s">
        <v>20</v>
      </c>
      <c r="C69" s="20">
        <f>SUM(D69:D69)</f>
        <v>1</v>
      </c>
      <c r="D69" s="25">
        <f>D40</f>
        <v>1</v>
      </c>
    </row>
    <row r="70" spans="1:9" x14ac:dyDescent="0.25">
      <c r="A70" s="26" t="s">
        <v>17</v>
      </c>
      <c r="B70" s="27" t="s">
        <v>21</v>
      </c>
      <c r="C70" s="57">
        <f>SUM(D70:D70)</f>
        <v>112328.76162018866</v>
      </c>
      <c r="D70" s="57">
        <f>D63</f>
        <v>112328.76162018866</v>
      </c>
    </row>
    <row r="71" spans="1:9" x14ac:dyDescent="0.25">
      <c r="A71" s="22" t="s">
        <v>23</v>
      </c>
      <c r="B71" s="23" t="s">
        <v>128</v>
      </c>
      <c r="C71" s="29"/>
      <c r="D71" s="29">
        <f>D70/D68/12*100</f>
        <v>9.7655454798829258</v>
      </c>
    </row>
    <row r="73" spans="1:9" x14ac:dyDescent="0.25">
      <c r="A73" s="58"/>
      <c r="B73" s="140"/>
      <c r="C73" s="58"/>
    </row>
    <row r="74" spans="1:9" x14ac:dyDescent="0.25">
      <c r="A74" s="58"/>
      <c r="B74" s="140"/>
      <c r="C74" s="58"/>
    </row>
    <row r="76" spans="1:9" x14ac:dyDescent="0.25">
      <c r="A76" s="58"/>
      <c r="B76" s="140"/>
    </row>
    <row r="77" spans="1:9" x14ac:dyDescent="0.25">
      <c r="A77" s="58"/>
      <c r="B77" s="140"/>
    </row>
    <row r="78" spans="1:9" x14ac:dyDescent="0.25">
      <c r="A78" s="58"/>
      <c r="B78" s="141"/>
    </row>
    <row r="79" spans="1:9" x14ac:dyDescent="0.25">
      <c r="A79" s="58"/>
      <c r="B79" s="140"/>
    </row>
  </sheetData>
  <sheetProtection sheet="1" objects="1" scenarios="1"/>
  <pageMargins left="0.70866141732283505" right="0.70866141732283505" top="0.74803149606299202" bottom="0.74803149606299202" header="0.31496062992126" footer="0.31496062992126"/>
  <pageSetup scale="58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B391-1507-426D-B0DA-AD9334150458}">
  <dimension ref="A1:J64"/>
  <sheetViews>
    <sheetView showGridLines="0" workbookViewId="0">
      <selection activeCell="I25" sqref="I25"/>
    </sheetView>
  </sheetViews>
  <sheetFormatPr defaultRowHeight="14.25" x14ac:dyDescent="0.2"/>
  <cols>
    <col min="1" max="1" width="47.85546875" style="58" customWidth="1"/>
    <col min="2" max="3" width="15" style="58" bestFit="1" customWidth="1"/>
    <col min="4" max="9" width="13.28515625" style="58" bestFit="1" customWidth="1"/>
    <col min="10" max="10" width="51.5703125" style="58" bestFit="1" customWidth="1"/>
    <col min="11" max="11" width="13.28515625" style="58" bestFit="1" customWidth="1"/>
    <col min="12" max="12" width="19" style="58" bestFit="1" customWidth="1"/>
    <col min="13" max="13" width="13.28515625" style="58" bestFit="1" customWidth="1"/>
    <col min="14" max="16384" width="9.140625" style="58"/>
  </cols>
  <sheetData>
    <row r="1" spans="1:10" ht="15" x14ac:dyDescent="0.25">
      <c r="A1" s="2" t="s">
        <v>0</v>
      </c>
    </row>
    <row r="2" spans="1:10" ht="15" x14ac:dyDescent="0.25">
      <c r="A2" s="2" t="str">
        <f>CIACVA!A2</f>
        <v>EB-2026-0149</v>
      </c>
    </row>
    <row r="3" spans="1:10" ht="15" x14ac:dyDescent="0.25">
      <c r="A3" s="2" t="s">
        <v>208</v>
      </c>
    </row>
    <row r="4" spans="1:10" ht="15" x14ac:dyDescent="0.25">
      <c r="A4" s="2" t="s">
        <v>38</v>
      </c>
    </row>
    <row r="6" spans="1:10" ht="15.75" x14ac:dyDescent="0.25">
      <c r="A6" s="182"/>
      <c r="B6" s="183">
        <v>2020</v>
      </c>
      <c r="C6" s="183">
        <v>2021</v>
      </c>
      <c r="D6" s="183">
        <v>2022</v>
      </c>
      <c r="E6" s="183">
        <v>2023</v>
      </c>
      <c r="F6" s="183">
        <v>2024</v>
      </c>
      <c r="G6" s="183">
        <v>2025</v>
      </c>
      <c r="H6" s="183">
        <v>2026</v>
      </c>
      <c r="I6" s="183" t="s">
        <v>17</v>
      </c>
      <c r="J6" s="183" t="s">
        <v>203</v>
      </c>
    </row>
    <row r="7" spans="1:10" ht="15" x14ac:dyDescent="0.25">
      <c r="A7" s="77"/>
      <c r="B7" s="77"/>
      <c r="C7" s="77"/>
      <c r="D7" s="77"/>
      <c r="E7" s="77"/>
      <c r="F7" s="77"/>
      <c r="G7" s="77"/>
      <c r="H7" s="77"/>
      <c r="I7" s="77"/>
      <c r="J7" s="77"/>
    </row>
    <row r="8" spans="1:10" ht="15.75" x14ac:dyDescent="0.25">
      <c r="A8" s="184" t="s">
        <v>204</v>
      </c>
      <c r="B8" s="185">
        <v>2343716.0299999998</v>
      </c>
      <c r="C8" s="185">
        <v>2480938.09</v>
      </c>
      <c r="D8" s="185">
        <v>1376856.73</v>
      </c>
      <c r="E8" s="185">
        <v>186932.65</v>
      </c>
      <c r="F8" s="185">
        <v>0</v>
      </c>
      <c r="G8" s="185">
        <v>0</v>
      </c>
      <c r="H8" s="185">
        <v>0</v>
      </c>
      <c r="I8" s="185">
        <f>SUM(B8:H8)</f>
        <v>6388443.5</v>
      </c>
      <c r="J8" s="185" t="s">
        <v>205</v>
      </c>
    </row>
    <row r="9" spans="1:10" ht="15.75" x14ac:dyDescent="0.25">
      <c r="A9" s="184" t="s">
        <v>206</v>
      </c>
      <c r="B9" s="185">
        <v>306358.66918011685</v>
      </c>
      <c r="C9" s="185">
        <v>1097325.7623797827</v>
      </c>
      <c r="D9" s="185">
        <v>1674233.4410366132</v>
      </c>
      <c r="E9" s="185">
        <v>946279.85483277962</v>
      </c>
      <c r="F9" s="185">
        <v>0</v>
      </c>
      <c r="G9" s="185">
        <v>0</v>
      </c>
      <c r="H9" s="185">
        <v>0</v>
      </c>
      <c r="I9" s="185">
        <f>SUM(B9:F9)</f>
        <v>4024197.7274292922</v>
      </c>
      <c r="J9" s="185" t="s">
        <v>207</v>
      </c>
    </row>
    <row r="10" spans="1:10" x14ac:dyDescent="0.2">
      <c r="A10" s="186"/>
      <c r="B10" s="185"/>
      <c r="C10" s="185"/>
      <c r="D10" s="185"/>
      <c r="E10" s="185"/>
      <c r="F10" s="185"/>
      <c r="G10" s="185"/>
      <c r="H10" s="185"/>
      <c r="I10" s="185"/>
      <c r="J10" s="185"/>
    </row>
    <row r="11" spans="1:10" ht="15" x14ac:dyDescent="0.25">
      <c r="A11" s="187" t="s">
        <v>17</v>
      </c>
      <c r="B11" s="188">
        <f t="shared" ref="B11:I11" si="0">SUM(B8:B10)</f>
        <v>2650074.6991801169</v>
      </c>
      <c r="C11" s="188">
        <f t="shared" si="0"/>
        <v>3578263.8523797826</v>
      </c>
      <c r="D11" s="188">
        <f t="shared" si="0"/>
        <v>3051090.1710366132</v>
      </c>
      <c r="E11" s="188">
        <f t="shared" si="0"/>
        <v>1133212.5048327795</v>
      </c>
      <c r="F11" s="188">
        <f t="shared" si="0"/>
        <v>0</v>
      </c>
      <c r="G11" s="188">
        <f t="shared" si="0"/>
        <v>0</v>
      </c>
      <c r="H11" s="188">
        <f t="shared" si="0"/>
        <v>0</v>
      </c>
      <c r="I11" s="188">
        <f t="shared" si="0"/>
        <v>10412641.227429293</v>
      </c>
      <c r="J11" s="188"/>
    </row>
    <row r="12" spans="1:10" ht="15" x14ac:dyDescent="0.25">
      <c r="A12" s="191"/>
      <c r="B12" s="192"/>
      <c r="C12" s="192"/>
      <c r="D12" s="192"/>
      <c r="E12" s="192"/>
      <c r="F12" s="192"/>
      <c r="G12" s="192"/>
      <c r="H12" s="192"/>
      <c r="I12" s="192"/>
      <c r="J12" s="192"/>
    </row>
    <row r="13" spans="1:10" x14ac:dyDescent="0.2">
      <c r="C13" s="193"/>
      <c r="D13" s="193"/>
      <c r="E13" s="193"/>
      <c r="F13" s="193"/>
      <c r="G13" s="193"/>
      <c r="H13" s="193"/>
    </row>
    <row r="14" spans="1:10" ht="15.75" x14ac:dyDescent="0.25">
      <c r="A14" s="219" t="s">
        <v>229</v>
      </c>
      <c r="B14" s="220">
        <f>SUM($B8:B8)</f>
        <v>2343716.0299999998</v>
      </c>
      <c r="C14" s="220">
        <f>SUM($B8:C8)</f>
        <v>4824654.1199999992</v>
      </c>
      <c r="D14" s="220">
        <f>SUM($B8:D8)</f>
        <v>6201510.8499999996</v>
      </c>
      <c r="E14" s="220">
        <f>SUM($B8:E8)</f>
        <v>6388443.5</v>
      </c>
      <c r="F14" s="220">
        <f>SUM($B8:F8)</f>
        <v>6388443.5</v>
      </c>
      <c r="G14" s="220">
        <f>SUM($B8:G8)</f>
        <v>6388443.5</v>
      </c>
      <c r="H14" s="220">
        <f>SUM($B8:H8)</f>
        <v>6388443.5</v>
      </c>
      <c r="I14" s="220"/>
      <c r="J14" s="220"/>
    </row>
    <row r="15" spans="1:10" ht="15.75" x14ac:dyDescent="0.25">
      <c r="A15" s="184" t="s">
        <v>230</v>
      </c>
      <c r="B15" s="185">
        <f>SUM($B9:B9)</f>
        <v>306358.66918011685</v>
      </c>
      <c r="C15" s="185">
        <f>SUM($B9:C9)</f>
        <v>1403684.4315598996</v>
      </c>
      <c r="D15" s="185">
        <f>SUM($B9:D9)</f>
        <v>3077917.8725965125</v>
      </c>
      <c r="E15" s="185">
        <f>SUM($B9:E9)</f>
        <v>4024197.7274292922</v>
      </c>
      <c r="F15" s="185">
        <f>SUM($B9:F9)</f>
        <v>4024197.7274292922</v>
      </c>
      <c r="G15" s="185">
        <f>SUM($B9:G9)</f>
        <v>4024197.7274292922</v>
      </c>
      <c r="H15" s="185">
        <f>SUM($B9:H9)</f>
        <v>4024197.7274292922</v>
      </c>
      <c r="I15" s="185"/>
      <c r="J15" s="185"/>
    </row>
    <row r="16" spans="1:10" x14ac:dyDescent="0.2">
      <c r="A16" s="186"/>
      <c r="B16" s="185"/>
      <c r="C16" s="185"/>
      <c r="D16" s="185"/>
      <c r="E16" s="185"/>
      <c r="F16" s="185"/>
      <c r="G16" s="185"/>
      <c r="H16" s="185"/>
      <c r="I16" s="185"/>
      <c r="J16" s="185"/>
    </row>
    <row r="17" spans="1:10" ht="15" x14ac:dyDescent="0.2">
      <c r="A17" s="214" t="s">
        <v>231</v>
      </c>
      <c r="B17" s="215">
        <v>3.7199999999999997E-2</v>
      </c>
      <c r="C17" s="215">
        <v>3.7199999999999997E-2</v>
      </c>
      <c r="D17" s="215">
        <v>3.7199999999999997E-2</v>
      </c>
      <c r="E17" s="215">
        <v>3.7199999999999997E-2</v>
      </c>
      <c r="F17" s="215">
        <v>3.7199999999999997E-2</v>
      </c>
      <c r="G17" s="215">
        <v>3.7199999999999997E-2</v>
      </c>
      <c r="H17" s="215">
        <v>3.7199999999999997E-2</v>
      </c>
      <c r="I17" s="185"/>
      <c r="J17" s="185"/>
    </row>
    <row r="18" spans="1:10" ht="15" x14ac:dyDescent="0.2">
      <c r="A18" s="214" t="s">
        <v>232</v>
      </c>
      <c r="B18" s="215">
        <f>(2.18+2.18+0.57+0.57)/4/100</f>
        <v>1.3750000000000002E-2</v>
      </c>
      <c r="C18" s="215">
        <f>SUM(ADVADA!B17:M17)/12</f>
        <v>5.6999999999999993E-3</v>
      </c>
      <c r="D18" s="215">
        <f>SUM(ADVADA!N17:Y17)/12</f>
        <v>1.915E-2</v>
      </c>
      <c r="E18" s="215">
        <f>SUM(ADVADA!AA17:AK17)/12</f>
        <v>4.6508333333333325E-2</v>
      </c>
      <c r="F18" s="215">
        <f>SUM(ADVADA!AL17:AW17)/12</f>
        <v>5.1450000000000003E-2</v>
      </c>
      <c r="G18" s="215">
        <f>SUM(ADVADA!AX17:BI17)/12</f>
        <v>3.1550000000000009E-2</v>
      </c>
      <c r="H18" s="215">
        <f>SUM(ADVADA!BK17)</f>
        <v>2.5499999999999998E-2</v>
      </c>
      <c r="I18" s="185"/>
      <c r="J18" s="185"/>
    </row>
    <row r="19" spans="1:10" x14ac:dyDescent="0.2">
      <c r="A19" s="186"/>
      <c r="B19" s="185"/>
      <c r="C19" s="185"/>
      <c r="D19" s="185"/>
      <c r="E19" s="185"/>
      <c r="F19" s="185"/>
      <c r="G19" s="185"/>
      <c r="H19" s="185"/>
      <c r="I19" s="185"/>
      <c r="J19" s="185"/>
    </row>
    <row r="20" spans="1:10" ht="15.75" x14ac:dyDescent="0.25">
      <c r="A20" s="184" t="s">
        <v>227</v>
      </c>
      <c r="B20" s="185"/>
      <c r="C20" s="185">
        <f>B14*C17</f>
        <v>87186.23631599998</v>
      </c>
      <c r="D20" s="185">
        <f t="shared" ref="D20:G20" si="1">C14*D17</f>
        <v>179477.13326399995</v>
      </c>
      <c r="E20" s="185">
        <f t="shared" si="1"/>
        <v>230696.20361999996</v>
      </c>
      <c r="F20" s="185">
        <f t="shared" si="1"/>
        <v>237650.09819999998</v>
      </c>
      <c r="G20" s="185">
        <f t="shared" si="1"/>
        <v>237650.09819999998</v>
      </c>
      <c r="H20" s="185">
        <f>G14*H17</f>
        <v>237650.09819999998</v>
      </c>
      <c r="I20" s="185">
        <f>SUM(C20:H20)</f>
        <v>1210309.8677999999</v>
      </c>
      <c r="J20" s="185"/>
    </row>
    <row r="21" spans="1:10" ht="15.75" x14ac:dyDescent="0.25">
      <c r="A21" s="221" t="s">
        <v>228</v>
      </c>
      <c r="B21" s="222"/>
      <c r="C21" s="222">
        <f>B15*C18</f>
        <v>1746.2444143266659</v>
      </c>
      <c r="D21" s="222">
        <f t="shared" ref="D21:H21" si="2">C15*D18</f>
        <v>26880.556864372076</v>
      </c>
      <c r="E21" s="222">
        <f t="shared" si="2"/>
        <v>143148.83039134278</v>
      </c>
      <c r="F21" s="222">
        <f t="shared" si="2"/>
        <v>207044.9730762371</v>
      </c>
      <c r="G21" s="222">
        <f t="shared" si="2"/>
        <v>126963.43830039421</v>
      </c>
      <c r="H21" s="222">
        <f t="shared" si="2"/>
        <v>102617.04204944694</v>
      </c>
      <c r="I21" s="222">
        <f>SUM(C21:H21)</f>
        <v>608401.08509611979</v>
      </c>
      <c r="J21" s="222"/>
    </row>
    <row r="22" spans="1:10" x14ac:dyDescent="0.2">
      <c r="A22" s="216"/>
      <c r="B22" s="217"/>
      <c r="C22" s="217"/>
      <c r="D22" s="217"/>
      <c r="E22" s="217"/>
      <c r="F22" s="217"/>
      <c r="G22" s="217"/>
      <c r="H22" s="217"/>
      <c r="I22" s="217"/>
      <c r="J22" s="217"/>
    </row>
    <row r="23" spans="1:10" ht="15.75" x14ac:dyDescent="0.25">
      <c r="A23" s="218" t="s">
        <v>233</v>
      </c>
      <c r="B23" s="217"/>
      <c r="C23" s="217">
        <f>I8+SUM(B20:H20)</f>
        <v>7598753.3678000001</v>
      </c>
      <c r="D23" s="217"/>
      <c r="E23" s="217"/>
      <c r="F23" s="217"/>
      <c r="G23" s="217"/>
      <c r="H23" s="217"/>
      <c r="I23" s="217"/>
      <c r="J23" s="217"/>
    </row>
    <row r="24" spans="1:10" ht="15.75" x14ac:dyDescent="0.25">
      <c r="A24" s="218" t="s">
        <v>234</v>
      </c>
      <c r="B24" s="217"/>
      <c r="C24" s="217">
        <f>I9+SUM(B21:H21)</f>
        <v>4632598.8125254121</v>
      </c>
      <c r="D24" s="217"/>
      <c r="E24" s="217"/>
      <c r="F24" s="217"/>
      <c r="G24" s="217"/>
      <c r="H24" s="217"/>
      <c r="I24" s="224"/>
      <c r="J24" s="217"/>
    </row>
    <row r="25" spans="1:10" x14ac:dyDescent="0.2">
      <c r="A25" s="216"/>
      <c r="B25" s="217"/>
      <c r="C25" s="217"/>
      <c r="D25" s="217"/>
      <c r="E25" s="217"/>
      <c r="F25" s="217"/>
      <c r="G25" s="217"/>
      <c r="H25" s="217"/>
      <c r="I25" s="217"/>
      <c r="J25" s="217"/>
    </row>
    <row r="26" spans="1:10" ht="15" x14ac:dyDescent="0.25">
      <c r="A26" s="48" t="s">
        <v>209</v>
      </c>
    </row>
    <row r="27" spans="1:10" ht="15" x14ac:dyDescent="0.25">
      <c r="A27" s="48" t="s">
        <v>223</v>
      </c>
      <c r="C27" s="190"/>
      <c r="D27" s="190"/>
      <c r="E27" s="190"/>
      <c r="F27" s="190"/>
      <c r="G27" s="190"/>
      <c r="H27" s="190"/>
    </row>
    <row r="28" spans="1:10" ht="15" x14ac:dyDescent="0.25">
      <c r="A28" s="58" t="s">
        <v>151</v>
      </c>
      <c r="B28" s="193">
        <f>C23</f>
        <v>7598753.3678000001</v>
      </c>
      <c r="C28" s="194"/>
      <c r="D28" s="194"/>
      <c r="E28" s="48" t="s">
        <v>206</v>
      </c>
      <c r="F28" s="190"/>
      <c r="G28" s="194"/>
      <c r="H28" s="194"/>
    </row>
    <row r="29" spans="1:10" x14ac:dyDescent="0.2">
      <c r="A29" s="58" t="s">
        <v>210</v>
      </c>
      <c r="B29" s="189">
        <v>5.4631999999999993E-2</v>
      </c>
      <c r="C29" s="189"/>
      <c r="E29" s="194" t="s">
        <v>25</v>
      </c>
      <c r="F29" s="193">
        <v>2348328.3257267787</v>
      </c>
      <c r="G29" s="190">
        <f>F29/$F$33</f>
        <v>0.5835519238332556</v>
      </c>
    </row>
    <row r="30" spans="1:10" x14ac:dyDescent="0.2">
      <c r="A30" s="58" t="s">
        <v>213</v>
      </c>
      <c r="B30" s="196">
        <v>2.4E-2</v>
      </c>
      <c r="C30" s="196"/>
      <c r="D30" s="198"/>
      <c r="E30" s="58" t="s">
        <v>122</v>
      </c>
      <c r="F30" s="193">
        <v>1547559.7050770437</v>
      </c>
      <c r="G30" s="190">
        <f t="shared" ref="G30:G32" si="3">F30/$F$33</f>
        <v>0.38456353536724552</v>
      </c>
    </row>
    <row r="31" spans="1:10" x14ac:dyDescent="0.2">
      <c r="B31" s="195"/>
      <c r="C31" s="195"/>
      <c r="E31" s="198" t="s">
        <v>123</v>
      </c>
      <c r="F31" s="193">
        <v>87538.74815571004</v>
      </c>
      <c r="G31" s="190">
        <f t="shared" si="3"/>
        <v>2.1753093184024755E-2</v>
      </c>
    </row>
    <row r="32" spans="1:10" x14ac:dyDescent="0.2">
      <c r="A32" s="58" t="s">
        <v>212</v>
      </c>
      <c r="B32" s="193">
        <f>B28*B29</f>
        <v>415135.09398964955</v>
      </c>
      <c r="C32" s="193"/>
      <c r="E32" s="58" t="s">
        <v>124</v>
      </c>
      <c r="F32" s="197">
        <v>40770.948469759998</v>
      </c>
      <c r="G32" s="190">
        <f t="shared" si="3"/>
        <v>1.0131447615474151E-2</v>
      </c>
    </row>
    <row r="33" spans="1:7" x14ac:dyDescent="0.2">
      <c r="A33" s="58" t="s">
        <v>211</v>
      </c>
      <c r="B33" s="197">
        <f>B28*B30</f>
        <v>182370.0808272</v>
      </c>
      <c r="C33" s="197"/>
      <c r="E33" s="58" t="s">
        <v>17</v>
      </c>
      <c r="F33" s="193">
        <f>SUM(F29:F32)</f>
        <v>4024197.7274292922</v>
      </c>
    </row>
    <row r="34" spans="1:7" x14ac:dyDescent="0.2">
      <c r="A34" s="58" t="s">
        <v>17</v>
      </c>
      <c r="B34" s="193">
        <f>SUM(B32:B33)</f>
        <v>597505.17481684953</v>
      </c>
      <c r="C34" s="193"/>
      <c r="E34" s="223" t="s">
        <v>224</v>
      </c>
      <c r="F34" s="193">
        <f>C24/20</f>
        <v>231629.9406262706</v>
      </c>
    </row>
    <row r="37" spans="1:7" x14ac:dyDescent="0.2">
      <c r="B37" s="194"/>
    </row>
    <row r="38" spans="1:7" x14ac:dyDescent="0.2">
      <c r="B38" s="194"/>
    </row>
    <row r="39" spans="1:7" ht="15" x14ac:dyDescent="0.25">
      <c r="A39" s="12" t="s">
        <v>236</v>
      </c>
      <c r="B39" s="13"/>
      <c r="C39" s="13"/>
      <c r="D39" s="13"/>
      <c r="E39" s="13"/>
      <c r="F39" s="13"/>
      <c r="G39" s="13"/>
    </row>
    <row r="40" spans="1:7" ht="15" x14ac:dyDescent="0.2">
      <c r="A40" s="14"/>
      <c r="B40" s="14" t="s">
        <v>18</v>
      </c>
      <c r="C40" s="14" t="s">
        <v>19</v>
      </c>
      <c r="D40" s="14" t="s">
        <v>25</v>
      </c>
      <c r="E40" s="14" t="s">
        <v>122</v>
      </c>
      <c r="F40" s="14" t="s">
        <v>123</v>
      </c>
      <c r="G40" s="14" t="s">
        <v>124</v>
      </c>
    </row>
    <row r="41" spans="1:7" x14ac:dyDescent="0.2">
      <c r="A41" s="16" t="s">
        <v>135</v>
      </c>
      <c r="B41" s="17" t="s">
        <v>126</v>
      </c>
      <c r="C41" s="119">
        <f>SUM(D41:G41)</f>
        <v>54946.04</v>
      </c>
      <c r="D41" s="119">
        <v>32656.93</v>
      </c>
      <c r="E41" s="119">
        <v>11610.57</v>
      </c>
      <c r="F41" s="119">
        <v>1417.66</v>
      </c>
      <c r="G41" s="119">
        <v>9260.8799999999992</v>
      </c>
    </row>
    <row r="42" spans="1:7" x14ac:dyDescent="0.2">
      <c r="A42" s="16" t="s">
        <v>22</v>
      </c>
      <c r="B42" s="19" t="s">
        <v>20</v>
      </c>
      <c r="C42" s="20">
        <f>SUM(D42:G42)</f>
        <v>1</v>
      </c>
      <c r="D42" s="20">
        <f>D41/$C$41</f>
        <v>0.59434547057440357</v>
      </c>
      <c r="E42" s="20">
        <f t="shared" ref="E42:G42" si="4">E41/$C$41</f>
        <v>0.21130858565967628</v>
      </c>
      <c r="F42" s="20">
        <f t="shared" si="4"/>
        <v>2.5800949440578431E-2</v>
      </c>
      <c r="G42" s="20">
        <f t="shared" si="4"/>
        <v>0.16854499432534173</v>
      </c>
    </row>
    <row r="43" spans="1:7" ht="15" x14ac:dyDescent="0.25">
      <c r="A43" s="22" t="s">
        <v>17</v>
      </c>
      <c r="B43" s="23" t="s">
        <v>21</v>
      </c>
      <c r="C43" s="24">
        <f>SUM(D43:G43)</f>
        <v>597505.17481684953</v>
      </c>
      <c r="D43" s="24">
        <f>($B$34)*D42</f>
        <v>355124.4942971617</v>
      </c>
      <c r="E43" s="24">
        <f t="shared" ref="E43:G43" si="5">($B$34)*E42</f>
        <v>126257.9734148861</v>
      </c>
      <c r="F43" s="24">
        <f t="shared" si="5"/>
        <v>15416.200805933511</v>
      </c>
      <c r="G43" s="24">
        <f t="shared" si="5"/>
        <v>100706.50629886822</v>
      </c>
    </row>
    <row r="46" spans="1:7" ht="15" x14ac:dyDescent="0.25">
      <c r="A46" s="12" t="s">
        <v>237</v>
      </c>
      <c r="B46" s="13"/>
      <c r="C46" s="13"/>
      <c r="D46" s="13"/>
      <c r="E46" s="13"/>
      <c r="F46" s="13"/>
      <c r="G46" s="13"/>
    </row>
    <row r="47" spans="1:7" ht="15" x14ac:dyDescent="0.2">
      <c r="A47" s="14"/>
      <c r="B47" s="14" t="s">
        <v>18</v>
      </c>
      <c r="C47" s="14" t="s">
        <v>19</v>
      </c>
      <c r="D47" s="14" t="s">
        <v>25</v>
      </c>
      <c r="E47" s="14" t="s">
        <v>122</v>
      </c>
      <c r="F47" s="14" t="s">
        <v>123</v>
      </c>
      <c r="G47" s="14" t="s">
        <v>124</v>
      </c>
    </row>
    <row r="48" spans="1:7" x14ac:dyDescent="0.2">
      <c r="A48" s="16" t="s">
        <v>135</v>
      </c>
      <c r="B48" s="17" t="s">
        <v>126</v>
      </c>
      <c r="C48" s="119">
        <f>SUM(D48:G48)</f>
        <v>4024.1977274292922</v>
      </c>
      <c r="D48" s="119">
        <f>F29/1000</f>
        <v>2348.3283257267785</v>
      </c>
      <c r="E48" s="119">
        <f>F30/1000</f>
        <v>1547.5597050770436</v>
      </c>
      <c r="F48" s="119">
        <f>F31/1000</f>
        <v>87.538748155710039</v>
      </c>
      <c r="G48" s="119">
        <f>F32/1000</f>
        <v>40.77094846976</v>
      </c>
    </row>
    <row r="49" spans="1:8" x14ac:dyDescent="0.2">
      <c r="A49" s="16" t="s">
        <v>22</v>
      </c>
      <c r="B49" s="19" t="s">
        <v>20</v>
      </c>
      <c r="C49" s="20">
        <f>SUM(D49:G49)</f>
        <v>1</v>
      </c>
      <c r="D49" s="20">
        <f>D48/$C$48</f>
        <v>0.5835519238332556</v>
      </c>
      <c r="E49" s="20">
        <f t="shared" ref="E49:G49" si="6">E48/$C$48</f>
        <v>0.38456353536724552</v>
      </c>
      <c r="F49" s="20">
        <f t="shared" si="6"/>
        <v>2.1753093184024755E-2</v>
      </c>
      <c r="G49" s="20">
        <f t="shared" si="6"/>
        <v>1.0131447615474151E-2</v>
      </c>
    </row>
    <row r="50" spans="1:8" ht="15" x14ac:dyDescent="0.25">
      <c r="A50" s="22" t="s">
        <v>17</v>
      </c>
      <c r="B50" s="23" t="s">
        <v>21</v>
      </c>
      <c r="C50" s="24">
        <f>SUM(D50:G50)</f>
        <v>231629.9406262706</v>
      </c>
      <c r="D50" s="24">
        <f>D49*F34</f>
        <v>135168.09746984299</v>
      </c>
      <c r="E50" s="24">
        <f>E49*F34</f>
        <v>89076.428864143789</v>
      </c>
      <c r="F50" s="24">
        <f>F49*F34</f>
        <v>5038.6676826533858</v>
      </c>
      <c r="G50" s="24">
        <f>G49*F34</f>
        <v>2346.7466096304483</v>
      </c>
    </row>
    <row r="53" spans="1:8" ht="15" x14ac:dyDescent="0.25">
      <c r="A53" s="12" t="s">
        <v>238</v>
      </c>
      <c r="B53" s="13"/>
      <c r="C53" s="13"/>
      <c r="D53" s="13"/>
      <c r="E53" s="13"/>
      <c r="F53" s="13"/>
      <c r="G53" s="13"/>
    </row>
    <row r="54" spans="1:8" ht="15" x14ac:dyDescent="0.2">
      <c r="A54" s="14"/>
      <c r="B54" s="14" t="s">
        <v>18</v>
      </c>
      <c r="C54" s="14" t="s">
        <v>19</v>
      </c>
      <c r="D54" s="14" t="s">
        <v>25</v>
      </c>
      <c r="E54" s="14" t="s">
        <v>122</v>
      </c>
      <c r="F54" s="14" t="s">
        <v>123</v>
      </c>
      <c r="G54" s="14" t="s">
        <v>124</v>
      </c>
    </row>
    <row r="55" spans="1:8" x14ac:dyDescent="0.2">
      <c r="A55" s="16" t="s">
        <v>135</v>
      </c>
      <c r="B55" s="17" t="s">
        <v>126</v>
      </c>
      <c r="C55" s="119">
        <f>SUM(D55:G55)</f>
        <v>829135.11544312001</v>
      </c>
      <c r="D55" s="119">
        <f>D42*B34+D49*F34</f>
        <v>490292.59176700469</v>
      </c>
      <c r="E55" s="119">
        <f>E42*B34+F34*E49</f>
        <v>215334.40227902989</v>
      </c>
      <c r="F55" s="119">
        <f>B34*F42+F34*F49</f>
        <v>20454.868488586897</v>
      </c>
      <c r="G55" s="119">
        <f>B34*G42+F34*G49</f>
        <v>103053.25290849866</v>
      </c>
    </row>
    <row r="56" spans="1:8" x14ac:dyDescent="0.2">
      <c r="A56" s="16" t="s">
        <v>22</v>
      </c>
      <c r="B56" s="19" t="s">
        <v>20</v>
      </c>
      <c r="C56" s="20">
        <f>SUM(D56:G56)</f>
        <v>1.0000000000000002</v>
      </c>
      <c r="D56" s="20">
        <f>D55/$C$55</f>
        <v>0.59133014949556739</v>
      </c>
      <c r="E56" s="20">
        <f t="shared" ref="E56:G56" si="7">E55/$C$55</f>
        <v>0.25970966404425816</v>
      </c>
      <c r="F56" s="20">
        <f t="shared" si="7"/>
        <v>2.4670126867868899E-2</v>
      </c>
      <c r="G56" s="20">
        <f t="shared" si="7"/>
        <v>0.12429005959230571</v>
      </c>
    </row>
    <row r="57" spans="1:8" ht="15" x14ac:dyDescent="0.25">
      <c r="A57" s="22" t="s">
        <v>17</v>
      </c>
      <c r="B57" s="23" t="s">
        <v>21</v>
      </c>
      <c r="C57" s="24">
        <f>SUM(D57:G57)</f>
        <v>829135.11544312001</v>
      </c>
      <c r="D57" s="24">
        <f>D43+D50</f>
        <v>490292.59176700469</v>
      </c>
      <c r="E57" s="24">
        <f t="shared" ref="E57:G57" si="8">E43+E50</f>
        <v>215334.40227902989</v>
      </c>
      <c r="F57" s="24">
        <f t="shared" si="8"/>
        <v>20454.868488586897</v>
      </c>
      <c r="G57" s="24">
        <f t="shared" si="8"/>
        <v>103053.25290849866</v>
      </c>
    </row>
    <row r="59" spans="1:8" ht="15" x14ac:dyDescent="0.25">
      <c r="A59" s="12" t="s">
        <v>235</v>
      </c>
      <c r="B59" s="13"/>
      <c r="C59" s="13"/>
      <c r="D59" s="13"/>
      <c r="E59" s="13"/>
      <c r="F59" s="13"/>
      <c r="G59" s="13"/>
      <c r="H59"/>
    </row>
    <row r="60" spans="1:8" ht="15" x14ac:dyDescent="0.2">
      <c r="A60" s="14"/>
      <c r="B60" s="14" t="s">
        <v>18</v>
      </c>
      <c r="C60" s="14" t="s">
        <v>19</v>
      </c>
      <c r="D60" s="14" t="str">
        <f>D40</f>
        <v>Rate 1</v>
      </c>
      <c r="E60" s="14" t="str">
        <f>E40</f>
        <v>Rate 6</v>
      </c>
      <c r="F60" s="14" t="str">
        <f>F40</f>
        <v>Rate 11</v>
      </c>
      <c r="G60" s="14" t="s">
        <v>18</v>
      </c>
      <c r="H60" s="14" t="str">
        <f>G40</f>
        <v>Rate 16</v>
      </c>
    </row>
    <row r="61" spans="1:8" ht="16.5" x14ac:dyDescent="0.2">
      <c r="A61" s="16" t="s">
        <v>24</v>
      </c>
      <c r="B61" s="17" t="s">
        <v>27</v>
      </c>
      <c r="C61" s="113">
        <f>SUM(D61:F61)</f>
        <v>13257.002210030671</v>
      </c>
      <c r="D61" s="113">
        <f>CIACVA!D39</f>
        <v>8662.8848775633542</v>
      </c>
      <c r="E61" s="113">
        <f>CIACVA!E39</f>
        <v>2918.610612467317</v>
      </c>
      <c r="F61" s="113">
        <f>CIACVA!F39</f>
        <v>1675.5067199999999</v>
      </c>
      <c r="G61" s="113" t="str">
        <f>CIACVA!G39</f>
        <v>CD</v>
      </c>
      <c r="H61" s="113">
        <f>CIACVA!H39</f>
        <v>95854.65711361311</v>
      </c>
    </row>
    <row r="62" spans="1:8" x14ac:dyDescent="0.2">
      <c r="A62" s="16" t="s">
        <v>22</v>
      </c>
      <c r="B62" s="114" t="s">
        <v>20</v>
      </c>
      <c r="C62" s="115">
        <f>SUM(D62:H62)</f>
        <v>1.0000000000000002</v>
      </c>
      <c r="D62" s="116">
        <f>D56</f>
        <v>0.59133014949556739</v>
      </c>
      <c r="E62" s="116">
        <f>E56</f>
        <v>0.25970966404425816</v>
      </c>
      <c r="F62" s="116">
        <f>F56</f>
        <v>2.4670126867868899E-2</v>
      </c>
      <c r="G62" s="114" t="s">
        <v>20</v>
      </c>
      <c r="H62" s="116">
        <f>G56</f>
        <v>0.12429005959230571</v>
      </c>
    </row>
    <row r="63" spans="1:8" ht="15" x14ac:dyDescent="0.25">
      <c r="A63" s="26" t="s">
        <v>17</v>
      </c>
      <c r="B63" s="27" t="s">
        <v>21</v>
      </c>
      <c r="C63" s="117">
        <f>SUM(D63:H63)</f>
        <v>829135.58781609521</v>
      </c>
      <c r="D63" s="118">
        <f>D61*D64*10</f>
        <v>490292.59176700469</v>
      </c>
      <c r="E63" s="118">
        <f t="shared" ref="E63:F63" si="9">E61*E64*10</f>
        <v>215334.40227902989</v>
      </c>
      <c r="F63" s="118">
        <f t="shared" si="9"/>
        <v>20454.868488586897</v>
      </c>
      <c r="G63" s="27" t="s">
        <v>21</v>
      </c>
      <c r="H63" s="118">
        <f>H61*H64/100*12</f>
        <v>103053.72528147389</v>
      </c>
    </row>
    <row r="64" spans="1:8" ht="17.25" x14ac:dyDescent="0.25">
      <c r="A64" s="22" t="s">
        <v>23</v>
      </c>
      <c r="B64" s="23" t="s">
        <v>28</v>
      </c>
      <c r="C64" s="29"/>
      <c r="D64" s="29">
        <f>D57/D61/10</f>
        <v>5.6596918774350762</v>
      </c>
      <c r="E64" s="29">
        <f>E57/E61/10</f>
        <v>7.3779764028539532</v>
      </c>
      <c r="F64" s="29">
        <f>F57/F61/10</f>
        <v>1.2208168576361722</v>
      </c>
      <c r="G64" s="23" t="s">
        <v>128</v>
      </c>
      <c r="H64" s="29">
        <f>ROUND(G57/H61*100/12,4)</f>
        <v>8.9591999999999992</v>
      </c>
    </row>
  </sheetData>
  <sheetProtection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showGridLines="0" workbookViewId="0">
      <selection activeCell="I13" sqref="I13"/>
    </sheetView>
  </sheetViews>
  <sheetFormatPr defaultColWidth="9.140625" defaultRowHeight="14.25" x14ac:dyDescent="0.2"/>
  <cols>
    <col min="1" max="1" width="16.7109375" style="46" customWidth="1"/>
    <col min="2" max="2" width="15.28515625" style="46" customWidth="1"/>
    <col min="3" max="3" width="12.7109375" style="46" bestFit="1" customWidth="1"/>
    <col min="4" max="4" width="17" style="46" bestFit="1" customWidth="1"/>
    <col min="5" max="5" width="12" style="46" bestFit="1" customWidth="1"/>
    <col min="6" max="6" width="12.7109375" style="46" bestFit="1" customWidth="1"/>
    <col min="7" max="7" width="13.28515625" style="46" bestFit="1" customWidth="1"/>
    <col min="8" max="8" width="9.140625" style="46"/>
    <col min="9" max="9" width="12.7109375" style="46" bestFit="1" customWidth="1"/>
    <col min="10" max="11" width="14.5703125" style="46" bestFit="1" customWidth="1"/>
    <col min="12" max="16384" width="9.140625" style="46"/>
  </cols>
  <sheetData>
    <row r="1" spans="1:7" ht="15" x14ac:dyDescent="0.25">
      <c r="A1" s="48" t="str">
        <f>CIACVA!A1</f>
        <v>EPCOR Natural Gas Limited Partnership</v>
      </c>
    </row>
    <row r="2" spans="1:7" ht="15" x14ac:dyDescent="0.25">
      <c r="A2" s="48" t="str">
        <f>CIACVA!A2</f>
        <v>EB-2026-0149</v>
      </c>
    </row>
    <row r="3" spans="1:7" ht="15" x14ac:dyDescent="0.25">
      <c r="A3" s="48" t="s">
        <v>37</v>
      </c>
    </row>
    <row r="4" spans="1:7" ht="15" x14ac:dyDescent="0.25">
      <c r="A4" s="48"/>
    </row>
    <row r="5" spans="1:7" ht="15" x14ac:dyDescent="0.25">
      <c r="A5" s="49" t="s">
        <v>193</v>
      </c>
    </row>
    <row r="6" spans="1:7" ht="15" x14ac:dyDescent="0.25">
      <c r="A6" s="47" t="s">
        <v>33</v>
      </c>
      <c r="B6" s="47" t="s">
        <v>129</v>
      </c>
      <c r="C6" s="47" t="s">
        <v>130</v>
      </c>
      <c r="D6" s="47" t="s">
        <v>131</v>
      </c>
      <c r="F6" s="47" t="s">
        <v>131</v>
      </c>
    </row>
    <row r="7" spans="1:7" x14ac:dyDescent="0.2">
      <c r="A7" s="111">
        <v>8662.8848775633542</v>
      </c>
      <c r="B7" s="111">
        <v>2918.610612467317</v>
      </c>
      <c r="C7" s="111">
        <f>1675506.72/1000</f>
        <v>1675.5067199999999</v>
      </c>
      <c r="D7" s="111">
        <v>95854.65711361311</v>
      </c>
      <c r="F7" s="111">
        <f>19679281.07/1000</f>
        <v>19679.281070000001</v>
      </c>
      <c r="G7" s="121"/>
    </row>
    <row r="8" spans="1:7" x14ac:dyDescent="0.2">
      <c r="A8" s="112" t="s">
        <v>132</v>
      </c>
      <c r="B8" s="112" t="s">
        <v>132</v>
      </c>
      <c r="C8" s="112" t="s">
        <v>132</v>
      </c>
      <c r="D8" s="112" t="s">
        <v>133</v>
      </c>
      <c r="F8" s="112" t="s">
        <v>132</v>
      </c>
    </row>
    <row r="9" spans="1:7" x14ac:dyDescent="0.2">
      <c r="A9" s="110"/>
      <c r="B9" s="110"/>
      <c r="C9" s="110"/>
      <c r="D9" s="110"/>
    </row>
    <row r="10" spans="1:7" ht="15" x14ac:dyDescent="0.25">
      <c r="A10" s="49" t="s">
        <v>194</v>
      </c>
    </row>
    <row r="11" spans="1:7" ht="15" x14ac:dyDescent="0.25">
      <c r="A11" s="47" t="s">
        <v>33</v>
      </c>
      <c r="B11" s="47" t="s">
        <v>129</v>
      </c>
      <c r="C11" s="47" t="s">
        <v>130</v>
      </c>
      <c r="D11" s="47" t="s">
        <v>131</v>
      </c>
    </row>
    <row r="12" spans="1:7" x14ac:dyDescent="0.2">
      <c r="A12" s="111">
        <v>5454</v>
      </c>
      <c r="B12" s="111">
        <v>78</v>
      </c>
      <c r="C12" s="111">
        <v>11</v>
      </c>
      <c r="D12" s="111">
        <v>3</v>
      </c>
      <c r="G12" s="50"/>
    </row>
    <row r="13" spans="1:7" x14ac:dyDescent="0.2">
      <c r="A13" s="82">
        <f>A12/SUM($A$12:$D$12)</f>
        <v>0.98341146772448607</v>
      </c>
      <c r="B13" s="82">
        <f t="shared" ref="B13:D13" si="0">B12/SUM($A$12:$D$12)</f>
        <v>1.4064190407500902E-2</v>
      </c>
      <c r="C13" s="82">
        <f t="shared" si="0"/>
        <v>1.9834114677244859E-3</v>
      </c>
      <c r="D13" s="82">
        <f t="shared" si="0"/>
        <v>5.4093040028849626E-4</v>
      </c>
      <c r="G13" s="50"/>
    </row>
    <row r="14" spans="1:7" x14ac:dyDescent="0.2">
      <c r="A14" s="109"/>
      <c r="B14" s="50"/>
      <c r="G14" s="50"/>
    </row>
    <row r="15" spans="1:7" ht="15" x14ac:dyDescent="0.25">
      <c r="A15" s="49" t="s">
        <v>195</v>
      </c>
      <c r="B15" s="50"/>
      <c r="G15" s="50"/>
    </row>
    <row r="16" spans="1:7" ht="15" x14ac:dyDescent="0.25">
      <c r="A16" s="47" t="s">
        <v>33</v>
      </c>
      <c r="B16" s="47" t="s">
        <v>129</v>
      </c>
      <c r="C16" s="47" t="s">
        <v>130</v>
      </c>
      <c r="D16" s="47" t="s">
        <v>131</v>
      </c>
    </row>
    <row r="17" spans="1:5" x14ac:dyDescent="0.2">
      <c r="A17" s="111">
        <v>8756.8949229753234</v>
      </c>
      <c r="B17" s="111">
        <v>2969.2950000000001</v>
      </c>
      <c r="C17" s="111">
        <v>1675.5067199999999</v>
      </c>
      <c r="D17" s="111">
        <v>19679.281070000001</v>
      </c>
    </row>
    <row r="18" spans="1:5" x14ac:dyDescent="0.2">
      <c r="A18" s="82">
        <f>A17/SUM($A$17:$D$17)</f>
        <v>0.26471088608546822</v>
      </c>
      <c r="B18" s="82">
        <f>B17/SUM($A$17:$D$17)</f>
        <v>8.9758380957264045E-2</v>
      </c>
      <c r="C18" s="82">
        <f>C17/SUM($A$17:$D$17)</f>
        <v>5.0648645712270395E-2</v>
      </c>
      <c r="D18" s="82">
        <f>D17/SUM($A$17:$D$17)</f>
        <v>0.59488208724499747</v>
      </c>
    </row>
    <row r="20" spans="1:5" ht="15" x14ac:dyDescent="0.25">
      <c r="A20" s="49" t="s">
        <v>196</v>
      </c>
      <c r="B20" s="50"/>
    </row>
    <row r="21" spans="1:5" ht="15" x14ac:dyDescent="0.25">
      <c r="A21" s="47" t="s">
        <v>33</v>
      </c>
      <c r="B21" s="47" t="s">
        <v>129</v>
      </c>
      <c r="C21" s="47" t="s">
        <v>130</v>
      </c>
      <c r="D21" s="47" t="s">
        <v>131</v>
      </c>
    </row>
    <row r="22" spans="1:5" x14ac:dyDescent="0.2">
      <c r="A22" s="111">
        <f>9489818.42416136/1000</f>
        <v>9489.8184241613599</v>
      </c>
      <c r="B22" s="111">
        <f>2564808.49054875/1000</f>
        <v>2564.8084905487499</v>
      </c>
      <c r="C22" s="111">
        <f>2667879.451261/1000</f>
        <v>2667.8794512609998</v>
      </c>
      <c r="D22" s="111">
        <f>40169974.0278259/1000</f>
        <v>40169.974027825898</v>
      </c>
    </row>
    <row r="23" spans="1:5" x14ac:dyDescent="0.2">
      <c r="A23" s="82">
        <f t="shared" ref="A23:C23" si="1">A22/SUM($A$22:$D$22)</f>
        <v>0.17288011684080748</v>
      </c>
      <c r="B23" s="82">
        <f t="shared" si="1"/>
        <v>4.672422291994989E-2</v>
      </c>
      <c r="C23" s="82">
        <f t="shared" si="1"/>
        <v>4.8601911083662325E-2</v>
      </c>
      <c r="D23" s="82">
        <f>D22/SUM($A$22:$D$22)</f>
        <v>0.73179374915558038</v>
      </c>
    </row>
    <row r="24" spans="1:5" x14ac:dyDescent="0.2">
      <c r="A24" s="58"/>
    </row>
    <row r="25" spans="1:5" ht="15" x14ac:dyDescent="0.25">
      <c r="A25" s="48" t="s">
        <v>201</v>
      </c>
    </row>
    <row r="26" spans="1:5" ht="15" x14ac:dyDescent="0.25">
      <c r="A26" s="102" t="s">
        <v>176</v>
      </c>
      <c r="B26" s="47" t="s">
        <v>33</v>
      </c>
      <c r="C26" s="47" t="s">
        <v>129</v>
      </c>
      <c r="D26" s="47" t="s">
        <v>130</v>
      </c>
      <c r="E26" s="47" t="s">
        <v>131</v>
      </c>
    </row>
    <row r="27" spans="1:5" x14ac:dyDescent="0.2">
      <c r="A27" s="176" t="s">
        <v>50</v>
      </c>
      <c r="B27" s="177">
        <v>9411.9612202090393</v>
      </c>
      <c r="C27" s="177">
        <v>2548.4412480419314</v>
      </c>
      <c r="D27" s="177">
        <v>2238.8270897490252</v>
      </c>
      <c r="E27" s="177"/>
    </row>
    <row r="28" spans="1:5" x14ac:dyDescent="0.2">
      <c r="A28" s="176" t="s">
        <v>49</v>
      </c>
      <c r="B28" s="177">
        <v>37418.236492999997</v>
      </c>
      <c r="C28" s="177">
        <v>12881.687973</v>
      </c>
      <c r="D28" s="177">
        <v>1840.241139</v>
      </c>
      <c r="E28" s="177">
        <v>9201.2056949999987</v>
      </c>
    </row>
    <row r="29" spans="1:5" x14ac:dyDescent="0.2">
      <c r="A29" s="178" t="s">
        <v>198</v>
      </c>
      <c r="B29" s="179">
        <v>34867.461651999998</v>
      </c>
      <c r="C29" s="179">
        <v>12003.552372</v>
      </c>
      <c r="D29" s="179">
        <v>1714.7931960000001</v>
      </c>
      <c r="E29" s="179">
        <v>8573.9659800000009</v>
      </c>
    </row>
    <row r="31" spans="1:5" ht="15" x14ac:dyDescent="0.25">
      <c r="A31" s="180" t="s">
        <v>177</v>
      </c>
      <c r="B31" s="47" t="s">
        <v>33</v>
      </c>
      <c r="C31" s="47" t="s">
        <v>129</v>
      </c>
      <c r="D31" s="47" t="s">
        <v>130</v>
      </c>
      <c r="E31" s="47" t="s">
        <v>131</v>
      </c>
    </row>
    <row r="32" spans="1:5" x14ac:dyDescent="0.2">
      <c r="A32" s="176" t="s">
        <v>50</v>
      </c>
      <c r="B32" s="177">
        <v>18913</v>
      </c>
      <c r="C32" s="177">
        <v>5783</v>
      </c>
      <c r="D32" s="177">
        <v>2438</v>
      </c>
      <c r="E32" s="177"/>
    </row>
    <row r="33" spans="1:5" x14ac:dyDescent="0.2">
      <c r="A33" s="178" t="s">
        <v>49</v>
      </c>
      <c r="B33" s="179">
        <v>183729</v>
      </c>
      <c r="C33" s="179">
        <v>65322</v>
      </c>
      <c r="D33" s="179">
        <v>7976</v>
      </c>
      <c r="E33" s="179">
        <v>52102</v>
      </c>
    </row>
    <row r="35" spans="1:5" x14ac:dyDescent="0.2">
      <c r="A35" s="180" t="s">
        <v>199</v>
      </c>
      <c r="B35" s="181">
        <f>SUM(B27:B29,B32:B33)</f>
        <v>284339.65936520905</v>
      </c>
      <c r="C35" s="181">
        <f t="shared" ref="C35:E35" si="2">SUM(C27:C29,C32:C33)</f>
        <v>98538.681593041925</v>
      </c>
      <c r="D35" s="181">
        <f t="shared" si="2"/>
        <v>16207.861424749026</v>
      </c>
      <c r="E35" s="181">
        <f t="shared" si="2"/>
        <v>69877.171674999991</v>
      </c>
    </row>
  </sheetData>
  <sheetProtection sheet="1" objects="1" scenarios="1"/>
  <phoneticPr fontId="20" type="noConversion"/>
  <pageMargins left="0.7" right="0.7" top="0.75" bottom="0.75" header="0.3" footer="0.3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D137378F81F4FB318B1B24AB80438" ma:contentTypeVersion="5" ma:contentTypeDescription="Create a new document." ma:contentTypeScope="" ma:versionID="1d97a38f63711f9c256529cd2c45c12f">
  <xsd:schema xmlns:xsd="http://www.w3.org/2001/XMLSchema" xmlns:xs="http://www.w3.org/2001/XMLSchema" xmlns:p="http://schemas.microsoft.com/office/2006/metadata/properties" xmlns:ns2="2bc3004b-9ad1-483e-becf-bfd5ad8c6084" xmlns:ns3="5439dcb1-57cb-40ed-87e6-3a760137f3f8" xmlns:ns4="814aaabf-6b27-4e48-84b7-c1ad3678f127" targetNamespace="http://schemas.microsoft.com/office/2006/metadata/properties" ma:root="true" ma:fieldsID="99829ed334b0f3165ded5174156f74c2" ns2:_="" ns3:_="" ns4:_="">
    <xsd:import namespace="2bc3004b-9ad1-483e-becf-bfd5ad8c6084"/>
    <xsd:import namespace="5439dcb1-57cb-40ed-87e6-3a760137f3f8"/>
    <xsd:import namespace="814aaabf-6b27-4e48-84b7-c1ad3678f12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nm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004b-9ad1-483e-becf-bfd5ad8c6084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9dcb1-57cb-40ed-87e6-3a760137f3f8" elementFormDefault="qualified">
    <xsd:import namespace="http://schemas.microsoft.com/office/2006/documentManagement/types"/>
    <xsd:import namespace="http://schemas.microsoft.com/office/infopath/2007/PartnerControls"/>
    <xsd:element name="snms" ma:index="11" nillable="true" ma:displayName="Description" ma:internalName="snm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aaabf-6b27-4e48-84b7-c1ad3678f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ms xmlns="5439dcb1-57cb-40ed-87e6-3a760137f3f8" xsi:nil="true"/>
    <_dlc_DocId xmlns="2bc3004b-9ad1-483e-becf-bfd5ad8c6084">6YNFE3WTN53P-2032442789-2016</_dlc_DocId>
    <_dlc_DocIdUrl xmlns="2bc3004b-9ad1-483e-becf-bfd5ad8c6084">
      <Url>https://epcorweb/en-ca/departments/natgas/sites/ON/ONReg/_layouts/15/DocIdRedir.aspx?ID=6YNFE3WTN53P-2032442789-2016</Url>
      <Description>6YNFE3WTN53P-2032442789-2016</Description>
    </_dlc_DocIdUrl>
  </documentManagement>
</p:properties>
</file>

<file path=customXml/itemProps1.xml><?xml version="1.0" encoding="utf-8"?>
<ds:datastoreItem xmlns:ds="http://schemas.openxmlformats.org/officeDocument/2006/customXml" ds:itemID="{FFECCA55-AFFA-4693-A437-486C2E08E6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004b-9ad1-483e-becf-bfd5ad8c6084"/>
    <ds:schemaRef ds:uri="5439dcb1-57cb-40ed-87e6-3a760137f3f8"/>
    <ds:schemaRef ds:uri="814aaabf-6b27-4e48-84b7-c1ad3678f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986EE0-454F-4433-AD87-B9903AF2359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FC7372A-094C-469B-900D-C2462FF8E85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386503-EB7C-497A-B47A-1F8E240A2856}">
  <ds:schemaRefs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814aaabf-6b27-4e48-84b7-c1ad3678f127"/>
    <ds:schemaRef ds:uri="5439dcb1-57cb-40ed-87e6-3a760137f3f8"/>
    <ds:schemaRef ds:uri="2bc3004b-9ad1-483e-becf-bfd5ad8c60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Summary</vt:lpstr>
      <vt:lpstr>ECVA</vt:lpstr>
      <vt:lpstr>CIACVA</vt:lpstr>
      <vt:lpstr>MTVA</vt:lpstr>
      <vt:lpstr>ORDA</vt:lpstr>
      <vt:lpstr>CVVA</vt:lpstr>
      <vt:lpstr>UFGVA</vt:lpstr>
      <vt:lpstr>ADVADA</vt:lpstr>
      <vt:lpstr>S&amp;TVA</vt:lpstr>
      <vt:lpstr>TVA</vt:lpstr>
      <vt:lpstr>COVID</vt:lpstr>
      <vt:lpstr>Load Forecast</vt:lpstr>
      <vt:lpstr>CIACVA!Print_Area</vt:lpstr>
      <vt:lpstr>CVVA!Print_Area</vt:lpstr>
      <vt:lpstr>ECVA!Print_Area</vt:lpstr>
      <vt:lpstr>MTVA!Print_Area</vt:lpstr>
      <vt:lpstr>ORDA!Print_Area</vt:lpstr>
      <vt:lpstr>'S&amp;TVA'!Print_Area</vt:lpstr>
      <vt:lpstr>TVA!Print_Area</vt:lpstr>
    </vt:vector>
  </TitlesOfParts>
  <Company>EPCOR Utilities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Leung, George</dc:creator>
  <cp:lastModifiedBy>Hesselink, Tim</cp:lastModifiedBy>
  <cp:lastPrinted>2026-07-31T12:45:17Z</cp:lastPrinted>
  <dcterms:created xsi:type="dcterms:W3CDTF">2021-09-07T13:08:27Z</dcterms:created>
  <dcterms:modified xsi:type="dcterms:W3CDTF">2026-07-31T12:46:12Z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0x0101002BAD137378F81F4FB318B1B24AB80438</vt:lpwstr>
  </property>
  <property fmtid="{D5CDD505-2E9C-101B-9397-08002B2CF9AE}" pid="3" name="_dlc_DocIdItemGuid">
    <vt:lpwstr>15449721-ef1d-4c16-811e-e412eadb1b17</vt:lpwstr>
  </property>
</Properties>
</file>