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pcorweb/en-ca/departments/natgas/sites/ON/ONReg/RC_QRAM/IRM/EB-2026-0149 - SB IRM - 202701 Rates/"/>
    </mc:Choice>
  </mc:AlternateContent>
  <xr:revisionPtr revIDLastSave="0" documentId="13_ncr:20000001_{5932B63F-498F-4FC4-8E8D-658083F86ECC}" xr6:coauthVersionLast="47" xr6:coauthVersionMax="47" xr10:uidLastSave="{00000000-0000-0000-0000-000000000000}"/>
  <workbookProtection workbookAlgorithmName="SHA-512" workbookHashValue="gPb4cHQGVoZ1is7I41bT+SCD3ArJJP3R5R2JS1IsDdrjlzvUN2rLF1lHEJxZjhXLic28NxvMUUcngwTgJakOrA==" workbookSaltValue="u0WDroV/FRAyTg0RVxPImQ==" workbookSpinCount="100000" lockStructure="1"/>
  <bookViews>
    <workbookView xWindow="28680" yWindow="-75" windowWidth="29040" windowHeight="15720" xr2:uid="{EB1E88F5-E0D3-4EE4-9034-370BBFCA0971}"/>
  </bookViews>
  <sheets>
    <sheet name="TVA - Continuity" sheetId="22" r:id="rId1"/>
    <sheet name="S&amp;TVA - Continuity" sheetId="21" r:id="rId2"/>
    <sheet name="Invoice Breakdown" sheetId="12" state="hidden" r:id="rId3"/>
    <sheet name="Allocation" sheetId="15" r:id="rId4"/>
    <sheet name="Fuel Costs" sheetId="26" r:id="rId5"/>
    <sheet name="Upstream Recovery" sheetId="20" r:id="rId6"/>
    <sheet name="Upstream Allocation" sheetId="24" r:id="rId7"/>
  </sheets>
  <definedNames>
    <definedName name="inflat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2" l="1"/>
  <c r="B30" i="22"/>
  <c r="B61" i="21" l="1"/>
  <c r="C61" i="21"/>
  <c r="D61" i="21"/>
  <c r="E61" i="21"/>
  <c r="F61" i="21"/>
  <c r="G61" i="21"/>
  <c r="H61" i="21"/>
  <c r="I61" i="21"/>
  <c r="J61" i="21"/>
  <c r="K61" i="21"/>
  <c r="L61" i="21"/>
  <c r="M61" i="21"/>
  <c r="N61" i="21"/>
  <c r="B70" i="21"/>
  <c r="C70" i="21"/>
  <c r="D70" i="21"/>
  <c r="E70" i="21"/>
  <c r="F70" i="21"/>
  <c r="G70" i="21"/>
  <c r="H70" i="21"/>
  <c r="I70" i="21"/>
  <c r="J70" i="21"/>
  <c r="K70" i="21"/>
  <c r="L70" i="21"/>
  <c r="M70" i="21"/>
  <c r="N70" i="21"/>
  <c r="B78" i="21"/>
  <c r="C78" i="21"/>
  <c r="D78" i="21"/>
  <c r="E78" i="21"/>
  <c r="F78" i="21"/>
  <c r="G78" i="21"/>
  <c r="H78" i="21"/>
  <c r="I78" i="21"/>
  <c r="J78" i="21"/>
  <c r="K78" i="21"/>
  <c r="L78" i="21"/>
  <c r="M78" i="21"/>
  <c r="N78" i="21"/>
  <c r="B82" i="21"/>
  <c r="C82" i="21"/>
  <c r="D82" i="21"/>
  <c r="E82" i="21"/>
  <c r="F82" i="21"/>
  <c r="G82" i="21"/>
  <c r="H82" i="21"/>
  <c r="I82" i="21"/>
  <c r="J82" i="21"/>
  <c r="K82" i="21"/>
  <c r="L82" i="21"/>
  <c r="M82" i="21"/>
  <c r="N82" i="21"/>
  <c r="AL80" i="12"/>
  <c r="AG80" i="12"/>
  <c r="AT80" i="12"/>
  <c r="BA80" i="12"/>
  <c r="BB80" i="12"/>
  <c r="BP80" i="12"/>
  <c r="BP81" i="12"/>
  <c r="BS80" i="12"/>
  <c r="BS81" i="12"/>
  <c r="BF81" i="12"/>
  <c r="AT81" i="12"/>
  <c r="BO81" i="12"/>
  <c r="A81" i="12"/>
  <c r="BO80" i="12"/>
  <c r="BF80" i="12"/>
  <c r="A77" i="12"/>
  <c r="A78" i="12"/>
  <c r="A79" i="12"/>
  <c r="A80" i="12"/>
  <c r="B8" i="21"/>
  <c r="C8" i="21" s="1"/>
  <c r="D8" i="21" s="1"/>
  <c r="L8" i="21"/>
  <c r="M8" i="21" s="1"/>
  <c r="BU79" i="12"/>
  <c r="BS79" i="12"/>
  <c r="BO79" i="12"/>
  <c r="X79" i="12"/>
  <c r="W79" i="12"/>
  <c r="V79" i="12"/>
  <c r="P79" i="12"/>
  <c r="BT79" i="12"/>
  <c r="BV79" i="12"/>
  <c r="BB79" i="12"/>
  <c r="BA79" i="12"/>
  <c r="AL79" i="12"/>
  <c r="BU78" i="12"/>
  <c r="BS78" i="12"/>
  <c r="BO78" i="12"/>
  <c r="AA78" i="12"/>
  <c r="U78" i="12"/>
  <c r="P78" i="12"/>
  <c r="BT78" i="12"/>
  <c r="BV78" i="12"/>
  <c r="BB78" i="12"/>
  <c r="BA78" i="12"/>
  <c r="AG79" i="12"/>
  <c r="BU77" i="12"/>
  <c r="BS77" i="12"/>
  <c r="BO77" i="12"/>
  <c r="AG77" i="12"/>
  <c r="AA77" i="12"/>
  <c r="U77" i="12"/>
  <c r="P77" i="12"/>
  <c r="BT77" i="12"/>
  <c r="BB77" i="12"/>
  <c r="BA77" i="12"/>
  <c r="AQ77" i="12"/>
  <c r="AG78" i="12"/>
  <c r="BV77" i="12"/>
  <c r="BF79" i="12"/>
  <c r="AL78" i="12"/>
  <c r="AT78" i="12"/>
  <c r="U79" i="12"/>
  <c r="BQ79" i="12"/>
  <c r="BQ78" i="12"/>
  <c r="BF78" i="12"/>
  <c r="BP78" i="12"/>
  <c r="BQ77" i="12"/>
  <c r="BF77" i="12"/>
  <c r="AT79" i="12"/>
  <c r="BP79" i="12"/>
  <c r="AL77" i="12"/>
  <c r="AT77" i="12"/>
  <c r="BP77" i="12"/>
  <c r="BR77" i="12"/>
  <c r="BR79" i="12"/>
  <c r="BR78" i="12"/>
  <c r="B4" i="21"/>
  <c r="B5" i="21" s="1"/>
  <c r="M14" i="26"/>
  <c r="M6" i="21" s="1"/>
  <c r="I14" i="26"/>
  <c r="I6" i="21" s="1"/>
  <c r="B14" i="26"/>
  <c r="M11" i="26"/>
  <c r="L11" i="26"/>
  <c r="K11" i="26"/>
  <c r="J11" i="26"/>
  <c r="I11" i="26"/>
  <c r="H11" i="26"/>
  <c r="G11" i="26"/>
  <c r="F11" i="26"/>
  <c r="E11" i="26"/>
  <c r="D11" i="26"/>
  <c r="C11" i="26"/>
  <c r="N11" i="26" s="1"/>
  <c r="B11" i="26"/>
  <c r="M7" i="26"/>
  <c r="L7" i="26"/>
  <c r="K7" i="26"/>
  <c r="J7" i="26"/>
  <c r="I7" i="26"/>
  <c r="H7" i="26"/>
  <c r="G7" i="26"/>
  <c r="F7" i="26"/>
  <c r="E7" i="26"/>
  <c r="D7" i="26"/>
  <c r="C7" i="26"/>
  <c r="B7" i="26"/>
  <c r="N6" i="26"/>
  <c r="N7" i="26" s="1"/>
  <c r="N5" i="26"/>
  <c r="BU71" i="12"/>
  <c r="BO71" i="12"/>
  <c r="BI71" i="12"/>
  <c r="BK71" i="12"/>
  <c r="AY71" i="12"/>
  <c r="BA71" i="12"/>
  <c r="AT71" i="12"/>
  <c r="AA71" i="12"/>
  <c r="U71" i="12"/>
  <c r="P71" i="12"/>
  <c r="BT71" i="12"/>
  <c r="J71" i="12"/>
  <c r="AZ71" i="12"/>
  <c r="BB71" i="12"/>
  <c r="BV71" i="12"/>
  <c r="BP71" i="12"/>
  <c r="BF71" i="12"/>
  <c r="BQ71" i="12"/>
  <c r="BR71" i="12"/>
  <c r="BU70" i="12"/>
  <c r="BS70" i="12"/>
  <c r="BO70" i="12"/>
  <c r="BI70" i="12"/>
  <c r="AY70" i="12"/>
  <c r="BA70" i="12"/>
  <c r="AT70" i="12"/>
  <c r="U70" i="12"/>
  <c r="P70" i="12"/>
  <c r="BT70" i="12"/>
  <c r="J70" i="12"/>
  <c r="AZ70" i="12"/>
  <c r="BB70" i="12"/>
  <c r="AA70" i="12"/>
  <c r="BU69" i="12"/>
  <c r="BS69" i="12"/>
  <c r="BO69" i="12"/>
  <c r="BI69" i="12"/>
  <c r="BK69" i="12"/>
  <c r="AY69" i="12"/>
  <c r="BA69" i="12"/>
  <c r="AT69" i="12"/>
  <c r="U69" i="12"/>
  <c r="P69" i="12"/>
  <c r="BT69" i="12"/>
  <c r="J69" i="12"/>
  <c r="AZ69" i="12"/>
  <c r="AA69" i="12"/>
  <c r="H5" i="15"/>
  <c r="H14" i="15" s="1"/>
  <c r="N5" i="15"/>
  <c r="N14" i="15" s="1"/>
  <c r="N15" i="15" s="1"/>
  <c r="N16" i="15" s="1"/>
  <c r="I5" i="15"/>
  <c r="I14" i="15" s="1"/>
  <c r="I15" i="15" s="1"/>
  <c r="I16" i="15" s="1"/>
  <c r="J5" i="15"/>
  <c r="J14" i="15" s="1"/>
  <c r="J15" i="15" s="1"/>
  <c r="J16" i="15" s="1"/>
  <c r="K5" i="15"/>
  <c r="K14" i="15" s="1"/>
  <c r="K15" i="15" s="1"/>
  <c r="K16" i="15" s="1"/>
  <c r="L5" i="15"/>
  <c r="L14" i="15" s="1"/>
  <c r="L15" i="15" s="1"/>
  <c r="L16" i="15" s="1"/>
  <c r="M5" i="15"/>
  <c r="M14" i="15" s="1"/>
  <c r="M15" i="15" s="1"/>
  <c r="M16" i="15" s="1"/>
  <c r="N10" i="15"/>
  <c r="N18" i="15" s="1"/>
  <c r="H10" i="15"/>
  <c r="H18" i="15" s="1"/>
  <c r="I10" i="15"/>
  <c r="I18" i="15" s="1"/>
  <c r="J10" i="15"/>
  <c r="J18" i="15" s="1"/>
  <c r="J19" i="15" s="1"/>
  <c r="J20" i="15" s="1"/>
  <c r="K10" i="15"/>
  <c r="K18" i="15" s="1"/>
  <c r="K19" i="15" s="1"/>
  <c r="K20" i="15" s="1"/>
  <c r="L10" i="15"/>
  <c r="L18" i="15" s="1"/>
  <c r="L19" i="15" s="1"/>
  <c r="L20" i="15" s="1"/>
  <c r="M10" i="15"/>
  <c r="M18" i="15" s="1"/>
  <c r="BV69" i="12"/>
  <c r="BQ70" i="12"/>
  <c r="BP70" i="12"/>
  <c r="BR70" i="12"/>
  <c r="BV70" i="12"/>
  <c r="BF70" i="12"/>
  <c r="BB69" i="12"/>
  <c r="BF69" i="12"/>
  <c r="BQ69" i="12"/>
  <c r="BP69" i="12"/>
  <c r="BR69" i="12"/>
  <c r="D10" i="15"/>
  <c r="D18" i="15" s="1"/>
  <c r="D19" i="15" s="1"/>
  <c r="D20" i="15" s="1"/>
  <c r="E10" i="15"/>
  <c r="E18" i="15" s="1"/>
  <c r="E19" i="15" s="1"/>
  <c r="E20" i="15" s="1"/>
  <c r="F10" i="15"/>
  <c r="F18" i="15" s="1"/>
  <c r="G10" i="15"/>
  <c r="G18" i="15" s="1"/>
  <c r="C10" i="15"/>
  <c r="D5" i="15"/>
  <c r="D14" i="15" s="1"/>
  <c r="D15" i="15" s="1"/>
  <c r="D16" i="15" s="1"/>
  <c r="E5" i="15"/>
  <c r="E14" i="15" s="1"/>
  <c r="E15" i="15" s="1"/>
  <c r="E16" i="15" s="1"/>
  <c r="F5" i="15"/>
  <c r="F14" i="15" s="1"/>
  <c r="F15" i="15" s="1"/>
  <c r="F16" i="15" s="1"/>
  <c r="G5" i="15"/>
  <c r="G14" i="15" s="1"/>
  <c r="C5" i="15"/>
  <c r="C14" i="15" s="1"/>
  <c r="C15" i="15" s="1"/>
  <c r="C16" i="15" s="1"/>
  <c r="BU68" i="12"/>
  <c r="BS68" i="12"/>
  <c r="BO68" i="12"/>
  <c r="BI68" i="12"/>
  <c r="BK68" i="12"/>
  <c r="AY68" i="12"/>
  <c r="U68" i="12"/>
  <c r="P68" i="12"/>
  <c r="BT68" i="12"/>
  <c r="BV68" i="12"/>
  <c r="J68" i="12"/>
  <c r="AZ68" i="12"/>
  <c r="BA68" i="12"/>
  <c r="AA68" i="12"/>
  <c r="BU67" i="12"/>
  <c r="BS67" i="12"/>
  <c r="BO67" i="12"/>
  <c r="BI67" i="12"/>
  <c r="BK67" i="12"/>
  <c r="AY67" i="12"/>
  <c r="AG67" i="12"/>
  <c r="U67" i="12"/>
  <c r="P67" i="12"/>
  <c r="BT67" i="12"/>
  <c r="BV67" i="12"/>
  <c r="J67" i="12"/>
  <c r="AZ67" i="12"/>
  <c r="AM67" i="12"/>
  <c r="AL67" i="12"/>
  <c r="AA67" i="12"/>
  <c r="BA67" i="12"/>
  <c r="BB67" i="12"/>
  <c r="BB68" i="12"/>
  <c r="BF68" i="12"/>
  <c r="AH67" i="12"/>
  <c r="AT67" i="12"/>
  <c r="AG68" i="12"/>
  <c r="AT68" i="12"/>
  <c r="BF67" i="12"/>
  <c r="BP67" i="12"/>
  <c r="BQ67" i="12"/>
  <c r="BQ68" i="12"/>
  <c r="BP68" i="12"/>
  <c r="BR67" i="12"/>
  <c r="BR68" i="12"/>
  <c r="C24" i="22"/>
  <c r="D24" i="22"/>
  <c r="E24" i="22"/>
  <c r="F24" i="22"/>
  <c r="G24" i="22"/>
  <c r="H24" i="22"/>
  <c r="I24" i="22"/>
  <c r="J24" i="22"/>
  <c r="K24" i="22"/>
  <c r="L24" i="22"/>
  <c r="M24" i="22"/>
  <c r="B24" i="22"/>
  <c r="C11" i="22"/>
  <c r="D11" i="22"/>
  <c r="E11" i="22"/>
  <c r="F11" i="22"/>
  <c r="G11" i="22"/>
  <c r="H11" i="22"/>
  <c r="I11" i="22"/>
  <c r="J11" i="22"/>
  <c r="K11" i="22"/>
  <c r="L11" i="22"/>
  <c r="M11" i="22"/>
  <c r="B11" i="22"/>
  <c r="N8" i="22"/>
  <c r="N7" i="22"/>
  <c r="M6" i="22"/>
  <c r="L6" i="22"/>
  <c r="K6" i="22"/>
  <c r="J6" i="22"/>
  <c r="I6" i="22"/>
  <c r="H6" i="22"/>
  <c r="G6" i="22"/>
  <c r="F6" i="22"/>
  <c r="E6" i="22"/>
  <c r="D6" i="22"/>
  <c r="C6" i="22"/>
  <c r="B6" i="22"/>
  <c r="M5" i="22"/>
  <c r="L5" i="22"/>
  <c r="K5" i="22"/>
  <c r="J5" i="22"/>
  <c r="I5" i="22"/>
  <c r="H5" i="22"/>
  <c r="G5" i="22"/>
  <c r="F5" i="22"/>
  <c r="D5" i="22"/>
  <c r="C5" i="22"/>
  <c r="B5" i="22"/>
  <c r="N4" i="22"/>
  <c r="C25" i="21"/>
  <c r="D25" i="21"/>
  <c r="E25" i="21"/>
  <c r="F25" i="21"/>
  <c r="G25" i="21"/>
  <c r="H25" i="21"/>
  <c r="I25" i="21"/>
  <c r="J25" i="21"/>
  <c r="K25" i="21"/>
  <c r="L25" i="21"/>
  <c r="M25" i="21"/>
  <c r="B25" i="21"/>
  <c r="B38" i="21" s="1"/>
  <c r="C12" i="21"/>
  <c r="D12" i="21"/>
  <c r="E12" i="21"/>
  <c r="F12" i="21"/>
  <c r="G12" i="21"/>
  <c r="H12" i="21"/>
  <c r="I12" i="21"/>
  <c r="J12" i="21"/>
  <c r="K12" i="21"/>
  <c r="L12" i="21"/>
  <c r="M12" i="21"/>
  <c r="B12" i="21"/>
  <c r="E7" i="21"/>
  <c r="F7" i="21"/>
  <c r="G7" i="21"/>
  <c r="H7" i="21"/>
  <c r="I7" i="21"/>
  <c r="J7" i="21"/>
  <c r="K7" i="21"/>
  <c r="L7" i="21"/>
  <c r="M7" i="21"/>
  <c r="C7" i="21"/>
  <c r="D7" i="21"/>
  <c r="O13" i="15"/>
  <c r="D13" i="15"/>
  <c r="E13" i="15"/>
  <c r="F13" i="15"/>
  <c r="G13" i="15"/>
  <c r="H13" i="15"/>
  <c r="I13" i="15"/>
  <c r="J13" i="15"/>
  <c r="K13" i="15"/>
  <c r="L13" i="15"/>
  <c r="M13" i="15"/>
  <c r="N13" i="15"/>
  <c r="C13" i="15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O3" i="15"/>
  <c r="O9" i="15"/>
  <c r="O8" i="15"/>
  <c r="O4" i="15"/>
  <c r="M4" i="21"/>
  <c r="M5" i="21" s="1"/>
  <c r="L4" i="21"/>
  <c r="K4" i="21"/>
  <c r="K5" i="21" s="1"/>
  <c r="J4" i="21"/>
  <c r="I4" i="21"/>
  <c r="H4" i="21"/>
  <c r="G4" i="21"/>
  <c r="G5" i="21" s="1"/>
  <c r="F4" i="21"/>
  <c r="E4" i="21"/>
  <c r="E5" i="21" s="1"/>
  <c r="D4" i="21"/>
  <c r="D5" i="21" s="1"/>
  <c r="C4" i="21"/>
  <c r="B7" i="21"/>
  <c r="L32" i="24"/>
  <c r="K32" i="24" s="1"/>
  <c r="M32" i="24"/>
  <c r="N32" i="24"/>
  <c r="O32" i="24"/>
  <c r="G19" i="24"/>
  <c r="F19" i="24" s="1"/>
  <c r="G20" i="24"/>
  <c r="F20" i="24" s="1"/>
  <c r="G21" i="24"/>
  <c r="F21" i="24" s="1"/>
  <c r="G22" i="24"/>
  <c r="F22" i="24"/>
  <c r="G18" i="24"/>
  <c r="F18" i="24"/>
  <c r="F15" i="24"/>
  <c r="F12" i="24"/>
  <c r="F13" i="24"/>
  <c r="F14" i="24"/>
  <c r="F11" i="24"/>
  <c r="F5" i="24"/>
  <c r="F6" i="24"/>
  <c r="F7" i="24"/>
  <c r="F8" i="24"/>
  <c r="F4" i="24"/>
  <c r="N126" i="20"/>
  <c r="M126" i="20"/>
  <c r="L126" i="20"/>
  <c r="L128" i="20" s="1"/>
  <c r="K126" i="20"/>
  <c r="J126" i="20"/>
  <c r="I126" i="20"/>
  <c r="I128" i="20" s="1"/>
  <c r="H126" i="20"/>
  <c r="G126" i="20"/>
  <c r="F126" i="20"/>
  <c r="E126" i="20"/>
  <c r="N122" i="20"/>
  <c r="M122" i="20"/>
  <c r="L122" i="20"/>
  <c r="M123" i="20" s="1"/>
  <c r="M127" i="20" s="1"/>
  <c r="K122" i="20"/>
  <c r="L123" i="20" s="1"/>
  <c r="L127" i="20" s="1"/>
  <c r="J122" i="20"/>
  <c r="K123" i="20" s="1"/>
  <c r="K127" i="20" s="1"/>
  <c r="K128" i="20" s="1"/>
  <c r="I122" i="20"/>
  <c r="I123" i="20" s="1"/>
  <c r="I127" i="20" s="1"/>
  <c r="J123" i="20"/>
  <c r="J127" i="20" s="1"/>
  <c r="J128" i="20" s="1"/>
  <c r="H122" i="20"/>
  <c r="G122" i="20"/>
  <c r="H123" i="20" s="1"/>
  <c r="H127" i="20" s="1"/>
  <c r="H128" i="20" s="1"/>
  <c r="F122" i="20"/>
  <c r="E122" i="20"/>
  <c r="E123" i="20" s="1"/>
  <c r="E127" i="20" s="1"/>
  <c r="E128" i="20" s="1"/>
  <c r="N101" i="20"/>
  <c r="M101" i="20"/>
  <c r="L101" i="20"/>
  <c r="K101" i="20"/>
  <c r="J101" i="20"/>
  <c r="I101" i="20"/>
  <c r="H101" i="20"/>
  <c r="F101" i="20"/>
  <c r="E101" i="20"/>
  <c r="E106" i="20" s="1"/>
  <c r="M71" i="20"/>
  <c r="L71" i="20"/>
  <c r="G71" i="20"/>
  <c r="E71" i="20"/>
  <c r="E76" i="20"/>
  <c r="K71" i="20"/>
  <c r="N123" i="20"/>
  <c r="N127" i="20" s="1"/>
  <c r="F70" i="20"/>
  <c r="F80" i="20" s="1"/>
  <c r="F71" i="20"/>
  <c r="N71" i="20"/>
  <c r="E110" i="20"/>
  <c r="E112" i="20" s="1"/>
  <c r="F109" i="20" s="1"/>
  <c r="H71" i="20"/>
  <c r="I71" i="20"/>
  <c r="F123" i="20"/>
  <c r="F127" i="20"/>
  <c r="F128" i="20"/>
  <c r="J71" i="20"/>
  <c r="E80" i="20"/>
  <c r="E136" i="20" s="1"/>
  <c r="E82" i="20"/>
  <c r="F79" i="20"/>
  <c r="E84" i="20"/>
  <c r="BU64" i="12"/>
  <c r="BS64" i="12"/>
  <c r="BO64" i="12"/>
  <c r="BK64" i="12"/>
  <c r="AY64" i="12"/>
  <c r="BA64" i="12"/>
  <c r="AM64" i="12"/>
  <c r="AL64" i="12"/>
  <c r="X64" i="12"/>
  <c r="W64" i="12"/>
  <c r="V64" i="12"/>
  <c r="P64" i="12"/>
  <c r="BT64" i="12"/>
  <c r="J64" i="12"/>
  <c r="BB64" i="12"/>
  <c r="AA64" i="12"/>
  <c r="BU63" i="12"/>
  <c r="BS63" i="12"/>
  <c r="BO63" i="12"/>
  <c r="BK63" i="12"/>
  <c r="AY63" i="12"/>
  <c r="BA63" i="12"/>
  <c r="AM63" i="12"/>
  <c r="X63" i="12"/>
  <c r="W63" i="12"/>
  <c r="V63" i="12"/>
  <c r="P63" i="12"/>
  <c r="BT63" i="12"/>
  <c r="J63" i="12"/>
  <c r="AZ63" i="12"/>
  <c r="BB63" i="12"/>
  <c r="AA63" i="12"/>
  <c r="BU62" i="12"/>
  <c r="BS62" i="12"/>
  <c r="BO62" i="12"/>
  <c r="BK62" i="12"/>
  <c r="AY62" i="12"/>
  <c r="BA62" i="12"/>
  <c r="X62" i="12"/>
  <c r="W62" i="12"/>
  <c r="V62" i="12"/>
  <c r="P62" i="12"/>
  <c r="BT62" i="12"/>
  <c r="J62" i="12"/>
  <c r="AZ62" i="12"/>
  <c r="BB62" i="12"/>
  <c r="BF62" i="12"/>
  <c r="AM62" i="12"/>
  <c r="AG63" i="12"/>
  <c r="AA62" i="12"/>
  <c r="BU61" i="12"/>
  <c r="BS61" i="12"/>
  <c r="BO61" i="12"/>
  <c r="BK61" i="12"/>
  <c r="AY61" i="12"/>
  <c r="BA61" i="12"/>
  <c r="AA61" i="12"/>
  <c r="X61" i="12"/>
  <c r="W61" i="12"/>
  <c r="V61" i="12"/>
  <c r="P61" i="12"/>
  <c r="BT61" i="12"/>
  <c r="J61" i="12"/>
  <c r="AZ61" i="12"/>
  <c r="BB61" i="12"/>
  <c r="AM61" i="12"/>
  <c r="AG62" i="12"/>
  <c r="BU60" i="12"/>
  <c r="BS60" i="12"/>
  <c r="BO60" i="12"/>
  <c r="BK60" i="12"/>
  <c r="AY60" i="12"/>
  <c r="BA60" i="12"/>
  <c r="AG60" i="12"/>
  <c r="X60" i="12"/>
  <c r="W60" i="12"/>
  <c r="V60" i="12"/>
  <c r="P60" i="12"/>
  <c r="BT60" i="12"/>
  <c r="J60" i="12"/>
  <c r="AZ60" i="12"/>
  <c r="BB60" i="12"/>
  <c r="AM60" i="12"/>
  <c r="AG61" i="12"/>
  <c r="AA60" i="12"/>
  <c r="BU59" i="12"/>
  <c r="BS59" i="12"/>
  <c r="BO59" i="12"/>
  <c r="BI59" i="12"/>
  <c r="BK59" i="12"/>
  <c r="AY59" i="12"/>
  <c r="BA59" i="12"/>
  <c r="AM59" i="12"/>
  <c r="AG59" i="12"/>
  <c r="X59" i="12"/>
  <c r="W59" i="12"/>
  <c r="V59" i="12"/>
  <c r="U59" i="12"/>
  <c r="P59" i="12"/>
  <c r="BT59" i="12"/>
  <c r="J59" i="12"/>
  <c r="AZ59" i="12"/>
  <c r="BB59" i="12"/>
  <c r="AL59" i="12"/>
  <c r="AA59" i="12"/>
  <c r="BU58" i="12"/>
  <c r="BS58" i="12"/>
  <c r="BO58" i="12"/>
  <c r="BI58" i="12"/>
  <c r="BK58" i="12"/>
  <c r="AY58" i="12"/>
  <c r="BA58" i="12"/>
  <c r="AL58" i="12"/>
  <c r="X58" i="12"/>
  <c r="W58" i="12"/>
  <c r="V58" i="12"/>
  <c r="P58" i="12"/>
  <c r="BT58" i="12"/>
  <c r="J58" i="12"/>
  <c r="AZ58" i="12"/>
  <c r="AM58" i="12"/>
  <c r="AA58" i="12"/>
  <c r="BU57" i="12"/>
  <c r="BS57" i="12"/>
  <c r="BO57" i="12"/>
  <c r="BI57" i="12"/>
  <c r="BK57" i="12"/>
  <c r="AY57" i="12"/>
  <c r="BA57" i="12"/>
  <c r="AG57" i="12"/>
  <c r="X57" i="12"/>
  <c r="W57" i="12"/>
  <c r="V57" i="12"/>
  <c r="P57" i="12"/>
  <c r="BT57" i="12"/>
  <c r="J57" i="12"/>
  <c r="AZ57" i="12"/>
  <c r="BB57" i="12"/>
  <c r="AM57" i="12"/>
  <c r="AG58" i="12"/>
  <c r="AA57" i="12"/>
  <c r="BU56" i="12"/>
  <c r="BS56" i="12"/>
  <c r="BO56" i="12"/>
  <c r="BI56" i="12"/>
  <c r="BK56" i="12"/>
  <c r="AY56" i="12"/>
  <c r="BA56" i="12"/>
  <c r="AM56" i="12"/>
  <c r="X56" i="12"/>
  <c r="W56" i="12"/>
  <c r="V56" i="12"/>
  <c r="P56" i="12"/>
  <c r="BT56" i="12"/>
  <c r="J56" i="12"/>
  <c r="AZ56" i="12"/>
  <c r="AL56" i="12"/>
  <c r="AA56" i="12"/>
  <c r="BU55" i="12"/>
  <c r="BS55" i="12"/>
  <c r="BO55" i="12"/>
  <c r="BK55" i="12"/>
  <c r="AY55" i="12"/>
  <c r="AM55" i="12"/>
  <c r="X55" i="12"/>
  <c r="W55" i="12"/>
  <c r="V55" i="12"/>
  <c r="P55" i="12"/>
  <c r="BT55" i="12"/>
  <c r="J55" i="12"/>
  <c r="AZ55" i="12"/>
  <c r="BB55" i="12"/>
  <c r="AG56" i="12"/>
  <c r="AA55" i="12"/>
  <c r="BU54" i="12"/>
  <c r="BS54" i="12"/>
  <c r="BO54" i="12"/>
  <c r="BK54" i="12"/>
  <c r="AY54" i="12"/>
  <c r="BA54" i="12"/>
  <c r="AG54" i="12"/>
  <c r="X54" i="12"/>
  <c r="W54" i="12"/>
  <c r="V54" i="12"/>
  <c r="P54" i="12"/>
  <c r="BT54" i="12"/>
  <c r="J54" i="12"/>
  <c r="AZ54" i="12"/>
  <c r="AM54" i="12"/>
  <c r="AG55" i="12"/>
  <c r="AA54" i="12"/>
  <c r="BU53" i="12"/>
  <c r="BS53" i="12"/>
  <c r="BO53" i="12"/>
  <c r="BK53" i="12"/>
  <c r="AY53" i="12"/>
  <c r="BA53" i="12"/>
  <c r="AW53" i="12"/>
  <c r="AL53" i="12"/>
  <c r="AG53" i="12"/>
  <c r="AA53" i="12"/>
  <c r="X53" i="12"/>
  <c r="W53" i="12"/>
  <c r="V53" i="12"/>
  <c r="P53" i="12"/>
  <c r="BT53" i="12"/>
  <c r="BV53" i="12"/>
  <c r="J53" i="12"/>
  <c r="AZ53" i="12"/>
  <c r="BB53" i="12"/>
  <c r="AM53" i="12"/>
  <c r="BU52" i="12"/>
  <c r="BS52" i="12"/>
  <c r="BO52" i="12"/>
  <c r="BK52" i="12"/>
  <c r="AY52" i="12"/>
  <c r="BA52" i="12"/>
  <c r="AL52" i="12"/>
  <c r="X52" i="12"/>
  <c r="W52" i="12"/>
  <c r="V52" i="12"/>
  <c r="P52" i="12"/>
  <c r="BT52" i="12"/>
  <c r="J52" i="12"/>
  <c r="AZ52" i="12"/>
  <c r="BB52" i="12"/>
  <c r="AM52" i="12"/>
  <c r="AA52" i="12"/>
  <c r="BU51" i="12"/>
  <c r="BS51" i="12"/>
  <c r="BO51" i="12"/>
  <c r="BK51" i="12"/>
  <c r="AY51" i="12"/>
  <c r="BA51" i="12"/>
  <c r="AM51" i="12"/>
  <c r="AA51" i="12"/>
  <c r="X51" i="12"/>
  <c r="W51" i="12"/>
  <c r="V51" i="12"/>
  <c r="P51" i="12"/>
  <c r="BT51" i="12"/>
  <c r="J51" i="12"/>
  <c r="AZ51" i="12"/>
  <c r="BB51" i="12"/>
  <c r="AG52" i="12"/>
  <c r="BU50" i="12"/>
  <c r="BS50" i="12"/>
  <c r="BO50" i="12"/>
  <c r="BK50" i="12"/>
  <c r="AY50" i="12"/>
  <c r="BA50" i="12"/>
  <c r="J50" i="12"/>
  <c r="AZ50" i="12"/>
  <c r="AM50" i="12"/>
  <c r="AG50" i="12"/>
  <c r="X50" i="12"/>
  <c r="W50" i="12"/>
  <c r="V50" i="12"/>
  <c r="P50" i="12"/>
  <c r="BT50" i="12"/>
  <c r="AG51" i="12"/>
  <c r="AA50" i="12"/>
  <c r="BU49" i="12"/>
  <c r="BS49" i="12"/>
  <c r="BO49" i="12"/>
  <c r="BK49" i="12"/>
  <c r="AY49" i="12"/>
  <c r="BA49" i="12"/>
  <c r="AM49" i="12"/>
  <c r="AL49" i="12"/>
  <c r="AA49" i="12"/>
  <c r="X49" i="12"/>
  <c r="W49" i="12"/>
  <c r="V49" i="12"/>
  <c r="P49" i="12"/>
  <c r="BT49" i="12"/>
  <c r="J49" i="12"/>
  <c r="AZ49" i="12"/>
  <c r="BB49" i="12"/>
  <c r="BU48" i="12"/>
  <c r="BS48" i="12"/>
  <c r="BO48" i="12"/>
  <c r="BI48" i="12"/>
  <c r="BK48" i="12"/>
  <c r="AY48" i="12"/>
  <c r="BA48" i="12"/>
  <c r="AM48" i="12"/>
  <c r="AL48" i="12"/>
  <c r="X48" i="12"/>
  <c r="W48" i="12"/>
  <c r="V48" i="12"/>
  <c r="P48" i="12"/>
  <c r="BT48" i="12"/>
  <c r="J48" i="12"/>
  <c r="AZ48" i="12"/>
  <c r="BB48" i="12"/>
  <c r="AG49" i="12"/>
  <c r="AA48" i="12"/>
  <c r="BU47" i="12"/>
  <c r="BS47" i="12"/>
  <c r="BO47" i="12"/>
  <c r="BI47" i="12"/>
  <c r="BK47" i="12"/>
  <c r="AY47" i="12"/>
  <c r="BA47" i="12"/>
  <c r="AM47" i="12"/>
  <c r="AG47" i="12"/>
  <c r="X47" i="12"/>
  <c r="W47" i="12"/>
  <c r="V47" i="12"/>
  <c r="P47" i="12"/>
  <c r="BT47" i="12"/>
  <c r="J47" i="12"/>
  <c r="AZ47" i="12"/>
  <c r="AA47" i="12"/>
  <c r="BU46" i="12"/>
  <c r="BS46" i="12"/>
  <c r="BO46" i="12"/>
  <c r="BI46" i="12"/>
  <c r="BK46" i="12"/>
  <c r="AY46" i="12"/>
  <c r="BA46" i="12"/>
  <c r="AM46" i="12"/>
  <c r="AA46" i="12"/>
  <c r="X46" i="12"/>
  <c r="W46" i="12"/>
  <c r="V46" i="12"/>
  <c r="P46" i="12"/>
  <c r="BT46" i="12"/>
  <c r="J46" i="12"/>
  <c r="AZ46" i="12"/>
  <c r="BB46" i="12"/>
  <c r="AL46" i="12"/>
  <c r="BU45" i="12"/>
  <c r="BS45" i="12"/>
  <c r="BO45" i="12"/>
  <c r="BI45" i="12"/>
  <c r="BK45" i="12"/>
  <c r="AY45" i="12"/>
  <c r="BA45" i="12"/>
  <c r="AM45" i="12"/>
  <c r="AL45" i="12"/>
  <c r="AA45" i="12"/>
  <c r="X45" i="12"/>
  <c r="W45" i="12"/>
  <c r="V45" i="12"/>
  <c r="P45" i="12"/>
  <c r="BT45" i="12"/>
  <c r="J45" i="12"/>
  <c r="AZ45" i="12"/>
  <c r="AG46" i="12"/>
  <c r="BU44" i="12"/>
  <c r="BS44" i="12"/>
  <c r="BO44" i="12"/>
  <c r="BI44" i="12"/>
  <c r="BK44" i="12"/>
  <c r="AY44" i="12"/>
  <c r="BA44" i="12"/>
  <c r="AM44" i="12"/>
  <c r="AL44" i="12"/>
  <c r="X44" i="12"/>
  <c r="W44" i="12"/>
  <c r="V44" i="12"/>
  <c r="P44" i="12"/>
  <c r="BT44" i="12"/>
  <c r="J44" i="12"/>
  <c r="AZ44" i="12"/>
  <c r="BB44" i="12"/>
  <c r="AG45" i="12"/>
  <c r="AA44" i="12"/>
  <c r="BU43" i="12"/>
  <c r="BS43" i="12"/>
  <c r="BO43" i="12"/>
  <c r="BI43" i="12"/>
  <c r="BK43" i="12"/>
  <c r="AZ43" i="12"/>
  <c r="BB43" i="12"/>
  <c r="AY43" i="12"/>
  <c r="BA43" i="12"/>
  <c r="AM43" i="12"/>
  <c r="AG43" i="12"/>
  <c r="X43" i="12"/>
  <c r="W43" i="12"/>
  <c r="V43" i="12"/>
  <c r="P43" i="12"/>
  <c r="BT43" i="12"/>
  <c r="K43" i="12"/>
  <c r="AA43" i="12"/>
  <c r="BU42" i="12"/>
  <c r="BS42" i="12"/>
  <c r="BO42" i="12"/>
  <c r="BI42" i="12"/>
  <c r="BK42" i="12"/>
  <c r="AZ42" i="12"/>
  <c r="BB42" i="12"/>
  <c r="AY42" i="12"/>
  <c r="BA42" i="12"/>
  <c r="AM42" i="12"/>
  <c r="AA42" i="12"/>
  <c r="P42" i="12"/>
  <c r="BT42" i="12"/>
  <c r="K42" i="12"/>
  <c r="AL42" i="12"/>
  <c r="BU41" i="12"/>
  <c r="BS41" i="12"/>
  <c r="BO41" i="12"/>
  <c r="BI41" i="12"/>
  <c r="BK41" i="12"/>
  <c r="AZ41" i="12"/>
  <c r="BB41" i="12"/>
  <c r="AY41" i="12"/>
  <c r="BA41" i="12"/>
  <c r="AM41" i="12"/>
  <c r="AA41" i="12"/>
  <c r="P41" i="12"/>
  <c r="BT41" i="12"/>
  <c r="K41" i="12"/>
  <c r="AL41" i="12"/>
  <c r="BU40" i="12"/>
  <c r="BS40" i="12"/>
  <c r="BO40" i="12"/>
  <c r="BI40" i="12"/>
  <c r="BK40" i="12"/>
  <c r="AZ40" i="12"/>
  <c r="BB40" i="12"/>
  <c r="AY40" i="12"/>
  <c r="BA40" i="12"/>
  <c r="AM40" i="12"/>
  <c r="AG40" i="12"/>
  <c r="P40" i="12"/>
  <c r="BT40" i="12"/>
  <c r="K40" i="12"/>
  <c r="AA40" i="12"/>
  <c r="BU39" i="12"/>
  <c r="BS39" i="12"/>
  <c r="BO39" i="12"/>
  <c r="BI39" i="12"/>
  <c r="BK39" i="12"/>
  <c r="AZ39" i="12"/>
  <c r="BB39" i="12"/>
  <c r="AY39" i="12"/>
  <c r="BA39" i="12"/>
  <c r="AM39" i="12"/>
  <c r="AG39" i="12"/>
  <c r="P39" i="12"/>
  <c r="BT39" i="12"/>
  <c r="K39" i="12"/>
  <c r="AL39" i="12"/>
  <c r="AA39" i="12"/>
  <c r="BU38" i="12"/>
  <c r="BS38" i="12"/>
  <c r="BO38" i="12"/>
  <c r="AY38" i="12"/>
  <c r="BA38" i="12"/>
  <c r="AM38" i="12"/>
  <c r="X38" i="12"/>
  <c r="P38" i="12"/>
  <c r="BT38" i="12"/>
  <c r="K38" i="12"/>
  <c r="AL38" i="12"/>
  <c r="AA38" i="12"/>
  <c r="B39" i="12"/>
  <c r="W39" i="12"/>
  <c r="BU37" i="12"/>
  <c r="P37" i="12"/>
  <c r="BI37" i="12"/>
  <c r="BK37" i="12"/>
  <c r="BS37" i="12"/>
  <c r="BO37" i="12"/>
  <c r="BM37" i="12"/>
  <c r="AY37" i="12"/>
  <c r="BA37" i="12"/>
  <c r="AM37" i="12"/>
  <c r="AL37" i="12"/>
  <c r="X37" i="12"/>
  <c r="V37" i="12"/>
  <c r="W37" i="12"/>
  <c r="K37" i="12"/>
  <c r="AZ37" i="12"/>
  <c r="AG38" i="12"/>
  <c r="AA37" i="12"/>
  <c r="BU36" i="12"/>
  <c r="P36" i="12"/>
  <c r="BT36" i="12"/>
  <c r="BS36" i="12"/>
  <c r="BO36" i="12"/>
  <c r="AY36" i="12"/>
  <c r="BA36" i="12"/>
  <c r="AM36" i="12"/>
  <c r="AG36" i="12"/>
  <c r="X36" i="12"/>
  <c r="K36" i="12"/>
  <c r="AZ36" i="12"/>
  <c r="BB36" i="12"/>
  <c r="AG37" i="12"/>
  <c r="AA36" i="12"/>
  <c r="W36" i="12"/>
  <c r="BU35" i="12"/>
  <c r="BS35" i="12"/>
  <c r="BO35" i="12"/>
  <c r="P35" i="12"/>
  <c r="BI35" i="12"/>
  <c r="BK35" i="12"/>
  <c r="AY35" i="12"/>
  <c r="BA35" i="12"/>
  <c r="AM35" i="12"/>
  <c r="AL35" i="12"/>
  <c r="AA35" i="12"/>
  <c r="V35" i="12"/>
  <c r="K35" i="12"/>
  <c r="AZ35" i="12"/>
  <c r="BB35" i="12"/>
  <c r="X35" i="12"/>
  <c r="BU34" i="12"/>
  <c r="BS34" i="12"/>
  <c r="BO34" i="12"/>
  <c r="AM34" i="12"/>
  <c r="AL34" i="12"/>
  <c r="P34" i="12"/>
  <c r="BI34" i="12"/>
  <c r="BK34" i="12"/>
  <c r="K34" i="12"/>
  <c r="AZ34" i="12"/>
  <c r="BB34" i="12"/>
  <c r="BA34" i="12"/>
  <c r="AG35" i="12"/>
  <c r="X34" i="12"/>
  <c r="BU33" i="12"/>
  <c r="BS33" i="12"/>
  <c r="BO33" i="12"/>
  <c r="P33" i="12"/>
  <c r="BT33" i="12"/>
  <c r="AM33" i="12"/>
  <c r="AG33" i="12"/>
  <c r="K33" i="12"/>
  <c r="AZ33" i="12"/>
  <c r="BB33" i="12"/>
  <c r="BA33" i="12"/>
  <c r="AG34" i="12"/>
  <c r="BU32" i="12"/>
  <c r="BS32" i="12"/>
  <c r="BO32" i="12"/>
  <c r="AM32" i="12"/>
  <c r="AH32" i="12"/>
  <c r="AG32" i="12"/>
  <c r="P32" i="12"/>
  <c r="K32" i="12"/>
  <c r="AZ32" i="12"/>
  <c r="BB32" i="12"/>
  <c r="BA32" i="12"/>
  <c r="AL32" i="12"/>
  <c r="BU31" i="12"/>
  <c r="BS31" i="12"/>
  <c r="BO31" i="12"/>
  <c r="AM31" i="12"/>
  <c r="X31" i="12"/>
  <c r="P31" i="12"/>
  <c r="BI31" i="12"/>
  <c r="BK31" i="12"/>
  <c r="K31" i="12"/>
  <c r="AZ31" i="12"/>
  <c r="BB31" i="12"/>
  <c r="BA31" i="12"/>
  <c r="AL31" i="12"/>
  <c r="W31" i="12"/>
  <c r="BU30" i="12"/>
  <c r="BS30" i="12"/>
  <c r="BO30" i="12"/>
  <c r="P30" i="12"/>
  <c r="AM30" i="12"/>
  <c r="AL30" i="12"/>
  <c r="W30" i="12"/>
  <c r="K30" i="12"/>
  <c r="AZ30" i="12"/>
  <c r="BA30" i="12"/>
  <c r="AG31" i="12"/>
  <c r="V30" i="12"/>
  <c r="BU29" i="12"/>
  <c r="BS29" i="12"/>
  <c r="BO29" i="12"/>
  <c r="BA29" i="12"/>
  <c r="AM29" i="12"/>
  <c r="AG29" i="12"/>
  <c r="X29" i="12"/>
  <c r="V29" i="12"/>
  <c r="P29" i="12"/>
  <c r="BI29" i="12"/>
  <c r="BK29" i="12"/>
  <c r="K29" i="12"/>
  <c r="AZ29" i="12"/>
  <c r="BB29" i="12"/>
  <c r="AL29" i="12"/>
  <c r="W29" i="12"/>
  <c r="BU28" i="12"/>
  <c r="BS28" i="12"/>
  <c r="BO28" i="12"/>
  <c r="K28" i="12"/>
  <c r="AZ28" i="12"/>
  <c r="BB28" i="12"/>
  <c r="AM28" i="12"/>
  <c r="AL28" i="12"/>
  <c r="X28" i="12"/>
  <c r="V28" i="12"/>
  <c r="W28" i="12"/>
  <c r="P28" i="12"/>
  <c r="BI28" i="12"/>
  <c r="BK28" i="12"/>
  <c r="BA28" i="12"/>
  <c r="BU27" i="12"/>
  <c r="BS27" i="12"/>
  <c r="BO27" i="12"/>
  <c r="AM27" i="12"/>
  <c r="X27" i="12"/>
  <c r="P27" i="12"/>
  <c r="BI27" i="12"/>
  <c r="BK27" i="12"/>
  <c r="K27" i="12"/>
  <c r="AZ27" i="12"/>
  <c r="BB27" i="12"/>
  <c r="BA27" i="12"/>
  <c r="V27" i="12"/>
  <c r="BU26" i="12"/>
  <c r="BS26" i="12"/>
  <c r="BO26" i="12"/>
  <c r="BA26" i="12"/>
  <c r="AM26" i="12"/>
  <c r="P26" i="12"/>
  <c r="BI26" i="12"/>
  <c r="BK26" i="12"/>
  <c r="K26" i="12"/>
  <c r="AZ26" i="12"/>
  <c r="BB26" i="12"/>
  <c r="AL26" i="12"/>
  <c r="W26" i="12"/>
  <c r="BU25" i="12"/>
  <c r="BS25" i="12"/>
  <c r="BO25" i="12"/>
  <c r="P25" i="12"/>
  <c r="BI25" i="12"/>
  <c r="BK25" i="12"/>
  <c r="AM25" i="12"/>
  <c r="K25" i="12"/>
  <c r="AZ25" i="12"/>
  <c r="BB25" i="12"/>
  <c r="BA25" i="12"/>
  <c r="AG26" i="12"/>
  <c r="BU24" i="12"/>
  <c r="BS24" i="12"/>
  <c r="BO24" i="12"/>
  <c r="P24" i="12"/>
  <c r="BI24" i="12"/>
  <c r="BK24" i="12"/>
  <c r="K24" i="12"/>
  <c r="AZ24" i="12"/>
  <c r="AM24" i="12"/>
  <c r="AG24" i="12"/>
  <c r="BA24" i="12"/>
  <c r="AL24" i="12"/>
  <c r="W24" i="12"/>
  <c r="BU23" i="12"/>
  <c r="BS23" i="12"/>
  <c r="BO23" i="12"/>
  <c r="AM23" i="12"/>
  <c r="AL23" i="12"/>
  <c r="AG23" i="12"/>
  <c r="AT23" i="12"/>
  <c r="V23" i="12"/>
  <c r="P23" i="12"/>
  <c r="BI23" i="12"/>
  <c r="BK23" i="12"/>
  <c r="K23" i="12"/>
  <c r="BA23" i="12"/>
  <c r="W23" i="12"/>
  <c r="BU22" i="12"/>
  <c r="BS22" i="12"/>
  <c r="BO22" i="12"/>
  <c r="K22" i="12"/>
  <c r="AG22" i="12"/>
  <c r="AT22" i="12"/>
  <c r="P22" i="12"/>
  <c r="BT22" i="12"/>
  <c r="BA22" i="12"/>
  <c r="W22" i="12"/>
  <c r="BU21" i="12"/>
  <c r="BS21" i="12"/>
  <c r="BO21" i="12"/>
  <c r="AG21" i="12"/>
  <c r="AT21" i="12"/>
  <c r="V21" i="12"/>
  <c r="W21" i="12"/>
  <c r="P21" i="12"/>
  <c r="K21" i="12"/>
  <c r="AZ21" i="12"/>
  <c r="BB21" i="12"/>
  <c r="BA21" i="12"/>
  <c r="BU20" i="12"/>
  <c r="BS20" i="12"/>
  <c r="BO20" i="12"/>
  <c r="AG20" i="12"/>
  <c r="AT20" i="12"/>
  <c r="P20" i="12"/>
  <c r="BI20" i="12"/>
  <c r="BK20" i="12"/>
  <c r="K20" i="12"/>
  <c r="AZ20" i="12"/>
  <c r="BB20" i="12"/>
  <c r="BA20" i="12"/>
  <c r="W20" i="12"/>
  <c r="BU19" i="12"/>
  <c r="BS19" i="12"/>
  <c r="BO19" i="12"/>
  <c r="P19" i="12"/>
  <c r="BT19" i="12"/>
  <c r="K19" i="12"/>
  <c r="AZ19" i="12"/>
  <c r="BB19" i="12"/>
  <c r="AG19" i="12"/>
  <c r="AT19" i="12"/>
  <c r="V19" i="12"/>
  <c r="BA19" i="12"/>
  <c r="W19" i="12"/>
  <c r="BU18" i="12"/>
  <c r="BS18" i="12"/>
  <c r="BO18" i="12"/>
  <c r="AG18" i="12"/>
  <c r="AT18" i="12"/>
  <c r="P18" i="12"/>
  <c r="BI18" i="12"/>
  <c r="BK18" i="12"/>
  <c r="K18" i="12"/>
  <c r="AZ18" i="12"/>
  <c r="BA18" i="12"/>
  <c r="W18" i="12"/>
  <c r="BU17" i="12"/>
  <c r="BS17" i="12"/>
  <c r="BO17" i="12"/>
  <c r="K17" i="12"/>
  <c r="AZ17" i="12"/>
  <c r="BB17" i="12"/>
  <c r="AG17" i="12"/>
  <c r="AT17" i="12"/>
  <c r="V17" i="12"/>
  <c r="P17" i="12"/>
  <c r="BA17" i="12"/>
  <c r="W17" i="12"/>
  <c r="BU16" i="12"/>
  <c r="BS16" i="12"/>
  <c r="BO16" i="12"/>
  <c r="AG16" i="12"/>
  <c r="AT16" i="12"/>
  <c r="P16" i="12"/>
  <c r="BI16" i="12"/>
  <c r="BK16" i="12"/>
  <c r="K16" i="12"/>
  <c r="AZ16" i="12"/>
  <c r="BB16" i="12"/>
  <c r="BA16" i="12"/>
  <c r="W16" i="12"/>
  <c r="BU15" i="12"/>
  <c r="BS15" i="12"/>
  <c r="BO15" i="12"/>
  <c r="P15" i="12"/>
  <c r="BI15" i="12"/>
  <c r="BK15" i="12"/>
  <c r="BB15" i="12"/>
  <c r="W15" i="12"/>
  <c r="K15" i="12"/>
  <c r="BA15" i="12"/>
  <c r="V15" i="12"/>
  <c r="BU14" i="12"/>
  <c r="BS14" i="12"/>
  <c r="BO14" i="12"/>
  <c r="BB14" i="12"/>
  <c r="AG14" i="12"/>
  <c r="AT14" i="12"/>
  <c r="W14" i="12"/>
  <c r="V14" i="12"/>
  <c r="U14" i="12"/>
  <c r="P14" i="12"/>
  <c r="BI14" i="12"/>
  <c r="BK14" i="12"/>
  <c r="K14" i="12"/>
  <c r="BA14" i="12"/>
  <c r="AG15" i="12"/>
  <c r="AT15" i="12"/>
  <c r="BU13" i="12"/>
  <c r="BS13" i="12"/>
  <c r="BO13" i="12"/>
  <c r="P13" i="12"/>
  <c r="BI13" i="12"/>
  <c r="BK13" i="12"/>
  <c r="BB13" i="12"/>
  <c r="BA13" i="12"/>
  <c r="W13" i="12"/>
  <c r="V13" i="12"/>
  <c r="K13" i="12"/>
  <c r="BU12" i="12"/>
  <c r="BS12" i="12"/>
  <c r="BO12" i="12"/>
  <c r="AG12" i="12"/>
  <c r="AT12" i="12"/>
  <c r="V12" i="12"/>
  <c r="P12" i="12"/>
  <c r="BI12" i="12"/>
  <c r="BK12" i="12"/>
  <c r="K12" i="12"/>
  <c r="BB12" i="12"/>
  <c r="BA12" i="12"/>
  <c r="AG13" i="12"/>
  <c r="AT13" i="12"/>
  <c r="W12" i="12"/>
  <c r="BU11" i="12"/>
  <c r="BS11" i="12"/>
  <c r="BO11" i="12"/>
  <c r="BB11" i="12"/>
  <c r="AK11" i="12"/>
  <c r="AG11" i="12"/>
  <c r="P11" i="12"/>
  <c r="BI11" i="12"/>
  <c r="BK11" i="12"/>
  <c r="K11" i="12"/>
  <c r="BA11" i="12"/>
  <c r="W11" i="12"/>
  <c r="BO10" i="12"/>
  <c r="AG10" i="12"/>
  <c r="AT10" i="12"/>
  <c r="BA10" i="12"/>
  <c r="BF10" i="12"/>
  <c r="BO9" i="12"/>
  <c r="BA9" i="12"/>
  <c r="BF9" i="12"/>
  <c r="BO8" i="12"/>
  <c r="AG9" i="12"/>
  <c r="AT9" i="12"/>
  <c r="AG8" i="12"/>
  <c r="AT8" i="12"/>
  <c r="BP8" i="12"/>
  <c r="BR8" i="12"/>
  <c r="V38" i="12"/>
  <c r="W38" i="12"/>
  <c r="V16" i="12"/>
  <c r="BT23" i="12"/>
  <c r="AG64" i="12"/>
  <c r="AL63" i="12"/>
  <c r="W35" i="12"/>
  <c r="W25" i="12"/>
  <c r="V25" i="12"/>
  <c r="AG48" i="12"/>
  <c r="AL47" i="12"/>
  <c r="V26" i="12"/>
  <c r="AG25" i="12"/>
  <c r="V11" i="12"/>
  <c r="V18" i="12"/>
  <c r="V20" i="12"/>
  <c r="V22" i="12"/>
  <c r="W27" i="12"/>
  <c r="X32" i="12"/>
  <c r="V32" i="12"/>
  <c r="W32" i="12"/>
  <c r="V24" i="12"/>
  <c r="X33" i="12"/>
  <c r="W33" i="12"/>
  <c r="V33" i="12"/>
  <c r="AG41" i="12"/>
  <c r="AL40" i="12"/>
  <c r="AG44" i="12"/>
  <c r="AL43" i="12"/>
  <c r="AL27" i="12"/>
  <c r="AG28" i="12"/>
  <c r="AL25" i="12"/>
  <c r="X30" i="12"/>
  <c r="AL33" i="12"/>
  <c r="AL36" i="12"/>
  <c r="AG42" i="12"/>
  <c r="AL50" i="12"/>
  <c r="AL54" i="12"/>
  <c r="AL57" i="12"/>
  <c r="AL60" i="12"/>
  <c r="AG30" i="12"/>
  <c r="AL51" i="12"/>
  <c r="AL61" i="12"/>
  <c r="AL55" i="12"/>
  <c r="AL62" i="12"/>
  <c r="V34" i="12"/>
  <c r="V36" i="12"/>
  <c r="AG27" i="12"/>
  <c r="W34" i="12"/>
  <c r="V31" i="12"/>
  <c r="BR40" i="12"/>
  <c r="BV49" i="12"/>
  <c r="AT52" i="12"/>
  <c r="BF32" i="12"/>
  <c r="BF49" i="12"/>
  <c r="AT30" i="12"/>
  <c r="AT43" i="12"/>
  <c r="U47" i="12"/>
  <c r="U52" i="12"/>
  <c r="U46" i="12"/>
  <c r="U25" i="12"/>
  <c r="U23" i="12"/>
  <c r="BV63" i="12"/>
  <c r="AT48" i="12"/>
  <c r="U18" i="12"/>
  <c r="BQ46" i="12"/>
  <c r="BT20" i="12"/>
  <c r="BV20" i="12"/>
  <c r="U17" i="12"/>
  <c r="BF41" i="12"/>
  <c r="U31" i="12"/>
  <c r="U19" i="12"/>
  <c r="BT25" i="12"/>
  <c r="BV25" i="12"/>
  <c r="AT64" i="12"/>
  <c r="BP64" i="12"/>
  <c r="BF39" i="12"/>
  <c r="BV64" i="12"/>
  <c r="AT35" i="12"/>
  <c r="BP35" i="12"/>
  <c r="BT34" i="12"/>
  <c r="BV34" i="12"/>
  <c r="U26" i="12"/>
  <c r="BI36" i="12"/>
  <c r="BK36" i="12"/>
  <c r="BF21" i="12"/>
  <c r="U36" i="12"/>
  <c r="AT33" i="12"/>
  <c r="BP33" i="12"/>
  <c r="U33" i="12"/>
  <c r="BV23" i="12"/>
  <c r="AT24" i="12"/>
  <c r="AT51" i="12"/>
  <c r="BP51" i="12"/>
  <c r="BT16" i="12"/>
  <c r="BV16" i="12"/>
  <c r="U12" i="12"/>
  <c r="BP15" i="12"/>
  <c r="BQ15" i="12"/>
  <c r="BR15" i="12"/>
  <c r="BV44" i="12"/>
  <c r="U21" i="12"/>
  <c r="BF14" i="12"/>
  <c r="AT34" i="12"/>
  <c r="BP34" i="12"/>
  <c r="BV51" i="12"/>
  <c r="BF29" i="12"/>
  <c r="BF33" i="12"/>
  <c r="BV48" i="12"/>
  <c r="BV52" i="12"/>
  <c r="BQ32" i="12"/>
  <c r="BQ53" i="12"/>
  <c r="AT25" i="12"/>
  <c r="BP25" i="12"/>
  <c r="BI38" i="12"/>
  <c r="BK38" i="12"/>
  <c r="BM38" i="12"/>
  <c r="BM39" i="12"/>
  <c r="BM40" i="12"/>
  <c r="BM41" i="12"/>
  <c r="BM42" i="12"/>
  <c r="BM43" i="12"/>
  <c r="BM44" i="12"/>
  <c r="BM45" i="12"/>
  <c r="BM46" i="12"/>
  <c r="BM47" i="12"/>
  <c r="BM48" i="12"/>
  <c r="BM49" i="12"/>
  <c r="BM50" i="12"/>
  <c r="BM51" i="12"/>
  <c r="BV22" i="12"/>
  <c r="U34" i="12"/>
  <c r="BT27" i="12"/>
  <c r="BV27" i="12"/>
  <c r="AT40" i="12"/>
  <c r="AT44" i="12"/>
  <c r="BP44" i="12"/>
  <c r="U55" i="12"/>
  <c r="U56" i="12"/>
  <c r="BP52" i="12"/>
  <c r="AT62" i="12"/>
  <c r="BP62" i="12"/>
  <c r="BT26" i="12"/>
  <c r="BV26" i="12"/>
  <c r="BP14" i="12"/>
  <c r="U16" i="12"/>
  <c r="BV62" i="12"/>
  <c r="AT50" i="12"/>
  <c r="U20" i="12"/>
  <c r="BP10" i="12"/>
  <c r="BR10" i="12"/>
  <c r="BF26" i="12"/>
  <c r="AT41" i="12"/>
  <c r="BQ44" i="12"/>
  <c r="BV47" i="12"/>
  <c r="BD56" i="12"/>
  <c r="AT63" i="12"/>
  <c r="BP63" i="12"/>
  <c r="U57" i="12"/>
  <c r="BV38" i="12"/>
  <c r="AT36" i="12"/>
  <c r="BP36" i="12"/>
  <c r="AT32" i="12"/>
  <c r="BP32" i="12"/>
  <c r="BV41" i="12"/>
  <c r="BV46" i="12"/>
  <c r="BF57" i="12"/>
  <c r="AT59" i="12"/>
  <c r="BP59" i="12"/>
  <c r="BT14" i="12"/>
  <c r="BV14" i="12"/>
  <c r="AT29" i="12"/>
  <c r="BP29" i="12"/>
  <c r="AT39" i="12"/>
  <c r="BF53" i="12"/>
  <c r="AT27" i="12"/>
  <c r="AT55" i="12"/>
  <c r="U30" i="12"/>
  <c r="BF11" i="12"/>
  <c r="BQ27" i="12"/>
  <c r="BV40" i="12"/>
  <c r="BV55" i="12"/>
  <c r="BV19" i="12"/>
  <c r="BF36" i="12"/>
  <c r="BF20" i="12"/>
  <c r="AT53" i="12"/>
  <c r="BP53" i="12"/>
  <c r="BV57" i="12"/>
  <c r="BV58" i="12"/>
  <c r="BV59" i="12"/>
  <c r="BQ63" i="12"/>
  <c r="U38" i="12"/>
  <c r="AT31" i="12"/>
  <c r="BP31" i="12"/>
  <c r="BV43" i="12"/>
  <c r="AT45" i="12"/>
  <c r="BV61" i="12"/>
  <c r="AT47" i="12"/>
  <c r="AT46" i="12"/>
  <c r="BP46" i="12"/>
  <c r="BT11" i="12"/>
  <c r="BV11" i="12"/>
  <c r="AT38" i="12"/>
  <c r="BV39" i="12"/>
  <c r="BQ49" i="12"/>
  <c r="U50" i="12"/>
  <c r="BQ51" i="12"/>
  <c r="U53" i="12"/>
  <c r="BB18" i="12"/>
  <c r="BF18" i="12"/>
  <c r="BF34" i="12"/>
  <c r="BF64" i="12"/>
  <c r="BQ64" i="12"/>
  <c r="BB30" i="12"/>
  <c r="BF30" i="12"/>
  <c r="U24" i="12"/>
  <c r="BQ12" i="12"/>
  <c r="BT31" i="12"/>
  <c r="BV31" i="12"/>
  <c r="BT28" i="12"/>
  <c r="BV28" i="12"/>
  <c r="U29" i="12"/>
  <c r="BP48" i="12"/>
  <c r="BF61" i="12"/>
  <c r="BQ26" i="12"/>
  <c r="BQ14" i="12"/>
  <c r="BR14" i="12"/>
  <c r="BF13" i="12"/>
  <c r="BT18" i="12"/>
  <c r="BV18" i="12"/>
  <c r="BI19" i="12"/>
  <c r="BK19" i="12"/>
  <c r="BF28" i="12"/>
  <c r="BF35" i="12"/>
  <c r="BF63" i="12"/>
  <c r="U37" i="12"/>
  <c r="BQ43" i="12"/>
  <c r="BQ25" i="12"/>
  <c r="BP27" i="12"/>
  <c r="BF40" i="12"/>
  <c r="U35" i="12"/>
  <c r="BF16" i="12"/>
  <c r="U28" i="12"/>
  <c r="U44" i="12"/>
  <c r="BV45" i="12"/>
  <c r="BF42" i="12"/>
  <c r="BF60" i="12"/>
  <c r="BP17" i="12"/>
  <c r="BQ62" i="12"/>
  <c r="B40" i="12"/>
  <c r="U15" i="12"/>
  <c r="AT11" i="12"/>
  <c r="BP11" i="12"/>
  <c r="BF27" i="12"/>
  <c r="U45" i="12"/>
  <c r="AT49" i="12"/>
  <c r="BP49" i="12"/>
  <c r="BF52" i="12"/>
  <c r="X39" i="12"/>
  <c r="U32" i="12"/>
  <c r="BF19" i="12"/>
  <c r="BV56" i="12"/>
  <c r="BT15" i="12"/>
  <c r="BV15" i="12"/>
  <c r="U54" i="12"/>
  <c r="BQ61" i="12"/>
  <c r="BT12" i="12"/>
  <c r="BV12" i="12"/>
  <c r="U27" i="12"/>
  <c r="BP9" i="12"/>
  <c r="BR9" i="12"/>
  <c r="AT26" i="12"/>
  <c r="BP26" i="12"/>
  <c r="BI33" i="12"/>
  <c r="BK33" i="12"/>
  <c r="BV36" i="12"/>
  <c r="BV42" i="12"/>
  <c r="BV50" i="12"/>
  <c r="AT54" i="12"/>
  <c r="BV54" i="12"/>
  <c r="BQ60" i="12"/>
  <c r="AT28" i="12"/>
  <c r="BP28" i="12"/>
  <c r="BT13" i="12"/>
  <c r="BV13" i="12"/>
  <c r="BV33" i="12"/>
  <c r="BF46" i="12"/>
  <c r="U49" i="12"/>
  <c r="V39" i="12"/>
  <c r="BQ36" i="12"/>
  <c r="BR36" i="12"/>
  <c r="AT57" i="12"/>
  <c r="BP57" i="12"/>
  <c r="BP12" i="12"/>
  <c r="BQ33" i="12"/>
  <c r="BI22" i="12"/>
  <c r="BK22" i="12"/>
  <c r="BF31" i="12"/>
  <c r="BT37" i="12"/>
  <c r="BV37" i="12"/>
  <c r="BF51" i="12"/>
  <c r="BA55" i="12"/>
  <c r="BF55" i="12"/>
  <c r="AT56" i="12"/>
  <c r="BB50" i="12"/>
  <c r="BF50" i="12"/>
  <c r="BP43" i="12"/>
  <c r="BT21" i="12"/>
  <c r="BV21" i="12"/>
  <c r="BI21" i="12"/>
  <c r="BK21" i="12"/>
  <c r="BF59" i="12"/>
  <c r="BQ35" i="12"/>
  <c r="BQ59" i="12"/>
  <c r="U13" i="12"/>
  <c r="BP16" i="12"/>
  <c r="AZ22" i="12"/>
  <c r="BQ29" i="12"/>
  <c r="U43" i="12"/>
  <c r="U48" i="12"/>
  <c r="BQ48" i="12"/>
  <c r="U22" i="12"/>
  <c r="BQ17" i="12"/>
  <c r="BQ21" i="12"/>
  <c r="BB58" i="12"/>
  <c r="BF58" i="12"/>
  <c r="BB56" i="12"/>
  <c r="BB37" i="12"/>
  <c r="BF37" i="12"/>
  <c r="BQ52" i="12"/>
  <c r="BF44" i="12"/>
  <c r="BQ28" i="12"/>
  <c r="BP13" i="12"/>
  <c r="BP20" i="12"/>
  <c r="BT24" i="12"/>
  <c r="BV24" i="12"/>
  <c r="BQ34" i="12"/>
  <c r="BF43" i="12"/>
  <c r="BB45" i="12"/>
  <c r="BQ45" i="12"/>
  <c r="BF48" i="12"/>
  <c r="BB54" i="12"/>
  <c r="BF54" i="12"/>
  <c r="U58" i="12"/>
  <c r="BV60" i="12"/>
  <c r="BQ31" i="12"/>
  <c r="AT60" i="12"/>
  <c r="BP60" i="12"/>
  <c r="U11" i="12"/>
  <c r="BQ11" i="12"/>
  <c r="BF12" i="12"/>
  <c r="BF17" i="12"/>
  <c r="BF25" i="12"/>
  <c r="AZ38" i="12"/>
  <c r="U51" i="12"/>
  <c r="BT17" i="12"/>
  <c r="BV17" i="12"/>
  <c r="BI17" i="12"/>
  <c r="BK17" i="12"/>
  <c r="BP19" i="12"/>
  <c r="BP21" i="12"/>
  <c r="BI32" i="12"/>
  <c r="BK32" i="12"/>
  <c r="BT32" i="12"/>
  <c r="BV32" i="12"/>
  <c r="BQ20" i="12"/>
  <c r="BI30" i="12"/>
  <c r="BK30" i="12"/>
  <c r="BT30" i="12"/>
  <c r="BV30" i="12"/>
  <c r="BB47" i="12"/>
  <c r="BQ47" i="12"/>
  <c r="BQ57" i="12"/>
  <c r="AT61" i="12"/>
  <c r="BP61" i="12"/>
  <c r="BR61" i="12"/>
  <c r="AT42" i="12"/>
  <c r="BQ16" i="12"/>
  <c r="BF15" i="12"/>
  <c r="BQ19" i="12"/>
  <c r="AZ23" i="12"/>
  <c r="BB24" i="12"/>
  <c r="BF24" i="12"/>
  <c r="BQ24" i="12"/>
  <c r="AT37" i="12"/>
  <c r="AT58" i="12"/>
  <c r="BQ13" i="12"/>
  <c r="BT29" i="12"/>
  <c r="BV29" i="12"/>
  <c r="BT35" i="12"/>
  <c r="BV35" i="12"/>
  <c r="BR63" i="12"/>
  <c r="BR51" i="12"/>
  <c r="BR52" i="12"/>
  <c r="BR46" i="12"/>
  <c r="BR43" i="12"/>
  <c r="BR35" i="12"/>
  <c r="BQ55" i="12"/>
  <c r="BR12" i="12"/>
  <c r="BR49" i="12"/>
  <c r="BP50" i="12"/>
  <c r="BP45" i="12"/>
  <c r="BR62" i="12"/>
  <c r="BR31" i="12"/>
  <c r="BR53" i="12"/>
  <c r="BR34" i="12"/>
  <c r="BR32" i="12"/>
  <c r="BR27" i="12"/>
  <c r="BQ37" i="12"/>
  <c r="BR44" i="12"/>
  <c r="BF45" i="12"/>
  <c r="BP39" i="12"/>
  <c r="BQ30" i="12"/>
  <c r="BF56" i="12"/>
  <c r="BR33" i="12"/>
  <c r="BQ39" i="12"/>
  <c r="BR13" i="12"/>
  <c r="BR48" i="12"/>
  <c r="BP58" i="12"/>
  <c r="BP37" i="12"/>
  <c r="BP30" i="12"/>
  <c r="V40" i="12"/>
  <c r="W40" i="12"/>
  <c r="X40" i="12"/>
  <c r="B41" i="12"/>
  <c r="BP55" i="12"/>
  <c r="BQ50" i="12"/>
  <c r="BR64" i="12"/>
  <c r="BP54" i="12"/>
  <c r="BR25" i="12"/>
  <c r="U39" i="12"/>
  <c r="BR11" i="12"/>
  <c r="BP18" i="12"/>
  <c r="BR26" i="12"/>
  <c r="BQ18" i="12"/>
  <c r="BR21" i="12"/>
  <c r="BR60" i="12"/>
  <c r="BR17" i="12"/>
  <c r="BR19" i="12"/>
  <c r="BP47" i="12"/>
  <c r="BR47" i="12"/>
  <c r="BB38" i="12"/>
  <c r="BQ38" i="12"/>
  <c r="BR45" i="12"/>
  <c r="BB22" i="12"/>
  <c r="BF22" i="12"/>
  <c r="BP56" i="12"/>
  <c r="BP24" i="12"/>
  <c r="BR24" i="12"/>
  <c r="BQ58" i="12"/>
  <c r="BR16" i="12"/>
  <c r="BR57" i="12"/>
  <c r="BR59" i="12"/>
  <c r="BQ56" i="12"/>
  <c r="BR29" i="12"/>
  <c r="BQ54" i="12"/>
  <c r="BF47" i="12"/>
  <c r="BB23" i="12"/>
  <c r="BF23" i="12"/>
  <c r="BQ23" i="12"/>
  <c r="BR20" i="12"/>
  <c r="BR28" i="12"/>
  <c r="BP22" i="12"/>
  <c r="BR50" i="12"/>
  <c r="BR55" i="12"/>
  <c r="BR37" i="12"/>
  <c r="BR30" i="12"/>
  <c r="BR58" i="12"/>
  <c r="BR39" i="12"/>
  <c r="BQ22" i="12"/>
  <c r="BR22" i="12"/>
  <c r="BR18" i="12"/>
  <c r="BP23" i="12"/>
  <c r="X41" i="12"/>
  <c r="B42" i="12"/>
  <c r="W41" i="12"/>
  <c r="V41" i="12"/>
  <c r="U40" i="12"/>
  <c r="BR54" i="12"/>
  <c r="BR23" i="12"/>
  <c r="BR56" i="12"/>
  <c r="BF38" i="12"/>
  <c r="BP38" i="12"/>
  <c r="BR38" i="12"/>
  <c r="BQ41" i="12"/>
  <c r="BP41" i="12"/>
  <c r="BR41" i="12"/>
  <c r="U41" i="12"/>
  <c r="W42" i="12"/>
  <c r="X42" i="12"/>
  <c r="V42" i="12"/>
  <c r="BP42" i="12"/>
  <c r="BQ42" i="12"/>
  <c r="U42" i="12"/>
  <c r="BR42" i="12"/>
  <c r="F82" i="20" l="1"/>
  <c r="G79" i="20" s="1"/>
  <c r="F100" i="20"/>
  <c r="E114" i="20"/>
  <c r="E132" i="20" s="1"/>
  <c r="M128" i="20"/>
  <c r="N128" i="20"/>
  <c r="G123" i="20"/>
  <c r="G127" i="20" s="1"/>
  <c r="G128" i="20" s="1"/>
  <c r="F76" i="20"/>
  <c r="M33" i="24"/>
  <c r="N33" i="24"/>
  <c r="O33" i="24"/>
  <c r="R32" i="24" s="1"/>
  <c r="K33" i="24"/>
  <c r="L33" i="24"/>
  <c r="H20" i="15"/>
  <c r="H19" i="15"/>
  <c r="O10" i="15"/>
  <c r="C18" i="15"/>
  <c r="C19" i="15" s="1"/>
  <c r="C20" i="15" s="1"/>
  <c r="G19" i="15"/>
  <c r="G20" i="15" s="1"/>
  <c r="H15" i="15"/>
  <c r="H16" i="15" s="1"/>
  <c r="F19" i="15"/>
  <c r="F20" i="15" s="1"/>
  <c r="M19" i="15"/>
  <c r="M20" i="15" s="1"/>
  <c r="I20" i="15"/>
  <c r="I19" i="15"/>
  <c r="N19" i="15"/>
  <c r="N20" i="15" s="1"/>
  <c r="G15" i="15"/>
  <c r="G16" i="15"/>
  <c r="K14" i="26"/>
  <c r="K6" i="21" s="1"/>
  <c r="F14" i="26"/>
  <c r="F6" i="21" s="1"/>
  <c r="G14" i="26"/>
  <c r="G6" i="21" s="1"/>
  <c r="J14" i="26"/>
  <c r="J6" i="21" s="1"/>
  <c r="H14" i="26"/>
  <c r="H6" i="21" s="1"/>
  <c r="L14" i="26"/>
  <c r="L6" i="21" s="1"/>
  <c r="E14" i="26"/>
  <c r="E6" i="21" s="1"/>
  <c r="C14" i="26"/>
  <c r="C6" i="21" s="1"/>
  <c r="B6" i="21"/>
  <c r="B10" i="21" s="1"/>
  <c r="D14" i="26"/>
  <c r="D6" i="21" s="1"/>
  <c r="D10" i="21" s="1"/>
  <c r="D14" i="21" s="1"/>
  <c r="O5" i="15"/>
  <c r="N5" i="22"/>
  <c r="O14" i="15"/>
  <c r="O18" i="15"/>
  <c r="M9" i="22"/>
  <c r="M13" i="22" s="1"/>
  <c r="H9" i="22"/>
  <c r="H13" i="22" s="1"/>
  <c r="I9" i="22"/>
  <c r="I13" i="22" s="1"/>
  <c r="J9" i="22"/>
  <c r="J13" i="22" s="1"/>
  <c r="N6" i="22"/>
  <c r="F9" i="22"/>
  <c r="L9" i="22"/>
  <c r="L13" i="22" s="1"/>
  <c r="G9" i="22"/>
  <c r="G13" i="22" s="1"/>
  <c r="K9" i="22"/>
  <c r="K13" i="22" s="1"/>
  <c r="D9" i="22"/>
  <c r="D13" i="22" s="1"/>
  <c r="I38" i="21"/>
  <c r="G38" i="21"/>
  <c r="H38" i="21"/>
  <c r="F38" i="21"/>
  <c r="L38" i="21"/>
  <c r="C38" i="21"/>
  <c r="L37" i="22"/>
  <c r="E38" i="21"/>
  <c r="M38" i="21"/>
  <c r="C37" i="22"/>
  <c r="M10" i="21"/>
  <c r="M14" i="21" s="1"/>
  <c r="B37" i="22"/>
  <c r="M37" i="22"/>
  <c r="B9" i="22"/>
  <c r="C9" i="22"/>
  <c r="I37" i="22"/>
  <c r="H37" i="22"/>
  <c r="K10" i="21"/>
  <c r="K14" i="21" s="1"/>
  <c r="K37" i="22"/>
  <c r="I5" i="21"/>
  <c r="J37" i="22"/>
  <c r="H5" i="21"/>
  <c r="N4" i="21"/>
  <c r="N9" i="21"/>
  <c r="N25" i="21"/>
  <c r="L5" i="21"/>
  <c r="J38" i="21"/>
  <c r="E8" i="21"/>
  <c r="D37" i="22"/>
  <c r="F5" i="21"/>
  <c r="K38" i="21"/>
  <c r="N7" i="21"/>
  <c r="F37" i="22"/>
  <c r="J5" i="21"/>
  <c r="N12" i="21"/>
  <c r="E37" i="22"/>
  <c r="G37" i="22"/>
  <c r="F13" i="22"/>
  <c r="N11" i="22"/>
  <c r="C5" i="21"/>
  <c r="N24" i="22"/>
  <c r="D38" i="21"/>
  <c r="F84" i="20" l="1"/>
  <c r="G70" i="20"/>
  <c r="E133" i="20"/>
  <c r="E137" i="20" s="1"/>
  <c r="E138" i="20" s="1"/>
  <c r="E140" i="20" s="1"/>
  <c r="F106" i="20"/>
  <c r="F110" i="20"/>
  <c r="B23" i="22"/>
  <c r="Q32" i="24"/>
  <c r="B24" i="21" s="1"/>
  <c r="B37" i="21" s="1"/>
  <c r="C10" i="21"/>
  <c r="C14" i="21" s="1"/>
  <c r="N9" i="22"/>
  <c r="E10" i="21"/>
  <c r="E14" i="21" s="1"/>
  <c r="N6" i="21"/>
  <c r="N14" i="26"/>
  <c r="E9" i="22"/>
  <c r="E13" i="22" s="1"/>
  <c r="O19" i="15"/>
  <c r="O20" i="15" s="1"/>
  <c r="O15" i="15"/>
  <c r="O16" i="15" s="1"/>
  <c r="B13" i="22"/>
  <c r="B14" i="22" s="1"/>
  <c r="C13" i="22"/>
  <c r="L10" i="21"/>
  <c r="L14" i="21" s="1"/>
  <c r="F8" i="21"/>
  <c r="F10" i="21" s="1"/>
  <c r="F14" i="21" s="1"/>
  <c r="N38" i="21"/>
  <c r="N47" i="21" s="1"/>
  <c r="N5" i="21"/>
  <c r="N37" i="22"/>
  <c r="B14" i="21"/>
  <c r="B15" i="21" s="1"/>
  <c r="F136" i="20" l="1"/>
  <c r="F112" i="20"/>
  <c r="G109" i="20" s="1"/>
  <c r="F114" i="20"/>
  <c r="G100" i="20"/>
  <c r="G76" i="20"/>
  <c r="G80" i="20"/>
  <c r="F132" i="20"/>
  <c r="C24" i="21"/>
  <c r="B27" i="21"/>
  <c r="B28" i="21" s="1"/>
  <c r="C23" i="22"/>
  <c r="B26" i="22"/>
  <c r="B27" i="22" s="1"/>
  <c r="B36" i="22"/>
  <c r="B38" i="22" s="1"/>
  <c r="N13" i="22"/>
  <c r="G8" i="21"/>
  <c r="B39" i="21"/>
  <c r="F133" i="20" l="1"/>
  <c r="F137" i="20" s="1"/>
  <c r="G82" i="20"/>
  <c r="H79" i="20" s="1"/>
  <c r="G84" i="20"/>
  <c r="H70" i="20"/>
  <c r="G106" i="20"/>
  <c r="G110" i="20"/>
  <c r="G136" i="20" s="1"/>
  <c r="G112" i="20"/>
  <c r="H109" i="20" s="1"/>
  <c r="F138" i="20"/>
  <c r="F140" i="20" s="1"/>
  <c r="D23" i="22"/>
  <c r="C26" i="22"/>
  <c r="C36" i="22"/>
  <c r="C38" i="22" s="1"/>
  <c r="C27" i="21"/>
  <c r="C37" i="21"/>
  <c r="C39" i="21" s="1"/>
  <c r="D24" i="21"/>
  <c r="G10" i="21"/>
  <c r="G14" i="21" s="1"/>
  <c r="H8" i="21"/>
  <c r="H80" i="20" l="1"/>
  <c r="H76" i="20"/>
  <c r="H100" i="20"/>
  <c r="G114" i="20"/>
  <c r="G132" i="20"/>
  <c r="H82" i="20"/>
  <c r="I79" i="20" s="1"/>
  <c r="E24" i="21"/>
  <c r="D37" i="21"/>
  <c r="D39" i="21" s="1"/>
  <c r="D27" i="21"/>
  <c r="E23" i="22"/>
  <c r="D26" i="22"/>
  <c r="D36" i="22"/>
  <c r="D38" i="22" s="1"/>
  <c r="I8" i="21"/>
  <c r="H10" i="21"/>
  <c r="H14" i="21" s="1"/>
  <c r="G133" i="20" l="1"/>
  <c r="G137" i="20" s="1"/>
  <c r="G138" i="20" s="1"/>
  <c r="G140" i="20" s="1"/>
  <c r="H106" i="20"/>
  <c r="H110" i="20"/>
  <c r="H112" i="20" s="1"/>
  <c r="I109" i="20" s="1"/>
  <c r="I70" i="20"/>
  <c r="H84" i="20"/>
  <c r="H136" i="20"/>
  <c r="E26" i="22"/>
  <c r="F23" i="22"/>
  <c r="E36" i="22"/>
  <c r="E38" i="22" s="1"/>
  <c r="F24" i="21"/>
  <c r="E37" i="21"/>
  <c r="E39" i="21" s="1"/>
  <c r="E27" i="21"/>
  <c r="I10" i="21"/>
  <c r="I14" i="21" s="1"/>
  <c r="J8" i="21"/>
  <c r="I76" i="20" l="1"/>
  <c r="I80" i="20"/>
  <c r="I100" i="20"/>
  <c r="H114" i="20"/>
  <c r="H132" i="20" s="1"/>
  <c r="F27" i="21"/>
  <c r="F37" i="21"/>
  <c r="F39" i="21" s="1"/>
  <c r="G24" i="21"/>
  <c r="F36" i="22"/>
  <c r="F38" i="22" s="1"/>
  <c r="F26" i="22"/>
  <c r="G23" i="22"/>
  <c r="N8" i="21"/>
  <c r="J10" i="21"/>
  <c r="J14" i="21" s="1"/>
  <c r="N14" i="21" s="1"/>
  <c r="H133" i="20" l="1"/>
  <c r="H137" i="20" s="1"/>
  <c r="H138" i="20" s="1"/>
  <c r="H140" i="20" s="1"/>
  <c r="I106" i="20"/>
  <c r="I110" i="20"/>
  <c r="I112" i="20" s="1"/>
  <c r="J109" i="20" s="1"/>
  <c r="I136" i="20"/>
  <c r="I82" i="20"/>
  <c r="J79" i="20" s="1"/>
  <c r="I84" i="20"/>
  <c r="J70" i="20"/>
  <c r="G36" i="22"/>
  <c r="G38" i="22" s="1"/>
  <c r="G26" i="22"/>
  <c r="H23" i="22"/>
  <c r="G27" i="21"/>
  <c r="H24" i="21"/>
  <c r="G37" i="21"/>
  <c r="G39" i="21" s="1"/>
  <c r="N10" i="21"/>
  <c r="J76" i="20" l="1"/>
  <c r="J80" i="20"/>
  <c r="J82" i="20"/>
  <c r="K79" i="20" s="1"/>
  <c r="J100" i="20"/>
  <c r="I114" i="20"/>
  <c r="I132" i="20" s="1"/>
  <c r="I24" i="21"/>
  <c r="H27" i="21"/>
  <c r="H37" i="21"/>
  <c r="H39" i="21" s="1"/>
  <c r="H26" i="22"/>
  <c r="I23" i="22"/>
  <c r="H36" i="22"/>
  <c r="H38" i="22" s="1"/>
  <c r="I133" i="20" l="1"/>
  <c r="I137" i="20" s="1"/>
  <c r="I138" i="20" s="1"/>
  <c r="I140" i="20" s="1"/>
  <c r="J110" i="20"/>
  <c r="J112" i="20" s="1"/>
  <c r="K109" i="20" s="1"/>
  <c r="J106" i="20"/>
  <c r="J136" i="20"/>
  <c r="K70" i="20"/>
  <c r="J84" i="20"/>
  <c r="I26" i="22"/>
  <c r="J23" i="22"/>
  <c r="I36" i="22"/>
  <c r="I38" i="22" s="1"/>
  <c r="J24" i="21"/>
  <c r="I27" i="21"/>
  <c r="I37" i="21"/>
  <c r="I39" i="21" s="1"/>
  <c r="K80" i="20" l="1"/>
  <c r="K76" i="20"/>
  <c r="J114" i="20"/>
  <c r="J132" i="20" s="1"/>
  <c r="K100" i="20"/>
  <c r="J27" i="21"/>
  <c r="K24" i="21"/>
  <c r="J37" i="21"/>
  <c r="J39" i="21" s="1"/>
  <c r="K23" i="22"/>
  <c r="J36" i="22"/>
  <c r="J38" i="22" s="1"/>
  <c r="J26" i="22"/>
  <c r="J133" i="20" l="1"/>
  <c r="J137" i="20" s="1"/>
  <c r="J138" i="20" s="1"/>
  <c r="J140" i="20" s="1"/>
  <c r="K106" i="20"/>
  <c r="K110" i="20"/>
  <c r="K112" i="20" s="1"/>
  <c r="L109" i="20" s="1"/>
  <c r="L70" i="20"/>
  <c r="K136" i="20"/>
  <c r="K82" i="20"/>
  <c r="L79" i="20" s="1"/>
  <c r="K36" i="22"/>
  <c r="L23" i="22"/>
  <c r="K26" i="22"/>
  <c r="L24" i="21"/>
  <c r="K27" i="21"/>
  <c r="K37" i="21"/>
  <c r="K39" i="21" s="1"/>
  <c r="K84" i="20" l="1"/>
  <c r="L80" i="20"/>
  <c r="L76" i="20"/>
  <c r="K114" i="20"/>
  <c r="L100" i="20"/>
  <c r="L27" i="21"/>
  <c r="L37" i="21"/>
  <c r="L39" i="21" s="1"/>
  <c r="M24" i="21"/>
  <c r="N24" i="21"/>
  <c r="L26" i="22"/>
  <c r="M23" i="22"/>
  <c r="L36" i="22"/>
  <c r="L38" i="22" s="1"/>
  <c r="K38" i="22"/>
  <c r="M70" i="20" l="1"/>
  <c r="L106" i="20"/>
  <c r="L110" i="20"/>
  <c r="L112" i="20" s="1"/>
  <c r="M109" i="20" s="1"/>
  <c r="L136" i="20"/>
  <c r="K132" i="20"/>
  <c r="L82" i="20"/>
  <c r="M79" i="20" s="1"/>
  <c r="M26" i="22"/>
  <c r="N26" i="22" s="1"/>
  <c r="M36" i="22"/>
  <c r="N23" i="22"/>
  <c r="M27" i="21"/>
  <c r="N27" i="21" s="1"/>
  <c r="M37" i="21"/>
  <c r="K133" i="20" l="1"/>
  <c r="K137" i="20" s="1"/>
  <c r="K138" i="20" s="1"/>
  <c r="K140" i="20" s="1"/>
  <c r="L114" i="20"/>
  <c r="M100" i="20"/>
  <c r="L84" i="20"/>
  <c r="L132" i="20" s="1"/>
  <c r="M80" i="20"/>
  <c r="M76" i="20"/>
  <c r="M39" i="21"/>
  <c r="N39" i="21" s="1"/>
  <c r="N37" i="21"/>
  <c r="M38" i="22"/>
  <c r="N38" i="22" s="1"/>
  <c r="N36" i="22"/>
  <c r="C17" i="21"/>
  <c r="C15" i="21"/>
  <c r="B21" i="21"/>
  <c r="B22" i="21" s="1"/>
  <c r="N70" i="20" l="1"/>
  <c r="M106" i="20"/>
  <c r="M110" i="20"/>
  <c r="M112" i="20" s="1"/>
  <c r="N109" i="20" s="1"/>
  <c r="L133" i="20"/>
  <c r="L137" i="20" s="1"/>
  <c r="L138" i="20" s="1"/>
  <c r="L140" i="20" s="1"/>
  <c r="M82" i="20"/>
  <c r="N79" i="20" s="1"/>
  <c r="D17" i="21"/>
  <c r="D15" i="21"/>
  <c r="C18" i="21"/>
  <c r="C21" i="21"/>
  <c r="M114" i="20" l="1"/>
  <c r="N100" i="20"/>
  <c r="M84" i="20"/>
  <c r="M132" i="20" s="1"/>
  <c r="N80" i="20"/>
  <c r="N76" i="20"/>
  <c r="M136" i="20"/>
  <c r="C22" i="21"/>
  <c r="E17" i="21"/>
  <c r="E15" i="21"/>
  <c r="D18" i="21"/>
  <c r="D21" i="21"/>
  <c r="M133" i="20" l="1"/>
  <c r="M137" i="20" s="1"/>
  <c r="M138" i="20" s="1"/>
  <c r="M140" i="20" s="1"/>
  <c r="N106" i="20"/>
  <c r="N110" i="20"/>
  <c r="N112" i="20" s="1"/>
  <c r="N82" i="20"/>
  <c r="N84" i="20" s="1"/>
  <c r="F17" i="21"/>
  <c r="F15" i="21"/>
  <c r="D22" i="21"/>
  <c r="E18" i="21"/>
  <c r="E21" i="21"/>
  <c r="N114" i="20" l="1"/>
  <c r="N132" i="20" s="1"/>
  <c r="N133" i="20" s="1"/>
  <c r="N137" i="20" s="1"/>
  <c r="N136" i="20"/>
  <c r="G17" i="21"/>
  <c r="G15" i="21"/>
  <c r="F18" i="21"/>
  <c r="F21" i="21"/>
  <c r="B34" i="21"/>
  <c r="B35" i="21" s="1"/>
  <c r="B41" i="21"/>
  <c r="E22" i="21"/>
  <c r="C30" i="21"/>
  <c r="C28" i="21"/>
  <c r="N138" i="20" l="1"/>
  <c r="N140" i="20" s="1"/>
  <c r="F22" i="21"/>
  <c r="D30" i="21"/>
  <c r="D28" i="21"/>
  <c r="G18" i="21"/>
  <c r="G21" i="21"/>
  <c r="B43" i="21"/>
  <c r="B44" i="21" s="1"/>
  <c r="C31" i="21"/>
  <c r="C34" i="21"/>
  <c r="C41" i="21"/>
  <c r="H17" i="21"/>
  <c r="H15" i="21"/>
  <c r="E30" i="21" l="1"/>
  <c r="E28" i="21"/>
  <c r="D31" i="21"/>
  <c r="D34" i="21"/>
  <c r="D41" i="21"/>
  <c r="G22" i="21"/>
  <c r="C43" i="21"/>
  <c r="I17" i="21"/>
  <c r="I15" i="21"/>
  <c r="H18" i="21"/>
  <c r="H21" i="21"/>
  <c r="C35" i="21"/>
  <c r="D43" i="21" l="1"/>
  <c r="H22" i="21"/>
  <c r="D35" i="21"/>
  <c r="F30" i="21"/>
  <c r="F28" i="21"/>
  <c r="J17" i="21"/>
  <c r="J15" i="21"/>
  <c r="I18" i="21"/>
  <c r="I21" i="21"/>
  <c r="E31" i="21"/>
  <c r="E34" i="21"/>
  <c r="E41" i="21"/>
  <c r="C44" i="21"/>
  <c r="I22" i="21" l="1"/>
  <c r="E35" i="21"/>
  <c r="J18" i="21"/>
  <c r="J21" i="21"/>
  <c r="E43" i="21"/>
  <c r="D44" i="21"/>
  <c r="K17" i="21"/>
  <c r="K15" i="21"/>
  <c r="G30" i="21"/>
  <c r="G28" i="21"/>
  <c r="F31" i="21"/>
  <c r="F34" i="21"/>
  <c r="F41" i="21"/>
  <c r="F35" i="21" l="1"/>
  <c r="J22" i="21"/>
  <c r="L15" i="21"/>
  <c r="L17" i="21"/>
  <c r="F43" i="21"/>
  <c r="E44" i="21"/>
  <c r="H30" i="21"/>
  <c r="H28" i="21"/>
  <c r="G31" i="21"/>
  <c r="G34" i="21"/>
  <c r="G41" i="21"/>
  <c r="K21" i="21"/>
  <c r="K18" i="21"/>
  <c r="H31" i="21" l="1"/>
  <c r="H34" i="21"/>
  <c r="H41" i="21"/>
  <c r="F44" i="21"/>
  <c r="L21" i="21"/>
  <c r="L18" i="21"/>
  <c r="K22" i="21"/>
  <c r="M15" i="21"/>
  <c r="M17" i="21"/>
  <c r="G43" i="21"/>
  <c r="G35" i="21"/>
  <c r="I30" i="21"/>
  <c r="I28" i="21"/>
  <c r="J30" i="21" l="1"/>
  <c r="J28" i="21"/>
  <c r="G44" i="21"/>
  <c r="H35" i="21"/>
  <c r="L22" i="21"/>
  <c r="I31" i="21"/>
  <c r="I34" i="21"/>
  <c r="I41" i="21"/>
  <c r="H43" i="21"/>
  <c r="M21" i="21"/>
  <c r="M18" i="21"/>
  <c r="N17" i="21"/>
  <c r="I35" i="21" l="1"/>
  <c r="H44" i="21"/>
  <c r="J31" i="21"/>
  <c r="J34" i="21"/>
  <c r="J41" i="21"/>
  <c r="N21" i="21"/>
  <c r="M22" i="21"/>
  <c r="K30" i="21"/>
  <c r="K28" i="21"/>
  <c r="I43" i="21"/>
  <c r="J35" i="21" l="1"/>
  <c r="J43" i="21"/>
  <c r="I44" i="21"/>
  <c r="L30" i="21"/>
  <c r="L28" i="21"/>
  <c r="K31" i="21"/>
  <c r="K34" i="21"/>
  <c r="K41" i="21"/>
  <c r="J44" i="21" l="1"/>
  <c r="K43" i="21"/>
  <c r="K35" i="21"/>
  <c r="M30" i="21"/>
  <c r="M41" i="21" s="1"/>
  <c r="M28" i="21"/>
  <c r="L31" i="21"/>
  <c r="L34" i="21"/>
  <c r="L41" i="21"/>
  <c r="L43" i="21" l="1"/>
  <c r="M31" i="21"/>
  <c r="M34" i="21"/>
  <c r="N30" i="21"/>
  <c r="L35" i="21"/>
  <c r="K44" i="21"/>
  <c r="N34" i="21" l="1"/>
  <c r="N41" i="21"/>
  <c r="N43" i="21" s="1"/>
  <c r="M43" i="21"/>
  <c r="M35" i="21"/>
  <c r="L44" i="21"/>
  <c r="M44" i="21" l="1"/>
  <c r="C16" i="22" l="1"/>
  <c r="C14" i="22"/>
  <c r="B20" i="22"/>
  <c r="B21" i="22" s="1"/>
  <c r="D14" i="22" l="1"/>
  <c r="D16" i="22"/>
  <c r="C17" i="22"/>
  <c r="C20" i="22"/>
  <c r="C21" i="22" s="1"/>
  <c r="C29" i="22" l="1"/>
  <c r="C27" i="22"/>
  <c r="D17" i="22"/>
  <c r="D20" i="22"/>
  <c r="D21" i="22" s="1"/>
  <c r="E16" i="22"/>
  <c r="E14" i="22"/>
  <c r="B33" i="22"/>
  <c r="B34" i="22" s="1"/>
  <c r="B40" i="22"/>
  <c r="B42" i="22" s="1"/>
  <c r="B43" i="22" s="1"/>
  <c r="F14" i="22" l="1"/>
  <c r="F16" i="22"/>
  <c r="D29" i="22"/>
  <c r="D27" i="22"/>
  <c r="E20" i="22"/>
  <c r="E21" i="22" s="1"/>
  <c r="E17" i="22"/>
  <c r="C30" i="22"/>
  <c r="C33" i="22"/>
  <c r="C34" i="22" s="1"/>
  <c r="C40" i="22"/>
  <c r="C42" i="22" s="1"/>
  <c r="C43" i="22" s="1"/>
  <c r="E27" i="22" l="1"/>
  <c r="E29" i="22"/>
  <c r="D30" i="22"/>
  <c r="D33" i="22"/>
  <c r="D34" i="22" s="1"/>
  <c r="D40" i="22"/>
  <c r="D42" i="22" s="1"/>
  <c r="D43" i="22" s="1"/>
  <c r="F17" i="22"/>
  <c r="F20" i="22"/>
  <c r="F21" i="22" s="1"/>
  <c r="G16" i="22"/>
  <c r="G14" i="22"/>
  <c r="H16" i="22" l="1"/>
  <c r="H14" i="22"/>
  <c r="E30" i="22"/>
  <c r="E33" i="22"/>
  <c r="E34" i="22" s="1"/>
  <c r="E40" i="22"/>
  <c r="E42" i="22" s="1"/>
  <c r="E43" i="22" s="1"/>
  <c r="G17" i="22"/>
  <c r="G20" i="22"/>
  <c r="G21" i="22" s="1"/>
  <c r="F27" i="22"/>
  <c r="F29" i="22"/>
  <c r="F30" i="22" l="1"/>
  <c r="F33" i="22"/>
  <c r="F34" i="22" s="1"/>
  <c r="F40" i="22"/>
  <c r="F42" i="22" s="1"/>
  <c r="F43" i="22" s="1"/>
  <c r="I16" i="22"/>
  <c r="I14" i="22"/>
  <c r="G27" i="22"/>
  <c r="G29" i="22"/>
  <c r="H17" i="22"/>
  <c r="H20" i="22"/>
  <c r="H21" i="22" s="1"/>
  <c r="H29" i="22" l="1"/>
  <c r="H27" i="22"/>
  <c r="I17" i="22"/>
  <c r="I20" i="22"/>
  <c r="I21" i="22" s="1"/>
  <c r="G33" i="22"/>
  <c r="G34" i="22" s="1"/>
  <c r="G30" i="22"/>
  <c r="G40" i="22"/>
  <c r="G42" i="22" s="1"/>
  <c r="G43" i="22" s="1"/>
  <c r="J16" i="22"/>
  <c r="J14" i="22"/>
  <c r="J20" i="22" l="1"/>
  <c r="J21" i="22" s="1"/>
  <c r="J17" i="22"/>
  <c r="I27" i="22"/>
  <c r="I29" i="22"/>
  <c r="K16" i="22"/>
  <c r="K14" i="22"/>
  <c r="H33" i="22"/>
  <c r="H34" i="22" s="1"/>
  <c r="H30" i="22"/>
  <c r="H40" i="22"/>
  <c r="H42" i="22" s="1"/>
  <c r="H43" i="22" s="1"/>
  <c r="L14" i="22" l="1"/>
  <c r="L16" i="22"/>
  <c r="K20" i="22"/>
  <c r="K21" i="22" s="1"/>
  <c r="K17" i="22"/>
  <c r="I33" i="22"/>
  <c r="I34" i="22" s="1"/>
  <c r="I30" i="22"/>
  <c r="I40" i="22"/>
  <c r="I42" i="22" s="1"/>
  <c r="I43" i="22" s="1"/>
  <c r="J27" i="22"/>
  <c r="J29" i="22"/>
  <c r="J30" i="22" l="1"/>
  <c r="J33" i="22"/>
  <c r="J34" i="22" s="1"/>
  <c r="J40" i="22"/>
  <c r="J42" i="22" s="1"/>
  <c r="J43" i="22" s="1"/>
  <c r="K29" i="22"/>
  <c r="K27" i="22"/>
  <c r="L20" i="22"/>
  <c r="L21" i="22" s="1"/>
  <c r="L17" i="22"/>
  <c r="M16" i="22"/>
  <c r="M14" i="22"/>
  <c r="M17" i="22" l="1"/>
  <c r="M20" i="22"/>
  <c r="M21" i="22" s="1"/>
  <c r="N16" i="22"/>
  <c r="L29" i="22"/>
  <c r="L27" i="22"/>
  <c r="K33" i="22"/>
  <c r="K34" i="22" s="1"/>
  <c r="K30" i="22"/>
  <c r="K40" i="22"/>
  <c r="K42" i="22" s="1"/>
  <c r="K43" i="22" s="1"/>
  <c r="N20" i="22" l="1"/>
  <c r="M29" i="22"/>
  <c r="M40" i="22" s="1"/>
  <c r="M27" i="22"/>
  <c r="L33" i="22"/>
  <c r="L34" i="22" s="1"/>
  <c r="L30" i="22"/>
  <c r="L40" i="22"/>
  <c r="L42" i="22" s="1"/>
  <c r="L43" i="22" s="1"/>
  <c r="M33" i="22" l="1"/>
  <c r="M34" i="22" s="1"/>
  <c r="M30" i="22"/>
  <c r="N29" i="22"/>
  <c r="M42" i="22"/>
  <c r="M43" i="22" s="1"/>
  <c r="N33" i="22" l="1"/>
  <c r="N40" i="22"/>
  <c r="N42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Xu, Mei</author>
    <author>Poon, Kenneth</author>
    <author>tc={6AA542EC-427C-496A-965E-C1E672753691}</author>
  </authors>
  <commentList>
    <comment ref="H3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Facility Carbon Charge in M17 rate book</t>
        </r>
      </text>
    </comment>
    <comment ref="AI35" authorId="0" shapeId="0" xr:uid="{00000000-0006-0000-0B00-000002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calculation in Storage file and copy the value to this cell</t>
        </r>
      </text>
    </comment>
    <comment ref="BC35" authorId="0" shapeId="0" xr:uid="{00000000-0006-0000-0B00-000003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Link to LBA file</t>
        </r>
      </text>
    </comment>
    <comment ref="BD40" authorId="1" shapeId="0" xr:uid="{00000000-0006-0000-0B00-000004000000}">
      <text>
        <r>
          <rPr>
            <b/>
            <sz val="9"/>
            <color indexed="81"/>
            <rFont val="Tahoma"/>
            <family val="2"/>
          </rPr>
          <t>Poon, Kenneth:</t>
        </r>
        <r>
          <rPr>
            <sz val="9"/>
            <color indexed="81"/>
            <rFont val="Tahoma"/>
            <family val="2"/>
          </rPr>
          <t xml:space="preserve">
Based on 2021 CD or vol. need to understand how to split this cost up between Sys Gas and R16, Detailed system and R16 calculation in Misc. Cal tab</t>
        </r>
      </text>
    </comment>
    <comment ref="BL47" authorId="0" shapeId="0" xr:uid="{00000000-0006-0000-0B00-000005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Annual increase with CPI increase 6.8%</t>
        </r>
      </text>
    </comment>
    <comment ref="BM47" authorId="1" shapeId="0" xr:uid="{00000000-0006-0000-0B00-000006000000}">
      <text>
        <r>
          <rPr>
            <b/>
            <sz val="9"/>
            <color indexed="81"/>
            <rFont val="Tahoma"/>
            <family val="2"/>
          </rPr>
          <t>Poon, Kenneth:</t>
        </r>
        <r>
          <rPr>
            <sz val="9"/>
            <color indexed="81"/>
            <rFont val="Tahoma"/>
            <family val="2"/>
          </rPr>
          <t xml:space="preserve">
$60,000 added to PO 8/15/23</t>
        </r>
      </text>
    </comment>
    <comment ref="AZ52" authorId="0" shapeId="0" xr:uid="{00000000-0006-0000-0B00-000007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Revised to 143528 GJ with 0.869% fuel ratio</t>
        </r>
      </text>
    </comment>
    <comment ref="BC52" authorId="0" shapeId="0" xr:uid="{00000000-0006-0000-0B00-000008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Revised to 1261 GJ with 0.869% fuel ratio</t>
        </r>
      </text>
    </comment>
    <comment ref="AZ53" authorId="0" shapeId="0" xr:uid="{00000000-0006-0000-0B00-000009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Revised to 115954 GJ with 0.869% fuel ratio
</t>
        </r>
      </text>
    </comment>
    <comment ref="BC53" authorId="0" shapeId="0" xr:uid="{00000000-0006-0000-0B00-00000A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Revised to 1009 GJ with 0.869% fuel ratio</t>
        </r>
      </text>
    </comment>
    <comment ref="AZ54" authorId="0" shapeId="0" xr:uid="{00000000-0006-0000-0B00-00000B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Revised to 111803 GJ with 0.869% fuel ratio</t>
        </r>
      </text>
    </comment>
    <comment ref="BC54" authorId="0" shapeId="0" xr:uid="{00000000-0006-0000-0B00-00000C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Revised to 985 GJ with 0.869% fuel ratio</t>
        </r>
      </text>
    </comment>
    <comment ref="AZ55" authorId="0" shapeId="0" xr:uid="{00000000-0006-0000-0B00-00000D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Revised to 90360 GJ with 0.387% fuel ratio</t>
        </r>
      </text>
    </comment>
    <comment ref="BC55" authorId="0" shapeId="0" xr:uid="{00000000-0006-0000-0B00-00000E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Revised to 339 GJ with 0.387% fuel ratio</t>
        </r>
      </text>
    </comment>
    <comment ref="BD55" authorId="0" shapeId="0" xr:uid="{00000000-0006-0000-0B00-00000F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EB-2023-0092 final decision pg.50</t>
        </r>
      </text>
    </comment>
    <comment ref="Z56" authorId="0" shapeId="0" xr:uid="{00000000-0006-0000-0B00-000010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Replace invoice #1109268</t>
        </r>
      </text>
    </comment>
    <comment ref="AX56" authorId="0" shapeId="0" xr:uid="{00000000-0006-0000-0B00-000011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EB-2022-0200
</t>
        </r>
      </text>
    </comment>
    <comment ref="BD56" authorId="0" shapeId="0" xr:uid="{00000000-0006-0000-0B00-000012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Including Jan 1- Apr 30, 2024 Misc adjustment $4537.86 with Fuel adjustment $612.88</t>
        </r>
      </text>
    </comment>
    <comment ref="BL59" authorId="0" shapeId="0" xr:uid="{00000000-0006-0000-0B00-000013000000}">
      <text>
        <r>
          <rPr>
            <b/>
            <sz val="9"/>
            <color indexed="81"/>
            <rFont val="Tahoma"/>
            <family val="2"/>
          </rPr>
          <t>Xu, Mei:</t>
        </r>
        <r>
          <rPr>
            <sz val="9"/>
            <color indexed="81"/>
            <rFont val="Tahoma"/>
            <family val="2"/>
          </rPr>
          <t xml:space="preserve">
Annual increase with CPI increase 3.9%</t>
        </r>
      </text>
    </comment>
    <comment ref="BE67" authorId="2" shapeId="0" xr:uid="{6AA542EC-427C-496A-965E-C1E672753691}">
      <text>
        <t>[Threaded comment]
Your version of Excel allows you to read this threaded comment; however, any edits to it will get removed if the file is opened in a newer version of Excel. Learn more: https://go.microsoft.com/fwlink/?linkid=870924
Comment:
    Reference from EB-2024-0251 Pg.103</t>
      </text>
    </comment>
  </commentList>
</comments>
</file>

<file path=xl/sharedStrings.xml><?xml version="1.0" encoding="utf-8"?>
<sst xmlns="http://schemas.openxmlformats.org/spreadsheetml/2006/main" count="663" uniqueCount="341">
  <si>
    <t>Demand Charge</t>
  </si>
  <si>
    <t>Firm Injection Commodity Charge</t>
  </si>
  <si>
    <t>Firm Injection Customer Supplied Fuel</t>
  </si>
  <si>
    <t>Miscellaneous Adjustments</t>
  </si>
  <si>
    <t>Miscellaneous Charge Firm Commodity Charge (Dawn to EPCOR SB)</t>
  </si>
  <si>
    <t>Monthly Charge (M1700)</t>
  </si>
  <si>
    <t>Monthly ChargeM17001</t>
  </si>
  <si>
    <t>Demand Charge M17001 (Dawn to EPCOR SB)</t>
  </si>
  <si>
    <t>R16 Upstream Recovery</t>
  </si>
  <si>
    <t>R1/R6/R11 Upstream Recovery</t>
  </si>
  <si>
    <t>R16 Transportation</t>
  </si>
  <si>
    <t>R1/R6/R11 Transportation</t>
  </si>
  <si>
    <t>Billed Charges</t>
  </si>
  <si>
    <t>ECNG</t>
  </si>
  <si>
    <t>TVA Billed Charges</t>
  </si>
  <si>
    <t>S&amp;TVA Billed Charges</t>
  </si>
  <si>
    <t>Firm withdrawal commodity charge (Dawn Storage to Dawn Facilities)</t>
  </si>
  <si>
    <t>Miscellaneous Charge EPCOR 57-16-310</t>
  </si>
  <si>
    <t>S&amp;TVA</t>
  </si>
  <si>
    <t>Opening Balance</t>
  </si>
  <si>
    <t>$0,000s</t>
  </si>
  <si>
    <t>Closing Balance</t>
  </si>
  <si>
    <t>Transportation and Storage Revenue</t>
  </si>
  <si>
    <t>Industrial Direct Assignment</t>
  </si>
  <si>
    <t>Rate 1 - General Firm Service</t>
  </si>
  <si>
    <t>Rate 6 - Large Volume General Firm Service</t>
  </si>
  <si>
    <t>Rate 11 - Large Volume Seasonal Service</t>
  </si>
  <si>
    <t>Rate 16 - Contracted Firm Service</t>
  </si>
  <si>
    <t>Sum</t>
  </si>
  <si>
    <t>Upstream Recovery Revenue</t>
  </si>
  <si>
    <t>Upstream Recovery Cost</t>
  </si>
  <si>
    <t>Storage</t>
  </si>
  <si>
    <t>R16</t>
  </si>
  <si>
    <t>Storage Rate</t>
  </si>
  <si>
    <t>Transportation Rate</t>
  </si>
  <si>
    <t>Nominated Volume (GJ)</t>
  </si>
  <si>
    <t>Actual Consumption (GJ)</t>
  </si>
  <si>
    <t>R16 Contract Demand (GJ)</t>
  </si>
  <si>
    <t>Billing Period</t>
  </si>
  <si>
    <t>Annual Heat Value</t>
  </si>
  <si>
    <t>Storage  (GJ)</t>
  </si>
  <si>
    <t>Fuel Ratio  (%)</t>
  </si>
  <si>
    <t>Storage Firm Commodity Charge ($/GJ)</t>
  </si>
  <si>
    <t>Storage Interruptible Commodity Charge ($/GJ)</t>
  </si>
  <si>
    <t>Monthly Demand Charge ($/GJ)</t>
  </si>
  <si>
    <t>Firm Commodity Charge ($/GJ)</t>
  </si>
  <si>
    <t>M17 Total</t>
  </si>
  <si>
    <t>System Supply</t>
  </si>
  <si>
    <t>Tweed</t>
  </si>
  <si>
    <t>Greenfield</t>
  </si>
  <si>
    <t>Bruce Power</t>
  </si>
  <si>
    <t xml:space="preserve"> ENB Rates &amp; Vol</t>
  </si>
  <si>
    <t xml:space="preserve"> M17 (Storage)</t>
  </si>
  <si>
    <t>M17 (LBA)</t>
  </si>
  <si>
    <t xml:space="preserve"> M17 (Transportation)</t>
  </si>
  <si>
    <t xml:space="preserve"> ENB: M17 (Storage + Transportation)</t>
  </si>
  <si>
    <t>ECNG (Nomination)</t>
  </si>
  <si>
    <t>ECNG (System Gas Consulting)</t>
  </si>
  <si>
    <t>ECNG PO BALANCE
(760947)</t>
  </si>
  <si>
    <t>ECNG (Nomination + Consulting)</t>
  </si>
  <si>
    <t>M17 Transportation</t>
  </si>
  <si>
    <t>Invoice Split for Finance Team</t>
  </si>
  <si>
    <t>Inv #</t>
  </si>
  <si>
    <t>Contract Storage (GJ)</t>
  </si>
  <si>
    <t>Commodity Injection (GJ)</t>
  </si>
  <si>
    <t>Overrun Injection (GJ)</t>
  </si>
  <si>
    <t>Firm Withdraw (GJ)</t>
  </si>
  <si>
    <t>Interruptible Withdraw (GJ)</t>
  </si>
  <si>
    <t>Demand Charge ($)</t>
  </si>
  <si>
    <t>Firm Injection Commodity Charge ($)</t>
  </si>
  <si>
    <t>Overrun Injection Commodity Charge ($)</t>
  </si>
  <si>
    <t>Firm Injection Customer Supplied Fuel (GJ)</t>
  </si>
  <si>
    <t>Overrun Injection Customer Supplied Fuel (GJ)</t>
  </si>
  <si>
    <t>Overrun Injection Commodity Charge</t>
  </si>
  <si>
    <t>Firm Withdraw Commodity Charge ($)</t>
  </si>
  <si>
    <t>Interrruptible Withdraw Commodity Charge ($)</t>
  </si>
  <si>
    <t>Withdraw Customer Supplied Fuel (GJ)</t>
  </si>
  <si>
    <t>Miscellaneous Charge Monthly Charge</t>
  </si>
  <si>
    <t>Miscellaneous Charge Demand Charge</t>
  </si>
  <si>
    <t>Total Storage ($)</t>
  </si>
  <si>
    <t>2% &lt;&lt; 4% (GJ)</t>
  </si>
  <si>
    <t>EASTERN ZONE TOLL ($/GJ)</t>
  </si>
  <si>
    <t>2nd Tier Daily Fee ($)</t>
  </si>
  <si>
    <t>Monthly Charge ($)</t>
  </si>
  <si>
    <t>Demand (GJ)</t>
  </si>
  <si>
    <t>Total Consumption R16+System (GJ)</t>
  </si>
  <si>
    <t>Firm Commodity Charge ($)</t>
  </si>
  <si>
    <t>Firm Customer Supplied Fuel (GJ)</t>
  </si>
  <si>
    <t>Deferral/Earnings Sharing Adjustment Deferral/Earnings Sharing
Adjustment</t>
  </si>
  <si>
    <t>Deferral/Earnings Sharing Adjustment Federal Carbon Charge</t>
  </si>
  <si>
    <t>Total Transporation ($)</t>
  </si>
  <si>
    <t>Gas Nomination Rate ($/GJ)</t>
  </si>
  <si>
    <t>Gas Nomination ($)</t>
  </si>
  <si>
    <t>Monthly Consulting Charge ($)</t>
  </si>
  <si>
    <t>PO Balance ($)</t>
  </si>
  <si>
    <t>System Gas Cost ($)</t>
  </si>
  <si>
    <t>R16 Gas cost ($)</t>
  </si>
  <si>
    <t>Total Cost Before Tax($)</t>
  </si>
  <si>
    <t>838 454</t>
  </si>
  <si>
    <t>842 770</t>
  </si>
  <si>
    <t>847 784</t>
  </si>
  <si>
    <t>851 508</t>
  </si>
  <si>
    <t>E194CC-2008-1</t>
  </si>
  <si>
    <t>855 478</t>
  </si>
  <si>
    <t>E194CC-2009-1</t>
  </si>
  <si>
    <t>858 032</t>
  </si>
  <si>
    <t>E194CC-2010-1</t>
  </si>
  <si>
    <t>863 949</t>
  </si>
  <si>
    <t>E194CC-2011-1</t>
  </si>
  <si>
    <t>867 741</t>
  </si>
  <si>
    <t>E194CC-2012-1</t>
  </si>
  <si>
    <t>876 030</t>
  </si>
  <si>
    <t>E194CC-2101-1</t>
  </si>
  <si>
    <t>877 881</t>
  </si>
  <si>
    <t>E194CC-2102-1</t>
  </si>
  <si>
    <t>881 850</t>
  </si>
  <si>
    <t>E194CC-2103-1</t>
  </si>
  <si>
    <t>887 240</t>
  </si>
  <si>
    <t>E194CC-2104-1</t>
  </si>
  <si>
    <t>889 724</t>
  </si>
  <si>
    <t>E194CC-2105-1</t>
  </si>
  <si>
    <t>895 037</t>
  </si>
  <si>
    <t>E194CC-2106-1</t>
  </si>
  <si>
    <t>899 099</t>
  </si>
  <si>
    <t>E194CC-2107-1</t>
  </si>
  <si>
    <t>905 664</t>
  </si>
  <si>
    <t>E194CC-2108-1</t>
  </si>
  <si>
    <t>912 435</t>
  </si>
  <si>
    <t>E194CC-2109-1</t>
  </si>
  <si>
    <t>918 530</t>
  </si>
  <si>
    <t>E194CC-2110-1</t>
  </si>
  <si>
    <t>923 433</t>
  </si>
  <si>
    <t>E194CC-2111-1</t>
  </si>
  <si>
    <t>929 292</t>
  </si>
  <si>
    <t>E194CC-2112-1</t>
  </si>
  <si>
    <t>936 129</t>
  </si>
  <si>
    <t>E194CC-2201-1</t>
  </si>
  <si>
    <t>942 995</t>
  </si>
  <si>
    <t>E194CC-2202-1</t>
  </si>
  <si>
    <t>947 909</t>
  </si>
  <si>
    <t>E194CC-2203-1</t>
  </si>
  <si>
    <t>958 598</t>
  </si>
  <si>
    <t>E194CC-2204-1</t>
  </si>
  <si>
    <t>961 359</t>
  </si>
  <si>
    <t>E194CC-2205-1</t>
  </si>
  <si>
    <t>964 935</t>
  </si>
  <si>
    <t>E194CC-2206-1</t>
  </si>
  <si>
    <t>971 955</t>
  </si>
  <si>
    <t>E194CC-2207-1</t>
  </si>
  <si>
    <t>977 916</t>
  </si>
  <si>
    <t>E194CC-2208-1</t>
  </si>
  <si>
    <t>986 545</t>
  </si>
  <si>
    <t>E194CC-2209-1</t>
  </si>
  <si>
    <t>993 085</t>
  </si>
  <si>
    <t>E194CC-2210-1</t>
  </si>
  <si>
    <t>999 184</t>
  </si>
  <si>
    <t>E194CC-2211-1</t>
  </si>
  <si>
    <t>E194CC-2212-1</t>
  </si>
  <si>
    <t>E194CC-2301-1</t>
  </si>
  <si>
    <t>E194CC-2302-1</t>
  </si>
  <si>
    <t>E194CC-2303-1</t>
  </si>
  <si>
    <t>E194CC-2304-1</t>
  </si>
  <si>
    <t>E194CC-2305-1</t>
  </si>
  <si>
    <t>E194CC-2306-1</t>
  </si>
  <si>
    <t>E194CC-2307-1</t>
  </si>
  <si>
    <t>E194CC-2308-1</t>
  </si>
  <si>
    <t>E194CC-2309-1</t>
  </si>
  <si>
    <t>E194CC-2310-1</t>
  </si>
  <si>
    <t>E194CC-2311-1</t>
  </si>
  <si>
    <t>E194CC-2312-1</t>
  </si>
  <si>
    <t>E194CC-2401-1</t>
  </si>
  <si>
    <t>E194CC-2402-1</t>
  </si>
  <si>
    <t>E194CC-2403-1</t>
  </si>
  <si>
    <t>E194CC-2404-1</t>
  </si>
  <si>
    <t>E194CC-2405-1</t>
  </si>
  <si>
    <t>E194CC-2406-1</t>
  </si>
  <si>
    <t>E194CC-2408-1</t>
  </si>
  <si>
    <t>E194CC-2409-1</t>
  </si>
  <si>
    <t>E194CC-2410-1</t>
  </si>
  <si>
    <t>E194CC-2411-1</t>
  </si>
  <si>
    <t>E194CC-2412-1</t>
  </si>
  <si>
    <t>E194CC-2501-1</t>
  </si>
  <si>
    <t>System Gas</t>
  </si>
  <si>
    <t>Total</t>
  </si>
  <si>
    <t>Certarus CNG - Transportation Costs</t>
  </si>
  <si>
    <t>Transportation</t>
  </si>
  <si>
    <t>Gas Supply</t>
  </si>
  <si>
    <t>S&amp;TVA (R1/6/11)</t>
  </si>
  <si>
    <t>CNG</t>
  </si>
  <si>
    <t>Allocation</t>
  </si>
  <si>
    <t>Calculation</t>
  </si>
  <si>
    <t>PP&amp;E Continuity from COS Application</t>
  </si>
  <si>
    <t>Table 2-9: CIAC to Enbridge - Owen Sound Reinforcement</t>
  </si>
  <si>
    <t>(Thousands of Dollars)</t>
  </si>
  <si>
    <t>Col. 1</t>
  </si>
  <si>
    <t>Col. 2</t>
  </si>
  <si>
    <t>Col. 3</t>
  </si>
  <si>
    <t>Col. 4</t>
  </si>
  <si>
    <t>Col. 5</t>
  </si>
  <si>
    <t>Col. 6</t>
  </si>
  <si>
    <t>Col. 7</t>
  </si>
  <si>
    <t>Col. 8</t>
  </si>
  <si>
    <t>Col. 9</t>
  </si>
  <si>
    <t>Col. 10</t>
  </si>
  <si>
    <t>Description</t>
  </si>
  <si>
    <t>Row 1</t>
  </si>
  <si>
    <t>Row 2</t>
  </si>
  <si>
    <t>Gross Fixed Assets</t>
  </si>
  <si>
    <t>Row 3</t>
  </si>
  <si>
    <t>Row 4</t>
  </si>
  <si>
    <t>Capital Expenditure</t>
  </si>
  <si>
    <t>Row 5</t>
  </si>
  <si>
    <t>Interest During Construction</t>
  </si>
  <si>
    <t>Row 6</t>
  </si>
  <si>
    <t>Capitalized Overhead</t>
  </si>
  <si>
    <t>Row 7</t>
  </si>
  <si>
    <t>External Funding</t>
  </si>
  <si>
    <t>Row 8</t>
  </si>
  <si>
    <t>Retirement</t>
  </si>
  <si>
    <t>Row 9</t>
  </si>
  <si>
    <t>Row 10</t>
  </si>
  <si>
    <t>Row 11</t>
  </si>
  <si>
    <t>Accumulated Depreciation</t>
  </si>
  <si>
    <t>Row 12</t>
  </si>
  <si>
    <t>Row 13</t>
  </si>
  <si>
    <t>Depreciation</t>
  </si>
  <si>
    <t>Row 14</t>
  </si>
  <si>
    <t>Row 15</t>
  </si>
  <si>
    <t>Row 16</t>
  </si>
  <si>
    <t>Row 17</t>
  </si>
  <si>
    <t>Net Asset</t>
  </si>
  <si>
    <t>Table 2-10: CIAC to Enbridge - Station</t>
  </si>
  <si>
    <t>PP&amp;E Continuity based on Actual CIAC</t>
  </si>
  <si>
    <t>Cost</t>
  </si>
  <si>
    <t>$000s</t>
  </si>
  <si>
    <t>year</t>
  </si>
  <si>
    <t>Depreciable year</t>
  </si>
  <si>
    <t>yr</t>
  </si>
  <si>
    <t>COS Comparisons</t>
  </si>
  <si>
    <t>WACC (as per Application)</t>
  </si>
  <si>
    <t>%</t>
  </si>
  <si>
    <t>COS as per Application</t>
  </si>
  <si>
    <t>Net PP&amp;E (Year End)</t>
  </si>
  <si>
    <t>Net PP&amp;E (mid-year)</t>
  </si>
  <si>
    <t>Return on Rate Base</t>
  </si>
  <si>
    <t>COS as per Actual CIAC</t>
  </si>
  <si>
    <t>Actual less Application</t>
  </si>
  <si>
    <t>Variance</t>
  </si>
  <si>
    <t>CIAC Revenue Requirement</t>
  </si>
  <si>
    <t>Revenue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</si>
  <si>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</si>
  <si>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</si>
  <si>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</si>
  <si>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</si>
  <si>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</si>
  <si>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</si>
  <si>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</si>
  <si>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</si>
  <si>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</si>
  <si>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</si>
  <si>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</si>
  <si>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</si>
  <si>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Cumulative Variance</t>
  </si>
  <si>
    <t>Carrying Charges</t>
  </si>
  <si>
    <t>Rate</t>
  </si>
  <si>
    <t>Grand Total</t>
  </si>
  <si>
    <t>Total Cost</t>
  </si>
  <si>
    <t>Cumulative Carrying Charges</t>
  </si>
  <si>
    <t>TRANSPORTATION</t>
  </si>
  <si>
    <t>UPSTREAM CHARGES</t>
  </si>
  <si>
    <t>Unit</t>
  </si>
  <si>
    <t>Rate 1</t>
  </si>
  <si>
    <t>Rate 6</t>
  </si>
  <si>
    <t>Rate 11</t>
  </si>
  <si>
    <t>Rate 16</t>
  </si>
  <si>
    <t>$000's</t>
  </si>
  <si>
    <t>TVA</t>
  </si>
  <si>
    <t>Total Transportation</t>
  </si>
  <si>
    <t>Cumulative Transportation</t>
  </si>
  <si>
    <t>Total Upstream</t>
  </si>
  <si>
    <t>Cumulative Upstream</t>
  </si>
  <si>
    <t>COMBINED</t>
  </si>
  <si>
    <t>Grand Total Cumulative</t>
  </si>
  <si>
    <t>TVA - R16</t>
  </si>
  <si>
    <t>Non-Distribution Revenue</t>
  </si>
  <si>
    <t>Source: EB-2018-0624, Exhibit 7, Tab 1, Schedule 2, Table 7-25 - Enbridge CIAC</t>
  </si>
  <si>
    <t>Classification</t>
  </si>
  <si>
    <t>Table7-25: Allocation of Rate Base</t>
  </si>
  <si>
    <t>Commodity</t>
  </si>
  <si>
    <t>Upstream Capacity</t>
  </si>
  <si>
    <t>Storage Space</t>
  </si>
  <si>
    <t>Storage Deliverability</t>
  </si>
  <si>
    <t>Enbridge CIAC</t>
  </si>
  <si>
    <t>Delivery Commodity</t>
  </si>
  <si>
    <t>Capacity HP</t>
  </si>
  <si>
    <t>Capacity LP</t>
  </si>
  <si>
    <t>Customer</t>
  </si>
  <si>
    <t>Customer Weighted Services</t>
  </si>
  <si>
    <t>Customer Weighted Meters</t>
  </si>
  <si>
    <t>Customer Weighted Billing</t>
  </si>
  <si>
    <t>Customer Excluding Industrial</t>
  </si>
  <si>
    <t>Bad Debt / Collection</t>
  </si>
  <si>
    <t>Rate Base - ENG</t>
  </si>
  <si>
    <t>Source/ inputs</t>
  </si>
  <si>
    <t>2025 Total</t>
  </si>
  <si>
    <t>E194CC-2502-1</t>
  </si>
  <si>
    <t>E194CC-2503-1</t>
  </si>
  <si>
    <t>E194CC-2504-1</t>
  </si>
  <si>
    <t>E194CC-2505-1</t>
  </si>
  <si>
    <t>Interruptible Withdrawal Commodity Charge</t>
  </si>
  <si>
    <t>E194CC-2506-1</t>
  </si>
  <si>
    <t>E194CC-2507-1</t>
  </si>
  <si>
    <t>https://epcorweb/en-ca/departments/natgas/sites/ON/Gas%20Supply%20Manager/South%20Bruce/SB_Inovices/SB%20Invoice%20Tracking.xlsx?web=1</t>
  </si>
  <si>
    <t>E194CC-2508-1</t>
  </si>
  <si>
    <t>E194CC-2509-1</t>
  </si>
  <si>
    <t>E194CC-2506-2</t>
  </si>
  <si>
    <t>E194CC-2510-1</t>
  </si>
  <si>
    <t>E194CC-2511-1</t>
  </si>
  <si>
    <t>E194CC-2512-1</t>
  </si>
  <si>
    <t>Fuel</t>
  </si>
  <si>
    <t>Nomination</t>
  </si>
  <si>
    <t>Fuel Amounts (GJ)</t>
  </si>
  <si>
    <t>System Gas Fuel</t>
  </si>
  <si>
    <t>R16 Fuel</t>
  </si>
  <si>
    <t>Invoice Total</t>
  </si>
  <si>
    <t>System Gas Conversion</t>
  </si>
  <si>
    <t>Heat Value</t>
  </si>
  <si>
    <t>System Gas Fuel (m3)</t>
  </si>
  <si>
    <t xml:space="preserve">QRAM Reference Price </t>
  </si>
  <si>
    <t>Total Fuel Cost</t>
  </si>
  <si>
    <t>*Note - R16 amounts are for reference only.  Amounts are not included in the calculation</t>
  </si>
  <si>
    <t>Overrun Withdrawal Commodity Charge (Dawn Storage to Dawn Facilities)</t>
  </si>
  <si>
    <t>Overrun Withdrawal Customer Supplied Fuel (GJ)</t>
  </si>
  <si>
    <t>Overrun Withdrawal Customer Supplied Fuel Charge (GJ)</t>
  </si>
  <si>
    <t>Overrun Withdrawal Commodity Charge (Dawn Facilities to Dawn Storage)</t>
  </si>
  <si>
    <t>Firm Commodity Charge</t>
  </si>
  <si>
    <t>E194CC-2601-1</t>
  </si>
  <si>
    <t>E194CC-2602-1</t>
  </si>
  <si>
    <t>E194CC-2603-1</t>
  </si>
  <si>
    <t>E194CC-2604-1</t>
  </si>
  <si>
    <t>Fuel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</si>
</sst>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  <numFmt numFmtId="167" formatCode="#,##0.000"/>
    <numFmt numFmtId="168" formatCode="#,##0.0000"/>
    <numFmt numFmtId="172" formatCode="_-* #,##0.0_-;\-* #,##0.0_-;_-* &quot;-&quot;??_-;_-@_-"/>
    <numFmt numFmtId="173" formatCode="_-&quot;$&quot;* #,##0.00_-;\-&quot;$&quot;* #,##0.00_-;_-&quot;$&quot;* &quot;-&quot;??_-;_-@_-"/>
    <numFmt numFmtId="174" formatCode="_-&quot;$&quot;* #,##0.000_-;\-&quot;$&quot;* #,##0.000_-;_-&quot;$&quot;* &quot;-&quot;??_-;_-@_-"/>
    <numFmt numFmtId="175" formatCode="0.000%"/>
    <numFmt numFmtId="176" formatCode="#,##0_ ;\-#,##0\ "/>
    <numFmt numFmtId="177" formatCode="_-* #,##0.0000000000000_-;\-* #,##0.0000000000000_-;_-* &quot;-&quot;??_-;_-@_-"/>
    <numFmt numFmtId="179" formatCode="#,##0.0000_);\(#,##0.0000\)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2"/>
      <color theme="3"/>
      <name val="Arial"/>
      <family val="2"/>
    </font>
    <font>
      <i/>
      <sz val="10"/>
      <color theme="0" tint="-0.34998626667073579"/>
      <name val="Arial"/>
      <family val="2"/>
    </font>
    <font>
      <sz val="11"/>
      <color theme="0" tint="-0.49998474074526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theme="1" tint="0.34998626667073579"/>
      <name val="Arial"/>
      <family val="2"/>
    </font>
    <font>
      <b/>
      <sz val="11"/>
      <color theme="1"/>
      <name val="Arial"/>
      <family val="2"/>
    </font>
    <font>
      <u/>
      <sz val="10"/>
      <name val="Century Gothic"/>
      <family val="2"/>
    </font>
    <font>
      <sz val="11"/>
      <color rgb="FF33CC33"/>
      <name val="Arial"/>
      <family val="2"/>
    </font>
    <font>
      <sz val="11"/>
      <color rgb="FFFF0000"/>
      <name val="Arial"/>
      <family val="2"/>
    </font>
    <font>
      <sz val="11"/>
      <color rgb="FF0000CC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u/>
      <sz val="11"/>
      <color theme="1"/>
      <name val="Arial"/>
      <family val="2"/>
    </font>
    <font>
      <sz val="11"/>
      <color theme="9"/>
      <name val="Calibri"/>
      <family val="2"/>
      <scheme val="minor"/>
    </font>
    <font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rgb="FF1F497D"/>
      <name val="Arial"/>
      <family val="2"/>
    </font>
    <font>
      <i/>
      <sz val="10"/>
      <color rgb="FFA6A6A6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Gray">
        <fgColor theme="0" tint="-0.34998626667073579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lightGray">
        <bgColor theme="0"/>
      </patternFill>
    </fill>
    <fill>
      <patternFill patternType="solid">
        <fgColor rgb="FFA6A6A6"/>
        <bgColor rgb="FF000000"/>
      </patternFill>
    </fill>
    <fill>
      <patternFill patternType="lightGray">
        <fgColor rgb="FFA6A6A6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7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7" borderId="0" applyNumberFormat="0" applyBorder="0" applyAlignment="0" applyProtection="0"/>
    <xf numFmtId="0" fontId="3" fillId="0" borderId="0"/>
    <xf numFmtId="0" fontId="3" fillId="4" borderId="7" applyNumberFormat="0" applyFont="0" applyAlignment="0" applyProtection="0"/>
    <xf numFmtId="0" fontId="17" fillId="16" borderId="8" applyNumberFormat="0" applyAlignment="0" applyProtection="0"/>
    <xf numFmtId="9" fontId="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5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5" fillId="0" borderId="0" applyNumberFormat="0" applyFill="0" applyBorder="0" applyAlignment="0" applyProtection="0"/>
    <xf numFmtId="44" fontId="20" fillId="0" borderId="0" applyFont="0" applyFill="0" applyBorder="0" applyAlignment="0" applyProtection="0"/>
    <xf numFmtId="0" fontId="26" fillId="0" borderId="0" applyNumberFormat="0" applyBorder="0"/>
    <xf numFmtId="0" fontId="27" fillId="0" borderId="0" applyNumberFormat="0">
      <alignment horizontal="center"/>
    </xf>
    <xf numFmtId="0" fontId="28" fillId="19" borderId="12" applyNumberFormat="0" applyAlignment="0"/>
    <xf numFmtId="3" fontId="29" fillId="20" borderId="13"/>
    <xf numFmtId="3" fontId="30" fillId="0" borderId="14"/>
    <xf numFmtId="167" fontId="31" fillId="0" borderId="15" applyProtection="0">
      <alignment horizontal="center"/>
    </xf>
    <xf numFmtId="0" fontId="32" fillId="0" borderId="0" applyNumberFormat="0"/>
    <xf numFmtId="0" fontId="33" fillId="0" borderId="0" applyBorder="0"/>
    <xf numFmtId="0" fontId="34" fillId="0" borderId="0" applyNumberFormat="0" applyAlignment="0"/>
    <xf numFmtId="0" fontId="30" fillId="21" borderId="16" applyNumberFormat="0" applyFont="0" applyAlignment="0"/>
    <xf numFmtId="3" fontId="35" fillId="0" borderId="0" applyFill="0"/>
    <xf numFmtId="0" fontId="36" fillId="19" borderId="15" applyNumberFormat="0" applyAlignment="0">
      <alignment horizontal="right"/>
      <protection locked="0"/>
    </xf>
    <xf numFmtId="0" fontId="29" fillId="0" borderId="0" applyNumberFormat="0" applyAlignment="0"/>
    <xf numFmtId="0" fontId="35" fillId="0" borderId="0" applyNumberFormat="0" applyFill="0" applyBorder="0" applyAlignment="0" applyProtection="0"/>
    <xf numFmtId="3" fontId="1" fillId="0" borderId="46"/>
    <xf numFmtId="0" fontId="1" fillId="0" borderId="42" applyNumberFormat="0" applyFont="0" applyFill="0" applyAlignment="0"/>
  </cellStyleXfs>
  <cellXfs count="410">
    <xf numFmtId="0" fontId="0" fillId="0" borderId="0" xfId="0"/>
    <xf numFmtId="0" fontId="25" fillId="0" borderId="0" xfId="49"/>
    <xf numFmtId="3" fontId="26" fillId="0" borderId="0" xfId="51" applyNumberFormat="1"/>
    <xf numFmtId="3" fontId="34" fillId="0" borderId="0" xfId="59" applyNumberFormat="1"/>
    <xf numFmtId="0" fontId="37" fillId="0" borderId="17" xfId="0" applyFont="1" applyBorder="1" applyAlignment="1">
      <alignment vertical="center"/>
    </xf>
    <xf numFmtId="0" fontId="38" fillId="0" borderId="18" xfId="0" applyFont="1" applyBorder="1" applyAlignment="1">
      <alignment horizontal="center" vertical="center"/>
    </xf>
    <xf numFmtId="0" fontId="39" fillId="0" borderId="22" xfId="0" applyFont="1" applyBorder="1" applyAlignment="1">
      <alignment vertical="top" wrapText="1"/>
    </xf>
    <xf numFmtId="0" fontId="39" fillId="0" borderId="23" xfId="0" applyFont="1" applyBorder="1" applyAlignment="1">
      <alignment vertical="top" wrapText="1"/>
    </xf>
    <xf numFmtId="0" fontId="39" fillId="0" borderId="24" xfId="0" applyFont="1" applyBorder="1" applyAlignment="1">
      <alignment vertical="top" wrapText="1"/>
    </xf>
    <xf numFmtId="0" fontId="39" fillId="0" borderId="0" xfId="0" applyFont="1" applyAlignment="1">
      <alignment vertical="top" wrapText="1"/>
    </xf>
    <xf numFmtId="0" fontId="39" fillId="0" borderId="25" xfId="0" applyFont="1" applyBorder="1" applyAlignment="1">
      <alignment vertical="top" wrapText="1"/>
    </xf>
    <xf numFmtId="0" fontId="40" fillId="0" borderId="0" xfId="0" applyFont="1" applyAlignment="1">
      <alignment vertical="top" wrapText="1"/>
    </xf>
    <xf numFmtId="165" fontId="39" fillId="0" borderId="0" xfId="47" applyNumberFormat="1" applyFont="1" applyBorder="1" applyAlignment="1">
      <alignment vertical="top" wrapText="1"/>
    </xf>
    <xf numFmtId="165" fontId="39" fillId="0" borderId="25" xfId="47" applyNumberFormat="1" applyFont="1" applyBorder="1" applyAlignment="1">
      <alignment vertical="top" wrapText="1"/>
    </xf>
    <xf numFmtId="164" fontId="39" fillId="0" borderId="0" xfId="47" applyFont="1" applyBorder="1" applyAlignment="1">
      <alignment vertical="top" wrapText="1"/>
    </xf>
    <xf numFmtId="164" fontId="39" fillId="0" borderId="25" xfId="47" applyFont="1" applyBorder="1" applyAlignment="1">
      <alignment vertical="top" wrapText="1"/>
    </xf>
    <xf numFmtId="17" fontId="39" fillId="0" borderId="22" xfId="0" applyNumberFormat="1" applyFont="1" applyBorder="1"/>
    <xf numFmtId="0" fontId="0" fillId="0" borderId="23" xfId="0" applyBorder="1"/>
    <xf numFmtId="165" fontId="0" fillId="0" borderId="24" xfId="47" applyNumberFormat="1" applyFont="1" applyBorder="1"/>
    <xf numFmtId="10" fontId="0" fillId="0" borderId="0" xfId="48" applyNumberFormat="1" applyFont="1" applyBorder="1"/>
    <xf numFmtId="174" fontId="0" fillId="0" borderId="25" xfId="50" applyNumberFormat="1" applyFont="1" applyBorder="1"/>
    <xf numFmtId="174" fontId="0" fillId="0" borderId="0" xfId="50" applyNumberFormat="1" applyFont="1" applyBorder="1"/>
    <xf numFmtId="175" fontId="0" fillId="0" borderId="25" xfId="48" applyNumberFormat="1" applyFont="1" applyBorder="1"/>
    <xf numFmtId="165" fontId="0" fillId="0" borderId="0" xfId="47" applyNumberFormat="1" applyFont="1" applyFill="1" applyBorder="1"/>
    <xf numFmtId="165" fontId="0" fillId="0" borderId="0" xfId="47" applyNumberFormat="1" applyFont="1" applyBorder="1"/>
    <xf numFmtId="165" fontId="0" fillId="0" borderId="25" xfId="47" applyNumberFormat="1" applyFont="1" applyFill="1" applyBorder="1"/>
    <xf numFmtId="164" fontId="0" fillId="0" borderId="0" xfId="47" applyFont="1" applyFill="1" applyBorder="1"/>
    <xf numFmtId="164" fontId="0" fillId="0" borderId="0" xfId="47" applyFont="1" applyBorder="1"/>
    <xf numFmtId="164" fontId="0" fillId="0" borderId="25" xfId="47" applyFont="1" applyFill="1" applyBorder="1"/>
    <xf numFmtId="165" fontId="0" fillId="0" borderId="25" xfId="47" applyNumberFormat="1" applyFont="1" applyBorder="1"/>
    <xf numFmtId="164" fontId="0" fillId="0" borderId="25" xfId="47" applyFont="1" applyBorder="1"/>
    <xf numFmtId="17" fontId="39" fillId="0" borderId="26" xfId="0" applyNumberFormat="1" applyFont="1" applyBorder="1"/>
    <xf numFmtId="0" fontId="0" fillId="0" borderId="27" xfId="0" applyBorder="1"/>
    <xf numFmtId="165" fontId="0" fillId="0" borderId="28" xfId="47" applyNumberFormat="1" applyFont="1" applyBorder="1"/>
    <xf numFmtId="10" fontId="0" fillId="0" borderId="10" xfId="48" applyNumberFormat="1" applyFont="1" applyBorder="1"/>
    <xf numFmtId="174" fontId="0" fillId="0" borderId="11" xfId="50" applyNumberFormat="1" applyFont="1" applyBorder="1"/>
    <xf numFmtId="174" fontId="0" fillId="0" borderId="10" xfId="50" applyNumberFormat="1" applyFont="1" applyBorder="1"/>
    <xf numFmtId="175" fontId="0" fillId="0" borderId="11" xfId="48" applyNumberFormat="1" applyFont="1" applyBorder="1"/>
    <xf numFmtId="165" fontId="0" fillId="0" borderId="10" xfId="47" applyNumberFormat="1" applyFont="1" applyBorder="1"/>
    <xf numFmtId="165" fontId="0" fillId="0" borderId="11" xfId="47" applyNumberFormat="1" applyFont="1" applyBorder="1"/>
    <xf numFmtId="164" fontId="0" fillId="0" borderId="10" xfId="47" applyFont="1" applyBorder="1"/>
    <xf numFmtId="164" fontId="0" fillId="0" borderId="11" xfId="47" applyFont="1" applyBorder="1"/>
    <xf numFmtId="165" fontId="0" fillId="0" borderId="26" xfId="47" applyNumberFormat="1" applyFont="1" applyBorder="1"/>
    <xf numFmtId="165" fontId="0" fillId="0" borderId="27" xfId="47" applyNumberFormat="1" applyFont="1" applyBorder="1"/>
    <xf numFmtId="164" fontId="0" fillId="0" borderId="26" xfId="47" applyFont="1" applyBorder="1"/>
    <xf numFmtId="164" fontId="0" fillId="0" borderId="27" xfId="47" applyFont="1" applyBorder="1"/>
    <xf numFmtId="165" fontId="0" fillId="0" borderId="27" xfId="47" applyNumberFormat="1" applyFont="1" applyFill="1" applyBorder="1"/>
    <xf numFmtId="164" fontId="0" fillId="0" borderId="10" xfId="47" applyFont="1" applyFill="1" applyBorder="1"/>
    <xf numFmtId="164" fontId="0" fillId="0" borderId="29" xfId="47" applyFont="1" applyBorder="1"/>
    <xf numFmtId="0" fontId="0" fillId="0" borderId="22" xfId="0" applyBorder="1"/>
    <xf numFmtId="17" fontId="39" fillId="0" borderId="0" xfId="0" applyNumberFormat="1" applyFont="1"/>
    <xf numFmtId="164" fontId="0" fillId="0" borderId="23" xfId="47" applyFont="1" applyBorder="1"/>
    <xf numFmtId="0" fontId="0" fillId="0" borderId="24" xfId="0" applyBorder="1"/>
    <xf numFmtId="0" fontId="0" fillId="0" borderId="25" xfId="0" applyBorder="1"/>
    <xf numFmtId="0" fontId="38" fillId="24" borderId="31" xfId="0" applyFont="1" applyFill="1" applyBorder="1" applyAlignment="1">
      <alignment horizontal="center" vertical="center" wrapText="1"/>
    </xf>
    <xf numFmtId="0" fontId="38" fillId="24" borderId="32" xfId="0" applyFont="1" applyFill="1" applyBorder="1" applyAlignment="1">
      <alignment horizontal="center" vertical="center" wrapText="1"/>
    </xf>
    <xf numFmtId="0" fontId="37" fillId="0" borderId="18" xfId="0" applyFont="1" applyBorder="1" applyAlignment="1">
      <alignment vertical="center"/>
    </xf>
    <xf numFmtId="0" fontId="39" fillId="23" borderId="33" xfId="0" applyFont="1" applyFill="1" applyBorder="1" applyAlignment="1">
      <alignment vertical="top" wrapText="1"/>
    </xf>
    <xf numFmtId="0" fontId="39" fillId="23" borderId="0" xfId="0" applyFont="1" applyFill="1" applyAlignment="1">
      <alignment vertical="top" wrapText="1"/>
    </xf>
    <xf numFmtId="172" fontId="39" fillId="23" borderId="0" xfId="47" applyNumberFormat="1" applyFont="1" applyFill="1" applyBorder="1" applyAlignment="1">
      <alignment vertical="top" wrapText="1"/>
    </xf>
    <xf numFmtId="172" fontId="39" fillId="23" borderId="0" xfId="47" applyNumberFormat="1" applyFont="1" applyFill="1" applyBorder="1" applyAlignment="1">
      <alignment wrapText="1"/>
    </xf>
    <xf numFmtId="44" fontId="39" fillId="23" borderId="0" xfId="50" applyFont="1" applyFill="1" applyBorder="1" applyAlignment="1">
      <alignment vertical="top" wrapText="1"/>
    </xf>
    <xf numFmtId="0" fontId="39" fillId="23" borderId="25" xfId="0" applyFont="1" applyFill="1" applyBorder="1" applyAlignment="1">
      <alignment vertical="top" wrapText="1"/>
    </xf>
    <xf numFmtId="0" fontId="39" fillId="23" borderId="22" xfId="0" applyFont="1" applyFill="1" applyBorder="1" applyAlignment="1">
      <alignment vertical="top" wrapText="1"/>
    </xf>
    <xf numFmtId="0" fontId="39" fillId="24" borderId="33" xfId="0" applyFont="1" applyFill="1" applyBorder="1" applyAlignment="1">
      <alignment vertical="top" wrapText="1"/>
    </xf>
    <xf numFmtId="165" fontId="39" fillId="24" borderId="0" xfId="47" applyNumberFormat="1" applyFont="1" applyFill="1" applyBorder="1" applyAlignment="1">
      <alignment vertical="top" wrapText="1"/>
    </xf>
    <xf numFmtId="172" fontId="39" fillId="24" borderId="0" xfId="47" applyNumberFormat="1" applyFont="1" applyFill="1" applyBorder="1" applyAlignment="1">
      <alignment vertical="top" wrapText="1"/>
    </xf>
    <xf numFmtId="172" fontId="39" fillId="24" borderId="25" xfId="47" applyNumberFormat="1" applyFont="1" applyFill="1" applyBorder="1" applyAlignment="1">
      <alignment vertical="top" wrapText="1"/>
    </xf>
    <xf numFmtId="0" fontId="39" fillId="24" borderId="22" xfId="0" applyFont="1" applyFill="1" applyBorder="1" applyAlignment="1">
      <alignment vertical="top" wrapText="1"/>
    </xf>
    <xf numFmtId="0" fontId="39" fillId="24" borderId="0" xfId="0" applyFont="1" applyFill="1" applyAlignment="1">
      <alignment vertical="top" wrapText="1"/>
    </xf>
    <xf numFmtId="0" fontId="39" fillId="25" borderId="24" xfId="0" applyFont="1" applyFill="1" applyBorder="1" applyAlignment="1">
      <alignment vertical="top" wrapText="1"/>
    </xf>
    <xf numFmtId="0" fontId="39" fillId="25" borderId="0" xfId="0" applyFont="1" applyFill="1" applyAlignment="1">
      <alignment vertical="top" wrapText="1"/>
    </xf>
    <xf numFmtId="172" fontId="39" fillId="25" borderId="0" xfId="47" applyNumberFormat="1" applyFont="1" applyFill="1" applyBorder="1" applyAlignment="1">
      <alignment vertical="top" wrapText="1"/>
    </xf>
    <xf numFmtId="0" fontId="39" fillId="25" borderId="25" xfId="0" applyFont="1" applyFill="1" applyBorder="1" applyAlignment="1">
      <alignment vertical="top" wrapText="1"/>
    </xf>
    <xf numFmtId="0" fontId="39" fillId="25" borderId="34" xfId="0" applyFont="1" applyFill="1" applyBorder="1" applyAlignment="1">
      <alignment vertical="top" wrapText="1"/>
    </xf>
    <xf numFmtId="0" fontId="39" fillId="25" borderId="35" xfId="0" applyFont="1" applyFill="1" applyBorder="1" applyAlignment="1">
      <alignment vertical="top" wrapText="1"/>
    </xf>
    <xf numFmtId="172" fontId="39" fillId="25" borderId="35" xfId="47" applyNumberFormat="1" applyFont="1" applyFill="1" applyBorder="1" applyAlignment="1">
      <alignment vertical="top" wrapText="1"/>
    </xf>
    <xf numFmtId="0" fontId="39" fillId="25" borderId="36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39" fillId="23" borderId="33" xfId="50" applyNumberFormat="1" applyFont="1" applyFill="1" applyBorder="1" applyAlignment="1">
      <alignment horizontal="center"/>
    </xf>
    <xf numFmtId="165" fontId="0" fillId="23" borderId="0" xfId="47" applyNumberFormat="1" applyFont="1" applyFill="1" applyBorder="1"/>
    <xf numFmtId="172" fontId="0" fillId="23" borderId="0" xfId="47" applyNumberFormat="1" applyFont="1" applyFill="1" applyBorder="1"/>
    <xf numFmtId="44" fontId="0" fillId="23" borderId="0" xfId="50" applyFont="1" applyFill="1" applyBorder="1"/>
    <xf numFmtId="44" fontId="0" fillId="23" borderId="25" xfId="50" applyFont="1" applyFill="1" applyBorder="1"/>
    <xf numFmtId="44" fontId="0" fillId="23" borderId="22" xfId="50" applyFont="1" applyFill="1" applyBorder="1"/>
    <xf numFmtId="44" fontId="39" fillId="23" borderId="0" xfId="50" applyFont="1" applyFill="1" applyBorder="1"/>
    <xf numFmtId="44" fontId="39" fillId="23" borderId="25" xfId="50" applyFont="1" applyFill="1" applyBorder="1"/>
    <xf numFmtId="44" fontId="39" fillId="24" borderId="33" xfId="50" applyFont="1" applyFill="1" applyBorder="1"/>
    <xf numFmtId="165" fontId="39" fillId="24" borderId="0" xfId="47" applyNumberFormat="1" applyFont="1" applyFill="1" applyBorder="1"/>
    <xf numFmtId="172" fontId="39" fillId="24" borderId="0" xfId="47" applyNumberFormat="1" applyFont="1" applyFill="1" applyBorder="1"/>
    <xf numFmtId="44" fontId="39" fillId="24" borderId="25" xfId="50" applyFont="1" applyFill="1" applyBorder="1"/>
    <xf numFmtId="44" fontId="39" fillId="24" borderId="22" xfId="50" applyFont="1" applyFill="1" applyBorder="1"/>
    <xf numFmtId="44" fontId="39" fillId="24" borderId="0" xfId="50" applyFont="1" applyFill="1" applyBorder="1"/>
    <xf numFmtId="0" fontId="39" fillId="25" borderId="24" xfId="50" applyNumberFormat="1" applyFont="1" applyFill="1" applyBorder="1"/>
    <xf numFmtId="44" fontId="39" fillId="25" borderId="0" xfId="50" applyFont="1" applyFill="1" applyBorder="1"/>
    <xf numFmtId="172" fontId="39" fillId="25" borderId="0" xfId="47" applyNumberFormat="1" applyFont="1" applyFill="1" applyBorder="1"/>
    <xf numFmtId="172" fontId="39" fillId="25" borderId="25" xfId="47" applyNumberFormat="1" applyFont="1" applyFill="1" applyBorder="1"/>
    <xf numFmtId="44" fontId="39" fillId="25" borderId="25" xfId="50" applyFont="1" applyFill="1" applyBorder="1"/>
    <xf numFmtId="0" fontId="39" fillId="23" borderId="37" xfId="50" applyNumberFormat="1" applyFont="1" applyFill="1" applyBorder="1" applyAlignment="1">
      <alignment horizontal="center"/>
    </xf>
    <xf numFmtId="165" fontId="0" fillId="23" borderId="10" xfId="47" applyNumberFormat="1" applyFont="1" applyFill="1" applyBorder="1"/>
    <xf numFmtId="172" fontId="0" fillId="23" borderId="10" xfId="47" applyNumberFormat="1" applyFont="1" applyFill="1" applyBorder="1"/>
    <xf numFmtId="44" fontId="0" fillId="23" borderId="10" xfId="50" applyFont="1" applyFill="1" applyBorder="1"/>
    <xf numFmtId="44" fontId="0" fillId="23" borderId="11" xfId="50" applyFont="1" applyFill="1" applyBorder="1"/>
    <xf numFmtId="44" fontId="0" fillId="23" borderId="26" xfId="50" applyFont="1" applyFill="1" applyBorder="1"/>
    <xf numFmtId="44" fontId="39" fillId="23" borderId="10" xfId="50" applyFont="1" applyFill="1" applyBorder="1"/>
    <xf numFmtId="44" fontId="39" fillId="23" borderId="11" xfId="50" applyFont="1" applyFill="1" applyBorder="1"/>
    <xf numFmtId="44" fontId="39" fillId="24" borderId="37" xfId="50" applyFont="1" applyFill="1" applyBorder="1"/>
    <xf numFmtId="165" fontId="39" fillId="24" borderId="10" xfId="47" applyNumberFormat="1" applyFont="1" applyFill="1" applyBorder="1"/>
    <xf numFmtId="172" fontId="39" fillId="24" borderId="10" xfId="47" applyNumberFormat="1" applyFont="1" applyFill="1" applyBorder="1"/>
    <xf numFmtId="44" fontId="39" fillId="24" borderId="11" xfId="50" applyFont="1" applyFill="1" applyBorder="1"/>
    <xf numFmtId="44" fontId="39" fillId="24" borderId="26" xfId="50" applyFont="1" applyFill="1" applyBorder="1"/>
    <xf numFmtId="44" fontId="39" fillId="24" borderId="38" xfId="50" applyFont="1" applyFill="1" applyBorder="1"/>
    <xf numFmtId="0" fontId="39" fillId="25" borderId="28" xfId="50" applyNumberFormat="1" applyFont="1" applyFill="1" applyBorder="1"/>
    <xf numFmtId="44" fontId="39" fillId="25" borderId="10" xfId="50" applyFont="1" applyFill="1" applyBorder="1"/>
    <xf numFmtId="172" fontId="39" fillId="25" borderId="10" xfId="47" applyNumberFormat="1" applyFont="1" applyFill="1" applyBorder="1"/>
    <xf numFmtId="172" fontId="39" fillId="25" borderId="11" xfId="47" applyNumberFormat="1" applyFont="1" applyFill="1" applyBorder="1"/>
    <xf numFmtId="44" fontId="39" fillId="25" borderId="11" xfId="50" applyFont="1" applyFill="1" applyBorder="1"/>
    <xf numFmtId="0" fontId="0" fillId="0" borderId="10" xfId="0" applyBorder="1"/>
    <xf numFmtId="0" fontId="39" fillId="22" borderId="30" xfId="0" applyFont="1" applyFill="1" applyBorder="1" applyAlignment="1">
      <alignment vertical="top" textRotation="180"/>
    </xf>
    <xf numFmtId="0" fontId="0" fillId="23" borderId="30" xfId="0" applyFill="1" applyBorder="1"/>
    <xf numFmtId="0" fontId="0" fillId="24" borderId="30" xfId="0" applyFill="1" applyBorder="1"/>
    <xf numFmtId="0" fontId="39" fillId="25" borderId="30" xfId="0" applyFont="1" applyFill="1" applyBorder="1" applyAlignment="1">
      <alignment vertical="top" textRotation="180"/>
    </xf>
    <xf numFmtId="0" fontId="0" fillId="23" borderId="0" xfId="50" applyNumberFormat="1" applyFont="1" applyFill="1" applyBorder="1"/>
    <xf numFmtId="44" fontId="39" fillId="23" borderId="22" xfId="50" applyFont="1" applyFill="1" applyBorder="1"/>
    <xf numFmtId="44" fontId="39" fillId="24" borderId="33" xfId="50" applyFont="1" applyFill="1" applyBorder="1" applyAlignment="1">
      <alignment horizontal="left"/>
    </xf>
    <xf numFmtId="165" fontId="20" fillId="24" borderId="0" xfId="47" applyNumberFormat="1" applyFont="1" applyFill="1" applyBorder="1"/>
    <xf numFmtId="44" fontId="0" fillId="24" borderId="0" xfId="50" applyFont="1" applyFill="1" applyBorder="1"/>
    <xf numFmtId="44" fontId="20" fillId="24" borderId="25" xfId="50" applyFont="1" applyFill="1" applyBorder="1"/>
    <xf numFmtId="0" fontId="39" fillId="25" borderId="24" xfId="50" quotePrefix="1" applyNumberFormat="1" applyFont="1" applyFill="1" applyBorder="1" applyAlignment="1">
      <alignment horizontal="center"/>
    </xf>
    <xf numFmtId="44" fontId="0" fillId="25" borderId="0" xfId="50" applyFont="1" applyFill="1" applyBorder="1"/>
    <xf numFmtId="0" fontId="39" fillId="25" borderId="0" xfId="47" applyNumberFormat="1" applyFont="1" applyFill="1" applyBorder="1" applyAlignment="1">
      <alignment horizontal="left"/>
    </xf>
    <xf numFmtId="44" fontId="42" fillId="25" borderId="0" xfId="50" applyFont="1" applyFill="1" applyBorder="1"/>
    <xf numFmtId="44" fontId="20" fillId="25" borderId="0" xfId="50" applyFont="1" applyFill="1" applyBorder="1"/>
    <xf numFmtId="44" fontId="0" fillId="23" borderId="0" xfId="50" applyFont="1" applyFill="1"/>
    <xf numFmtId="165" fontId="0" fillId="23" borderId="0" xfId="47" applyNumberFormat="1" applyFont="1" applyFill="1"/>
    <xf numFmtId="165" fontId="42" fillId="23" borderId="0" xfId="0" applyNumberFormat="1" applyFont="1" applyFill="1"/>
    <xf numFmtId="44" fontId="42" fillId="23" borderId="0" xfId="50" applyFont="1" applyFill="1"/>
    <xf numFmtId="173" fontId="39" fillId="23" borderId="0" xfId="0" applyNumberFormat="1" applyFont="1" applyFill="1"/>
    <xf numFmtId="0" fontId="0" fillId="23" borderId="10" xfId="50" applyNumberFormat="1" applyFont="1" applyFill="1" applyBorder="1"/>
    <xf numFmtId="44" fontId="39" fillId="23" borderId="26" xfId="50" applyFont="1" applyFill="1" applyBorder="1"/>
    <xf numFmtId="165" fontId="42" fillId="23" borderId="10" xfId="0" applyNumberFormat="1" applyFont="1" applyFill="1" applyBorder="1"/>
    <xf numFmtId="44" fontId="42" fillId="23" borderId="10" xfId="50" applyFont="1" applyFill="1" applyBorder="1"/>
    <xf numFmtId="173" fontId="39" fillId="23" borderId="29" xfId="0" applyNumberFormat="1" applyFont="1" applyFill="1" applyBorder="1"/>
    <xf numFmtId="44" fontId="39" fillId="24" borderId="37" xfId="50" applyFont="1" applyFill="1" applyBorder="1" applyAlignment="1">
      <alignment horizontal="left"/>
    </xf>
    <xf numFmtId="165" fontId="20" fillId="24" borderId="10" xfId="47" applyNumberFormat="1" applyFont="1" applyFill="1" applyBorder="1"/>
    <xf numFmtId="44" fontId="0" fillId="24" borderId="10" xfId="50" applyFont="1" applyFill="1" applyBorder="1"/>
    <xf numFmtId="44" fontId="20" fillId="24" borderId="11" xfId="50" applyFont="1" applyFill="1" applyBorder="1"/>
    <xf numFmtId="0" fontId="39" fillId="25" borderId="28" xfId="50" quotePrefix="1" applyNumberFormat="1" applyFont="1" applyFill="1" applyBorder="1" applyAlignment="1">
      <alignment horizontal="center"/>
    </xf>
    <xf numFmtId="44" fontId="20" fillId="25" borderId="10" xfId="50" applyFont="1" applyFill="1" applyBorder="1"/>
    <xf numFmtId="44" fontId="0" fillId="25" borderId="10" xfId="50" applyFont="1" applyFill="1" applyBorder="1"/>
    <xf numFmtId="0" fontId="39" fillId="25" borderId="27" xfId="47" applyNumberFormat="1" applyFont="1" applyFill="1" applyBorder="1" applyAlignment="1">
      <alignment horizontal="left"/>
    </xf>
    <xf numFmtId="44" fontId="42" fillId="25" borderId="10" xfId="50" applyFont="1" applyFill="1" applyBorder="1"/>
    <xf numFmtId="44" fontId="39" fillId="25" borderId="29" xfId="50" applyFont="1" applyFill="1" applyBorder="1"/>
    <xf numFmtId="177" fontId="0" fillId="0" borderId="0" xfId="0" applyNumberFormat="1"/>
    <xf numFmtId="164" fontId="0" fillId="0" borderId="0" xfId="0" applyNumberFormat="1"/>
    <xf numFmtId="44" fontId="39" fillId="24" borderId="33" xfId="50" quotePrefix="1" applyFont="1" applyFill="1" applyBorder="1" applyAlignment="1">
      <alignment horizontal="left"/>
    </xf>
    <xf numFmtId="44" fontId="39" fillId="24" borderId="37" xfId="50" quotePrefix="1" applyFont="1" applyFill="1" applyBorder="1" applyAlignment="1">
      <alignment horizontal="left"/>
    </xf>
    <xf numFmtId="165" fontId="20" fillId="24" borderId="27" xfId="47" applyNumberFormat="1" applyFont="1" applyFill="1" applyBorder="1"/>
    <xf numFmtId="44" fontId="39" fillId="24" borderId="29" xfId="50" applyFont="1" applyFill="1" applyBorder="1"/>
    <xf numFmtId="0" fontId="0" fillId="23" borderId="0" xfId="0" applyFill="1"/>
    <xf numFmtId="0" fontId="39" fillId="24" borderId="33" xfId="50" quotePrefix="1" applyNumberFormat="1" applyFont="1" applyFill="1" applyBorder="1" applyAlignment="1">
      <alignment horizontal="left"/>
    </xf>
    <xf numFmtId="165" fontId="0" fillId="23" borderId="0" xfId="50" applyNumberFormat="1" applyFont="1" applyFill="1" applyBorder="1"/>
    <xf numFmtId="0" fontId="0" fillId="22" borderId="30" xfId="0" applyFill="1" applyBorder="1"/>
    <xf numFmtId="0" fontId="39" fillId="23" borderId="33" xfId="0" applyFont="1" applyFill="1" applyBorder="1" applyAlignment="1">
      <alignment horizontal="center"/>
    </xf>
    <xf numFmtId="0" fontId="0" fillId="25" borderId="30" xfId="0" applyFill="1" applyBorder="1"/>
    <xf numFmtId="165" fontId="0" fillId="23" borderId="0" xfId="0" applyNumberFormat="1" applyFill="1"/>
    <xf numFmtId="173" fontId="39" fillId="23" borderId="25" xfId="0" applyNumberFormat="1" applyFont="1" applyFill="1" applyBorder="1"/>
    <xf numFmtId="173" fontId="39" fillId="23" borderId="22" xfId="0" applyNumberFormat="1" applyFont="1" applyFill="1" applyBorder="1"/>
    <xf numFmtId="0" fontId="39" fillId="24" borderId="33" xfId="0" applyFont="1" applyFill="1" applyBorder="1"/>
    <xf numFmtId="165" fontId="42" fillId="24" borderId="0" xfId="47" applyNumberFormat="1" applyFont="1" applyFill="1" applyBorder="1"/>
    <xf numFmtId="44" fontId="39" fillId="24" borderId="0" xfId="50" applyFont="1" applyFill="1"/>
    <xf numFmtId="44" fontId="43" fillId="24" borderId="0" xfId="50" applyFont="1" applyFill="1"/>
    <xf numFmtId="44" fontId="39" fillId="24" borderId="0" xfId="0" applyNumberFormat="1" applyFont="1" applyFill="1"/>
    <xf numFmtId="165" fontId="0" fillId="24" borderId="0" xfId="47" applyNumberFormat="1" applyFont="1" applyFill="1" applyBorder="1"/>
    <xf numFmtId="44" fontId="44" fillId="23" borderId="0" xfId="50" applyFont="1" applyFill="1"/>
    <xf numFmtId="0" fontId="39" fillId="25" borderId="0" xfId="0" applyFont="1" applyFill="1"/>
    <xf numFmtId="0" fontId="0" fillId="23" borderId="25" xfId="0" applyFill="1" applyBorder="1"/>
    <xf numFmtId="0" fontId="0" fillId="23" borderId="22" xfId="0" applyFill="1" applyBorder="1"/>
    <xf numFmtId="0" fontId="0" fillId="23" borderId="33" xfId="0" applyFill="1" applyBorder="1"/>
    <xf numFmtId="172" fontId="0" fillId="24" borderId="0" xfId="47" applyNumberFormat="1" applyFont="1" applyFill="1" applyBorder="1"/>
    <xf numFmtId="0" fontId="0" fillId="24" borderId="25" xfId="0" applyFill="1" applyBorder="1"/>
    <xf numFmtId="0" fontId="0" fillId="24" borderId="22" xfId="0" applyFill="1" applyBorder="1"/>
    <xf numFmtId="0" fontId="0" fillId="25" borderId="24" xfId="0" applyFill="1" applyBorder="1"/>
    <xf numFmtId="0" fontId="0" fillId="25" borderId="0" xfId="0" applyFill="1"/>
    <xf numFmtId="172" fontId="0" fillId="25" borderId="0" xfId="47" applyNumberFormat="1" applyFont="1" applyFill="1" applyBorder="1"/>
    <xf numFmtId="172" fontId="0" fillId="25" borderId="25" xfId="47" applyNumberFormat="1" applyFont="1" applyFill="1" applyBorder="1"/>
    <xf numFmtId="0" fontId="0" fillId="25" borderId="25" xfId="0" applyFill="1" applyBorder="1"/>
    <xf numFmtId="0" fontId="39" fillId="24" borderId="0" xfId="0" applyFont="1" applyFill="1"/>
    <xf numFmtId="0" fontId="46" fillId="0" borderId="0" xfId="0" applyFont="1" applyAlignment="1">
      <alignment horizontal="center" vertical="center"/>
    </xf>
    <xf numFmtId="0" fontId="39" fillId="0" borderId="0" xfId="0" applyFont="1"/>
    <xf numFmtId="0" fontId="41" fillId="0" borderId="0" xfId="0" applyFont="1"/>
    <xf numFmtId="0" fontId="41" fillId="0" borderId="39" xfId="0" applyFont="1" applyBorder="1" applyAlignment="1">
      <alignment vertical="center"/>
    </xf>
    <xf numFmtId="0" fontId="39" fillId="0" borderId="39" xfId="0" applyFont="1" applyBorder="1" applyAlignment="1">
      <alignment vertical="top" wrapText="1"/>
    </xf>
    <xf numFmtId="17" fontId="39" fillId="0" borderId="39" xfId="0" applyNumberFormat="1" applyFont="1" applyBorder="1" applyAlignment="1">
      <alignment horizontal="center"/>
    </xf>
    <xf numFmtId="172" fontId="39" fillId="0" borderId="22" xfId="47" applyNumberFormat="1" applyFont="1" applyFill="1" applyBorder="1" applyAlignment="1">
      <alignment vertical="top" wrapText="1"/>
    </xf>
    <xf numFmtId="44" fontId="0" fillId="0" borderId="22" xfId="50" applyFont="1" applyFill="1" applyBorder="1"/>
    <xf numFmtId="44" fontId="42" fillId="0" borderId="22" xfId="50" applyFont="1" applyFill="1" applyBorder="1"/>
    <xf numFmtId="0" fontId="39" fillId="0" borderId="26" xfId="0" applyFont="1" applyBorder="1" applyAlignment="1">
      <alignment vertical="top" wrapText="1"/>
    </xf>
    <xf numFmtId="44" fontId="39" fillId="0" borderId="26" xfId="50" applyFont="1" applyFill="1" applyBorder="1"/>
    <xf numFmtId="9" fontId="0" fillId="0" borderId="41" xfId="48" applyFont="1" applyFill="1" applyBorder="1"/>
    <xf numFmtId="0" fontId="46" fillId="0" borderId="0" xfId="0" applyFont="1" applyAlignment="1">
      <alignment vertical="center"/>
    </xf>
    <xf numFmtId="44" fontId="0" fillId="0" borderId="0" xfId="0" applyNumberFormat="1"/>
    <xf numFmtId="0" fontId="0" fillId="0" borderId="40" xfId="0" applyBorder="1"/>
    <xf numFmtId="9" fontId="0" fillId="0" borderId="11" xfId="0" applyNumberFormat="1" applyBorder="1"/>
    <xf numFmtId="0" fontId="39" fillId="0" borderId="39" xfId="50" quotePrefix="1" applyNumberFormat="1" applyFont="1" applyFill="1" applyBorder="1" applyAlignment="1">
      <alignment horizontal="center"/>
    </xf>
    <xf numFmtId="0" fontId="39" fillId="0" borderId="39" xfId="0" applyFont="1" applyBorder="1"/>
    <xf numFmtId="0" fontId="48" fillId="0" borderId="0" xfId="0" applyFont="1"/>
    <xf numFmtId="165" fontId="0" fillId="0" borderId="41" xfId="47" applyNumberFormat="1" applyFont="1" applyBorder="1"/>
    <xf numFmtId="164" fontId="0" fillId="0" borderId="41" xfId="47" applyFont="1" applyBorder="1"/>
    <xf numFmtId="164" fontId="0" fillId="0" borderId="40" xfId="47" applyFont="1" applyBorder="1"/>
    <xf numFmtId="44" fontId="0" fillId="23" borderId="40" xfId="50" applyFont="1" applyFill="1" applyBorder="1"/>
    <xf numFmtId="0" fontId="49" fillId="27" borderId="0" xfId="0" applyFont="1" applyFill="1"/>
    <xf numFmtId="166" fontId="0" fillId="22" borderId="0" xfId="47" applyNumberFormat="1" applyFont="1" applyFill="1"/>
    <xf numFmtId="166" fontId="50" fillId="22" borderId="0" xfId="47" applyNumberFormat="1" applyFont="1" applyFill="1" applyAlignment="1">
      <alignment horizontal="centerContinuous" vertical="center"/>
    </xf>
    <xf numFmtId="166" fontId="0" fillId="22" borderId="0" xfId="47" applyNumberFormat="1" applyFont="1" applyFill="1" applyAlignment="1">
      <alignment horizontal="centerContinuous"/>
    </xf>
    <xf numFmtId="166" fontId="0" fillId="22" borderId="0" xfId="47" applyNumberFormat="1" applyFont="1" applyFill="1" applyAlignment="1">
      <alignment horizontal="centerContinuous" vertical="center"/>
    </xf>
    <xf numFmtId="166" fontId="32" fillId="22" borderId="0" xfId="47" applyNumberFormat="1" applyFont="1" applyFill="1" applyAlignment="1">
      <alignment horizontal="centerContinuous" vertical="center"/>
    </xf>
    <xf numFmtId="166" fontId="0" fillId="22" borderId="0" xfId="47" applyNumberFormat="1" applyFont="1" applyFill="1" applyAlignment="1">
      <alignment horizontal="center" vertical="center"/>
    </xf>
    <xf numFmtId="166" fontId="0" fillId="22" borderId="10" xfId="47" applyNumberFormat="1" applyFont="1" applyFill="1" applyBorder="1" applyAlignment="1">
      <alignment horizontal="center" vertical="center" wrapText="1"/>
    </xf>
    <xf numFmtId="0" fontId="0" fillId="22" borderId="10" xfId="47" applyNumberFormat="1" applyFont="1" applyFill="1" applyBorder="1" applyAlignment="1">
      <alignment horizontal="center" vertical="center" wrapText="1"/>
    </xf>
    <xf numFmtId="166" fontId="0" fillId="22" borderId="0" xfId="47" applyNumberFormat="1" applyFont="1" applyFill="1" applyAlignment="1">
      <alignment horizontal="left"/>
    </xf>
    <xf numFmtId="166" fontId="0" fillId="22" borderId="0" xfId="47" applyNumberFormat="1" applyFont="1" applyFill="1" applyAlignment="1">
      <alignment horizontal="right"/>
    </xf>
    <xf numFmtId="166" fontId="32" fillId="22" borderId="0" xfId="47" applyNumberFormat="1" applyFont="1" applyFill="1" applyAlignment="1">
      <alignment horizontal="left"/>
    </xf>
    <xf numFmtId="166" fontId="0" fillId="22" borderId="40" xfId="47" applyNumberFormat="1" applyFont="1" applyFill="1" applyBorder="1" applyAlignment="1">
      <alignment horizontal="right"/>
    </xf>
    <xf numFmtId="166" fontId="0" fillId="22" borderId="42" xfId="47" applyNumberFormat="1" applyFont="1" applyFill="1" applyBorder="1"/>
    <xf numFmtId="166" fontId="0" fillId="0" borderId="0" xfId="47" applyNumberFormat="1" applyFont="1" applyFill="1"/>
    <xf numFmtId="166" fontId="50" fillId="0" borderId="0" xfId="47" applyNumberFormat="1" applyFont="1" applyFill="1" applyAlignment="1">
      <alignment horizontal="centerContinuous" vertical="center"/>
    </xf>
    <xf numFmtId="166" fontId="0" fillId="0" borderId="0" xfId="47" applyNumberFormat="1" applyFont="1" applyFill="1" applyAlignment="1">
      <alignment horizontal="centerContinuous"/>
    </xf>
    <xf numFmtId="166" fontId="0" fillId="0" borderId="0" xfId="47" applyNumberFormat="1" applyFont="1" applyFill="1" applyAlignment="1">
      <alignment horizontal="centerContinuous" vertical="center"/>
    </xf>
    <xf numFmtId="166" fontId="32" fillId="0" borderId="0" xfId="47" applyNumberFormat="1" applyFont="1" applyFill="1" applyAlignment="1">
      <alignment horizontal="centerContinuous" vertical="center"/>
    </xf>
    <xf numFmtId="0" fontId="27" fillId="0" borderId="0" xfId="52">
      <alignment horizontal="center"/>
    </xf>
    <xf numFmtId="166" fontId="51" fillId="0" borderId="0" xfId="47" applyNumberFormat="1" applyFont="1"/>
    <xf numFmtId="0" fontId="51" fillId="0" borderId="0" xfId="0" applyFont="1"/>
    <xf numFmtId="166" fontId="0" fillId="0" borderId="0" xfId="47" applyNumberFormat="1" applyFont="1" applyFill="1" applyAlignment="1">
      <alignment horizontal="center" vertical="center"/>
    </xf>
    <xf numFmtId="166" fontId="0" fillId="0" borderId="10" xfId="47" applyNumberFormat="1" applyFont="1" applyFill="1" applyBorder="1" applyAlignment="1">
      <alignment horizontal="center" vertical="center" wrapText="1"/>
    </xf>
    <xf numFmtId="0" fontId="0" fillId="0" borderId="10" xfId="47" applyNumberFormat="1" applyFont="1" applyFill="1" applyBorder="1" applyAlignment="1">
      <alignment horizontal="center" vertical="center" wrapText="1"/>
    </xf>
    <xf numFmtId="166" fontId="0" fillId="0" borderId="0" xfId="47" applyNumberFormat="1" applyFont="1" applyFill="1" applyAlignment="1">
      <alignment horizontal="left"/>
    </xf>
    <xf numFmtId="166" fontId="0" fillId="0" borderId="0" xfId="47" applyNumberFormat="1" applyFont="1" applyFill="1" applyAlignment="1">
      <alignment horizontal="right"/>
    </xf>
    <xf numFmtId="166" fontId="32" fillId="0" borderId="0" xfId="47" applyNumberFormat="1" applyFont="1" applyFill="1" applyAlignment="1">
      <alignment horizontal="left"/>
    </xf>
    <xf numFmtId="166" fontId="0" fillId="26" borderId="13" xfId="47" applyNumberFormat="1" applyFont="1" applyFill="1" applyBorder="1" applyAlignment="1">
      <alignment horizontal="right"/>
    </xf>
    <xf numFmtId="166" fontId="42" fillId="28" borderId="13" xfId="47" applyNumberFormat="1" applyFont="1" applyFill="1" applyBorder="1" applyAlignment="1">
      <alignment horizontal="right"/>
    </xf>
    <xf numFmtId="166" fontId="0" fillId="0" borderId="40" xfId="47" applyNumberFormat="1" applyFont="1" applyFill="1" applyBorder="1" applyAlignment="1">
      <alignment horizontal="right"/>
    </xf>
    <xf numFmtId="166" fontId="0" fillId="0" borderId="42" xfId="47" applyNumberFormat="1" applyFont="1" applyFill="1" applyBorder="1"/>
    <xf numFmtId="10" fontId="51" fillId="0" borderId="0" xfId="48" applyNumberFormat="1" applyFont="1"/>
    <xf numFmtId="166" fontId="0" fillId="0" borderId="0" xfId="0" applyNumberFormat="1"/>
    <xf numFmtId="166" fontId="35" fillId="0" borderId="0" xfId="64" applyNumberFormat="1"/>
    <xf numFmtId="166" fontId="0" fillId="0" borderId="0" xfId="47" applyNumberFormat="1" applyFont="1"/>
    <xf numFmtId="0" fontId="0" fillId="0" borderId="0" xfId="0" applyAlignment="1">
      <alignment horizontal="center"/>
    </xf>
    <xf numFmtId="0" fontId="39" fillId="0" borderId="22" xfId="0" applyFont="1" applyBorder="1"/>
    <xf numFmtId="5" fontId="0" fillId="0" borderId="0" xfId="0" applyNumberFormat="1" applyAlignment="1">
      <alignment horizontal="center"/>
    </xf>
    <xf numFmtId="0" fontId="39" fillId="0" borderId="26" xfId="0" applyFont="1" applyBorder="1"/>
    <xf numFmtId="5" fontId="0" fillId="0" borderId="22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10" fontId="0" fillId="0" borderId="22" xfId="0" applyNumberFormat="1" applyBorder="1" applyAlignment="1">
      <alignment horizontal="center"/>
    </xf>
    <xf numFmtId="0" fontId="39" fillId="0" borderId="26" xfId="0" applyFont="1" applyBorder="1" applyAlignment="1">
      <alignment horizontal="center"/>
    </xf>
    <xf numFmtId="5" fontId="39" fillId="0" borderId="22" xfId="0" applyNumberFormat="1" applyFont="1" applyBorder="1" applyAlignment="1">
      <alignment horizontal="center"/>
    </xf>
    <xf numFmtId="0" fontId="43" fillId="0" borderId="22" xfId="0" applyFont="1" applyBorder="1"/>
    <xf numFmtId="0" fontId="21" fillId="0" borderId="13" xfId="0" applyFont="1" applyBorder="1" applyAlignment="1">
      <alignment horizontal="left"/>
    </xf>
    <xf numFmtId="0" fontId="21" fillId="0" borderId="13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37" fontId="22" fillId="0" borderId="13" xfId="0" applyNumberFormat="1" applyFont="1" applyBorder="1" applyAlignment="1">
      <alignment horizontal="center"/>
    </xf>
    <xf numFmtId="37" fontId="22" fillId="0" borderId="13" xfId="47" applyNumberFormat="1" applyFont="1" applyBorder="1" applyAlignment="1">
      <alignment horizontal="center"/>
    </xf>
    <xf numFmtId="9" fontId="22" fillId="0" borderId="13" xfId="48" applyFont="1" applyBorder="1" applyAlignment="1">
      <alignment horizontal="center"/>
    </xf>
    <xf numFmtId="0" fontId="52" fillId="0" borderId="0" xfId="0" applyFont="1"/>
    <xf numFmtId="0" fontId="2" fillId="0" borderId="0" xfId="0" applyFont="1"/>
    <xf numFmtId="0" fontId="21" fillId="0" borderId="43" xfId="0" applyFont="1" applyBorder="1" applyAlignment="1">
      <alignment horizontal="center"/>
    </xf>
    <xf numFmtId="9" fontId="0" fillId="0" borderId="13" xfId="48" applyFont="1" applyBorder="1" applyAlignment="1">
      <alignment horizontal="center"/>
    </xf>
    <xf numFmtId="9" fontId="0" fillId="0" borderId="13" xfId="0" applyNumberFormat="1" applyBorder="1" applyAlignment="1">
      <alignment horizontal="center"/>
    </xf>
    <xf numFmtId="5" fontId="0" fillId="0" borderId="0" xfId="0" applyNumberFormat="1"/>
    <xf numFmtId="5" fontId="39" fillId="0" borderId="26" xfId="0" applyNumberFormat="1" applyFont="1" applyBorder="1" applyAlignment="1">
      <alignment horizontal="center"/>
    </xf>
    <xf numFmtId="5" fontId="53" fillId="0" borderId="26" xfId="0" applyNumberFormat="1" applyFont="1" applyBorder="1" applyAlignment="1">
      <alignment horizontal="center"/>
    </xf>
    <xf numFmtId="5" fontId="39" fillId="0" borderId="0" xfId="0" applyNumberFormat="1" applyFont="1"/>
    <xf numFmtId="166" fontId="0" fillId="18" borderId="42" xfId="47" applyNumberFormat="1" applyFont="1" applyFill="1" applyBorder="1"/>
    <xf numFmtId="3" fontId="54" fillId="0" borderId="0" xfId="51" applyNumberFormat="1" applyFont="1" applyBorder="1"/>
    <xf numFmtId="3" fontId="55" fillId="0" borderId="0" xfId="52" applyNumberFormat="1" applyFont="1">
      <alignment horizontal="center"/>
    </xf>
    <xf numFmtId="3" fontId="1" fillId="0" borderId="0" xfId="0" applyNumberFormat="1" applyFont="1"/>
    <xf numFmtId="0" fontId="56" fillId="0" borderId="0" xfId="57" applyFont="1"/>
    <xf numFmtId="3" fontId="29" fillId="29" borderId="44" xfId="54" applyFill="1" applyBorder="1"/>
    <xf numFmtId="3" fontId="1" fillId="30" borderId="45" xfId="60" applyNumberFormat="1" applyFont="1" applyFill="1" applyBorder="1"/>
    <xf numFmtId="3" fontId="35" fillId="0" borderId="0" xfId="61" applyFill="1"/>
    <xf numFmtId="3" fontId="57" fillId="0" borderId="40" xfId="55" applyFont="1" applyBorder="1"/>
    <xf numFmtId="168" fontId="1" fillId="0" borderId="0" xfId="0" applyNumberFormat="1" applyFont="1"/>
    <xf numFmtId="9" fontId="1" fillId="0" borderId="0" xfId="48" applyFont="1" applyFill="1" applyBorder="1" applyProtection="1"/>
    <xf numFmtId="3" fontId="56" fillId="0" borderId="0" xfId="57" applyNumberFormat="1" applyFont="1"/>
    <xf numFmtId="168" fontId="1" fillId="30" borderId="45" xfId="60" applyNumberFormat="1" applyFont="1" applyFill="1" applyBorder="1"/>
    <xf numFmtId="3" fontId="1" fillId="31" borderId="0" xfId="0" applyNumberFormat="1" applyFont="1" applyFill="1"/>
    <xf numFmtId="3" fontId="58" fillId="31" borderId="0" xfId="0" applyNumberFormat="1" applyFont="1" applyFill="1" applyAlignment="1">
      <alignment horizontal="centerContinuous" vertical="center"/>
    </xf>
    <xf numFmtId="3" fontId="1" fillId="31" borderId="0" xfId="0" applyNumberFormat="1" applyFont="1" applyFill="1" applyAlignment="1">
      <alignment horizontal="centerContinuous"/>
    </xf>
    <xf numFmtId="3" fontId="56" fillId="31" borderId="0" xfId="0" applyNumberFormat="1" applyFont="1" applyFill="1" applyAlignment="1">
      <alignment horizontal="centerContinuous"/>
    </xf>
    <xf numFmtId="3" fontId="1" fillId="31" borderId="0" xfId="0" applyNumberFormat="1" applyFont="1" applyFill="1" applyAlignment="1">
      <alignment horizontal="center" vertical="center"/>
    </xf>
    <xf numFmtId="3" fontId="1" fillId="31" borderId="10" xfId="0" applyNumberFormat="1" applyFont="1" applyFill="1" applyBorder="1" applyAlignment="1">
      <alignment horizontal="center" vertical="center" wrapText="1"/>
    </xf>
    <xf numFmtId="3" fontId="1" fillId="31" borderId="0" xfId="0" applyNumberFormat="1" applyFont="1" applyFill="1" applyAlignment="1">
      <alignment horizontal="left"/>
    </xf>
    <xf numFmtId="4" fontId="1" fillId="31" borderId="0" xfId="0" applyNumberFormat="1" applyFont="1" applyFill="1" applyAlignment="1">
      <alignment horizontal="right"/>
    </xf>
    <xf numFmtId="3" fontId="56" fillId="31" borderId="40" xfId="0" applyNumberFormat="1" applyFont="1" applyFill="1" applyBorder="1" applyAlignment="1">
      <alignment horizontal="left"/>
    </xf>
    <xf numFmtId="4" fontId="56" fillId="31" borderId="40" xfId="55" applyNumberFormat="1" applyFont="1" applyFill="1" applyBorder="1"/>
    <xf numFmtId="3" fontId="1" fillId="32" borderId="0" xfId="0" applyNumberFormat="1" applyFont="1" applyFill="1" applyAlignment="1">
      <alignment horizontal="left"/>
    </xf>
    <xf numFmtId="4" fontId="1" fillId="32" borderId="0" xfId="0" applyNumberFormat="1" applyFont="1" applyFill="1" applyAlignment="1">
      <alignment horizontal="right"/>
    </xf>
    <xf numFmtId="179" fontId="22" fillId="0" borderId="13" xfId="47" applyNumberFormat="1" applyFont="1" applyBorder="1" applyAlignment="1">
      <alignment horizontal="center"/>
    </xf>
    <xf numFmtId="0" fontId="39" fillId="0" borderId="10" xfId="0" applyFont="1" applyBorder="1"/>
    <xf numFmtId="164" fontId="0" fillId="0" borderId="0" xfId="47" applyFont="1" applyAlignment="1">
      <alignment horizontal="center"/>
    </xf>
    <xf numFmtId="164" fontId="0" fillId="0" borderId="10" xfId="47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39" fillId="0" borderId="22" xfId="0" applyNumberFormat="1" applyFon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5" fontId="0" fillId="0" borderId="0" xfId="47" applyNumberFormat="1" applyFont="1" applyAlignment="1">
      <alignment horizontal="center"/>
    </xf>
    <xf numFmtId="164" fontId="0" fillId="0" borderId="10" xfId="0" applyNumberFormat="1" applyBorder="1" applyAlignment="1">
      <alignment horizontal="center"/>
    </xf>
    <xf numFmtId="17" fontId="39" fillId="33" borderId="0" xfId="0" applyNumberFormat="1" applyFont="1" applyFill="1"/>
    <xf numFmtId="0" fontId="0" fillId="33" borderId="22" xfId="0" applyFill="1" applyBorder="1"/>
    <xf numFmtId="165" fontId="0" fillId="33" borderId="24" xfId="47" applyNumberFormat="1" applyFont="1" applyFill="1" applyBorder="1"/>
    <xf numFmtId="10" fontId="0" fillId="33" borderId="0" xfId="48" applyNumberFormat="1" applyFont="1" applyFill="1" applyBorder="1"/>
    <xf numFmtId="174" fontId="0" fillId="33" borderId="25" xfId="50" applyNumberFormat="1" applyFont="1" applyFill="1" applyBorder="1"/>
    <xf numFmtId="174" fontId="0" fillId="33" borderId="0" xfId="50" applyNumberFormat="1" applyFont="1" applyFill="1" applyBorder="1"/>
    <xf numFmtId="175" fontId="0" fillId="33" borderId="25" xfId="48" applyNumberFormat="1" applyFont="1" applyFill="1" applyBorder="1"/>
    <xf numFmtId="165" fontId="0" fillId="33" borderId="0" xfId="47" applyNumberFormat="1" applyFont="1" applyFill="1" applyBorder="1"/>
    <xf numFmtId="165" fontId="0" fillId="33" borderId="25" xfId="47" applyNumberFormat="1" applyFont="1" applyFill="1" applyBorder="1"/>
    <xf numFmtId="164" fontId="0" fillId="33" borderId="0" xfId="47" applyFont="1" applyFill="1" applyBorder="1"/>
    <xf numFmtId="164" fontId="0" fillId="33" borderId="25" xfId="47" applyFont="1" applyFill="1" applyBorder="1"/>
    <xf numFmtId="0" fontId="0" fillId="33" borderId="30" xfId="0" applyFill="1" applyBorder="1"/>
    <xf numFmtId="0" fontId="39" fillId="33" borderId="33" xfId="0" applyFont="1" applyFill="1" applyBorder="1" applyAlignment="1">
      <alignment horizontal="center"/>
    </xf>
    <xf numFmtId="165" fontId="0" fillId="33" borderId="0" xfId="0" applyNumberFormat="1" applyFill="1"/>
    <xf numFmtId="172" fontId="0" fillId="33" borderId="0" xfId="47" applyNumberFormat="1" applyFont="1" applyFill="1" applyBorder="1"/>
    <xf numFmtId="44" fontId="0" fillId="33" borderId="0" xfId="50" applyFont="1" applyFill="1" applyBorder="1"/>
    <xf numFmtId="0" fontId="0" fillId="33" borderId="0" xfId="0" applyFill="1"/>
    <xf numFmtId="173" fontId="39" fillId="33" borderId="25" xfId="0" applyNumberFormat="1" applyFont="1" applyFill="1" applyBorder="1"/>
    <xf numFmtId="173" fontId="39" fillId="33" borderId="22" xfId="0" applyNumberFormat="1" applyFont="1" applyFill="1" applyBorder="1"/>
    <xf numFmtId="44" fontId="0" fillId="33" borderId="0" xfId="50" applyFont="1" applyFill="1"/>
    <xf numFmtId="165" fontId="0" fillId="33" borderId="0" xfId="47" applyNumberFormat="1" applyFont="1" applyFill="1"/>
    <xf numFmtId="173" fontId="39" fillId="33" borderId="0" xfId="0" applyNumberFormat="1" applyFont="1" applyFill="1"/>
    <xf numFmtId="0" fontId="39" fillId="33" borderId="33" xfId="0" applyFont="1" applyFill="1" applyBorder="1"/>
    <xf numFmtId="44" fontId="20" fillId="33" borderId="25" xfId="50" applyFont="1" applyFill="1" applyBorder="1"/>
    <xf numFmtId="44" fontId="39" fillId="33" borderId="22" xfId="50" applyFont="1" applyFill="1" applyBorder="1"/>
    <xf numFmtId="44" fontId="39" fillId="33" borderId="0" xfId="0" applyNumberFormat="1" applyFont="1" applyFill="1"/>
    <xf numFmtId="0" fontId="39" fillId="33" borderId="24" xfId="50" quotePrefix="1" applyNumberFormat="1" applyFont="1" applyFill="1" applyBorder="1" applyAlignment="1">
      <alignment horizontal="center"/>
    </xf>
    <xf numFmtId="44" fontId="20" fillId="33" borderId="0" xfId="50" applyFont="1" applyFill="1" applyBorder="1"/>
    <xf numFmtId="44" fontId="39" fillId="33" borderId="25" xfId="50" applyFont="1" applyFill="1" applyBorder="1"/>
    <xf numFmtId="0" fontId="39" fillId="33" borderId="0" xfId="0" applyFont="1" applyFill="1"/>
    <xf numFmtId="44" fontId="42" fillId="33" borderId="0" xfId="50" applyFont="1" applyFill="1" applyBorder="1"/>
    <xf numFmtId="0" fontId="39" fillId="33" borderId="25" xfId="0" applyFont="1" applyFill="1" applyBorder="1"/>
    <xf numFmtId="0" fontId="0" fillId="33" borderId="25" xfId="0" applyFill="1" applyBorder="1"/>
    <xf numFmtId="176" fontId="0" fillId="33" borderId="0" xfId="0" applyNumberFormat="1" applyFill="1"/>
    <xf numFmtId="44" fontId="45" fillId="33" borderId="0" xfId="50" applyFont="1" applyFill="1"/>
    <xf numFmtId="164" fontId="41" fillId="33" borderId="0" xfId="47" applyFont="1" applyFill="1" applyBorder="1"/>
    <xf numFmtId="44" fontId="43" fillId="33" borderId="0" xfId="0" applyNumberFormat="1" applyFont="1" applyFill="1"/>
    <xf numFmtId="0" fontId="0" fillId="23" borderId="24" xfId="0" applyFill="1" applyBorder="1"/>
    <xf numFmtId="0" fontId="39" fillId="24" borderId="24" xfId="0" applyFont="1" applyFill="1" applyBorder="1"/>
    <xf numFmtId="0" fontId="39" fillId="0" borderId="47" xfId="0" applyFont="1" applyBorder="1" applyAlignment="1">
      <alignment horizontal="center"/>
    </xf>
    <xf numFmtId="164" fontId="0" fillId="18" borderId="0" xfId="47" applyFont="1" applyFill="1" applyBorder="1"/>
    <xf numFmtId="174" fontId="0" fillId="24" borderId="0" xfId="50" applyNumberFormat="1" applyFont="1" applyFill="1" applyBorder="1"/>
    <xf numFmtId="0" fontId="20" fillId="25" borderId="0" xfId="50" applyNumberFormat="1" applyFont="1" applyFill="1" applyBorder="1"/>
    <xf numFmtId="0" fontId="38" fillId="0" borderId="26" xfId="0" applyFont="1" applyBorder="1" applyAlignment="1">
      <alignment horizontal="left" vertical="top"/>
    </xf>
    <xf numFmtId="0" fontId="39" fillId="22" borderId="30" xfId="0" applyFont="1" applyFill="1" applyBorder="1" applyAlignment="1">
      <alignment horizontal="center" vertical="top" textRotation="180"/>
    </xf>
    <xf numFmtId="0" fontId="39" fillId="0" borderId="17" xfId="0" applyFont="1" applyBorder="1" applyAlignment="1">
      <alignment horizontal="center"/>
    </xf>
    <xf numFmtId="0" fontId="39" fillId="0" borderId="18" xfId="0" applyFont="1" applyBorder="1" applyAlignment="1">
      <alignment horizontal="center"/>
    </xf>
    <xf numFmtId="0" fontId="39" fillId="0" borderId="19" xfId="0" applyFont="1" applyBorder="1" applyAlignment="1">
      <alignment horizontal="center"/>
    </xf>
    <xf numFmtId="0" fontId="39" fillId="0" borderId="20" xfId="0" applyFont="1" applyBorder="1" applyAlignment="1">
      <alignment horizontal="center"/>
    </xf>
    <xf numFmtId="165" fontId="39" fillId="0" borderId="18" xfId="47" applyNumberFormat="1" applyFont="1" applyBorder="1" applyAlignment="1">
      <alignment horizontal="center"/>
    </xf>
    <xf numFmtId="165" fontId="39" fillId="0" borderId="21" xfId="47" applyNumberFormat="1" applyFont="1" applyBorder="1" applyAlignment="1">
      <alignment horizontal="center"/>
    </xf>
    <xf numFmtId="164" fontId="39" fillId="0" borderId="17" xfId="47" applyFont="1" applyBorder="1" applyAlignment="1">
      <alignment horizontal="center"/>
    </xf>
    <xf numFmtId="164" fontId="39" fillId="0" borderId="18" xfId="47" applyFont="1" applyBorder="1" applyAlignment="1">
      <alignment horizontal="center"/>
    </xf>
    <xf numFmtId="164" fontId="39" fillId="0" borderId="21" xfId="47" applyFont="1" applyBorder="1" applyAlignment="1">
      <alignment horizontal="center"/>
    </xf>
    <xf numFmtId="0" fontId="38" fillId="25" borderId="17" xfId="0" applyFont="1" applyFill="1" applyBorder="1" applyAlignment="1">
      <alignment horizontal="center" vertical="center"/>
    </xf>
    <xf numFmtId="0" fontId="38" fillId="25" borderId="18" xfId="0" applyFont="1" applyFill="1" applyBorder="1" applyAlignment="1">
      <alignment horizontal="center" vertical="center"/>
    </xf>
    <xf numFmtId="0" fontId="38" fillId="25" borderId="24" xfId="0" applyFont="1" applyFill="1" applyBorder="1" applyAlignment="1">
      <alignment horizontal="center" vertical="center"/>
    </xf>
    <xf numFmtId="0" fontId="38" fillId="25" borderId="0" xfId="0" applyFont="1" applyFill="1" applyAlignment="1">
      <alignment horizontal="center" vertical="center"/>
    </xf>
    <xf numFmtId="0" fontId="39" fillId="25" borderId="30" xfId="0" applyFont="1" applyFill="1" applyBorder="1" applyAlignment="1">
      <alignment horizontal="center" vertical="top" textRotation="180"/>
    </xf>
    <xf numFmtId="0" fontId="38" fillId="23" borderId="17" xfId="0" applyFont="1" applyFill="1" applyBorder="1" applyAlignment="1">
      <alignment horizontal="center" vertical="center"/>
    </xf>
    <xf numFmtId="0" fontId="38" fillId="23" borderId="18" xfId="0" applyFont="1" applyFill="1" applyBorder="1" applyAlignment="1">
      <alignment horizontal="center" vertical="center"/>
    </xf>
    <xf numFmtId="0" fontId="38" fillId="23" borderId="19" xfId="0" applyFont="1" applyFill="1" applyBorder="1" applyAlignment="1">
      <alignment horizontal="center" vertical="center"/>
    </xf>
    <xf numFmtId="0" fontId="38" fillId="23" borderId="20" xfId="0" applyFont="1" applyFill="1" applyBorder="1" applyAlignment="1">
      <alignment horizontal="center" vertical="center"/>
    </xf>
    <xf numFmtId="0" fontId="38" fillId="23" borderId="21" xfId="0" applyFont="1" applyFill="1" applyBorder="1" applyAlignment="1">
      <alignment horizontal="center" vertical="center"/>
    </xf>
    <xf numFmtId="0" fontId="39" fillId="23" borderId="30" xfId="0" applyFont="1" applyFill="1" applyBorder="1" applyAlignment="1">
      <alignment horizontal="center" vertical="top" textRotation="180"/>
    </xf>
    <xf numFmtId="0" fontId="38" fillId="24" borderId="17" xfId="0" applyFont="1" applyFill="1" applyBorder="1" applyAlignment="1">
      <alignment horizontal="center" vertical="center"/>
    </xf>
    <xf numFmtId="0" fontId="38" fillId="24" borderId="18" xfId="0" applyFont="1" applyFill="1" applyBorder="1" applyAlignment="1">
      <alignment horizontal="center" vertical="center"/>
    </xf>
    <xf numFmtId="0" fontId="38" fillId="24" borderId="19" xfId="0" applyFont="1" applyFill="1" applyBorder="1" applyAlignment="1">
      <alignment horizontal="center" vertical="center"/>
    </xf>
    <xf numFmtId="0" fontId="39" fillId="24" borderId="30" xfId="0" applyFont="1" applyFill="1" applyBorder="1" applyAlignment="1">
      <alignment horizontal="center" vertical="top" textRotation="180"/>
    </xf>
    <xf numFmtId="0" fontId="46" fillId="0" borderId="39" xfId="0" applyFont="1" applyBorder="1" applyAlignment="1">
      <alignment horizontal="center" vertical="center"/>
    </xf>
    <xf numFmtId="0" fontId="46" fillId="0" borderId="22" xfId="0" applyFont="1" applyBorder="1" applyAlignment="1">
      <alignment horizontal="center" vertical="center"/>
    </xf>
    <xf numFmtId="0" fontId="46" fillId="0" borderId="26" xfId="0" applyFont="1" applyBorder="1" applyAlignment="1">
      <alignment horizontal="center" vertical="center"/>
    </xf>
    <xf numFmtId="0" fontId="39" fillId="0" borderId="0" xfId="0" applyFont="1" applyFill="1"/>
    <xf numFmtId="5" fontId="0" fillId="0" borderId="22" xfId="0" applyNumberFormat="1" applyFill="1" applyBorder="1" applyAlignment="1">
      <alignment horizontal="center"/>
    </xf>
    <xf numFmtId="0" fontId="0" fillId="0" borderId="0" xfId="0" applyFill="1"/>
    <xf numFmtId="5" fontId="61" fillId="0" borderId="22" xfId="0" applyNumberFormat="1" applyFont="1" applyBorder="1" applyAlignment="1">
      <alignment horizontal="center"/>
    </xf>
    <xf numFmtId="0" fontId="38" fillId="0" borderId="47" xfId="0" applyFont="1" applyBorder="1" applyAlignment="1">
      <alignment horizontal="left" vertical="top"/>
    </xf>
    <xf numFmtId="0" fontId="39" fillId="0" borderId="23" xfId="0" applyFont="1" applyBorder="1"/>
    <xf numFmtId="0" fontId="39" fillId="0" borderId="23" xfId="0" applyFont="1" applyFill="1" applyBorder="1"/>
    <xf numFmtId="5" fontId="48" fillId="0" borderId="22" xfId="0" applyNumberFormat="1" applyFont="1" applyBorder="1" applyAlignment="1">
      <alignment horizontal="center"/>
    </xf>
    <xf numFmtId="0" fontId="59" fillId="0" borderId="0" xfId="0" applyFont="1" applyFill="1"/>
    <xf numFmtId="0" fontId="0" fillId="0" borderId="47" xfId="0" applyFill="1" applyBorder="1" applyAlignment="1">
      <alignment horizontal="left"/>
    </xf>
    <xf numFmtId="0" fontId="39" fillId="0" borderId="47" xfId="0" applyFont="1" applyFill="1" applyBorder="1" applyAlignment="1">
      <alignment horizontal="center"/>
    </xf>
    <xf numFmtId="0" fontId="0" fillId="0" borderId="26" xfId="0" applyFill="1" applyBorder="1" applyAlignment="1">
      <alignment horizontal="left"/>
    </xf>
    <xf numFmtId="0" fontId="39" fillId="0" borderId="26" xfId="0" applyFont="1" applyFill="1" applyBorder="1" applyAlignment="1">
      <alignment horizontal="center"/>
    </xf>
    <xf numFmtId="0" fontId="39" fillId="0" borderId="22" xfId="0" applyFont="1" applyFill="1" applyBorder="1" applyAlignment="1">
      <alignment horizontal="left"/>
    </xf>
    <xf numFmtId="0" fontId="39" fillId="0" borderId="22" xfId="0" applyFont="1" applyFill="1" applyBorder="1" applyAlignment="1">
      <alignment horizontal="center"/>
    </xf>
    <xf numFmtId="3" fontId="39" fillId="0" borderId="22" xfId="0" applyNumberFormat="1" applyFont="1" applyFill="1" applyBorder="1" applyAlignment="1">
      <alignment horizontal="center"/>
    </xf>
    <xf numFmtId="0" fontId="48" fillId="0" borderId="22" xfId="0" applyFont="1" applyFill="1" applyBorder="1" applyAlignment="1">
      <alignment horizontal="left"/>
    </xf>
    <xf numFmtId="3" fontId="60" fillId="0" borderId="22" xfId="0" applyNumberFormat="1" applyFont="1" applyFill="1" applyBorder="1" applyAlignment="1">
      <alignment horizontal="center"/>
    </xf>
    <xf numFmtId="0" fontId="0" fillId="0" borderId="22" xfId="0" applyFill="1" applyBorder="1" applyAlignment="1">
      <alignment horizontal="left"/>
    </xf>
    <xf numFmtId="3" fontId="0" fillId="0" borderId="22" xfId="0" applyNumberFormat="1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5" fontId="0" fillId="0" borderId="26" xfId="47" applyNumberFormat="1" applyFont="1" applyFill="1" applyBorder="1" applyAlignment="1">
      <alignment horizontal="center"/>
    </xf>
    <xf numFmtId="5" fontId="39" fillId="0" borderId="26" xfId="0" applyNumberFormat="1" applyFont="1" applyFill="1" applyBorder="1" applyAlignment="1">
      <alignment horizontal="center"/>
    </xf>
    <xf numFmtId="0" fontId="25" fillId="0" borderId="0" xfId="49" applyFill="1"/>
    <xf numFmtId="0" fontId="48" fillId="0" borderId="0" xfId="0" applyFont="1" applyFill="1"/>
    <xf numFmtId="9" fontId="0" fillId="0" borderId="47" xfId="48" applyFont="1" applyFill="1" applyBorder="1"/>
    <xf numFmtId="9" fontId="0" fillId="0" borderId="26" xfId="0" applyNumberFormat="1" applyBorder="1"/>
    <xf numFmtId="44" fontId="47" fillId="0" borderId="22" xfId="50" applyFont="1" applyFill="1" applyBorder="1"/>
    <xf numFmtId="44" fontId="62" fillId="0" borderId="22" xfId="50" applyFont="1" applyFill="1" applyBorder="1"/>
    <xf numFmtId="9" fontId="61" fillId="0" borderId="22" xfId="48" applyFont="1" applyFill="1" applyBorder="1"/>
    <xf numFmtId="9" fontId="61" fillId="0" borderId="25" xfId="48" applyFont="1" applyFill="1" applyBorder="1"/>
    <xf numFmtId="0" fontId="41" fillId="0" borderId="48" xfId="0" applyFont="1" applyBorder="1"/>
  </cellXfs>
  <cellStyles count="6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Assumption" xfId="62" xr:uid="{00000000-0005-0000-0000-000018000000}"/>
    <cellStyle name="Bad 2" xfId="26" xr:uid="{00000000-0005-0000-0000-000019000000}"/>
    <cellStyle name="Calculation 2" xfId="27" xr:uid="{00000000-0005-0000-0000-00001A000000}"/>
    <cellStyle name="Check" xfId="56" xr:uid="{00000000-0005-0000-0000-00001B000000}"/>
    <cellStyle name="Check Cell 2" xfId="28" xr:uid="{00000000-0005-0000-0000-00001C000000}"/>
    <cellStyle name="Comma" xfId="47" builtinId="3"/>
    <cellStyle name="Comma 2" xfId="29" xr:uid="{00000000-0005-0000-0000-00001E000000}"/>
    <cellStyle name="Currency" xfId="50" builtinId="4"/>
    <cellStyle name="Currency 2" xfId="30" xr:uid="{00000000-0005-0000-0000-000020000000}"/>
    <cellStyle name="Empty_Cell" xfId="60" xr:uid="{00000000-0005-0000-0000-000021000000}"/>
    <cellStyle name="Explanatory Text 2" xfId="31" xr:uid="{00000000-0005-0000-0000-000022000000}"/>
    <cellStyle name="Good 2" xfId="32" xr:uid="{00000000-0005-0000-0000-000023000000}"/>
    <cellStyle name="Header2" xfId="51" xr:uid="{00000000-0005-0000-0000-000024000000}"/>
    <cellStyle name="Header3" xfId="57" xr:uid="{00000000-0005-0000-0000-000025000000}"/>
    <cellStyle name="Heading 1 2" xfId="33" xr:uid="{00000000-0005-0000-0000-000026000000}"/>
    <cellStyle name="Heading 2 2" xfId="34" xr:uid="{00000000-0005-0000-0000-000027000000}"/>
    <cellStyle name="Heading 3 2" xfId="35" xr:uid="{00000000-0005-0000-0000-000028000000}"/>
    <cellStyle name="Heading 4 2" xfId="36" xr:uid="{00000000-0005-0000-0000-000029000000}"/>
    <cellStyle name="Heading4" xfId="58" xr:uid="{00000000-0005-0000-0000-00002A000000}"/>
    <cellStyle name="Hyperlink" xfId="49" builtinId="8"/>
    <cellStyle name="Input 2" xfId="37" xr:uid="{00000000-0005-0000-0000-00002C000000}"/>
    <cellStyle name="Insheet" xfId="63" xr:uid="{00000000-0005-0000-0000-00002D000000}"/>
    <cellStyle name="Line Operation" xfId="65" xr:uid="{00000000-0005-0000-0000-00002E000000}"/>
    <cellStyle name="Line Summary" xfId="54" xr:uid="{00000000-0005-0000-0000-00002F000000}"/>
    <cellStyle name="Line_ClosingBal" xfId="66" xr:uid="{00000000-0005-0000-0000-000030000000}"/>
    <cellStyle name="Linked Cell 2" xfId="38" xr:uid="{00000000-0005-0000-0000-000031000000}"/>
    <cellStyle name="Neutral 2" xfId="39" xr:uid="{00000000-0005-0000-0000-000032000000}"/>
    <cellStyle name="Normal" xfId="0" builtinId="0"/>
    <cellStyle name="Normal 2" xfId="40" xr:uid="{00000000-0005-0000-0000-000034000000}"/>
    <cellStyle name="Normal 3" xfId="1" xr:uid="{00000000-0005-0000-0000-000035000000}"/>
    <cellStyle name="Note 2" xfId="41" xr:uid="{00000000-0005-0000-0000-000036000000}"/>
    <cellStyle name="Offsheet" xfId="59" xr:uid="{00000000-0005-0000-0000-000037000000}"/>
    <cellStyle name="Output 2" xfId="42" xr:uid="{00000000-0005-0000-0000-000038000000}"/>
    <cellStyle name="Percent" xfId="48" builtinId="5"/>
    <cellStyle name="Percent 2" xfId="43" xr:uid="{00000000-0005-0000-0000-00003A000000}"/>
    <cellStyle name="SubBalance" xfId="55" xr:uid="{00000000-0005-0000-0000-00003B000000}"/>
    <cellStyle name="Technical_Input" xfId="53" xr:uid="{00000000-0005-0000-0000-00003C000000}"/>
    <cellStyle name="Title 2" xfId="44" xr:uid="{00000000-0005-0000-0000-00003D000000}"/>
    <cellStyle name="Total 2" xfId="45" xr:uid="{00000000-0005-0000-0000-00003E000000}"/>
    <cellStyle name="Unit" xfId="52" xr:uid="{00000000-0005-0000-0000-00003F000000}"/>
    <cellStyle name="Warning" xfId="61" xr:uid="{00000000-0005-0000-0000-000040000000}"/>
    <cellStyle name="Warning Text" xfId="64" builtinId="11"/>
    <cellStyle name="Warning Text 2" xfId="46" xr:uid="{00000000-0005-0000-0000-00004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247650</xdr:rowOff>
    </xdr:from>
    <xdr:to>
      <xdr:col>3</xdr:col>
      <xdr:colOff>717686</xdr:colOff>
      <xdr:row>1</xdr:row>
      <xdr:rowOff>743019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447675"/>
          <a:ext cx="2965586" cy="49536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Xu, Mei" id="{DB46216E-6832-46AE-A746-69B8C34812EC}" userId="S::mxu@epcor.com::39ec5af1-bb73-4674-bff6-6cd11c1319de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E67" dT="2025-05-13T15:06:14.82" personId="{DB46216E-6832-46AE-A746-69B8C34812EC}" id="{6AA542EC-427C-496A-965E-C1E672753691}">
    <text>Reference from EB-2024-0251 Pg.103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../../../../Gas%20Supply%20Manager/South%20Bruce/SB_Inovices/SB%20Invoice%20Tracking.xlsx?web=1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>
    <tabColor rgb="FF92D050"/>
    <pageSetUpPr fitToPage="1"/>
  </sheetPr>
  <dimension ref="A1:BZ47"/>
  <sheetViews>
    <sheetView showGridLines="0"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19" sqref="P19"/>
    </sheetView>
  </sheetViews>
  <sheetFormatPr defaultRowHeight="15" x14ac:dyDescent="0.25"/>
  <cols>
    <col min="1" max="1" width="26.7109375" style="189" customWidth="1"/>
    <col min="2" max="13" width="10.7109375" style="247" customWidth="1"/>
    <col min="14" max="14" width="12.42578125" style="247" customWidth="1"/>
    <col min="16" max="17" width="11.5703125" bestFit="1" customWidth="1"/>
    <col min="18" max="18" width="15.7109375" bestFit="1" customWidth="1"/>
    <col min="19" max="19" width="11.42578125" bestFit="1" customWidth="1"/>
  </cols>
  <sheetData>
    <row r="1" spans="1:14" s="189" customFormat="1" ht="21" customHeight="1" x14ac:dyDescent="0.25">
      <c r="A1" s="382" t="s">
        <v>283</v>
      </c>
      <c r="B1" s="345">
        <v>2025</v>
      </c>
      <c r="C1" s="345">
        <v>2025</v>
      </c>
      <c r="D1" s="345">
        <v>2025</v>
      </c>
      <c r="E1" s="345">
        <v>2025</v>
      </c>
      <c r="F1" s="345">
        <v>2025</v>
      </c>
      <c r="G1" s="345">
        <v>2025</v>
      </c>
      <c r="H1" s="345">
        <v>2025</v>
      </c>
      <c r="I1" s="345">
        <v>2025</v>
      </c>
      <c r="J1" s="345">
        <v>2025</v>
      </c>
      <c r="K1" s="345">
        <v>2025</v>
      </c>
      <c r="L1" s="345">
        <v>2025</v>
      </c>
      <c r="M1" s="345">
        <v>2025</v>
      </c>
      <c r="N1" s="345">
        <v>2025</v>
      </c>
    </row>
    <row r="2" spans="1:14" s="189" customFormat="1" x14ac:dyDescent="0.25">
      <c r="A2" s="349"/>
      <c r="B2" s="254" t="s">
        <v>250</v>
      </c>
      <c r="C2" s="254" t="s">
        <v>251</v>
      </c>
      <c r="D2" s="254" t="s">
        <v>252</v>
      </c>
      <c r="E2" s="254" t="s">
        <v>253</v>
      </c>
      <c r="F2" s="254" t="s">
        <v>254</v>
      </c>
      <c r="G2" s="254" t="s">
        <v>255</v>
      </c>
      <c r="H2" s="254" t="s">
        <v>256</v>
      </c>
      <c r="I2" s="254" t="s">
        <v>257</v>
      </c>
      <c r="J2" s="254" t="s">
        <v>258</v>
      </c>
      <c r="K2" s="254" t="s">
        <v>259</v>
      </c>
      <c r="L2" s="254" t="s">
        <v>260</v>
      </c>
      <c r="M2" s="254" t="s">
        <v>261</v>
      </c>
      <c r="N2" s="254" t="s">
        <v>183</v>
      </c>
    </row>
    <row r="3" spans="1:14" x14ac:dyDescent="0.25">
      <c r="A3" s="256" t="s">
        <v>268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</row>
    <row r="4" spans="1:14" x14ac:dyDescent="0.25">
      <c r="A4" s="248" t="s">
        <v>31</v>
      </c>
      <c r="B4" s="251">
        <v>0</v>
      </c>
      <c r="C4" s="251">
        <v>0</v>
      </c>
      <c r="D4" s="251">
        <v>0</v>
      </c>
      <c r="E4" s="251">
        <v>0</v>
      </c>
      <c r="F4" s="251">
        <v>0</v>
      </c>
      <c r="G4" s="251">
        <v>0</v>
      </c>
      <c r="H4" s="251">
        <v>0</v>
      </c>
      <c r="I4" s="251">
        <v>0</v>
      </c>
      <c r="J4" s="251">
        <v>0</v>
      </c>
      <c r="K4" s="251">
        <v>0</v>
      </c>
      <c r="L4" s="251">
        <v>0</v>
      </c>
      <c r="M4" s="251">
        <v>0</v>
      </c>
      <c r="N4" s="251">
        <f>SUM(B4:M4)</f>
        <v>0</v>
      </c>
    </row>
    <row r="5" spans="1:14" x14ac:dyDescent="0.25">
      <c r="A5" s="248" t="s">
        <v>185</v>
      </c>
      <c r="B5" s="251">
        <f>Allocation!C4-B4</f>
        <v>21049.935822119955</v>
      </c>
      <c r="C5" s="251">
        <f>Allocation!D4-C4</f>
        <v>21039.276357498307</v>
      </c>
      <c r="D5" s="251">
        <f>Allocation!E4-D4</f>
        <v>21237.983947052293</v>
      </c>
      <c r="E5" s="251">
        <f>Allocation!F4-E4</f>
        <v>21316.854300373561</v>
      </c>
      <c r="F5" s="251">
        <f>Allocation!G4-F4</f>
        <v>21603.119566177058</v>
      </c>
      <c r="G5" s="251">
        <f>Allocation!H4-G4</f>
        <v>21768.374345869885</v>
      </c>
      <c r="H5" s="251">
        <f>Allocation!I4-H4</f>
        <v>21737.258696637651</v>
      </c>
      <c r="I5" s="251">
        <f>Allocation!J4-I4</f>
        <v>21737.671129953636</v>
      </c>
      <c r="J5" s="251">
        <f>Allocation!K4-J4</f>
        <v>21721.115741628848</v>
      </c>
      <c r="K5" s="251">
        <f>Allocation!L4-K4</f>
        <v>21393.654226717084</v>
      </c>
      <c r="L5" s="251">
        <f>Allocation!M4-L4</f>
        <v>20705.427612762909</v>
      </c>
      <c r="M5" s="251">
        <f>Allocation!N4-M4</f>
        <v>20972.496399605843</v>
      </c>
      <c r="N5" s="251">
        <f t="shared" ref="N5:N8" si="0">SUM(B5:M5)</f>
        <v>256283.16814639702</v>
      </c>
    </row>
    <row r="6" spans="1:14" x14ac:dyDescent="0.25">
      <c r="A6" s="248" t="s">
        <v>320</v>
      </c>
      <c r="B6" s="251">
        <f>Allocation!C9</f>
        <v>3223.2601287551997</v>
      </c>
      <c r="C6" s="251">
        <f>Allocation!D9</f>
        <v>2866.4319109152002</v>
      </c>
      <c r="D6" s="251">
        <f>Allocation!E9</f>
        <v>3031.1015255184002</v>
      </c>
      <c r="E6" s="251">
        <f>Allocation!F9</f>
        <v>2695.6389478823999</v>
      </c>
      <c r="F6" s="251">
        <f>Allocation!G9</f>
        <v>2521.5559152864002</v>
      </c>
      <c r="G6" s="251">
        <f>Allocation!H9</f>
        <v>1801.9656</v>
      </c>
      <c r="H6" s="251">
        <f>Allocation!I9</f>
        <v>2010.2235999999998</v>
      </c>
      <c r="I6" s="251">
        <f>Allocation!J9</f>
        <v>1959.96</v>
      </c>
      <c r="J6" s="251">
        <f>Allocation!K9</f>
        <v>2218.3992000000003</v>
      </c>
      <c r="K6" s="251">
        <f>Allocation!L9</f>
        <v>2504.1861935023999</v>
      </c>
      <c r="L6" s="251">
        <f>Allocation!M9</f>
        <v>2751.7596963984006</v>
      </c>
      <c r="M6" s="251">
        <f>Allocation!N9</f>
        <v>3604.2392571695996</v>
      </c>
      <c r="N6" s="251">
        <f t="shared" si="0"/>
        <v>31188.721975427998</v>
      </c>
    </row>
    <row r="7" spans="1:14" x14ac:dyDescent="0.25">
      <c r="A7" s="248" t="s">
        <v>186</v>
      </c>
      <c r="B7" s="251">
        <v>0</v>
      </c>
      <c r="C7" s="251">
        <v>0</v>
      </c>
      <c r="D7" s="251">
        <v>0</v>
      </c>
      <c r="E7" s="251">
        <v>0</v>
      </c>
      <c r="F7" s="251">
        <v>0</v>
      </c>
      <c r="G7" s="251">
        <v>0</v>
      </c>
      <c r="H7" s="251">
        <v>0</v>
      </c>
      <c r="I7" s="251">
        <v>0</v>
      </c>
      <c r="J7" s="251">
        <v>0</v>
      </c>
      <c r="K7" s="251">
        <v>0</v>
      </c>
      <c r="L7" s="251">
        <v>0</v>
      </c>
      <c r="M7" s="251">
        <v>0</v>
      </c>
      <c r="N7" s="251">
        <f t="shared" si="0"/>
        <v>0</v>
      </c>
    </row>
    <row r="8" spans="1:14" x14ac:dyDescent="0.25">
      <c r="A8" s="248" t="s">
        <v>188</v>
      </c>
      <c r="B8" s="381">
        <v>0</v>
      </c>
      <c r="C8" s="381">
        <v>0</v>
      </c>
      <c r="D8" s="381">
        <v>0</v>
      </c>
      <c r="E8" s="381">
        <v>0</v>
      </c>
      <c r="F8" s="381">
        <v>0</v>
      </c>
      <c r="G8" s="381">
        <v>0</v>
      </c>
      <c r="H8" s="381">
        <v>0</v>
      </c>
      <c r="I8" s="381">
        <v>0</v>
      </c>
      <c r="J8" s="381">
        <v>0</v>
      </c>
      <c r="K8" s="381">
        <v>0</v>
      </c>
      <c r="L8" s="381">
        <v>0</v>
      </c>
      <c r="M8" s="381">
        <v>0</v>
      </c>
      <c r="N8" s="381">
        <f t="shared" si="0"/>
        <v>0</v>
      </c>
    </row>
    <row r="9" spans="1:14" s="189" customFormat="1" x14ac:dyDescent="0.25">
      <c r="A9" s="248" t="s">
        <v>266</v>
      </c>
      <c r="B9" s="255">
        <f t="shared" ref="B9:N9" si="1">SUM(B4:B8)</f>
        <v>24273.195950875153</v>
      </c>
      <c r="C9" s="255">
        <f t="shared" si="1"/>
        <v>23905.708268413509</v>
      </c>
      <c r="D9" s="255">
        <f t="shared" si="1"/>
        <v>24269.085472570692</v>
      </c>
      <c r="E9" s="255">
        <f t="shared" si="1"/>
        <v>24012.49324825596</v>
      </c>
      <c r="F9" s="255">
        <f t="shared" si="1"/>
        <v>24124.675481463459</v>
      </c>
      <c r="G9" s="255">
        <f t="shared" si="1"/>
        <v>23570.339945869884</v>
      </c>
      <c r="H9" s="255">
        <f t="shared" si="1"/>
        <v>23747.482296637652</v>
      </c>
      <c r="I9" s="255">
        <f t="shared" si="1"/>
        <v>23697.631129953636</v>
      </c>
      <c r="J9" s="255">
        <f t="shared" si="1"/>
        <v>23939.514941628848</v>
      </c>
      <c r="K9" s="255">
        <f t="shared" si="1"/>
        <v>23897.840420219483</v>
      </c>
      <c r="L9" s="255">
        <f t="shared" si="1"/>
        <v>23457.187309161309</v>
      </c>
      <c r="M9" s="255">
        <f t="shared" si="1"/>
        <v>24576.735656775443</v>
      </c>
      <c r="N9" s="255">
        <f t="shared" si="1"/>
        <v>287471.89012182504</v>
      </c>
    </row>
    <row r="10" spans="1:14" x14ac:dyDescent="0.25">
      <c r="A10" s="248"/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1"/>
      <c r="M10" s="251"/>
      <c r="N10" s="251"/>
    </row>
    <row r="11" spans="1:14" s="189" customFormat="1" x14ac:dyDescent="0.25">
      <c r="A11" s="248" t="s">
        <v>249</v>
      </c>
      <c r="B11" s="255">
        <f>'S&amp;TVA - Continuity'!B77</f>
        <v>17535.699999999997</v>
      </c>
      <c r="C11" s="255">
        <f>'S&amp;TVA - Continuity'!C77</f>
        <v>17535.699999999997</v>
      </c>
      <c r="D11" s="255">
        <f>'S&amp;TVA - Continuity'!D77</f>
        <v>17535.699999999997</v>
      </c>
      <c r="E11" s="255">
        <f>'S&amp;TVA - Continuity'!E77</f>
        <v>17535.699999999997</v>
      </c>
      <c r="F11" s="255">
        <f>'S&amp;TVA - Continuity'!F77</f>
        <v>17535.699999999997</v>
      </c>
      <c r="G11" s="255">
        <f>'S&amp;TVA - Continuity'!G77</f>
        <v>17535.699999999997</v>
      </c>
      <c r="H11" s="255">
        <f>'S&amp;TVA - Continuity'!H77</f>
        <v>17535.699999999997</v>
      </c>
      <c r="I11" s="255">
        <f>'S&amp;TVA - Continuity'!I77</f>
        <v>17535.699999999997</v>
      </c>
      <c r="J11" s="255">
        <f>'S&amp;TVA - Continuity'!J77</f>
        <v>17535.699999999997</v>
      </c>
      <c r="K11" s="255">
        <f>'S&amp;TVA - Continuity'!K77</f>
        <v>17535.699999999997</v>
      </c>
      <c r="L11" s="255">
        <f>'S&amp;TVA - Continuity'!L77</f>
        <v>17535.699999999997</v>
      </c>
      <c r="M11" s="255">
        <f>'S&amp;TVA - Continuity'!M77</f>
        <v>17535.699999999997</v>
      </c>
      <c r="N11" s="255">
        <f>SUM(B11:M11)</f>
        <v>210428.40000000002</v>
      </c>
    </row>
    <row r="12" spans="1:14" x14ac:dyDescent="0.25">
      <c r="A12" s="248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</row>
    <row r="13" spans="1:14" x14ac:dyDescent="0.25">
      <c r="A13" s="248" t="s">
        <v>247</v>
      </c>
      <c r="B13" s="251">
        <f>B9-B11</f>
        <v>6737.4959508751563</v>
      </c>
      <c r="C13" s="251">
        <f t="shared" ref="C13:M13" si="2">C9-C11</f>
        <v>6370.0082684135123</v>
      </c>
      <c r="D13" s="251">
        <f t="shared" si="2"/>
        <v>6733.3854725706951</v>
      </c>
      <c r="E13" s="251">
        <f t="shared" si="2"/>
        <v>6476.7932482559627</v>
      </c>
      <c r="F13" s="251">
        <f t="shared" si="2"/>
        <v>6588.9754814634616</v>
      </c>
      <c r="G13" s="251">
        <f t="shared" si="2"/>
        <v>6034.639945869887</v>
      </c>
      <c r="H13" s="251">
        <f t="shared" si="2"/>
        <v>6211.7822966376552</v>
      </c>
      <c r="I13" s="251">
        <f t="shared" si="2"/>
        <v>6161.9311299536384</v>
      </c>
      <c r="J13" s="251">
        <f t="shared" si="2"/>
        <v>6403.8149416288506</v>
      </c>
      <c r="K13" s="251">
        <f t="shared" si="2"/>
        <v>6362.1404202194863</v>
      </c>
      <c r="L13" s="251">
        <f t="shared" si="2"/>
        <v>5921.4873091613117</v>
      </c>
      <c r="M13" s="251">
        <f t="shared" si="2"/>
        <v>7041.0356567754461</v>
      </c>
      <c r="N13" s="251">
        <f>SUM(B13:M13)</f>
        <v>77043.49012182506</v>
      </c>
    </row>
    <row r="14" spans="1:14" x14ac:dyDescent="0.25">
      <c r="A14" s="248" t="s">
        <v>262</v>
      </c>
      <c r="B14" s="251">
        <f>B13</f>
        <v>6737.4959508751563</v>
      </c>
      <c r="C14" s="251">
        <f t="shared" ref="C14:M14" si="3">C13+B14</f>
        <v>13107.504219288669</v>
      </c>
      <c r="D14" s="251">
        <f t="shared" si="3"/>
        <v>19840.889691859364</v>
      </c>
      <c r="E14" s="251">
        <f t="shared" si="3"/>
        <v>26317.682940115326</v>
      </c>
      <c r="F14" s="251">
        <f t="shared" si="3"/>
        <v>32906.658421578788</v>
      </c>
      <c r="G14" s="251">
        <f t="shared" si="3"/>
        <v>38941.298367448675</v>
      </c>
      <c r="H14" s="251">
        <f t="shared" si="3"/>
        <v>45153.08066408633</v>
      </c>
      <c r="I14" s="251">
        <f t="shared" si="3"/>
        <v>51315.011794039965</v>
      </c>
      <c r="J14" s="251">
        <f t="shared" si="3"/>
        <v>57718.826735668816</v>
      </c>
      <c r="K14" s="251">
        <f t="shared" si="3"/>
        <v>64080.967155888298</v>
      </c>
      <c r="L14" s="251">
        <f t="shared" si="3"/>
        <v>70002.45446504961</v>
      </c>
      <c r="M14" s="251">
        <f t="shared" si="3"/>
        <v>77043.49012182506</v>
      </c>
      <c r="N14" s="251"/>
    </row>
    <row r="15" spans="1:14" x14ac:dyDescent="0.25">
      <c r="A15" s="248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</row>
    <row r="16" spans="1:14" x14ac:dyDescent="0.25">
      <c r="A16" s="248" t="s">
        <v>263</v>
      </c>
      <c r="B16" s="251">
        <v>0</v>
      </c>
      <c r="C16" s="251">
        <f t="shared" ref="C16:M16" si="4">B14*C18/12</f>
        <v>20.886237447712983</v>
      </c>
      <c r="D16" s="251">
        <f t="shared" si="4"/>
        <v>40.633263079794865</v>
      </c>
      <c r="E16" s="251">
        <f t="shared" si="4"/>
        <v>61.50675804476402</v>
      </c>
      <c r="F16" s="251">
        <f t="shared" si="4"/>
        <v>81.584817114357506</v>
      </c>
      <c r="G16" s="251">
        <f t="shared" si="4"/>
        <v>102.01064110689424</v>
      </c>
      <c r="H16" s="251">
        <f t="shared" si="4"/>
        <v>120.71802493909088</v>
      </c>
      <c r="I16" s="251">
        <f t="shared" si="4"/>
        <v>139.9745500586676</v>
      </c>
      <c r="J16" s="251">
        <f t="shared" si="4"/>
        <v>159.07653656152388</v>
      </c>
      <c r="K16" s="251">
        <f t="shared" si="4"/>
        <v>178.92836288057333</v>
      </c>
      <c r="L16" s="251">
        <f t="shared" si="4"/>
        <v>198.65099818325371</v>
      </c>
      <c r="M16" s="251">
        <f t="shared" si="4"/>
        <v>217.00760884165379</v>
      </c>
      <c r="N16" s="251">
        <f>SUM(B16:M16)</f>
        <v>1320.9777982582868</v>
      </c>
    </row>
    <row r="17" spans="1:16" x14ac:dyDescent="0.25">
      <c r="A17" s="248" t="s">
        <v>267</v>
      </c>
      <c r="B17" s="251">
        <v>0</v>
      </c>
      <c r="C17" s="251">
        <f t="shared" ref="C17:M17" si="5">C16+B17</f>
        <v>20.886237447712983</v>
      </c>
      <c r="D17" s="251">
        <f t="shared" si="5"/>
        <v>61.519500527507844</v>
      </c>
      <c r="E17" s="251">
        <f t="shared" si="5"/>
        <v>123.02625857227187</v>
      </c>
      <c r="F17" s="251">
        <f t="shared" si="5"/>
        <v>204.61107568662936</v>
      </c>
      <c r="G17" s="251">
        <f t="shared" si="5"/>
        <v>306.6217167935236</v>
      </c>
      <c r="H17" s="251">
        <f t="shared" si="5"/>
        <v>427.33974173261447</v>
      </c>
      <c r="I17" s="251">
        <f t="shared" si="5"/>
        <v>567.31429179128213</v>
      </c>
      <c r="J17" s="251">
        <f t="shared" si="5"/>
        <v>726.39082835280601</v>
      </c>
      <c r="K17" s="251">
        <f t="shared" si="5"/>
        <v>905.31919123337934</v>
      </c>
      <c r="L17" s="251">
        <f t="shared" si="5"/>
        <v>1103.970189416633</v>
      </c>
      <c r="M17" s="251">
        <f t="shared" si="5"/>
        <v>1320.9777982582868</v>
      </c>
      <c r="N17" s="251"/>
    </row>
    <row r="18" spans="1:16" x14ac:dyDescent="0.25">
      <c r="A18" s="248" t="s">
        <v>264</v>
      </c>
      <c r="B18" s="253">
        <v>3.7199999999999997E-2</v>
      </c>
      <c r="C18" s="253">
        <v>3.7199999999999997E-2</v>
      </c>
      <c r="D18" s="253">
        <v>3.7199999999999997E-2</v>
      </c>
      <c r="E18" s="253">
        <v>3.7199999999999997E-2</v>
      </c>
      <c r="F18" s="253">
        <v>3.7199999999999997E-2</v>
      </c>
      <c r="G18" s="253">
        <v>3.7199999999999997E-2</v>
      </c>
      <c r="H18" s="253">
        <v>3.7199999999999997E-2</v>
      </c>
      <c r="I18" s="253">
        <v>3.7199999999999997E-2</v>
      </c>
      <c r="J18" s="253">
        <v>3.7199999999999997E-2</v>
      </c>
      <c r="K18" s="253">
        <v>3.7199999999999997E-2</v>
      </c>
      <c r="L18" s="253">
        <v>3.7199999999999997E-2</v>
      </c>
      <c r="M18" s="253">
        <v>3.7199999999999997E-2</v>
      </c>
      <c r="N18" s="252"/>
    </row>
    <row r="19" spans="1:16" x14ac:dyDescent="0.25">
      <c r="A19" s="248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</row>
    <row r="20" spans="1:16" s="189" customFormat="1" x14ac:dyDescent="0.25">
      <c r="A20" s="248" t="s">
        <v>277</v>
      </c>
      <c r="B20" s="255">
        <f t="shared" ref="B20:N20" si="6">B13+B16</f>
        <v>6737.4959508751563</v>
      </c>
      <c r="C20" s="255">
        <f t="shared" si="6"/>
        <v>6390.8945058612253</v>
      </c>
      <c r="D20" s="255">
        <f t="shared" si="6"/>
        <v>6774.0187356504903</v>
      </c>
      <c r="E20" s="255">
        <f t="shared" si="6"/>
        <v>6538.3000063007266</v>
      </c>
      <c r="F20" s="255">
        <f t="shared" si="6"/>
        <v>6670.5602985778187</v>
      </c>
      <c r="G20" s="255">
        <f t="shared" si="6"/>
        <v>6136.6505869767816</v>
      </c>
      <c r="H20" s="255">
        <f t="shared" si="6"/>
        <v>6332.5003215767465</v>
      </c>
      <c r="I20" s="255">
        <f t="shared" si="6"/>
        <v>6301.9056800123062</v>
      </c>
      <c r="J20" s="255">
        <f t="shared" si="6"/>
        <v>6562.891478190375</v>
      </c>
      <c r="K20" s="255">
        <f t="shared" si="6"/>
        <v>6541.0687831000596</v>
      </c>
      <c r="L20" s="255">
        <f t="shared" si="6"/>
        <v>6120.138307344565</v>
      </c>
      <c r="M20" s="255">
        <f t="shared" si="6"/>
        <v>7258.0432656170997</v>
      </c>
      <c r="N20" s="255">
        <f t="shared" si="6"/>
        <v>78364.467920083349</v>
      </c>
    </row>
    <row r="21" spans="1:16" s="189" customFormat="1" x14ac:dyDescent="0.25">
      <c r="A21" s="250" t="s">
        <v>278</v>
      </c>
      <c r="B21" s="269">
        <f>B20</f>
        <v>6737.4959508751563</v>
      </c>
      <c r="C21" s="269">
        <f t="shared" ref="C21" si="7">C20+B21</f>
        <v>13128.390456736382</v>
      </c>
      <c r="D21" s="269">
        <f t="shared" ref="D21" si="8">D20+C21</f>
        <v>19902.409192386873</v>
      </c>
      <c r="E21" s="269">
        <f t="shared" ref="E21" si="9">E20+D21</f>
        <v>26440.7091986876</v>
      </c>
      <c r="F21" s="269">
        <f t="shared" ref="F21" si="10">F20+E21</f>
        <v>33111.269497265421</v>
      </c>
      <c r="G21" s="269">
        <f t="shared" ref="G21" si="11">G20+F21</f>
        <v>39247.9200842422</v>
      </c>
      <c r="H21" s="269">
        <f t="shared" ref="H21" si="12">H20+G21</f>
        <v>45580.42040581895</v>
      </c>
      <c r="I21" s="269">
        <f t="shared" ref="I21" si="13">I20+H21</f>
        <v>51882.326085831257</v>
      </c>
      <c r="J21" s="269">
        <f t="shared" ref="J21" si="14">J20+I21</f>
        <v>58445.21756402163</v>
      </c>
      <c r="K21" s="269">
        <f t="shared" ref="K21" si="15">K20+J21</f>
        <v>64986.286347121692</v>
      </c>
      <c r="L21" s="269">
        <f t="shared" ref="L21" si="16">L20+K21</f>
        <v>71106.42465446626</v>
      </c>
      <c r="M21" s="269">
        <f t="shared" ref="M21" si="17">M20+L21</f>
        <v>78364.467920083363</v>
      </c>
      <c r="N21" s="270"/>
    </row>
    <row r="22" spans="1:16" x14ac:dyDescent="0.25">
      <c r="A22" s="256" t="s">
        <v>269</v>
      </c>
      <c r="B22" s="251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</row>
    <row r="23" spans="1:16" x14ac:dyDescent="0.25">
      <c r="A23" s="383" t="s">
        <v>248</v>
      </c>
      <c r="B23" s="251">
        <f>'Upstream Recovery'!K128/12*1000*'Upstream Allocation'!$R$32</f>
        <v>12218.337370122896</v>
      </c>
      <c r="C23" s="251">
        <f>B23</f>
        <v>12218.337370122896</v>
      </c>
      <c r="D23" s="251">
        <f t="shared" ref="D23" si="18">C23</f>
        <v>12218.337370122896</v>
      </c>
      <c r="E23" s="251">
        <f t="shared" ref="E23" si="19">D23</f>
        <v>12218.337370122896</v>
      </c>
      <c r="F23" s="251">
        <f t="shared" ref="F23" si="20">E23</f>
        <v>12218.337370122896</v>
      </c>
      <c r="G23" s="251">
        <f t="shared" ref="G23" si="21">F23</f>
        <v>12218.337370122896</v>
      </c>
      <c r="H23" s="251">
        <f t="shared" ref="H23" si="22">G23</f>
        <v>12218.337370122896</v>
      </c>
      <c r="I23" s="251">
        <f t="shared" ref="I23" si="23">H23</f>
        <v>12218.337370122896</v>
      </c>
      <c r="J23" s="251">
        <f t="shared" ref="J23" si="24">I23</f>
        <v>12218.337370122896</v>
      </c>
      <c r="K23" s="251">
        <f t="shared" ref="K23" si="25">J23</f>
        <v>12218.337370122896</v>
      </c>
      <c r="L23" s="251">
        <f t="shared" ref="L23" si="26">K23</f>
        <v>12218.337370122896</v>
      </c>
      <c r="M23" s="251">
        <f t="shared" ref="M23" si="27">L23</f>
        <v>12218.337370122896</v>
      </c>
      <c r="N23" s="251">
        <f>SUM(B23:M23)</f>
        <v>146620.04844147476</v>
      </c>
      <c r="P23" s="268"/>
    </row>
    <row r="24" spans="1:16" x14ac:dyDescent="0.25">
      <c r="A24" s="383" t="s">
        <v>249</v>
      </c>
      <c r="B24" s="251">
        <f>'S&amp;TVA - Continuity'!B76</f>
        <v>13648.6</v>
      </c>
      <c r="C24" s="251">
        <f>'S&amp;TVA - Continuity'!C76</f>
        <v>13648.6</v>
      </c>
      <c r="D24" s="251">
        <f>'S&amp;TVA - Continuity'!D76</f>
        <v>13648.6</v>
      </c>
      <c r="E24" s="251">
        <f>'S&amp;TVA - Continuity'!E76</f>
        <v>13648.6</v>
      </c>
      <c r="F24" s="251">
        <f>'S&amp;TVA - Continuity'!F76</f>
        <v>13648.6</v>
      </c>
      <c r="G24" s="251">
        <f>'S&amp;TVA - Continuity'!G76</f>
        <v>13648.6</v>
      </c>
      <c r="H24" s="251">
        <f>'S&amp;TVA - Continuity'!H76</f>
        <v>13648.6</v>
      </c>
      <c r="I24" s="251">
        <f>'S&amp;TVA - Continuity'!I76</f>
        <v>13648.6</v>
      </c>
      <c r="J24" s="251">
        <f>'S&amp;TVA - Continuity'!J76</f>
        <v>13648.6</v>
      </c>
      <c r="K24" s="251">
        <f>'S&amp;TVA - Continuity'!K76</f>
        <v>13648.6</v>
      </c>
      <c r="L24" s="251">
        <f>'S&amp;TVA - Continuity'!L76</f>
        <v>13648.6</v>
      </c>
      <c r="M24" s="251">
        <f>'S&amp;TVA - Continuity'!M76</f>
        <v>13648.6</v>
      </c>
      <c r="N24" s="251">
        <f>SUM(B24:M24)</f>
        <v>163783.20000000004</v>
      </c>
      <c r="P24" s="271"/>
    </row>
    <row r="25" spans="1:16" x14ac:dyDescent="0.25">
      <c r="A25" s="383"/>
      <c r="B25" s="251"/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251"/>
      <c r="N25" s="251"/>
    </row>
    <row r="26" spans="1:16" x14ac:dyDescent="0.25">
      <c r="A26" s="383" t="s">
        <v>247</v>
      </c>
      <c r="B26" s="251">
        <f>B23-B24</f>
        <v>-1430.2626298771047</v>
      </c>
      <c r="C26" s="251">
        <f t="shared" ref="C26:M26" si="28">C23-C24</f>
        <v>-1430.2626298771047</v>
      </c>
      <c r="D26" s="251">
        <f t="shared" si="28"/>
        <v>-1430.2626298771047</v>
      </c>
      <c r="E26" s="251">
        <f t="shared" si="28"/>
        <v>-1430.2626298771047</v>
      </c>
      <c r="F26" s="251">
        <f t="shared" si="28"/>
        <v>-1430.2626298771047</v>
      </c>
      <c r="G26" s="251">
        <f t="shared" si="28"/>
        <v>-1430.2626298771047</v>
      </c>
      <c r="H26" s="251">
        <f t="shared" si="28"/>
        <v>-1430.2626298771047</v>
      </c>
      <c r="I26" s="251">
        <f t="shared" si="28"/>
        <v>-1430.2626298771047</v>
      </c>
      <c r="J26" s="251">
        <f t="shared" si="28"/>
        <v>-1430.2626298771047</v>
      </c>
      <c r="K26" s="251">
        <f t="shared" si="28"/>
        <v>-1430.2626298771047</v>
      </c>
      <c r="L26" s="251">
        <f t="shared" si="28"/>
        <v>-1430.2626298771047</v>
      </c>
      <c r="M26" s="251">
        <f t="shared" si="28"/>
        <v>-1430.2626298771047</v>
      </c>
      <c r="N26" s="251">
        <f>SUM(B26:M26)</f>
        <v>-17163.151558525256</v>
      </c>
    </row>
    <row r="27" spans="1:16" x14ac:dyDescent="0.25">
      <c r="A27" s="248" t="s">
        <v>262</v>
      </c>
      <c r="B27" s="251">
        <f>B26</f>
        <v>-1430.2626298771047</v>
      </c>
      <c r="C27" s="251">
        <f t="shared" ref="C27" si="29">C26+B27</f>
        <v>-2860.5252597542094</v>
      </c>
      <c r="D27" s="251">
        <f t="shared" ref="D27" si="30">D26+C27</f>
        <v>-4290.7878896313141</v>
      </c>
      <c r="E27" s="251">
        <f t="shared" ref="E27" si="31">E26+D27</f>
        <v>-5721.0505195084188</v>
      </c>
      <c r="F27" s="251">
        <f t="shared" ref="F27" si="32">F26+E27</f>
        <v>-7151.3131493855235</v>
      </c>
      <c r="G27" s="251">
        <f t="shared" ref="G27" si="33">G26+F27</f>
        <v>-8581.5757792626282</v>
      </c>
      <c r="H27" s="251">
        <f t="shared" ref="H27" si="34">H26+G27</f>
        <v>-10011.838409139733</v>
      </c>
      <c r="I27" s="251">
        <f t="shared" ref="I27" si="35">I26+H27</f>
        <v>-11442.101039016838</v>
      </c>
      <c r="J27" s="251">
        <f t="shared" ref="J27" si="36">J26+I27</f>
        <v>-12872.363668893942</v>
      </c>
      <c r="K27" s="251">
        <f t="shared" ref="K27" si="37">K26+J27</f>
        <v>-14302.626298771047</v>
      </c>
      <c r="L27" s="251">
        <f t="shared" ref="L27" si="38">L26+K27</f>
        <v>-15732.888928648152</v>
      </c>
      <c r="M27" s="251">
        <f t="shared" ref="M27" si="39">M26+L27</f>
        <v>-17163.151558525256</v>
      </c>
      <c r="N27" s="251"/>
    </row>
    <row r="28" spans="1:16" x14ac:dyDescent="0.25">
      <c r="A28" s="248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</row>
    <row r="29" spans="1:16" x14ac:dyDescent="0.25">
      <c r="A29" s="248" t="s">
        <v>263</v>
      </c>
      <c r="B29" s="251">
        <v>0</v>
      </c>
      <c r="C29" s="251">
        <f>B27*C31/12</f>
        <v>-4.433814152619024</v>
      </c>
      <c r="D29" s="251">
        <f>C27*D31/12</f>
        <v>-8.867628305238048</v>
      </c>
      <c r="E29" s="251">
        <f>D27*E31/12</f>
        <v>-13.301442457857073</v>
      </c>
      <c r="F29" s="251">
        <f>E27*F31/12</f>
        <v>-17.735256610476096</v>
      </c>
      <c r="G29" s="251">
        <f>F27*G31/12</f>
        <v>-22.169070763095121</v>
      </c>
      <c r="H29" s="251">
        <f>G27*H31/12</f>
        <v>-26.602884915714146</v>
      </c>
      <c r="I29" s="251">
        <f>H27*I31/12</f>
        <v>-31.036699068333167</v>
      </c>
      <c r="J29" s="251">
        <f>I27*J31/12</f>
        <v>-35.470513220952192</v>
      </c>
      <c r="K29" s="251">
        <f>J27*K31/12</f>
        <v>-39.904327373571213</v>
      </c>
      <c r="L29" s="251">
        <f>K27*L31/12</f>
        <v>-44.338141526190242</v>
      </c>
      <c r="M29" s="251">
        <f>L27*M31/12</f>
        <v>-48.771955678809263</v>
      </c>
      <c r="N29" s="251">
        <f>SUM(B29:M29)</f>
        <v>-292.63173407285558</v>
      </c>
    </row>
    <row r="30" spans="1:16" x14ac:dyDescent="0.25">
      <c r="A30" s="248" t="s">
        <v>267</v>
      </c>
      <c r="B30" s="251">
        <f>B29</f>
        <v>0</v>
      </c>
      <c r="C30" s="251">
        <f>C29+B30</f>
        <v>-4.433814152619024</v>
      </c>
      <c r="D30" s="251">
        <f>D29+C30</f>
        <v>-13.301442457857071</v>
      </c>
      <c r="E30" s="251">
        <f>E29+D30</f>
        <v>-26.602884915714142</v>
      </c>
      <c r="F30" s="251">
        <f>F29+E30</f>
        <v>-44.338141526190242</v>
      </c>
      <c r="G30" s="251">
        <f>G29+F30</f>
        <v>-66.507212289285363</v>
      </c>
      <c r="H30" s="251">
        <f>H29+G30</f>
        <v>-93.110097204999505</v>
      </c>
      <c r="I30" s="251">
        <f>I29+H30</f>
        <v>-124.14679627333267</v>
      </c>
      <c r="J30" s="251">
        <f>J29+I30</f>
        <v>-159.61730949428485</v>
      </c>
      <c r="K30" s="251">
        <f>K29+J30</f>
        <v>-199.52163686785607</v>
      </c>
      <c r="L30" s="251">
        <f>L29+K30</f>
        <v>-243.85977839404632</v>
      </c>
      <c r="M30" s="251">
        <f>M29+L30</f>
        <v>-292.63173407285558</v>
      </c>
      <c r="N30" s="251"/>
    </row>
    <row r="31" spans="1:16" x14ac:dyDescent="0.25">
      <c r="A31" s="248" t="s">
        <v>264</v>
      </c>
      <c r="B31" s="253">
        <v>3.7199999999999997E-2</v>
      </c>
      <c r="C31" s="253">
        <v>3.7199999999999997E-2</v>
      </c>
      <c r="D31" s="253">
        <v>3.7199999999999997E-2</v>
      </c>
      <c r="E31" s="253">
        <v>3.7199999999999997E-2</v>
      </c>
      <c r="F31" s="253">
        <v>3.7199999999999997E-2</v>
      </c>
      <c r="G31" s="253">
        <v>3.7199999999999997E-2</v>
      </c>
      <c r="H31" s="253">
        <v>3.7199999999999997E-2</v>
      </c>
      <c r="I31" s="253">
        <v>3.7199999999999997E-2</v>
      </c>
      <c r="J31" s="253">
        <v>3.7199999999999997E-2</v>
      </c>
      <c r="K31" s="253">
        <v>3.7199999999999997E-2</v>
      </c>
      <c r="L31" s="253">
        <v>3.7199999999999997E-2</v>
      </c>
      <c r="M31" s="253">
        <v>3.7199999999999997E-2</v>
      </c>
      <c r="N31" s="252"/>
    </row>
    <row r="32" spans="1:16" x14ac:dyDescent="0.25">
      <c r="A32" s="248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</row>
    <row r="33" spans="1:19" s="189" customFormat="1" x14ac:dyDescent="0.25">
      <c r="A33" s="248" t="s">
        <v>279</v>
      </c>
      <c r="B33" s="255">
        <f>B26+B29</f>
        <v>-1430.2626298771047</v>
      </c>
      <c r="C33" s="255">
        <f>C26+C29</f>
        <v>-1434.6964440297238</v>
      </c>
      <c r="D33" s="255">
        <f>D26+D29</f>
        <v>-1439.1302581823427</v>
      </c>
      <c r="E33" s="255">
        <f>E26+E29</f>
        <v>-1443.5640723349618</v>
      </c>
      <c r="F33" s="255">
        <f>F26+F29</f>
        <v>-1447.9978864875809</v>
      </c>
      <c r="G33" s="255">
        <f>G26+G29</f>
        <v>-1452.4317006401998</v>
      </c>
      <c r="H33" s="255">
        <f>H26+H29</f>
        <v>-1456.8655147928189</v>
      </c>
      <c r="I33" s="255">
        <f>I26+I29</f>
        <v>-1461.2993289454378</v>
      </c>
      <c r="J33" s="255">
        <f>J26+J29</f>
        <v>-1465.7331430980569</v>
      </c>
      <c r="K33" s="255">
        <f>K26+K29</f>
        <v>-1470.166957250676</v>
      </c>
      <c r="L33" s="255">
        <f>L26+L29</f>
        <v>-1474.6007714032949</v>
      </c>
      <c r="M33" s="255">
        <f>M26+M29</f>
        <v>-1479.034585555914</v>
      </c>
      <c r="N33" s="255">
        <f>N26+N29</f>
        <v>-17455.783292598113</v>
      </c>
    </row>
    <row r="34" spans="1:19" s="189" customFormat="1" x14ac:dyDescent="0.25">
      <c r="A34" s="250" t="s">
        <v>280</v>
      </c>
      <c r="B34" s="269">
        <f>B33</f>
        <v>-1430.2626298771047</v>
      </c>
      <c r="C34" s="269">
        <f t="shared" ref="C34" si="40">C33+B34</f>
        <v>-2864.9590739068285</v>
      </c>
      <c r="D34" s="269">
        <f t="shared" ref="D34" si="41">D33+C34</f>
        <v>-4304.089332089171</v>
      </c>
      <c r="E34" s="269">
        <f t="shared" ref="E34" si="42">E33+D34</f>
        <v>-5747.6534044241325</v>
      </c>
      <c r="F34" s="269">
        <f t="shared" ref="F34" si="43">F33+E34</f>
        <v>-7195.6512909117137</v>
      </c>
      <c r="G34" s="269">
        <f t="shared" ref="G34" si="44">G33+F34</f>
        <v>-8648.0829915519134</v>
      </c>
      <c r="H34" s="269">
        <f t="shared" ref="H34" si="45">H33+G34</f>
        <v>-10104.948506344732</v>
      </c>
      <c r="I34" s="269">
        <f t="shared" ref="I34" si="46">I33+H34</f>
        <v>-11566.247835290169</v>
      </c>
      <c r="J34" s="269">
        <f t="shared" ref="J34" si="47">J33+I34</f>
        <v>-13031.980978388227</v>
      </c>
      <c r="K34" s="269">
        <f t="shared" ref="K34" si="48">K33+J34</f>
        <v>-14502.147935638903</v>
      </c>
      <c r="L34" s="269">
        <f t="shared" ref="L34" si="49">L33+K34</f>
        <v>-15976.748707042198</v>
      </c>
      <c r="M34" s="269">
        <f t="shared" ref="M34" si="50">M33+L34</f>
        <v>-17455.783292598113</v>
      </c>
      <c r="N34" s="270"/>
    </row>
    <row r="35" spans="1:19" x14ac:dyDescent="0.25">
      <c r="A35" s="256" t="s">
        <v>281</v>
      </c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189"/>
      <c r="P35" s="189"/>
      <c r="Q35" s="189"/>
      <c r="R35" s="189"/>
    </row>
    <row r="36" spans="1:19" x14ac:dyDescent="0.25">
      <c r="A36" s="383" t="s">
        <v>233</v>
      </c>
      <c r="B36" s="251">
        <f>B9+B23</f>
        <v>36491.533320998045</v>
      </c>
      <c r="C36" s="251">
        <f>C9+C23</f>
        <v>36124.045638536409</v>
      </c>
      <c r="D36" s="251">
        <f>D9+D23</f>
        <v>36487.422842693588</v>
      </c>
      <c r="E36" s="251">
        <f>E9+E23</f>
        <v>36230.830618378852</v>
      </c>
      <c r="F36" s="251">
        <f>F9+F23</f>
        <v>36343.012851586354</v>
      </c>
      <c r="G36" s="251">
        <f>G9+G23</f>
        <v>35788.677315992783</v>
      </c>
      <c r="H36" s="251">
        <f>H9+H23</f>
        <v>35965.819666760552</v>
      </c>
      <c r="I36" s="251">
        <f>I9+I23</f>
        <v>35915.968500076531</v>
      </c>
      <c r="J36" s="251">
        <f>J9+J23</f>
        <v>36157.852311751747</v>
      </c>
      <c r="K36" s="251">
        <f>K9+K23</f>
        <v>36116.177790342379</v>
      </c>
      <c r="L36" s="251">
        <f>L9+L23</f>
        <v>35675.524679284208</v>
      </c>
      <c r="M36" s="251">
        <f>M9+M23</f>
        <v>36795.073026898339</v>
      </c>
      <c r="N36" s="251">
        <f>SUM(B36:M36)</f>
        <v>434091.93856329977</v>
      </c>
      <c r="O36" s="189"/>
      <c r="P36" s="189"/>
      <c r="Q36" s="189"/>
      <c r="R36" s="189"/>
    </row>
    <row r="37" spans="1:19" x14ac:dyDescent="0.25">
      <c r="A37" s="383" t="s">
        <v>249</v>
      </c>
      <c r="B37" s="381">
        <f>B11+B24</f>
        <v>31184.299999999996</v>
      </c>
      <c r="C37" s="381">
        <f>C11+C24</f>
        <v>31184.299999999996</v>
      </c>
      <c r="D37" s="381">
        <f>D11+D24</f>
        <v>31184.299999999996</v>
      </c>
      <c r="E37" s="381">
        <f>E11+E24</f>
        <v>31184.299999999996</v>
      </c>
      <c r="F37" s="381">
        <f>F11+F24</f>
        <v>31184.299999999996</v>
      </c>
      <c r="G37" s="381">
        <f>G11+G24</f>
        <v>31184.299999999996</v>
      </c>
      <c r="H37" s="381">
        <f>H11+H24</f>
        <v>31184.299999999996</v>
      </c>
      <c r="I37" s="381">
        <f>I11+I24</f>
        <v>31184.299999999996</v>
      </c>
      <c r="J37" s="381">
        <f>J11+J24</f>
        <v>31184.299999999996</v>
      </c>
      <c r="K37" s="381">
        <f>K11+K24</f>
        <v>31184.299999999996</v>
      </c>
      <c r="L37" s="381">
        <f>L11+L24</f>
        <v>31184.299999999996</v>
      </c>
      <c r="M37" s="381">
        <f>M11+M24</f>
        <v>31184.299999999996</v>
      </c>
      <c r="N37" s="381">
        <f>SUM(B37:M37)</f>
        <v>374211.59999999992</v>
      </c>
      <c r="O37" s="189"/>
      <c r="P37" s="189"/>
      <c r="Q37" s="189"/>
      <c r="R37" s="189"/>
    </row>
    <row r="38" spans="1:19" s="380" customFormat="1" x14ac:dyDescent="0.25">
      <c r="A38" s="384" t="s">
        <v>247</v>
      </c>
      <c r="B38" s="379">
        <f>B36-B37</f>
        <v>5307.2333209980497</v>
      </c>
      <c r="C38" s="379">
        <f>C36-C37</f>
        <v>4939.745638536413</v>
      </c>
      <c r="D38" s="379">
        <f>D36-D37</f>
        <v>5303.1228426935922</v>
      </c>
      <c r="E38" s="379">
        <f>E36-E37</f>
        <v>5046.5306183788562</v>
      </c>
      <c r="F38" s="379">
        <f>F36-F37</f>
        <v>5158.7128515863587</v>
      </c>
      <c r="G38" s="379">
        <f>G36-G37</f>
        <v>4604.3773159927878</v>
      </c>
      <c r="H38" s="379">
        <f>H36-H37</f>
        <v>4781.519666760556</v>
      </c>
      <c r="I38" s="379">
        <f>I36-I37</f>
        <v>4731.6685000765356</v>
      </c>
      <c r="J38" s="379">
        <f>J36-J37</f>
        <v>4973.5523117517514</v>
      </c>
      <c r="K38" s="379">
        <f>K36-K37</f>
        <v>4931.8777903423834</v>
      </c>
      <c r="L38" s="379">
        <f>L36-L37</f>
        <v>4491.2246792842125</v>
      </c>
      <c r="M38" s="379">
        <f>M36-M37</f>
        <v>5610.7730268983432</v>
      </c>
      <c r="N38" s="379">
        <f>SUM(B38:M38)</f>
        <v>59880.33856329984</v>
      </c>
      <c r="O38" s="378"/>
      <c r="P38" s="378"/>
      <c r="Q38" s="378"/>
      <c r="R38" s="378"/>
    </row>
    <row r="39" spans="1:19" s="380" customFormat="1" x14ac:dyDescent="0.25">
      <c r="A39" s="384"/>
      <c r="B39" s="379"/>
      <c r="C39" s="379"/>
      <c r="D39" s="379"/>
      <c r="E39" s="379"/>
      <c r="F39" s="379"/>
      <c r="G39" s="379"/>
      <c r="H39" s="379"/>
      <c r="I39" s="379"/>
      <c r="J39" s="379"/>
      <c r="K39" s="379"/>
      <c r="L39" s="379"/>
      <c r="M39" s="379"/>
      <c r="N39" s="379"/>
      <c r="O39" s="378"/>
      <c r="P39" s="378"/>
      <c r="Q39" s="378"/>
      <c r="R39" s="378"/>
    </row>
    <row r="40" spans="1:19" s="380" customFormat="1" x14ac:dyDescent="0.25">
      <c r="A40" s="384" t="s">
        <v>263</v>
      </c>
      <c r="B40" s="379">
        <f>B16+B29</f>
        <v>0</v>
      </c>
      <c r="C40" s="379">
        <f>C16+C29</f>
        <v>16.452423295093958</v>
      </c>
      <c r="D40" s="379">
        <f>D16+D29</f>
        <v>31.765634774556816</v>
      </c>
      <c r="E40" s="379">
        <f>E16+E29</f>
        <v>48.205315586906949</v>
      </c>
      <c r="F40" s="379">
        <f>F16+F29</f>
        <v>63.849560503881406</v>
      </c>
      <c r="G40" s="379">
        <f>G16+G29</f>
        <v>79.84157034379912</v>
      </c>
      <c r="H40" s="379">
        <f>H16+H29</f>
        <v>94.115140023376739</v>
      </c>
      <c r="I40" s="379">
        <f>I16+I29</f>
        <v>108.93785099033444</v>
      </c>
      <c r="J40" s="379">
        <f>J16+J29</f>
        <v>123.60602334057168</v>
      </c>
      <c r="K40" s="379">
        <f>K16+K29</f>
        <v>139.02403550700211</v>
      </c>
      <c r="L40" s="379">
        <f>L16+L29</f>
        <v>154.31285665706346</v>
      </c>
      <c r="M40" s="379">
        <f>M16+M29</f>
        <v>168.23565316284453</v>
      </c>
      <c r="N40" s="379">
        <f>N16+N29</f>
        <v>1028.3460641854313</v>
      </c>
    </row>
    <row r="41" spans="1:19" x14ac:dyDescent="0.25">
      <c r="A41" s="383"/>
      <c r="B41" s="251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</row>
    <row r="42" spans="1:19" s="189" customFormat="1" x14ac:dyDescent="0.25">
      <c r="A42" s="383" t="s">
        <v>265</v>
      </c>
      <c r="B42" s="255">
        <f>B38+B40</f>
        <v>5307.2333209980497</v>
      </c>
      <c r="C42" s="255">
        <f>C38+C40</f>
        <v>4956.1980618315074</v>
      </c>
      <c r="D42" s="255">
        <f>D38+D40</f>
        <v>5334.8884774681492</v>
      </c>
      <c r="E42" s="255">
        <f>E38+E40</f>
        <v>5094.7359339657633</v>
      </c>
      <c r="F42" s="255">
        <f>F38+F40</f>
        <v>5222.5624120902403</v>
      </c>
      <c r="G42" s="255">
        <f>G38+G40</f>
        <v>4684.2188863365873</v>
      </c>
      <c r="H42" s="255">
        <f>H38+H40</f>
        <v>4875.6348067839326</v>
      </c>
      <c r="I42" s="255">
        <f>I38+I40</f>
        <v>4840.60635106687</v>
      </c>
      <c r="J42" s="255">
        <f>J38+J40</f>
        <v>5097.1583350923229</v>
      </c>
      <c r="K42" s="255">
        <f>K38+K40</f>
        <v>5070.9018258493852</v>
      </c>
      <c r="L42" s="255">
        <f>L38+L40</f>
        <v>4645.5375359412756</v>
      </c>
      <c r="M42" s="255">
        <f>M38+M40</f>
        <v>5779.008680061188</v>
      </c>
      <c r="N42" s="255">
        <f>N38+N40</f>
        <v>60908.684627485272</v>
      </c>
      <c r="O42"/>
      <c r="P42"/>
      <c r="Q42"/>
      <c r="R42"/>
      <c r="S42"/>
    </row>
    <row r="43" spans="1:19" s="189" customFormat="1" x14ac:dyDescent="0.25">
      <c r="A43" s="250" t="s">
        <v>282</v>
      </c>
      <c r="B43" s="269">
        <f>B42</f>
        <v>5307.2333209980497</v>
      </c>
      <c r="C43" s="269">
        <f t="shared" ref="C43" si="51">C42+B43</f>
        <v>10263.431382829556</v>
      </c>
      <c r="D43" s="269">
        <f t="shared" ref="D43" si="52">D42+C43</f>
        <v>15598.319860297706</v>
      </c>
      <c r="E43" s="269">
        <f t="shared" ref="E43" si="53">E42+D43</f>
        <v>20693.05579426347</v>
      </c>
      <c r="F43" s="269">
        <f t="shared" ref="F43" si="54">F42+E43</f>
        <v>25915.618206353709</v>
      </c>
      <c r="G43" s="269">
        <f t="shared" ref="G43" si="55">G42+F43</f>
        <v>30599.837092690297</v>
      </c>
      <c r="H43" s="269">
        <f t="shared" ref="H43" si="56">H42+G43</f>
        <v>35475.471899474229</v>
      </c>
      <c r="I43" s="269">
        <f t="shared" ref="I43" si="57">I42+H43</f>
        <v>40316.078250541097</v>
      </c>
      <c r="J43" s="269">
        <f t="shared" ref="J43" si="58">J42+I43</f>
        <v>45413.236585633422</v>
      </c>
      <c r="K43" s="269">
        <f t="shared" ref="K43" si="59">K42+J43</f>
        <v>50484.138411482811</v>
      </c>
      <c r="L43" s="269">
        <f t="shared" ref="L43" si="60">L42+K43</f>
        <v>55129.675947424083</v>
      </c>
      <c r="M43" s="269">
        <f t="shared" ref="M43" si="61">M42+L43</f>
        <v>60908.684627485272</v>
      </c>
      <c r="N43" s="270"/>
      <c r="O43"/>
      <c r="P43"/>
      <c r="Q43"/>
      <c r="R43"/>
      <c r="S43"/>
    </row>
    <row r="46" spans="1:19" x14ac:dyDescent="0.25">
      <c r="N46" s="249"/>
    </row>
    <row r="47" spans="1:19" x14ac:dyDescent="0.25">
      <c r="N47" s="249"/>
    </row>
  </sheetData>
  <sheetProtection sheet="1" objects="1" scenarios="1"/>
  <mergeCells count="1">
    <mergeCell ref="A1:A2"/>
  </mergeCells>
  <pageMargins left="0.7" right="0.7" top="0.75" bottom="0.75" header="0.3" footer="0.3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tabColor rgb="FF92D050"/>
    <pageSetUpPr fitToPage="1"/>
  </sheetPr>
  <dimension ref="A1:N86"/>
  <sheetViews>
    <sheetView showGridLines="0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T12" sqref="T12"/>
    </sheetView>
  </sheetViews>
  <sheetFormatPr defaultRowHeight="15" x14ac:dyDescent="0.25"/>
  <cols>
    <col min="1" max="1" width="26.7109375" style="189" customWidth="1"/>
    <col min="2" max="2" width="12.5703125" style="247" customWidth="1"/>
    <col min="3" max="3" width="11.28515625" style="247" customWidth="1"/>
    <col min="4" max="4" width="11.5703125" style="247" customWidth="1"/>
    <col min="5" max="12" width="10.7109375" style="247" customWidth="1"/>
    <col min="13" max="13" width="12.85546875" style="247" customWidth="1"/>
    <col min="14" max="14" width="12.42578125" style="247" customWidth="1"/>
  </cols>
  <sheetData>
    <row r="1" spans="1:14" s="189" customFormat="1" ht="21" customHeight="1" x14ac:dyDescent="0.25">
      <c r="A1" s="382" t="s">
        <v>187</v>
      </c>
      <c r="B1" s="345">
        <v>2025</v>
      </c>
      <c r="C1" s="345">
        <v>2025</v>
      </c>
      <c r="D1" s="345">
        <v>2025</v>
      </c>
      <c r="E1" s="345">
        <v>2025</v>
      </c>
      <c r="F1" s="345">
        <v>2025</v>
      </c>
      <c r="G1" s="345">
        <v>2025</v>
      </c>
      <c r="H1" s="345">
        <v>2025</v>
      </c>
      <c r="I1" s="345">
        <v>2025</v>
      </c>
      <c r="J1" s="345">
        <v>2025</v>
      </c>
      <c r="K1" s="345">
        <v>2025</v>
      </c>
      <c r="L1" s="345">
        <v>2025</v>
      </c>
      <c r="M1" s="345">
        <v>2025</v>
      </c>
      <c r="N1" s="345">
        <v>2025</v>
      </c>
    </row>
    <row r="2" spans="1:14" s="189" customFormat="1" x14ac:dyDescent="0.25">
      <c r="A2" s="349"/>
      <c r="B2" s="254" t="s">
        <v>250</v>
      </c>
      <c r="C2" s="254" t="s">
        <v>251</v>
      </c>
      <c r="D2" s="254" t="s">
        <v>252</v>
      </c>
      <c r="E2" s="254" t="s">
        <v>253</v>
      </c>
      <c r="F2" s="254" t="s">
        <v>254</v>
      </c>
      <c r="G2" s="254" t="s">
        <v>255</v>
      </c>
      <c r="H2" s="254" t="s">
        <v>256</v>
      </c>
      <c r="I2" s="254" t="s">
        <v>257</v>
      </c>
      <c r="J2" s="254" t="s">
        <v>258</v>
      </c>
      <c r="K2" s="254" t="s">
        <v>259</v>
      </c>
      <c r="L2" s="254" t="s">
        <v>260</v>
      </c>
      <c r="M2" s="254" t="s">
        <v>261</v>
      </c>
      <c r="N2" s="254" t="s">
        <v>183</v>
      </c>
    </row>
    <row r="3" spans="1:14" x14ac:dyDescent="0.25">
      <c r="A3" s="256" t="s">
        <v>268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</row>
    <row r="4" spans="1:14" x14ac:dyDescent="0.25">
      <c r="A4" s="248" t="s">
        <v>31</v>
      </c>
      <c r="B4" s="251">
        <f>SUM(B54:B60)</f>
        <v>7179.33</v>
      </c>
      <c r="C4" s="251">
        <f t="shared" ref="C4:M4" si="0">SUM(C54:C60)</f>
        <v>7262.73</v>
      </c>
      <c r="D4" s="251">
        <f t="shared" si="0"/>
        <v>7223.7099999999991</v>
      </c>
      <c r="E4" s="251">
        <f t="shared" si="0"/>
        <v>7612.33</v>
      </c>
      <c r="F4" s="251">
        <f t="shared" si="0"/>
        <v>7222.83</v>
      </c>
      <c r="G4" s="251">
        <f t="shared" si="0"/>
        <v>7182.51</v>
      </c>
      <c r="H4" s="251">
        <f t="shared" si="0"/>
        <v>7173.74</v>
      </c>
      <c r="I4" s="251">
        <f t="shared" si="0"/>
        <v>7166.47</v>
      </c>
      <c r="J4" s="251">
        <f t="shared" si="0"/>
        <v>7137.68</v>
      </c>
      <c r="K4" s="251">
        <f t="shared" si="0"/>
        <v>7083.33</v>
      </c>
      <c r="L4" s="251">
        <f t="shared" si="0"/>
        <v>7083.33</v>
      </c>
      <c r="M4" s="251">
        <f t="shared" si="0"/>
        <v>7273.92</v>
      </c>
      <c r="N4" s="251">
        <f>SUM(B4:M4)</f>
        <v>86601.91</v>
      </c>
    </row>
    <row r="5" spans="1:14" x14ac:dyDescent="0.25">
      <c r="A5" s="248" t="s">
        <v>185</v>
      </c>
      <c r="B5" s="251">
        <f>Allocation!C3-B4</f>
        <v>28329.144177880044</v>
      </c>
      <c r="C5" s="251">
        <f>Allocation!D3-C4</f>
        <v>28256.519642501687</v>
      </c>
      <c r="D5" s="251">
        <f>Allocation!E3-D4</f>
        <v>28001.842052947701</v>
      </c>
      <c r="E5" s="251">
        <f>Allocation!F3-E4</f>
        <v>27828.591699626435</v>
      </c>
      <c r="F5" s="251">
        <f>Allocation!G3-F4</f>
        <v>27449.236433822945</v>
      </c>
      <c r="G5" s="251">
        <f>Allocation!H3-G4</f>
        <v>27154.325654130116</v>
      </c>
      <c r="H5" s="251">
        <f>Allocation!I3-H4</f>
        <v>27160.833303362349</v>
      </c>
      <c r="I5" s="251">
        <f>Allocation!J3-I4</f>
        <v>27166.414870046363</v>
      </c>
      <c r="J5" s="251">
        <f>Allocation!K3-J4</f>
        <v>27191.523258371148</v>
      </c>
      <c r="K5" s="251">
        <f>Allocation!L3-K4</f>
        <v>27591.683773282915</v>
      </c>
      <c r="L5" s="251">
        <f>Allocation!M3-L4</f>
        <v>28541.876387237091</v>
      </c>
      <c r="M5" s="251">
        <f>Allocation!N3-M4</f>
        <v>28238.690600394155</v>
      </c>
      <c r="N5" s="251">
        <f t="shared" ref="N5:N9" si="1">SUM(B5:M5)</f>
        <v>332910.68185360299</v>
      </c>
    </row>
    <row r="6" spans="1:14" x14ac:dyDescent="0.25">
      <c r="A6" s="248" t="s">
        <v>319</v>
      </c>
      <c r="B6" s="251">
        <f>'Fuel Costs'!B14</f>
        <v>2592.1424405218727</v>
      </c>
      <c r="C6" s="251">
        <f>'Fuel Costs'!C14</f>
        <v>2247.2202609363007</v>
      </c>
      <c r="D6" s="251">
        <f>'Fuel Costs'!D14</f>
        <v>1672.3499616270144</v>
      </c>
      <c r="E6" s="251">
        <f>'Fuel Costs'!E14</f>
        <v>799.38206048180393</v>
      </c>
      <c r="F6" s="251">
        <f>'Fuel Costs'!F14</f>
        <v>420.18800615069188</v>
      </c>
      <c r="G6" s="251">
        <f>'Fuel Costs'!G14</f>
        <v>153.72731932342384</v>
      </c>
      <c r="H6" s="251">
        <f>'Fuel Costs'!H14</f>
        <v>183.41094310609938</v>
      </c>
      <c r="I6" s="251">
        <f>'Fuel Costs'!I14</f>
        <v>169.30240902101482</v>
      </c>
      <c r="J6" s="251">
        <f>'Fuel Costs'!J14</f>
        <v>159.89671963095847</v>
      </c>
      <c r="K6" s="251">
        <f>'Fuel Costs'!K14</f>
        <v>421.93234238851869</v>
      </c>
      <c r="L6" s="251">
        <f>'Fuel Costs'!L14</f>
        <v>4008.357252690927</v>
      </c>
      <c r="M6" s="251">
        <f>'Fuel Costs'!M14</f>
        <v>3118.080010251153</v>
      </c>
      <c r="N6" s="251">
        <f t="shared" si="1"/>
        <v>15945.989726129779</v>
      </c>
    </row>
    <row r="7" spans="1:14" x14ac:dyDescent="0.25">
      <c r="A7" s="248" t="s">
        <v>320</v>
      </c>
      <c r="B7" s="251">
        <f>Allocation!C8</f>
        <v>6993.5980302464013</v>
      </c>
      <c r="C7" s="251">
        <f>Allocation!D8</f>
        <v>6457.9080890847999</v>
      </c>
      <c r="D7" s="251">
        <f>Allocation!E8</f>
        <v>5779.1584744816</v>
      </c>
      <c r="E7" s="251">
        <f>Allocation!F8</f>
        <v>5099.4610521176</v>
      </c>
      <c r="F7" s="251">
        <f>Allocation!G8</f>
        <v>4385.7440847135995</v>
      </c>
      <c r="G7" s="251">
        <f>Allocation!H8</f>
        <v>3876.6543999999999</v>
      </c>
      <c r="H7" s="251">
        <f>Allocation!I8</f>
        <v>3975.0763999999999</v>
      </c>
      <c r="I7" s="251">
        <f>Allocation!J8</f>
        <v>4140.71</v>
      </c>
      <c r="J7" s="251">
        <f>Allocation!K8</f>
        <v>3954.3107999999997</v>
      </c>
      <c r="K7" s="251">
        <f>Allocation!L8</f>
        <v>4868.6038064976001</v>
      </c>
      <c r="L7" s="251">
        <f>Allocation!M8</f>
        <v>7753.9503036015985</v>
      </c>
      <c r="M7" s="251">
        <f>Allocation!N8</f>
        <v>-1917.3192571695995</v>
      </c>
      <c r="N7" s="251">
        <f t="shared" si="1"/>
        <v>55367.856183573596</v>
      </c>
    </row>
    <row r="8" spans="1:14" x14ac:dyDescent="0.25">
      <c r="A8" s="248" t="s">
        <v>186</v>
      </c>
      <c r="B8" s="251">
        <f>240211/12</f>
        <v>20017.583333333332</v>
      </c>
      <c r="C8" s="251">
        <f>B8</f>
        <v>20017.583333333332</v>
      </c>
      <c r="D8" s="251">
        <f t="shared" ref="D8:J8" si="2">C8</f>
        <v>20017.583333333332</v>
      </c>
      <c r="E8" s="251">
        <f t="shared" si="2"/>
        <v>20017.583333333332</v>
      </c>
      <c r="F8" s="251">
        <f t="shared" si="2"/>
        <v>20017.583333333332</v>
      </c>
      <c r="G8" s="251">
        <f t="shared" si="2"/>
        <v>20017.583333333332</v>
      </c>
      <c r="H8" s="251">
        <f t="shared" si="2"/>
        <v>20017.583333333332</v>
      </c>
      <c r="I8" s="251">
        <f t="shared" si="2"/>
        <v>20017.583333333332</v>
      </c>
      <c r="J8" s="251">
        <f t="shared" si="2"/>
        <v>20017.583333333332</v>
      </c>
      <c r="K8" s="251">
        <v>-230.75</v>
      </c>
      <c r="L8" s="251">
        <f>K8</f>
        <v>-230.75</v>
      </c>
      <c r="M8" s="251">
        <f>L8</f>
        <v>-230.75</v>
      </c>
      <c r="N8" s="251">
        <f t="shared" si="1"/>
        <v>179466</v>
      </c>
    </row>
    <row r="9" spans="1:14" x14ac:dyDescent="0.25">
      <c r="A9" s="248" t="s">
        <v>188</v>
      </c>
      <c r="B9" s="381">
        <v>0</v>
      </c>
      <c r="C9" s="381">
        <v>0</v>
      </c>
      <c r="D9" s="381">
        <v>0</v>
      </c>
      <c r="E9" s="381">
        <v>0</v>
      </c>
      <c r="F9" s="381">
        <v>0</v>
      </c>
      <c r="G9" s="381">
        <v>0</v>
      </c>
      <c r="H9" s="381">
        <v>0</v>
      </c>
      <c r="I9" s="381">
        <v>0</v>
      </c>
      <c r="J9" s="381">
        <v>0</v>
      </c>
      <c r="K9" s="381">
        <v>78721.37</v>
      </c>
      <c r="L9" s="381">
        <v>222070.2</v>
      </c>
      <c r="M9" s="381">
        <v>70967.460000000006</v>
      </c>
      <c r="N9" s="381">
        <f t="shared" si="1"/>
        <v>371759.03</v>
      </c>
    </row>
    <row r="10" spans="1:14" s="189" customFormat="1" x14ac:dyDescent="0.25">
      <c r="A10" s="248" t="s">
        <v>266</v>
      </c>
      <c r="B10" s="255">
        <f t="shared" ref="B10:N10" si="3">SUM(B4:B9)</f>
        <v>65111.797981981654</v>
      </c>
      <c r="C10" s="255">
        <f t="shared" si="3"/>
        <v>64241.961325856115</v>
      </c>
      <c r="D10" s="255">
        <f t="shared" si="3"/>
        <v>62694.64382238964</v>
      </c>
      <c r="E10" s="255">
        <f t="shared" si="3"/>
        <v>61357.348145559168</v>
      </c>
      <c r="F10" s="255">
        <f t="shared" si="3"/>
        <v>59495.581858020567</v>
      </c>
      <c r="G10" s="255">
        <f t="shared" si="3"/>
        <v>58384.800706786875</v>
      </c>
      <c r="H10" s="255">
        <f t="shared" si="3"/>
        <v>58510.643979801782</v>
      </c>
      <c r="I10" s="255">
        <f t="shared" si="3"/>
        <v>58660.480612400715</v>
      </c>
      <c r="J10" s="255">
        <f t="shared" si="3"/>
        <v>58460.994111335443</v>
      </c>
      <c r="K10" s="255">
        <f t="shared" si="3"/>
        <v>118456.16992216904</v>
      </c>
      <c r="L10" s="255">
        <f t="shared" si="3"/>
        <v>269226.96394352964</v>
      </c>
      <c r="M10" s="255">
        <f t="shared" si="3"/>
        <v>107450.08135347572</v>
      </c>
      <c r="N10" s="255">
        <f t="shared" si="3"/>
        <v>1042051.4677633065</v>
      </c>
    </row>
    <row r="11" spans="1:14" x14ac:dyDescent="0.25">
      <c r="A11" s="248"/>
      <c r="B11" s="251"/>
      <c r="C11" s="251"/>
      <c r="D11" s="251"/>
      <c r="E11" s="251"/>
      <c r="F11" s="251"/>
      <c r="G11" s="251"/>
      <c r="H11" s="251"/>
      <c r="I11" s="251"/>
      <c r="J11" s="251"/>
      <c r="K11" s="251"/>
      <c r="L11" s="251"/>
      <c r="M11" s="251"/>
      <c r="N11" s="251"/>
    </row>
    <row r="12" spans="1:14" s="189" customFormat="1" x14ac:dyDescent="0.25">
      <c r="A12" s="248" t="s">
        <v>249</v>
      </c>
      <c r="B12" s="302">
        <f>B81</f>
        <v>81354.010000000068</v>
      </c>
      <c r="C12" s="302">
        <f t="shared" ref="C12:M12" si="4">C81</f>
        <v>72489.340000000055</v>
      </c>
      <c r="D12" s="302">
        <f t="shared" si="4"/>
        <v>71105.2</v>
      </c>
      <c r="E12" s="302">
        <f t="shared" si="4"/>
        <v>49133.789999999921</v>
      </c>
      <c r="F12" s="302">
        <f t="shared" si="4"/>
        <v>33295.059999999961</v>
      </c>
      <c r="G12" s="302">
        <f t="shared" si="4"/>
        <v>23226.139999999948</v>
      </c>
      <c r="H12" s="302">
        <f t="shared" si="4"/>
        <v>7201.4400000000232</v>
      </c>
      <c r="I12" s="302">
        <f t="shared" si="4"/>
        <v>5854.6800000000103</v>
      </c>
      <c r="J12" s="302">
        <f t="shared" si="4"/>
        <v>7028.0000000000264</v>
      </c>
      <c r="K12" s="302">
        <f t="shared" si="4"/>
        <v>7349.7700000000168</v>
      </c>
      <c r="L12" s="302">
        <f t="shared" si="4"/>
        <v>25202.839999999997</v>
      </c>
      <c r="M12" s="302">
        <f t="shared" si="4"/>
        <v>62866.31999999992</v>
      </c>
      <c r="N12" s="255">
        <f>SUM(B12:M12)</f>
        <v>446106.58999999985</v>
      </c>
    </row>
    <row r="13" spans="1:14" x14ac:dyDescent="0.25">
      <c r="A13" s="248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</row>
    <row r="14" spans="1:14" x14ac:dyDescent="0.25">
      <c r="A14" s="248" t="s">
        <v>247</v>
      </c>
      <c r="B14" s="251">
        <f>B10-B12</f>
        <v>-16242.212018018414</v>
      </c>
      <c r="C14" s="251">
        <f t="shared" ref="C14:M14" si="5">C10-C12</f>
        <v>-8247.3786741439399</v>
      </c>
      <c r="D14" s="251">
        <f t="shared" si="5"/>
        <v>-8410.5561776103568</v>
      </c>
      <c r="E14" s="251">
        <f t="shared" si="5"/>
        <v>12223.558145559247</v>
      </c>
      <c r="F14" s="251">
        <f t="shared" si="5"/>
        <v>26200.521858020606</v>
      </c>
      <c r="G14" s="251">
        <f t="shared" si="5"/>
        <v>35158.660706786926</v>
      </c>
      <c r="H14" s="251">
        <f t="shared" si="5"/>
        <v>51309.203979801758</v>
      </c>
      <c r="I14" s="251">
        <f t="shared" si="5"/>
        <v>52805.800612400708</v>
      </c>
      <c r="J14" s="251">
        <f t="shared" si="5"/>
        <v>51432.994111335414</v>
      </c>
      <c r="K14" s="251">
        <f t="shared" si="5"/>
        <v>111106.39992216902</v>
      </c>
      <c r="L14" s="251">
        <f t="shared" si="5"/>
        <v>244024.12394352964</v>
      </c>
      <c r="M14" s="251">
        <f t="shared" si="5"/>
        <v>44583.761353475798</v>
      </c>
      <c r="N14" s="251">
        <f>SUM(B14:M14)</f>
        <v>595944.87776330649</v>
      </c>
    </row>
    <row r="15" spans="1:14" x14ac:dyDescent="0.25">
      <c r="A15" s="248" t="s">
        <v>262</v>
      </c>
      <c r="B15" s="385">
        <f>B14</f>
        <v>-16242.212018018414</v>
      </c>
      <c r="C15" s="385">
        <f t="shared" ref="C15" si="6">C14+B15</f>
        <v>-24489.590692162354</v>
      </c>
      <c r="D15" s="385">
        <f t="shared" ref="D15" si="7">D14+C15</f>
        <v>-32900.14686977271</v>
      </c>
      <c r="E15" s="385">
        <f t="shared" ref="E15" si="8">E14+D15</f>
        <v>-20676.588724213463</v>
      </c>
      <c r="F15" s="385">
        <f t="shared" ref="F15" si="9">F14+E15</f>
        <v>5523.9331338071424</v>
      </c>
      <c r="G15" s="385">
        <f t="shared" ref="G15" si="10">G14+F15</f>
        <v>40682.593840594069</v>
      </c>
      <c r="H15" s="385">
        <f t="shared" ref="H15" si="11">H14+G15</f>
        <v>91991.797820395819</v>
      </c>
      <c r="I15" s="385">
        <f t="shared" ref="I15" si="12">I14+H15</f>
        <v>144797.59843279654</v>
      </c>
      <c r="J15" s="385">
        <f t="shared" ref="J15" si="13">J14+I15</f>
        <v>196230.59254413197</v>
      </c>
      <c r="K15" s="385">
        <f t="shared" ref="K15" si="14">K14+J15</f>
        <v>307336.99246630096</v>
      </c>
      <c r="L15" s="385">
        <f t="shared" ref="L15" si="15">L14+K15</f>
        <v>551361.11640983063</v>
      </c>
      <c r="M15" s="385">
        <f t="shared" ref="M15" si="16">M14+L15</f>
        <v>595944.87776330649</v>
      </c>
      <c r="N15" s="385"/>
    </row>
    <row r="16" spans="1:14" x14ac:dyDescent="0.25">
      <c r="A16" s="248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</row>
    <row r="17" spans="1:14" x14ac:dyDescent="0.25">
      <c r="A17" s="248" t="s">
        <v>263</v>
      </c>
      <c r="B17" s="251">
        <v>0</v>
      </c>
      <c r="C17" s="251">
        <f t="shared" ref="C17:M17" si="17">B15*C19/12</f>
        <v>-50.350857255857079</v>
      </c>
      <c r="D17" s="251">
        <f t="shared" si="17"/>
        <v>-75.917731145703286</v>
      </c>
      <c r="E17" s="251">
        <f t="shared" si="17"/>
        <v>-101.99045529629539</v>
      </c>
      <c r="F17" s="251">
        <f t="shared" si="17"/>
        <v>-64.097425045061726</v>
      </c>
      <c r="G17" s="251">
        <f t="shared" si="17"/>
        <v>17.124192714802138</v>
      </c>
      <c r="H17" s="251">
        <f t="shared" si="17"/>
        <v>126.1160409058416</v>
      </c>
      <c r="I17" s="251">
        <f t="shared" si="17"/>
        <v>285.17457324322703</v>
      </c>
      <c r="J17" s="251">
        <f t="shared" si="17"/>
        <v>448.87255514166924</v>
      </c>
      <c r="K17" s="251">
        <f t="shared" si="17"/>
        <v>608.31483688680908</v>
      </c>
      <c r="L17" s="251">
        <f t="shared" si="17"/>
        <v>952.74467664553288</v>
      </c>
      <c r="M17" s="251">
        <f t="shared" si="17"/>
        <v>1709.2194608704749</v>
      </c>
      <c r="N17" s="251">
        <f>SUM(B17:M17)</f>
        <v>3855.2098676654391</v>
      </c>
    </row>
    <row r="18" spans="1:14" x14ac:dyDescent="0.25">
      <c r="A18" s="248" t="s">
        <v>267</v>
      </c>
      <c r="B18" s="251">
        <v>0</v>
      </c>
      <c r="C18" s="251">
        <f t="shared" ref="C18" si="18">C17+B18</f>
        <v>-50.350857255857079</v>
      </c>
      <c r="D18" s="251">
        <f t="shared" ref="D18" si="19">D17+C18</f>
        <v>-126.26858840156036</v>
      </c>
      <c r="E18" s="251">
        <f t="shared" ref="E18" si="20">E17+D18</f>
        <v>-228.25904369785576</v>
      </c>
      <c r="F18" s="251">
        <f t="shared" ref="F18" si="21">F17+E18</f>
        <v>-292.35646874291751</v>
      </c>
      <c r="G18" s="251">
        <f t="shared" ref="G18" si="22">G17+F18</f>
        <v>-275.23227602811539</v>
      </c>
      <c r="H18" s="251">
        <f t="shared" ref="H18" si="23">H17+G18</f>
        <v>-149.11623512227379</v>
      </c>
      <c r="I18" s="251">
        <f t="shared" ref="I18" si="24">I17+H18</f>
        <v>136.05833812095324</v>
      </c>
      <c r="J18" s="251">
        <f t="shared" ref="J18" si="25">J17+I18</f>
        <v>584.93089326262248</v>
      </c>
      <c r="K18" s="251">
        <f t="shared" ref="K18" si="26">K17+J18</f>
        <v>1193.2457301494314</v>
      </c>
      <c r="L18" s="251">
        <f t="shared" ref="L18" si="27">L17+K18</f>
        <v>2145.9904067949642</v>
      </c>
      <c r="M18" s="251">
        <f t="shared" ref="M18" si="28">M17+L18</f>
        <v>3855.2098676654391</v>
      </c>
      <c r="N18" s="251"/>
    </row>
    <row r="19" spans="1:14" x14ac:dyDescent="0.25">
      <c r="A19" s="248" t="s">
        <v>264</v>
      </c>
      <c r="B19" s="253">
        <v>3.7199999999999997E-2</v>
      </c>
      <c r="C19" s="253">
        <v>3.7199999999999997E-2</v>
      </c>
      <c r="D19" s="253">
        <v>3.7199999999999997E-2</v>
      </c>
      <c r="E19" s="253">
        <v>3.7199999999999997E-2</v>
      </c>
      <c r="F19" s="253">
        <v>3.7199999999999997E-2</v>
      </c>
      <c r="G19" s="253">
        <v>3.7199999999999997E-2</v>
      </c>
      <c r="H19" s="253">
        <v>3.7199999999999997E-2</v>
      </c>
      <c r="I19" s="253">
        <v>3.7199999999999997E-2</v>
      </c>
      <c r="J19" s="253">
        <v>3.7199999999999997E-2</v>
      </c>
      <c r="K19" s="253">
        <v>3.7199999999999997E-2</v>
      </c>
      <c r="L19" s="253">
        <v>3.7199999999999997E-2</v>
      </c>
      <c r="M19" s="253">
        <v>3.7199999999999997E-2</v>
      </c>
      <c r="N19" s="252"/>
    </row>
    <row r="20" spans="1:14" x14ac:dyDescent="0.25">
      <c r="A20" s="248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</row>
    <row r="21" spans="1:14" s="189" customFormat="1" x14ac:dyDescent="0.25">
      <c r="A21" s="248" t="s">
        <v>277</v>
      </c>
      <c r="B21" s="255">
        <f>B14+B17</f>
        <v>-16242.212018018414</v>
      </c>
      <c r="C21" s="255">
        <f t="shared" ref="C21:N21" si="29">C14+C17</f>
        <v>-8297.7295313997965</v>
      </c>
      <c r="D21" s="255">
        <f t="shared" si="29"/>
        <v>-8486.4739087560592</v>
      </c>
      <c r="E21" s="255">
        <f t="shared" si="29"/>
        <v>12121.567690262951</v>
      </c>
      <c r="F21" s="255">
        <f t="shared" si="29"/>
        <v>26136.424432975546</v>
      </c>
      <c r="G21" s="255">
        <f t="shared" si="29"/>
        <v>35175.784899501727</v>
      </c>
      <c r="H21" s="255">
        <f t="shared" si="29"/>
        <v>51435.320020707601</v>
      </c>
      <c r="I21" s="255">
        <f t="shared" si="29"/>
        <v>53090.975185643932</v>
      </c>
      <c r="J21" s="255">
        <f t="shared" si="29"/>
        <v>51881.866666477086</v>
      </c>
      <c r="K21" s="255">
        <f t="shared" si="29"/>
        <v>111714.71475905583</v>
      </c>
      <c r="L21" s="255">
        <f t="shared" si="29"/>
        <v>244976.86862017517</v>
      </c>
      <c r="M21" s="255">
        <f t="shared" si="29"/>
        <v>46292.980814346272</v>
      </c>
      <c r="N21" s="255">
        <f t="shared" si="29"/>
        <v>599800.08763097192</v>
      </c>
    </row>
    <row r="22" spans="1:14" s="189" customFormat="1" x14ac:dyDescent="0.25">
      <c r="A22" s="250" t="s">
        <v>278</v>
      </c>
      <c r="B22" s="269">
        <f>B21</f>
        <v>-16242.212018018414</v>
      </c>
      <c r="C22" s="269">
        <f t="shared" ref="C22" si="30">C21+B22</f>
        <v>-24539.94154941821</v>
      </c>
      <c r="D22" s="269">
        <f t="shared" ref="D22" si="31">D21+C22</f>
        <v>-33026.41545817427</v>
      </c>
      <c r="E22" s="269">
        <f t="shared" ref="E22" si="32">E21+D22</f>
        <v>-20904.84776791132</v>
      </c>
      <c r="F22" s="269">
        <f t="shared" ref="F22" si="33">F21+E22</f>
        <v>5231.5766650642254</v>
      </c>
      <c r="G22" s="269">
        <f t="shared" ref="G22" si="34">G21+F22</f>
        <v>40407.361564565952</v>
      </c>
      <c r="H22" s="269">
        <f t="shared" ref="H22" si="35">H21+G22</f>
        <v>91842.68158527356</v>
      </c>
      <c r="I22" s="269">
        <f t="shared" ref="I22" si="36">I21+H22</f>
        <v>144933.6567709175</v>
      </c>
      <c r="J22" s="269">
        <f t="shared" ref="J22" si="37">J21+I22</f>
        <v>196815.52343739459</v>
      </c>
      <c r="K22" s="269">
        <f t="shared" ref="K22" si="38">K21+J22</f>
        <v>308530.2381964504</v>
      </c>
      <c r="L22" s="269">
        <f t="shared" ref="L22" si="39">L21+K22</f>
        <v>553507.10681662557</v>
      </c>
      <c r="M22" s="269">
        <f t="shared" ref="M22" si="40">M21+L22</f>
        <v>599800.0876309718</v>
      </c>
      <c r="N22" s="270"/>
    </row>
    <row r="23" spans="1:14" x14ac:dyDescent="0.25">
      <c r="A23" s="256" t="s">
        <v>269</v>
      </c>
      <c r="B23" s="251"/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</row>
    <row r="24" spans="1:14" x14ac:dyDescent="0.25">
      <c r="A24" s="383" t="s">
        <v>248</v>
      </c>
      <c r="B24" s="251">
        <f>'Upstream Recovery'!K128/12*1000*'Upstream Allocation'!$Q$32</f>
        <v>18821.940149851118</v>
      </c>
      <c r="C24" s="251">
        <f>B24</f>
        <v>18821.940149851118</v>
      </c>
      <c r="D24" s="251">
        <f t="shared" ref="D24" si="41">C24</f>
        <v>18821.940149851118</v>
      </c>
      <c r="E24" s="251">
        <f t="shared" ref="E24" si="42">D24</f>
        <v>18821.940149851118</v>
      </c>
      <c r="F24" s="251">
        <f t="shared" ref="F24" si="43">E24</f>
        <v>18821.940149851118</v>
      </c>
      <c r="G24" s="251">
        <f t="shared" ref="G24" si="44">F24</f>
        <v>18821.940149851118</v>
      </c>
      <c r="H24" s="251">
        <f t="shared" ref="H24" si="45">G24</f>
        <v>18821.940149851118</v>
      </c>
      <c r="I24" s="251">
        <f t="shared" ref="I24" si="46">H24</f>
        <v>18821.940149851118</v>
      </c>
      <c r="J24" s="251">
        <f t="shared" ref="J24" si="47">I24</f>
        <v>18821.940149851118</v>
      </c>
      <c r="K24" s="251">
        <f t="shared" ref="K24" si="48">J24</f>
        <v>18821.940149851118</v>
      </c>
      <c r="L24" s="251">
        <f t="shared" ref="L24" si="49">K24</f>
        <v>18821.940149851118</v>
      </c>
      <c r="M24" s="251">
        <f t="shared" ref="M24" si="50">L24</f>
        <v>18821.940149851118</v>
      </c>
      <c r="N24" s="251">
        <f>SUM(B24:M24)</f>
        <v>225863.2817982134</v>
      </c>
    </row>
    <row r="25" spans="1:14" x14ac:dyDescent="0.25">
      <c r="A25" s="383" t="s">
        <v>249</v>
      </c>
      <c r="B25" s="303">
        <f>B80</f>
        <v>30057.900000000063</v>
      </c>
      <c r="C25" s="303">
        <f t="shared" ref="C25:M25" si="51">C80</f>
        <v>38880.369999999974</v>
      </c>
      <c r="D25" s="303">
        <f t="shared" si="51"/>
        <v>38030.789999999921</v>
      </c>
      <c r="E25" s="303">
        <f t="shared" si="51"/>
        <v>26215.119999999955</v>
      </c>
      <c r="F25" s="303">
        <f t="shared" si="51"/>
        <v>17779.059999999805</v>
      </c>
      <c r="G25" s="303">
        <f t="shared" si="51"/>
        <v>10271.709999999677</v>
      </c>
      <c r="H25" s="303">
        <f t="shared" si="51"/>
        <v>3839.4699999999425</v>
      </c>
      <c r="I25" s="303">
        <f t="shared" si="51"/>
        <v>3018.6299999999769</v>
      </c>
      <c r="J25" s="303">
        <f t="shared" si="51"/>
        <v>3727.6499999999569</v>
      </c>
      <c r="K25" s="303">
        <f t="shared" si="51"/>
        <v>3883.2199999999589</v>
      </c>
      <c r="L25" s="303">
        <f t="shared" si="51"/>
        <v>11836.769999999695</v>
      </c>
      <c r="M25" s="303">
        <f t="shared" si="51"/>
        <v>23465.949999999932</v>
      </c>
      <c r="N25" s="251">
        <f>SUM(B25:M25)</f>
        <v>211006.63999999885</v>
      </c>
    </row>
    <row r="26" spans="1:14" x14ac:dyDescent="0.25">
      <c r="A26" s="383"/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</row>
    <row r="27" spans="1:14" x14ac:dyDescent="0.25">
      <c r="A27" s="383" t="s">
        <v>247</v>
      </c>
      <c r="B27" s="251">
        <f>B24-B25</f>
        <v>-11235.959850148945</v>
      </c>
      <c r="C27" s="251">
        <f t="shared" ref="C27:M27" si="52">C24-C25</f>
        <v>-20058.429850148856</v>
      </c>
      <c r="D27" s="251">
        <f t="shared" si="52"/>
        <v>-19208.849850148803</v>
      </c>
      <c r="E27" s="251">
        <f t="shared" si="52"/>
        <v>-7393.1798501488374</v>
      </c>
      <c r="F27" s="251">
        <f t="shared" si="52"/>
        <v>1042.880149851313</v>
      </c>
      <c r="G27" s="251">
        <f t="shared" si="52"/>
        <v>8550.2301498514407</v>
      </c>
      <c r="H27" s="251">
        <f t="shared" si="52"/>
        <v>14982.470149851175</v>
      </c>
      <c r="I27" s="251">
        <f t="shared" si="52"/>
        <v>15803.310149851141</v>
      </c>
      <c r="J27" s="251">
        <f t="shared" si="52"/>
        <v>15094.29014985116</v>
      </c>
      <c r="K27" s="251">
        <f t="shared" si="52"/>
        <v>14938.720149851159</v>
      </c>
      <c r="L27" s="251">
        <f t="shared" si="52"/>
        <v>6985.170149851423</v>
      </c>
      <c r="M27" s="251">
        <f t="shared" si="52"/>
        <v>-4644.0098501488137</v>
      </c>
      <c r="N27" s="251">
        <f>SUM(B27:M27)</f>
        <v>14856.641798214554</v>
      </c>
    </row>
    <row r="28" spans="1:14" x14ac:dyDescent="0.25">
      <c r="A28" s="248" t="s">
        <v>262</v>
      </c>
      <c r="B28" s="251">
        <f>B27</f>
        <v>-11235.959850148945</v>
      </c>
      <c r="C28" s="251">
        <f t="shared" ref="C28" si="53">C27+B28</f>
        <v>-31294.389700297801</v>
      </c>
      <c r="D28" s="251">
        <f t="shared" ref="D28" si="54">D27+C28</f>
        <v>-50503.239550446604</v>
      </c>
      <c r="E28" s="251">
        <f t="shared" ref="E28" si="55">E27+D28</f>
        <v>-57896.419400595441</v>
      </c>
      <c r="F28" s="251">
        <f t="shared" ref="F28" si="56">F27+E28</f>
        <v>-56853.539250744128</v>
      </c>
      <c r="G28" s="251">
        <f t="shared" ref="G28" si="57">G27+F28</f>
        <v>-48303.309100892686</v>
      </c>
      <c r="H28" s="251">
        <f t="shared" ref="H28" si="58">H27+G28</f>
        <v>-33320.838951041515</v>
      </c>
      <c r="I28" s="251">
        <f t="shared" ref="I28" si="59">I27+H28</f>
        <v>-17517.528801190376</v>
      </c>
      <c r="J28" s="251">
        <f t="shared" ref="J28" si="60">J27+I28</f>
        <v>-2423.2386513392157</v>
      </c>
      <c r="K28" s="251">
        <f t="shared" ref="K28" si="61">K27+J28</f>
        <v>12515.481498511943</v>
      </c>
      <c r="L28" s="251">
        <f t="shared" ref="L28" si="62">L27+K28</f>
        <v>19500.651648363368</v>
      </c>
      <c r="M28" s="251">
        <f t="shared" ref="M28" si="63">M27+L28</f>
        <v>14856.641798214554</v>
      </c>
      <c r="N28" s="251"/>
    </row>
    <row r="29" spans="1:14" x14ac:dyDescent="0.25">
      <c r="A29" s="248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</row>
    <row r="30" spans="1:14" x14ac:dyDescent="0.25">
      <c r="A30" s="248" t="s">
        <v>263</v>
      </c>
      <c r="B30" s="251">
        <v>0</v>
      </c>
      <c r="C30" s="251">
        <f t="shared" ref="C30:M30" si="64">B28*C32/12</f>
        <v>-34.831475535461728</v>
      </c>
      <c r="D30" s="251">
        <f t="shared" si="64"/>
        <v>-97.012608070923179</v>
      </c>
      <c r="E30" s="251">
        <f t="shared" si="64"/>
        <v>-156.56004260638446</v>
      </c>
      <c r="F30" s="251">
        <f t="shared" si="64"/>
        <v>-179.47890014184586</v>
      </c>
      <c r="G30" s="251">
        <f t="shared" si="64"/>
        <v>-176.24597167730678</v>
      </c>
      <c r="H30" s="251">
        <f t="shared" si="64"/>
        <v>-149.74025821276732</v>
      </c>
      <c r="I30" s="251">
        <f t="shared" si="64"/>
        <v>-103.29460074822869</v>
      </c>
      <c r="J30" s="251">
        <f t="shared" si="64"/>
        <v>-54.304339283690162</v>
      </c>
      <c r="K30" s="251">
        <f t="shared" si="64"/>
        <v>-7.5120398191515676</v>
      </c>
      <c r="L30" s="251">
        <f t="shared" si="64"/>
        <v>38.797992645387019</v>
      </c>
      <c r="M30" s="251">
        <f t="shared" si="64"/>
        <v>60.45202010992643</v>
      </c>
      <c r="N30" s="251">
        <f>SUM(B30:M30)</f>
        <v>-859.7302233404464</v>
      </c>
    </row>
    <row r="31" spans="1:14" x14ac:dyDescent="0.25">
      <c r="A31" s="248" t="s">
        <v>267</v>
      </c>
      <c r="B31" s="251">
        <v>0</v>
      </c>
      <c r="C31" s="251">
        <f t="shared" ref="C31" si="65">C30+B31</f>
        <v>-34.831475535461728</v>
      </c>
      <c r="D31" s="251">
        <f t="shared" ref="D31" si="66">D30+C31</f>
        <v>-131.84408360638491</v>
      </c>
      <c r="E31" s="251">
        <f t="shared" ref="E31" si="67">E30+D31</f>
        <v>-288.40412621276937</v>
      </c>
      <c r="F31" s="251">
        <f t="shared" ref="F31" si="68">F30+E31</f>
        <v>-467.88302635461525</v>
      </c>
      <c r="G31" s="251">
        <f t="shared" ref="G31" si="69">G30+F31</f>
        <v>-644.12899803192204</v>
      </c>
      <c r="H31" s="251">
        <f t="shared" ref="H31" si="70">H30+G31</f>
        <v>-793.86925624468938</v>
      </c>
      <c r="I31" s="251">
        <f t="shared" ref="I31" si="71">I30+H31</f>
        <v>-897.16385699291811</v>
      </c>
      <c r="J31" s="251">
        <f t="shared" ref="J31" si="72">J30+I31</f>
        <v>-951.4681962766083</v>
      </c>
      <c r="K31" s="251">
        <f t="shared" ref="K31" si="73">K30+J31</f>
        <v>-958.98023609575989</v>
      </c>
      <c r="L31" s="251">
        <f t="shared" ref="L31" si="74">L30+K31</f>
        <v>-920.18224345037288</v>
      </c>
      <c r="M31" s="251">
        <f t="shared" ref="M31" si="75">M30+L31</f>
        <v>-859.7302233404464</v>
      </c>
      <c r="N31" s="251"/>
    </row>
    <row r="32" spans="1:14" x14ac:dyDescent="0.25">
      <c r="A32" s="248" t="s">
        <v>264</v>
      </c>
      <c r="B32" s="253">
        <v>3.7199999999999997E-2</v>
      </c>
      <c r="C32" s="253">
        <v>3.7199999999999997E-2</v>
      </c>
      <c r="D32" s="253">
        <v>3.7199999999999997E-2</v>
      </c>
      <c r="E32" s="253">
        <v>3.7199999999999997E-2</v>
      </c>
      <c r="F32" s="253">
        <v>3.7199999999999997E-2</v>
      </c>
      <c r="G32" s="253">
        <v>3.7199999999999997E-2</v>
      </c>
      <c r="H32" s="253">
        <v>3.7199999999999997E-2</v>
      </c>
      <c r="I32" s="253">
        <v>3.7199999999999997E-2</v>
      </c>
      <c r="J32" s="253">
        <v>3.7199999999999997E-2</v>
      </c>
      <c r="K32" s="253">
        <v>3.7199999999999997E-2</v>
      </c>
      <c r="L32" s="253">
        <v>3.7199999999999997E-2</v>
      </c>
      <c r="M32" s="253">
        <v>3.7199999999999997E-2</v>
      </c>
      <c r="N32" s="252"/>
    </row>
    <row r="33" spans="1:14" x14ac:dyDescent="0.25">
      <c r="A33" s="248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</row>
    <row r="34" spans="1:14" s="189" customFormat="1" x14ac:dyDescent="0.25">
      <c r="A34" s="248" t="s">
        <v>279</v>
      </c>
      <c r="B34" s="255">
        <f>B27+B30</f>
        <v>-11235.959850148945</v>
      </c>
      <c r="C34" s="255">
        <f t="shared" ref="C34:N34" si="76">C27+C30</f>
        <v>-20093.261325684318</v>
      </c>
      <c r="D34" s="255">
        <f t="shared" si="76"/>
        <v>-19305.862458219726</v>
      </c>
      <c r="E34" s="255">
        <f t="shared" si="76"/>
        <v>-7549.7398927552222</v>
      </c>
      <c r="F34" s="255">
        <f t="shared" si="76"/>
        <v>863.40124970946715</v>
      </c>
      <c r="G34" s="255">
        <f t="shared" si="76"/>
        <v>8373.9841781741343</v>
      </c>
      <c r="H34" s="255">
        <f t="shared" si="76"/>
        <v>14832.729891638408</v>
      </c>
      <c r="I34" s="255">
        <f t="shared" si="76"/>
        <v>15700.015549102913</v>
      </c>
      <c r="J34" s="255">
        <f t="shared" si="76"/>
        <v>15039.98581056747</v>
      </c>
      <c r="K34" s="255">
        <f t="shared" si="76"/>
        <v>14931.208110032007</v>
      </c>
      <c r="L34" s="255">
        <f t="shared" si="76"/>
        <v>7023.9681424968103</v>
      </c>
      <c r="M34" s="255">
        <f t="shared" si="76"/>
        <v>-4583.557830038887</v>
      </c>
      <c r="N34" s="255">
        <f t="shared" si="76"/>
        <v>13996.911574874108</v>
      </c>
    </row>
    <row r="35" spans="1:14" s="189" customFormat="1" x14ac:dyDescent="0.25">
      <c r="A35" s="250" t="s">
        <v>280</v>
      </c>
      <c r="B35" s="269">
        <f>B34</f>
        <v>-11235.959850148945</v>
      </c>
      <c r="C35" s="269">
        <f t="shared" ref="C35" si="77">C34+B35</f>
        <v>-31329.221175833263</v>
      </c>
      <c r="D35" s="269">
        <f t="shared" ref="D35" si="78">D34+C35</f>
        <v>-50635.083634052993</v>
      </c>
      <c r="E35" s="269">
        <f t="shared" ref="E35" si="79">E34+D35</f>
        <v>-58184.823526808214</v>
      </c>
      <c r="F35" s="269">
        <f t="shared" ref="F35" si="80">F34+E35</f>
        <v>-57321.422277098747</v>
      </c>
      <c r="G35" s="269">
        <f t="shared" ref="G35" si="81">G34+F35</f>
        <v>-48947.438098924613</v>
      </c>
      <c r="H35" s="269">
        <f t="shared" ref="H35" si="82">H34+G35</f>
        <v>-34114.708207286203</v>
      </c>
      <c r="I35" s="269">
        <f t="shared" ref="I35" si="83">I34+H35</f>
        <v>-18414.692658183289</v>
      </c>
      <c r="J35" s="269">
        <f t="shared" ref="J35" si="84">J34+I35</f>
        <v>-3374.7068476158183</v>
      </c>
      <c r="K35" s="269">
        <f t="shared" ref="K35" si="85">K34+J35</f>
        <v>11556.501262416188</v>
      </c>
      <c r="L35" s="269">
        <f t="shared" ref="L35" si="86">L34+K35</f>
        <v>18580.469404912998</v>
      </c>
      <c r="M35" s="269">
        <f t="shared" ref="M35" si="87">M34+L35</f>
        <v>13996.91157487411</v>
      </c>
      <c r="N35" s="270"/>
    </row>
    <row r="36" spans="1:14" x14ac:dyDescent="0.25">
      <c r="A36" s="256" t="s">
        <v>281</v>
      </c>
      <c r="B36" s="251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</row>
    <row r="37" spans="1:14" x14ac:dyDescent="0.25">
      <c r="A37" s="383" t="s">
        <v>233</v>
      </c>
      <c r="B37" s="251">
        <f t="shared" ref="B37:M37" si="88">B10+B24</f>
        <v>83933.738131832768</v>
      </c>
      <c r="C37" s="251">
        <f t="shared" si="88"/>
        <v>83063.901475707229</v>
      </c>
      <c r="D37" s="251">
        <f t="shared" si="88"/>
        <v>81516.583972240755</v>
      </c>
      <c r="E37" s="251">
        <f t="shared" si="88"/>
        <v>80179.288295410282</v>
      </c>
      <c r="F37" s="251">
        <f t="shared" si="88"/>
        <v>78317.522007871681</v>
      </c>
      <c r="G37" s="251">
        <f t="shared" si="88"/>
        <v>77206.740856637989</v>
      </c>
      <c r="H37" s="251">
        <f t="shared" si="88"/>
        <v>77332.584129652896</v>
      </c>
      <c r="I37" s="251">
        <f t="shared" si="88"/>
        <v>77482.42076225183</v>
      </c>
      <c r="J37" s="251">
        <f t="shared" si="88"/>
        <v>77282.934261186558</v>
      </c>
      <c r="K37" s="251">
        <f t="shared" si="88"/>
        <v>137278.11007202015</v>
      </c>
      <c r="L37" s="251">
        <f t="shared" si="88"/>
        <v>288048.90409338078</v>
      </c>
      <c r="M37" s="251">
        <f t="shared" si="88"/>
        <v>126272.02150332683</v>
      </c>
      <c r="N37" s="251">
        <f>SUM(B37:M37)</f>
        <v>1267914.7495615198</v>
      </c>
    </row>
    <row r="38" spans="1:14" x14ac:dyDescent="0.25">
      <c r="A38" s="383" t="s">
        <v>249</v>
      </c>
      <c r="B38" s="251">
        <f t="shared" ref="B38:M38" si="89">B12+B25</f>
        <v>111411.91000000013</v>
      </c>
      <c r="C38" s="251">
        <f t="shared" si="89"/>
        <v>111369.71000000002</v>
      </c>
      <c r="D38" s="251">
        <f t="shared" si="89"/>
        <v>109135.98999999992</v>
      </c>
      <c r="E38" s="251">
        <f t="shared" si="89"/>
        <v>75348.909999999873</v>
      </c>
      <c r="F38" s="251">
        <f t="shared" si="89"/>
        <v>51074.119999999763</v>
      </c>
      <c r="G38" s="251">
        <f t="shared" si="89"/>
        <v>33497.849999999627</v>
      </c>
      <c r="H38" s="251">
        <f t="shared" si="89"/>
        <v>11040.909999999965</v>
      </c>
      <c r="I38" s="251">
        <f t="shared" si="89"/>
        <v>8873.3099999999868</v>
      </c>
      <c r="J38" s="251">
        <f t="shared" si="89"/>
        <v>10755.649999999983</v>
      </c>
      <c r="K38" s="251">
        <f t="shared" si="89"/>
        <v>11232.989999999976</v>
      </c>
      <c r="L38" s="251">
        <f t="shared" si="89"/>
        <v>37039.609999999695</v>
      </c>
      <c r="M38" s="251">
        <f t="shared" si="89"/>
        <v>86332.269999999844</v>
      </c>
      <c r="N38" s="251">
        <f>SUM(B38:M38)</f>
        <v>657113.22999999882</v>
      </c>
    </row>
    <row r="39" spans="1:14" s="380" customFormat="1" x14ac:dyDescent="0.25">
      <c r="A39" s="384" t="s">
        <v>247</v>
      </c>
      <c r="B39" s="379">
        <f>B37-B38</f>
        <v>-27478.171868167366</v>
      </c>
      <c r="C39" s="379">
        <f>C37-C38</f>
        <v>-28305.808524292792</v>
      </c>
      <c r="D39" s="379">
        <f>D37-D38</f>
        <v>-27619.406027759163</v>
      </c>
      <c r="E39" s="379">
        <f>E37-E38</f>
        <v>4830.3782954104099</v>
      </c>
      <c r="F39" s="379">
        <f>F37-F38</f>
        <v>27243.402007871919</v>
      </c>
      <c r="G39" s="379">
        <f>G37-G38</f>
        <v>43708.890856638362</v>
      </c>
      <c r="H39" s="379">
        <f>H37-H38</f>
        <v>66291.674129652936</v>
      </c>
      <c r="I39" s="379">
        <f>I37-I38</f>
        <v>68609.110762251847</v>
      </c>
      <c r="J39" s="379">
        <f>J37-J38</f>
        <v>66527.284261186578</v>
      </c>
      <c r="K39" s="379">
        <f>K37-K38</f>
        <v>126045.12007202017</v>
      </c>
      <c r="L39" s="379">
        <f>L37-L38</f>
        <v>251009.29409338109</v>
      </c>
      <c r="M39" s="379">
        <f>M37-M38</f>
        <v>39939.751503326988</v>
      </c>
      <c r="N39" s="379">
        <f>SUM(B39:M39)</f>
        <v>610801.51956152101</v>
      </c>
    </row>
    <row r="40" spans="1:14" s="380" customFormat="1" x14ac:dyDescent="0.25">
      <c r="A40" s="384"/>
      <c r="B40" s="379"/>
      <c r="C40" s="379"/>
      <c r="D40" s="379"/>
      <c r="E40" s="379"/>
      <c r="F40" s="379"/>
      <c r="G40" s="379"/>
      <c r="H40" s="379"/>
      <c r="I40" s="379"/>
      <c r="J40" s="379"/>
      <c r="K40" s="379"/>
      <c r="L40" s="379"/>
      <c r="M40" s="379"/>
      <c r="N40" s="379"/>
    </row>
    <row r="41" spans="1:14" s="380" customFormat="1" x14ac:dyDescent="0.25">
      <c r="A41" s="384" t="s">
        <v>263</v>
      </c>
      <c r="B41" s="379">
        <f>B17+B30</f>
        <v>0</v>
      </c>
      <c r="C41" s="379">
        <f>C17+C30</f>
        <v>-85.1823327913188</v>
      </c>
      <c r="D41" s="379">
        <f>D17+D30</f>
        <v>-172.93033921662646</v>
      </c>
      <c r="E41" s="379">
        <f>E17+E30</f>
        <v>-258.55049790267987</v>
      </c>
      <c r="F41" s="379">
        <f>F17+F30</f>
        <v>-243.57632518690758</v>
      </c>
      <c r="G41" s="379">
        <f>G17+G30</f>
        <v>-159.12177896250464</v>
      </c>
      <c r="H41" s="379">
        <f>H17+H30</f>
        <v>-23.624217306925715</v>
      </c>
      <c r="I41" s="379">
        <f>I17+I30</f>
        <v>181.87997249499836</v>
      </c>
      <c r="J41" s="379">
        <f>J17+J30</f>
        <v>394.56821585797906</v>
      </c>
      <c r="K41" s="379">
        <f>K17+K30</f>
        <v>600.80279706765748</v>
      </c>
      <c r="L41" s="379">
        <f>L17+L30</f>
        <v>991.54266929091989</v>
      </c>
      <c r="M41" s="379">
        <f>M17+M30</f>
        <v>1769.6714809804014</v>
      </c>
      <c r="N41" s="379">
        <f>N17+N30</f>
        <v>2995.4796443249925</v>
      </c>
    </row>
    <row r="42" spans="1:14" x14ac:dyDescent="0.25">
      <c r="A42" s="383"/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</row>
    <row r="43" spans="1:14" s="189" customFormat="1" x14ac:dyDescent="0.25">
      <c r="A43" s="383" t="s">
        <v>265</v>
      </c>
      <c r="B43" s="255">
        <f>B39+B41</f>
        <v>-27478.171868167366</v>
      </c>
      <c r="C43" s="255">
        <f>C39+C41</f>
        <v>-28390.990857084111</v>
      </c>
      <c r="D43" s="255">
        <f>D39+D41</f>
        <v>-27792.336366975789</v>
      </c>
      <c r="E43" s="255">
        <f>E39+E41</f>
        <v>4571.8277975077299</v>
      </c>
      <c r="F43" s="255">
        <f>F39+F41</f>
        <v>26999.825682685012</v>
      </c>
      <c r="G43" s="255">
        <f>G39+G41</f>
        <v>43549.769077675854</v>
      </c>
      <c r="H43" s="255">
        <f>H39+H41</f>
        <v>66268.049912346018</v>
      </c>
      <c r="I43" s="255">
        <f>I39+I41</f>
        <v>68790.99073474684</v>
      </c>
      <c r="J43" s="255">
        <f>J39+J41</f>
        <v>66921.852477044551</v>
      </c>
      <c r="K43" s="255">
        <f>K39+K41</f>
        <v>126645.92286908784</v>
      </c>
      <c r="L43" s="255">
        <f>L39+L41</f>
        <v>252000.836762672</v>
      </c>
      <c r="M43" s="255">
        <f>M39+M41</f>
        <v>41709.422984307392</v>
      </c>
      <c r="N43" s="255">
        <f>N39+N41</f>
        <v>613796.99920584599</v>
      </c>
    </row>
    <row r="44" spans="1:14" s="189" customFormat="1" x14ac:dyDescent="0.25">
      <c r="A44" s="250" t="s">
        <v>282</v>
      </c>
      <c r="B44" s="269">
        <f>B43</f>
        <v>-27478.171868167366</v>
      </c>
      <c r="C44" s="269">
        <f t="shared" ref="C44" si="90">C43+B44</f>
        <v>-55869.162725251474</v>
      </c>
      <c r="D44" s="269">
        <f t="shared" ref="D44" si="91">D43+C44</f>
        <v>-83661.499092227255</v>
      </c>
      <c r="E44" s="269">
        <f t="shared" ref="E44" si="92">E43+D44</f>
        <v>-79089.671294719519</v>
      </c>
      <c r="F44" s="269">
        <f t="shared" ref="F44" si="93">F43+E44</f>
        <v>-52089.845612034507</v>
      </c>
      <c r="G44" s="269">
        <f t="shared" ref="G44" si="94">G43+F44</f>
        <v>-8540.0765343586536</v>
      </c>
      <c r="H44" s="269">
        <f t="shared" ref="H44" si="95">H43+G44</f>
        <v>57727.973377987364</v>
      </c>
      <c r="I44" s="269">
        <f t="shared" ref="I44" si="96">I43+H44</f>
        <v>126518.9641127342</v>
      </c>
      <c r="J44" s="269">
        <f t="shared" ref="J44" si="97">J43+I44</f>
        <v>193440.81658977875</v>
      </c>
      <c r="K44" s="269">
        <f t="shared" ref="K44" si="98">K43+J44</f>
        <v>320086.73945886659</v>
      </c>
      <c r="L44" s="269">
        <f t="shared" ref="L44" si="99">L43+K44</f>
        <v>572087.57622153859</v>
      </c>
      <c r="M44" s="269">
        <f t="shared" ref="M44" si="100">M43+L44</f>
        <v>613796.99920584599</v>
      </c>
      <c r="N44" s="270"/>
    </row>
    <row r="47" spans="1:14" hidden="1" x14ac:dyDescent="0.25">
      <c r="N47" s="249" t="e">
        <f>N38-#REF!</f>
        <v>#REF!</v>
      </c>
    </row>
    <row r="48" spans="1:14" hidden="1" x14ac:dyDescent="0.25"/>
    <row r="49" spans="1:14" hidden="1" x14ac:dyDescent="0.25">
      <c r="B49" s="304"/>
    </row>
    <row r="50" spans="1:14" hidden="1" x14ac:dyDescent="0.25"/>
    <row r="51" spans="1:14" hidden="1" x14ac:dyDescent="0.25"/>
    <row r="52" spans="1:14" hidden="1" x14ac:dyDescent="0.25"/>
    <row r="53" spans="1:14" hidden="1" x14ac:dyDescent="0.25">
      <c r="A53" s="298" t="s">
        <v>303</v>
      </c>
    </row>
    <row r="54" spans="1:14" hidden="1" x14ac:dyDescent="0.25">
      <c r="A54" s="206" t="s">
        <v>0</v>
      </c>
      <c r="B54" s="299">
        <v>7083.33</v>
      </c>
      <c r="C54" s="299">
        <v>7083.33</v>
      </c>
      <c r="D54" s="299">
        <v>7083.33</v>
      </c>
      <c r="E54" s="299">
        <v>7083.33</v>
      </c>
      <c r="F54" s="299">
        <v>7083.33</v>
      </c>
      <c r="G54" s="299">
        <v>7083.33</v>
      </c>
      <c r="H54" s="299">
        <v>7083.33</v>
      </c>
      <c r="I54" s="299">
        <v>7083.33</v>
      </c>
      <c r="J54" s="299">
        <v>7083.33</v>
      </c>
      <c r="K54" s="299">
        <v>7083.33</v>
      </c>
      <c r="L54" s="299">
        <v>7083.33</v>
      </c>
      <c r="M54" s="299">
        <v>7083.33</v>
      </c>
      <c r="N54" s="299"/>
    </row>
    <row r="55" spans="1:14" hidden="1" x14ac:dyDescent="0.25">
      <c r="A55" s="206" t="s">
        <v>16</v>
      </c>
      <c r="B55" s="299">
        <v>93</v>
      </c>
      <c r="C55" s="299">
        <v>179.4</v>
      </c>
      <c r="D55" s="299">
        <v>137.4</v>
      </c>
      <c r="E55" s="299">
        <v>103.5</v>
      </c>
      <c r="F55" s="299"/>
      <c r="G55" s="299"/>
      <c r="H55" s="299"/>
      <c r="I55" s="299"/>
      <c r="J55" s="299"/>
      <c r="K55" s="299"/>
      <c r="L55" s="299"/>
      <c r="M55" s="299">
        <v>190.59</v>
      </c>
      <c r="N55" s="299"/>
    </row>
    <row r="56" spans="1:14" hidden="1" x14ac:dyDescent="0.25">
      <c r="A56" s="206" t="s">
        <v>73</v>
      </c>
      <c r="B56" s="299"/>
      <c r="C56" s="299"/>
      <c r="D56" s="299"/>
      <c r="E56" s="299">
        <v>144.65</v>
      </c>
      <c r="F56" s="299"/>
      <c r="G56" s="299"/>
      <c r="H56" s="299"/>
      <c r="I56" s="299"/>
      <c r="J56" s="299"/>
      <c r="K56" s="299"/>
      <c r="L56" s="299"/>
      <c r="M56" s="299"/>
      <c r="N56" s="299"/>
    </row>
    <row r="57" spans="1:14" hidden="1" x14ac:dyDescent="0.25">
      <c r="A57" s="206" t="s">
        <v>309</v>
      </c>
      <c r="B57" s="299"/>
      <c r="C57" s="299"/>
      <c r="D57" s="299"/>
      <c r="E57" s="299">
        <v>280.85000000000002</v>
      </c>
      <c r="F57" s="299"/>
      <c r="G57" s="299"/>
      <c r="H57" s="299"/>
      <c r="I57" s="299"/>
      <c r="J57" s="299"/>
      <c r="K57" s="299"/>
      <c r="L57" s="299"/>
      <c r="M57" s="299"/>
      <c r="N57" s="299"/>
    </row>
    <row r="58" spans="1:14" ht="14.25" hidden="1" customHeight="1" x14ac:dyDescent="0.25">
      <c r="A58" s="206" t="s">
        <v>2</v>
      </c>
      <c r="B58" s="299"/>
      <c r="C58" s="299"/>
      <c r="D58" s="299"/>
      <c r="E58" s="299"/>
      <c r="F58" s="299">
        <v>139.5</v>
      </c>
      <c r="G58" s="299">
        <v>99.18</v>
      </c>
      <c r="H58" s="299"/>
      <c r="I58" s="299"/>
      <c r="J58" s="299"/>
      <c r="K58" s="299"/>
      <c r="L58" s="299"/>
      <c r="M58" s="299"/>
      <c r="N58" s="299"/>
    </row>
    <row r="59" spans="1:14" ht="14.25" hidden="1" customHeight="1" x14ac:dyDescent="0.25">
      <c r="A59" s="206" t="s">
        <v>334</v>
      </c>
      <c r="B59" s="299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</row>
    <row r="60" spans="1:14" hidden="1" x14ac:dyDescent="0.25">
      <c r="A60" s="206" t="s">
        <v>1</v>
      </c>
      <c r="B60" s="300">
        <v>3</v>
      </c>
      <c r="C60" s="300">
        <v>0</v>
      </c>
      <c r="D60" s="300">
        <v>2.98</v>
      </c>
      <c r="E60" s="300"/>
      <c r="F60" s="300"/>
      <c r="G60" s="300"/>
      <c r="H60" s="300">
        <v>90.41</v>
      </c>
      <c r="I60" s="300">
        <v>83.14</v>
      </c>
      <c r="J60" s="300">
        <v>54.35</v>
      </c>
      <c r="K60" s="300"/>
      <c r="L60" s="300"/>
      <c r="M60" s="300"/>
      <c r="N60" s="300"/>
    </row>
    <row r="61" spans="1:14" hidden="1" x14ac:dyDescent="0.25">
      <c r="B61" s="301">
        <f>SUM(B54:B60)</f>
        <v>7179.33</v>
      </c>
      <c r="C61" s="301">
        <f t="shared" ref="C61:N61" si="101">SUM(C54:C60)</f>
        <v>7262.73</v>
      </c>
      <c r="D61" s="301">
        <f t="shared" si="101"/>
        <v>7223.7099999999991</v>
      </c>
      <c r="E61" s="301">
        <f t="shared" si="101"/>
        <v>7612.33</v>
      </c>
      <c r="F61" s="301">
        <f t="shared" si="101"/>
        <v>7222.83</v>
      </c>
      <c r="G61" s="301">
        <f t="shared" si="101"/>
        <v>7182.51</v>
      </c>
      <c r="H61" s="301">
        <f t="shared" si="101"/>
        <v>7173.74</v>
      </c>
      <c r="I61" s="301">
        <f t="shared" si="101"/>
        <v>7166.47</v>
      </c>
      <c r="J61" s="301">
        <f t="shared" si="101"/>
        <v>7137.68</v>
      </c>
      <c r="K61" s="301">
        <f t="shared" si="101"/>
        <v>7083.33</v>
      </c>
      <c r="L61" s="301">
        <f t="shared" si="101"/>
        <v>7083.33</v>
      </c>
      <c r="M61" s="301">
        <f t="shared" si="101"/>
        <v>7273.92</v>
      </c>
      <c r="N61" s="301">
        <f t="shared" si="101"/>
        <v>0</v>
      </c>
    </row>
    <row r="62" spans="1:14" hidden="1" x14ac:dyDescent="0.25">
      <c r="A62" s="298" t="s">
        <v>3</v>
      </c>
      <c r="B62" s="301"/>
      <c r="C62" s="301"/>
      <c r="D62" s="301"/>
      <c r="E62" s="301"/>
      <c r="F62" s="301"/>
      <c r="G62" s="301"/>
      <c r="H62" s="301"/>
      <c r="I62" s="301"/>
      <c r="J62" s="301"/>
      <c r="K62" s="301"/>
      <c r="L62" s="301"/>
      <c r="M62" s="301"/>
      <c r="N62" s="301"/>
    </row>
    <row r="63" spans="1:14" hidden="1" x14ac:dyDescent="0.25">
      <c r="A63" s="206" t="s">
        <v>5</v>
      </c>
      <c r="B63" s="301">
        <v>2273.08</v>
      </c>
      <c r="C63" s="301">
        <v>2273.08</v>
      </c>
      <c r="D63" s="301">
        <v>2273.08</v>
      </c>
      <c r="E63" s="301">
        <v>2273.08</v>
      </c>
      <c r="F63" s="301">
        <v>2273.08</v>
      </c>
      <c r="G63" s="301">
        <v>2273.08</v>
      </c>
      <c r="H63" s="301">
        <v>2273.08</v>
      </c>
      <c r="I63" s="301">
        <v>2273.08</v>
      </c>
      <c r="J63" s="301">
        <v>2273.08</v>
      </c>
      <c r="K63" s="301">
        <v>2273.08</v>
      </c>
      <c r="L63" s="301">
        <v>2273.08</v>
      </c>
      <c r="M63" s="301">
        <v>2273.08</v>
      </c>
      <c r="N63" s="301"/>
    </row>
    <row r="64" spans="1:14" hidden="1" x14ac:dyDescent="0.25">
      <c r="A64" s="206" t="s">
        <v>6</v>
      </c>
      <c r="B64" s="301"/>
      <c r="C64" s="301"/>
      <c r="D64" s="301"/>
      <c r="E64" s="301"/>
      <c r="F64" s="301"/>
      <c r="G64" s="301"/>
      <c r="H64" s="301"/>
      <c r="I64" s="301"/>
      <c r="J64" s="301"/>
      <c r="K64" s="301"/>
      <c r="L64" s="301"/>
      <c r="M64" s="301"/>
      <c r="N64" s="301"/>
    </row>
    <row r="65" spans="1:14" hidden="1" x14ac:dyDescent="0.25">
      <c r="A65" s="206" t="s">
        <v>7</v>
      </c>
      <c r="B65" s="301">
        <v>46442.12</v>
      </c>
      <c r="C65" s="301">
        <v>46442.12</v>
      </c>
      <c r="D65" s="301">
        <v>46442.12</v>
      </c>
      <c r="E65" s="301">
        <v>46442.12</v>
      </c>
      <c r="F65" s="301">
        <v>46442.12</v>
      </c>
      <c r="G65" s="301">
        <v>46442.12</v>
      </c>
      <c r="H65" s="301">
        <v>46442.12</v>
      </c>
      <c r="I65" s="301">
        <v>46442.12</v>
      </c>
      <c r="J65" s="301">
        <v>46442.12</v>
      </c>
      <c r="K65" s="301">
        <v>46442.12</v>
      </c>
      <c r="L65" s="301">
        <v>46442.12</v>
      </c>
      <c r="M65" s="301">
        <v>46442.12</v>
      </c>
      <c r="N65" s="301"/>
    </row>
    <row r="66" spans="1:14" hidden="1" x14ac:dyDescent="0.25">
      <c r="A66" s="206" t="s">
        <v>335</v>
      </c>
      <c r="B66" s="301">
        <v>663.88</v>
      </c>
      <c r="C66" s="301">
        <v>580.6</v>
      </c>
      <c r="D66" s="301">
        <v>524.62</v>
      </c>
      <c r="E66" s="301">
        <v>430.25</v>
      </c>
      <c r="F66" s="301">
        <v>337.16</v>
      </c>
      <c r="G66" s="301">
        <v>207.5</v>
      </c>
      <c r="H66" s="301">
        <v>182.89</v>
      </c>
      <c r="I66" s="301">
        <v>188.89</v>
      </c>
      <c r="J66" s="301">
        <v>197.44</v>
      </c>
      <c r="K66" s="301">
        <v>270.14</v>
      </c>
      <c r="L66" s="301">
        <v>532.1</v>
      </c>
      <c r="M66" s="301">
        <v>495.99</v>
      </c>
      <c r="N66" s="301"/>
    </row>
    <row r="67" spans="1:14" hidden="1" x14ac:dyDescent="0.25">
      <c r="A67" s="206" t="s">
        <v>4</v>
      </c>
      <c r="B67" s="301"/>
      <c r="C67" s="301"/>
      <c r="D67" s="301"/>
      <c r="E67" s="301"/>
      <c r="F67" s="301"/>
      <c r="G67" s="301"/>
      <c r="H67" s="301"/>
      <c r="I67" s="301"/>
      <c r="J67" s="301"/>
      <c r="K67" s="301"/>
      <c r="L67" s="301"/>
      <c r="M67" s="301"/>
      <c r="N67" s="301"/>
    </row>
    <row r="68" spans="1:14" hidden="1" x14ac:dyDescent="0.25">
      <c r="A68" s="206" t="s">
        <v>4</v>
      </c>
      <c r="B68" s="301"/>
      <c r="C68" s="301"/>
      <c r="D68" s="301"/>
      <c r="E68" s="301"/>
      <c r="F68" s="301"/>
      <c r="G68" s="301"/>
      <c r="H68" s="301"/>
      <c r="I68" s="301"/>
      <c r="J68" s="301"/>
      <c r="K68" s="301"/>
      <c r="L68" s="301"/>
      <c r="M68" s="301"/>
      <c r="N68" s="301"/>
    </row>
    <row r="69" spans="1:14" hidden="1" x14ac:dyDescent="0.25">
      <c r="A69" s="206" t="s">
        <v>17</v>
      </c>
      <c r="B69" s="305"/>
      <c r="C69" s="305"/>
      <c r="D69" s="305"/>
      <c r="E69" s="305"/>
      <c r="F69" s="305"/>
      <c r="G69" s="305"/>
      <c r="H69" s="305"/>
      <c r="I69" s="305"/>
      <c r="J69" s="305"/>
      <c r="K69" s="305"/>
      <c r="L69" s="305"/>
      <c r="M69" s="305"/>
      <c r="N69" s="305"/>
    </row>
    <row r="70" spans="1:14" hidden="1" x14ac:dyDescent="0.25">
      <c r="B70" s="301">
        <f>SUM(B63:B69)</f>
        <v>49379.08</v>
      </c>
      <c r="C70" s="301">
        <f t="shared" ref="C70:N70" si="102">SUM(C63:C69)</f>
        <v>49295.8</v>
      </c>
      <c r="D70" s="301">
        <f t="shared" si="102"/>
        <v>49239.820000000007</v>
      </c>
      <c r="E70" s="301">
        <f t="shared" si="102"/>
        <v>49145.450000000004</v>
      </c>
      <c r="F70" s="301">
        <f t="shared" si="102"/>
        <v>49052.360000000008</v>
      </c>
      <c r="G70" s="301">
        <f t="shared" si="102"/>
        <v>48922.700000000004</v>
      </c>
      <c r="H70" s="301">
        <f t="shared" si="102"/>
        <v>48898.090000000004</v>
      </c>
      <c r="I70" s="301">
        <f t="shared" si="102"/>
        <v>48904.090000000004</v>
      </c>
      <c r="J70" s="301">
        <f t="shared" si="102"/>
        <v>48912.640000000007</v>
      </c>
      <c r="K70" s="301">
        <f t="shared" si="102"/>
        <v>48985.340000000004</v>
      </c>
      <c r="L70" s="301">
        <f t="shared" si="102"/>
        <v>49247.3</v>
      </c>
      <c r="M70" s="301">
        <f t="shared" si="102"/>
        <v>49211.19</v>
      </c>
      <c r="N70" s="301">
        <f t="shared" si="102"/>
        <v>0</v>
      </c>
    </row>
    <row r="71" spans="1:14" hidden="1" x14ac:dyDescent="0.25">
      <c r="B71" s="301"/>
      <c r="C71" s="301"/>
      <c r="D71" s="301"/>
      <c r="E71" s="301"/>
      <c r="F71" s="301"/>
      <c r="G71" s="301"/>
      <c r="H71" s="301"/>
      <c r="I71" s="301"/>
      <c r="J71" s="301"/>
      <c r="K71" s="301"/>
      <c r="L71" s="301"/>
      <c r="M71" s="301"/>
      <c r="N71" s="301"/>
    </row>
    <row r="72" spans="1:14" hidden="1" x14ac:dyDescent="0.25">
      <c r="A72" s="189" t="s">
        <v>13</v>
      </c>
      <c r="B72" s="301">
        <v>10197.219999999999</v>
      </c>
      <c r="C72" s="301">
        <v>9324.34</v>
      </c>
      <c r="D72" s="301">
        <v>8809.26</v>
      </c>
      <c r="E72" s="301">
        <v>7795.1</v>
      </c>
      <c r="F72" s="301">
        <v>6907.3</v>
      </c>
      <c r="G72" s="301">
        <v>5678.62</v>
      </c>
      <c r="H72" s="301">
        <v>5985.3</v>
      </c>
      <c r="I72" s="301">
        <v>6100.67</v>
      </c>
      <c r="J72" s="301">
        <v>6172.71</v>
      </c>
      <c r="K72" s="301">
        <v>7372.79</v>
      </c>
      <c r="L72" s="301">
        <v>10505.71</v>
      </c>
      <c r="M72" s="301">
        <v>1686.92</v>
      </c>
      <c r="N72" s="301"/>
    </row>
    <row r="73" spans="1:14" hidden="1" x14ac:dyDescent="0.25">
      <c r="B73" s="301"/>
      <c r="C73" s="301"/>
      <c r="D73" s="301"/>
      <c r="E73" s="301"/>
      <c r="F73" s="301"/>
      <c r="G73" s="301"/>
      <c r="H73" s="301"/>
      <c r="I73" s="301"/>
      <c r="J73" s="301"/>
      <c r="K73" s="301"/>
      <c r="L73" s="301"/>
      <c r="M73" s="301"/>
      <c r="N73" s="301"/>
    </row>
    <row r="74" spans="1:14" hidden="1" x14ac:dyDescent="0.25">
      <c r="B74" s="301"/>
      <c r="C74" s="301"/>
      <c r="D74" s="301"/>
      <c r="E74" s="301"/>
      <c r="F74" s="301"/>
      <c r="G74" s="301"/>
      <c r="H74" s="301"/>
      <c r="I74" s="301"/>
      <c r="J74" s="301"/>
      <c r="K74" s="301"/>
      <c r="L74" s="301"/>
      <c r="M74" s="301"/>
      <c r="N74" s="301"/>
    </row>
    <row r="75" spans="1:14" hidden="1" x14ac:dyDescent="0.25">
      <c r="A75" s="298" t="s">
        <v>12</v>
      </c>
    </row>
    <row r="76" spans="1:14" hidden="1" x14ac:dyDescent="0.25">
      <c r="A76" s="206" t="s">
        <v>8</v>
      </c>
      <c r="B76" s="299">
        <v>13648.6</v>
      </c>
      <c r="C76" s="299">
        <v>13648.6</v>
      </c>
      <c r="D76" s="299">
        <v>13648.6</v>
      </c>
      <c r="E76" s="299">
        <v>13648.6</v>
      </c>
      <c r="F76" s="299">
        <v>13648.6</v>
      </c>
      <c r="G76" s="299">
        <v>13648.6</v>
      </c>
      <c r="H76" s="299">
        <v>13648.6</v>
      </c>
      <c r="I76" s="299">
        <v>13648.6</v>
      </c>
      <c r="J76" s="299">
        <v>13648.6</v>
      </c>
      <c r="K76" s="299">
        <v>13648.6</v>
      </c>
      <c r="L76" s="299">
        <v>13648.6</v>
      </c>
      <c r="M76" s="299">
        <v>13648.6</v>
      </c>
      <c r="N76" s="299"/>
    </row>
    <row r="77" spans="1:14" hidden="1" x14ac:dyDescent="0.25">
      <c r="A77" s="206" t="s">
        <v>10</v>
      </c>
      <c r="B77" s="300">
        <v>17535.699999999997</v>
      </c>
      <c r="C77" s="300">
        <v>17535.699999999997</v>
      </c>
      <c r="D77" s="300">
        <v>17535.699999999997</v>
      </c>
      <c r="E77" s="300">
        <v>17535.699999999997</v>
      </c>
      <c r="F77" s="300">
        <v>17535.699999999997</v>
      </c>
      <c r="G77" s="300">
        <v>17535.699999999997</v>
      </c>
      <c r="H77" s="300">
        <v>17535.699999999997</v>
      </c>
      <c r="I77" s="300">
        <v>17535.699999999997</v>
      </c>
      <c r="J77" s="300">
        <v>17535.699999999997</v>
      </c>
      <c r="K77" s="300">
        <v>17535.699999999997</v>
      </c>
      <c r="L77" s="300">
        <v>17535.699999999997</v>
      </c>
      <c r="M77" s="300">
        <v>17535.699999999997</v>
      </c>
      <c r="N77" s="300"/>
    </row>
    <row r="78" spans="1:14" hidden="1" x14ac:dyDescent="0.25">
      <c r="A78" s="206" t="s">
        <v>14</v>
      </c>
      <c r="B78" s="299">
        <f>SUM(B76:B77)</f>
        <v>31184.299999999996</v>
      </c>
      <c r="C78" s="299">
        <f t="shared" ref="C78:N78" si="103">SUM(C76:C77)</f>
        <v>31184.299999999996</v>
      </c>
      <c r="D78" s="299">
        <f t="shared" si="103"/>
        <v>31184.299999999996</v>
      </c>
      <c r="E78" s="299">
        <f t="shared" si="103"/>
        <v>31184.299999999996</v>
      </c>
      <c r="F78" s="299">
        <f t="shared" si="103"/>
        <v>31184.299999999996</v>
      </c>
      <c r="G78" s="299">
        <f t="shared" si="103"/>
        <v>31184.299999999996</v>
      </c>
      <c r="H78" s="299">
        <f t="shared" si="103"/>
        <v>31184.299999999996</v>
      </c>
      <c r="I78" s="299">
        <f t="shared" si="103"/>
        <v>31184.299999999996</v>
      </c>
      <c r="J78" s="299">
        <f t="shared" si="103"/>
        <v>31184.299999999996</v>
      </c>
      <c r="K78" s="299">
        <f t="shared" si="103"/>
        <v>31184.299999999996</v>
      </c>
      <c r="L78" s="299">
        <f t="shared" si="103"/>
        <v>31184.299999999996</v>
      </c>
      <c r="M78" s="299">
        <f t="shared" si="103"/>
        <v>31184.299999999996</v>
      </c>
      <c r="N78" s="299">
        <f t="shared" si="103"/>
        <v>0</v>
      </c>
    </row>
    <row r="79" spans="1:14" hidden="1" x14ac:dyDescent="0.25">
      <c r="A79" s="206"/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</row>
    <row r="80" spans="1:14" hidden="1" x14ac:dyDescent="0.25">
      <c r="A80" s="206" t="s">
        <v>9</v>
      </c>
      <c r="B80" s="299">
        <v>30057.900000000063</v>
      </c>
      <c r="C80" s="299">
        <v>38880.369999999974</v>
      </c>
      <c r="D80" s="299">
        <v>38030.789999999921</v>
      </c>
      <c r="E80" s="299">
        <v>26215.119999999955</v>
      </c>
      <c r="F80" s="299">
        <v>17779.059999999805</v>
      </c>
      <c r="G80" s="299">
        <v>10271.709999999677</v>
      </c>
      <c r="H80" s="299">
        <v>3839.4699999999425</v>
      </c>
      <c r="I80" s="299">
        <v>3018.6299999999769</v>
      </c>
      <c r="J80" s="299">
        <v>3727.6499999999569</v>
      </c>
      <c r="K80" s="299">
        <v>3883.2199999999589</v>
      </c>
      <c r="L80" s="299">
        <v>11836.769999999695</v>
      </c>
      <c r="M80" s="299">
        <v>23465.949999999932</v>
      </c>
      <c r="N80" s="299"/>
    </row>
    <row r="81" spans="1:14" hidden="1" x14ac:dyDescent="0.25">
      <c r="A81" s="206" t="s">
        <v>11</v>
      </c>
      <c r="B81" s="300">
        <v>81354.010000000068</v>
      </c>
      <c r="C81" s="300">
        <v>72489.340000000055</v>
      </c>
      <c r="D81" s="300">
        <v>71105.2</v>
      </c>
      <c r="E81" s="300">
        <v>49133.789999999921</v>
      </c>
      <c r="F81" s="300">
        <v>33295.059999999961</v>
      </c>
      <c r="G81" s="300">
        <v>23226.139999999948</v>
      </c>
      <c r="H81" s="300">
        <v>7201.4400000000232</v>
      </c>
      <c r="I81" s="300">
        <v>5854.6800000000103</v>
      </c>
      <c r="J81" s="300">
        <v>7028.0000000000264</v>
      </c>
      <c r="K81" s="300">
        <v>7349.7700000000168</v>
      </c>
      <c r="L81" s="300">
        <v>25202.839999999997</v>
      </c>
      <c r="M81" s="300">
        <v>62866.31999999992</v>
      </c>
      <c r="N81" s="300"/>
    </row>
    <row r="82" spans="1:14" hidden="1" x14ac:dyDescent="0.25">
      <c r="A82" s="206" t="s">
        <v>15</v>
      </c>
      <c r="B82" s="299">
        <f>SUM(B80:B81)</f>
        <v>111411.91000000013</v>
      </c>
      <c r="C82" s="299">
        <f t="shared" ref="C82" si="104">SUM(C80:C81)</f>
        <v>111369.71000000002</v>
      </c>
      <c r="D82" s="299">
        <f t="shared" ref="D82" si="105">SUM(D80:D81)</f>
        <v>109135.98999999992</v>
      </c>
      <c r="E82" s="299">
        <f t="shared" ref="E82" si="106">SUM(E80:E81)</f>
        <v>75348.909999999873</v>
      </c>
      <c r="F82" s="299">
        <f t="shared" ref="F82" si="107">SUM(F80:F81)</f>
        <v>51074.119999999763</v>
      </c>
      <c r="G82" s="299">
        <f t="shared" ref="G82" si="108">SUM(G80:G81)</f>
        <v>33497.849999999627</v>
      </c>
      <c r="H82" s="299">
        <f t="shared" ref="H82" si="109">SUM(H80:H81)</f>
        <v>11040.909999999965</v>
      </c>
      <c r="I82" s="299">
        <f t="shared" ref="I82" si="110">SUM(I80:I81)</f>
        <v>8873.3099999999868</v>
      </c>
      <c r="J82" s="299">
        <f t="shared" ref="J82" si="111">SUM(J80:J81)</f>
        <v>10755.649999999983</v>
      </c>
      <c r="K82" s="299">
        <f t="shared" ref="K82" si="112">SUM(K80:K81)</f>
        <v>11232.989999999976</v>
      </c>
      <c r="L82" s="299">
        <f t="shared" ref="L82" si="113">SUM(L80:L81)</f>
        <v>37039.609999999695</v>
      </c>
      <c r="M82" s="299">
        <f t="shared" ref="M82" si="114">SUM(M80:M81)</f>
        <v>86332.269999999844</v>
      </c>
      <c r="N82" s="299">
        <f t="shared" ref="N82" si="115">SUM(N80:N81)</f>
        <v>0</v>
      </c>
    </row>
    <row r="83" spans="1:14" hidden="1" x14ac:dyDescent="0.25"/>
    <row r="84" spans="1:14" hidden="1" x14ac:dyDescent="0.25"/>
    <row r="85" spans="1:14" hidden="1" x14ac:dyDescent="0.25"/>
    <row r="86" spans="1:14" hidden="1" x14ac:dyDescent="0.25">
      <c r="A86" s="189" t="s">
        <v>184</v>
      </c>
    </row>
  </sheetData>
  <sheetProtection sheet="1" objects="1" scenarios="1"/>
  <mergeCells count="1">
    <mergeCell ref="A1:A2"/>
  </mergeCells>
  <pageMargins left="0.7" right="0.7" top="0.75" bottom="0.7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BY81"/>
  <sheetViews>
    <sheetView topLeftCell="BC1" workbookViewId="0">
      <selection activeCell="BI81" sqref="BI81"/>
    </sheetView>
  </sheetViews>
  <sheetFormatPr defaultRowHeight="15" outlineLevelRow="1" outlineLevelCol="1" x14ac:dyDescent="0.25"/>
  <cols>
    <col min="1" max="1" width="8.85546875" bestFit="1" customWidth="1"/>
    <col min="2" max="2" width="9.140625" customWidth="1"/>
    <col min="3" max="3" width="15.85546875" style="52" customWidth="1" outlineLevel="1"/>
    <col min="4" max="5" width="15.85546875" customWidth="1" outlineLevel="1"/>
    <col min="6" max="6" width="15.85546875" style="53" customWidth="1" outlineLevel="1"/>
    <col min="7" max="8" width="15.85546875" customWidth="1" outlineLevel="1"/>
    <col min="9" max="9" width="15.85546875" style="53" customWidth="1" outlineLevel="1"/>
    <col min="10" max="10" width="13.42578125" style="24" customWidth="1" outlineLevel="1"/>
    <col min="11" max="11" width="14.140625" style="24" customWidth="1" outlineLevel="1"/>
    <col min="12" max="12" width="12.42578125" style="24" customWidth="1" outlineLevel="1"/>
    <col min="13" max="13" width="11.85546875" style="24" customWidth="1" outlineLevel="1"/>
    <col min="14" max="14" width="11.85546875" style="29" customWidth="1" outlineLevel="1"/>
    <col min="15" max="15" width="13" style="27" customWidth="1" outlineLevel="1"/>
    <col min="16" max="18" width="12.85546875" style="27" customWidth="1" outlineLevel="1"/>
    <col min="19" max="19" width="12.85546875" style="30" customWidth="1" outlineLevel="1"/>
    <col min="20" max="24" width="13" style="27" customWidth="1" outlineLevel="1"/>
    <col min="25" max="25" width="3.5703125" style="162" customWidth="1"/>
    <col min="26" max="26" width="10.85546875" style="178" customWidth="1" outlineLevel="1"/>
    <col min="27" max="27" width="10.140625" style="159" customWidth="1" outlineLevel="1"/>
    <col min="28" max="31" width="12" style="81" customWidth="1" outlineLevel="1"/>
    <col min="32" max="32" width="12.140625" style="159" customWidth="1" outlineLevel="1"/>
    <col min="33" max="33" width="13.140625" style="159" customWidth="1" outlineLevel="1"/>
    <col min="34" max="34" width="15.5703125" style="159" customWidth="1" outlineLevel="1"/>
    <col min="35" max="37" width="15.42578125" style="159" customWidth="1" outlineLevel="1"/>
    <col min="38" max="39" width="15.42578125" style="82" customWidth="1" outlineLevel="1"/>
    <col min="40" max="45" width="14.85546875" style="159" customWidth="1" outlineLevel="1"/>
    <col min="46" max="48" width="15.42578125" style="176" customWidth="1" outlineLevel="1"/>
    <col min="49" max="49" width="15.42578125" style="177" customWidth="1" outlineLevel="1"/>
    <col min="50" max="51" width="12.140625" style="159" customWidth="1" outlineLevel="1"/>
    <col min="52" max="52" width="14.85546875" style="159" customWidth="1" outlineLevel="1"/>
    <col min="53" max="53" width="14.5703125" style="159" customWidth="1" outlineLevel="1"/>
    <col min="54" max="54" width="11.85546875" style="159" customWidth="1" outlineLevel="1"/>
    <col min="55" max="55" width="16.85546875" style="159" customWidth="1" outlineLevel="1"/>
    <col min="56" max="57" width="16.85546875" style="133" customWidth="1" outlineLevel="1"/>
    <col min="58" max="58" width="15.42578125" style="159" customWidth="1" outlineLevel="1"/>
    <col min="59" max="59" width="3.5703125" style="119" customWidth="1"/>
    <col min="60" max="60" width="14.85546875" style="168" customWidth="1" outlineLevel="1"/>
    <col min="61" max="61" width="15.42578125" style="173" customWidth="1" outlineLevel="1"/>
    <col min="62" max="62" width="12.5703125" style="179" customWidth="1" outlineLevel="1"/>
    <col min="63" max="63" width="12.42578125" style="180" customWidth="1" outlineLevel="1"/>
    <col min="64" max="64" width="17.140625" style="181" customWidth="1" outlineLevel="1"/>
    <col min="65" max="65" width="15.5703125" style="187" customWidth="1" outlineLevel="1"/>
    <col min="66" max="66" width="3.5703125" style="120" customWidth="1"/>
    <col min="67" max="67" width="9.85546875" style="182" customWidth="1" outlineLevel="1"/>
    <col min="68" max="68" width="13.5703125" style="183" customWidth="1" outlineLevel="1"/>
    <col min="69" max="69" width="15.140625" style="184" customWidth="1" outlineLevel="1"/>
    <col min="70" max="70" width="15.140625" style="185" customWidth="1" outlineLevel="1"/>
    <col min="71" max="71" width="19.140625" style="183" customWidth="1" outlineLevel="1"/>
    <col min="72" max="73" width="14.140625" style="183" customWidth="1" outlineLevel="1"/>
    <col min="74" max="74" width="14.140625" style="186" customWidth="1" outlineLevel="1"/>
    <col min="75" max="75" width="3.5703125" style="164" customWidth="1"/>
    <col min="77" max="77" width="17.42578125" bestFit="1" customWidth="1"/>
  </cols>
  <sheetData>
    <row r="1" spans="1:75" ht="15.75" thickBot="1" x14ac:dyDescent="0.3">
      <c r="A1" s="1" t="s">
        <v>312</v>
      </c>
      <c r="I1"/>
      <c r="N1" s="24"/>
      <c r="S1" s="27"/>
      <c r="Z1" s="343"/>
      <c r="AU1" s="159"/>
      <c r="AV1" s="159"/>
      <c r="AW1" s="176"/>
      <c r="BH1" s="344"/>
      <c r="BR1" s="184"/>
      <c r="BV1" s="183"/>
    </row>
    <row r="2" spans="1:75" s="56" customFormat="1" ht="69" customHeight="1" thickBot="1" x14ac:dyDescent="0.3">
      <c r="A2" s="4"/>
      <c r="B2" s="5"/>
      <c r="C2" s="351" t="s">
        <v>33</v>
      </c>
      <c r="D2" s="352"/>
      <c r="E2" s="352"/>
      <c r="F2" s="353"/>
      <c r="G2" s="354" t="s">
        <v>34</v>
      </c>
      <c r="H2" s="352"/>
      <c r="I2" s="352"/>
      <c r="J2" s="355" t="s">
        <v>35</v>
      </c>
      <c r="K2" s="355"/>
      <c r="L2" s="355"/>
      <c r="M2" s="355"/>
      <c r="N2" s="356"/>
      <c r="O2" s="357" t="s">
        <v>36</v>
      </c>
      <c r="P2" s="358"/>
      <c r="Q2" s="358"/>
      <c r="R2" s="358"/>
      <c r="S2" s="359"/>
      <c r="T2" s="358" t="s">
        <v>37</v>
      </c>
      <c r="U2" s="358"/>
      <c r="V2" s="358"/>
      <c r="W2" s="358"/>
      <c r="X2" s="358"/>
      <c r="Y2" s="350" t="s">
        <v>51</v>
      </c>
      <c r="Z2" s="365" t="s">
        <v>52</v>
      </c>
      <c r="AA2" s="366"/>
      <c r="AB2" s="366"/>
      <c r="AC2" s="366"/>
      <c r="AD2" s="366"/>
      <c r="AE2" s="366"/>
      <c r="AF2" s="366"/>
      <c r="AG2" s="366"/>
      <c r="AH2" s="366"/>
      <c r="AI2" s="366"/>
      <c r="AJ2" s="366"/>
      <c r="AK2" s="366"/>
      <c r="AL2" s="366"/>
      <c r="AM2" s="366"/>
      <c r="AN2" s="366"/>
      <c r="AO2" s="366"/>
      <c r="AP2" s="366"/>
      <c r="AQ2" s="366"/>
      <c r="AR2" s="366"/>
      <c r="AS2" s="366"/>
      <c r="AT2" s="367"/>
      <c r="AU2" s="368" t="s">
        <v>53</v>
      </c>
      <c r="AV2" s="366"/>
      <c r="AW2" s="367"/>
      <c r="AX2" s="368" t="s">
        <v>54</v>
      </c>
      <c r="AY2" s="366"/>
      <c r="AZ2" s="366"/>
      <c r="BA2" s="366"/>
      <c r="BB2" s="366"/>
      <c r="BC2" s="366"/>
      <c r="BD2" s="366"/>
      <c r="BE2" s="366"/>
      <c r="BF2" s="369"/>
      <c r="BG2" s="370" t="s">
        <v>55</v>
      </c>
      <c r="BH2" s="371" t="s">
        <v>56</v>
      </c>
      <c r="BI2" s="372"/>
      <c r="BJ2" s="372"/>
      <c r="BK2" s="373"/>
      <c r="BL2" s="54" t="s">
        <v>57</v>
      </c>
      <c r="BM2" s="55" t="s">
        <v>58</v>
      </c>
      <c r="BN2" s="374" t="s">
        <v>59</v>
      </c>
      <c r="BO2" s="360" t="s">
        <v>60</v>
      </c>
      <c r="BP2" s="361"/>
      <c r="BQ2" s="361"/>
      <c r="BR2" s="361"/>
      <c r="BS2" s="362" t="s">
        <v>13</v>
      </c>
      <c r="BT2" s="363"/>
      <c r="BU2" s="363"/>
      <c r="BV2" s="363"/>
      <c r="BW2" s="364" t="s">
        <v>61</v>
      </c>
    </row>
    <row r="3" spans="1:75" s="78" customFormat="1" ht="48.6" customHeight="1" x14ac:dyDescent="0.25">
      <c r="A3" s="6" t="s">
        <v>38</v>
      </c>
      <c r="B3" s="7" t="s">
        <v>39</v>
      </c>
      <c r="C3" s="8" t="s">
        <v>40</v>
      </c>
      <c r="D3" s="9" t="s">
        <v>41</v>
      </c>
      <c r="E3" s="10" t="s">
        <v>42</v>
      </c>
      <c r="F3" s="10" t="s">
        <v>43</v>
      </c>
      <c r="G3" s="9" t="s">
        <v>44</v>
      </c>
      <c r="H3" s="11" t="s">
        <v>45</v>
      </c>
      <c r="I3" s="10" t="s">
        <v>41</v>
      </c>
      <c r="J3" s="12" t="s">
        <v>46</v>
      </c>
      <c r="K3" s="12" t="s">
        <v>47</v>
      </c>
      <c r="L3" s="12" t="s">
        <v>48</v>
      </c>
      <c r="M3" s="12" t="s">
        <v>49</v>
      </c>
      <c r="N3" s="13" t="s">
        <v>50</v>
      </c>
      <c r="O3" s="14" t="s">
        <v>46</v>
      </c>
      <c r="P3" s="14" t="s">
        <v>47</v>
      </c>
      <c r="Q3" s="14" t="s">
        <v>48</v>
      </c>
      <c r="R3" s="14" t="s">
        <v>49</v>
      </c>
      <c r="S3" s="15" t="s">
        <v>50</v>
      </c>
      <c r="T3" s="14" t="s">
        <v>46</v>
      </c>
      <c r="U3" s="14" t="s">
        <v>47</v>
      </c>
      <c r="V3" s="14" t="s">
        <v>48</v>
      </c>
      <c r="W3" s="14" t="s">
        <v>49</v>
      </c>
      <c r="X3" s="14" t="s">
        <v>50</v>
      </c>
      <c r="Y3" s="350"/>
      <c r="Z3" s="57" t="s">
        <v>62</v>
      </c>
      <c r="AA3" s="58" t="s">
        <v>63</v>
      </c>
      <c r="AB3" s="59" t="s">
        <v>64</v>
      </c>
      <c r="AC3" s="59" t="s">
        <v>65</v>
      </c>
      <c r="AD3" s="59" t="s">
        <v>66</v>
      </c>
      <c r="AE3" s="60" t="s">
        <v>67</v>
      </c>
      <c r="AF3" s="58" t="s">
        <v>68</v>
      </c>
      <c r="AG3" s="58" t="s">
        <v>69</v>
      </c>
      <c r="AH3" s="58" t="s">
        <v>70</v>
      </c>
      <c r="AI3" s="58" t="s">
        <v>71</v>
      </c>
      <c r="AJ3" s="58" t="s">
        <v>72</v>
      </c>
      <c r="AK3" s="58" t="s">
        <v>73</v>
      </c>
      <c r="AL3" s="61" t="s">
        <v>74</v>
      </c>
      <c r="AM3" s="61" t="s">
        <v>75</v>
      </c>
      <c r="AN3" s="58" t="s">
        <v>76</v>
      </c>
      <c r="AO3" s="58" t="s">
        <v>331</v>
      </c>
      <c r="AP3" s="58" t="s">
        <v>332</v>
      </c>
      <c r="AQ3" s="58" t="s">
        <v>333</v>
      </c>
      <c r="AR3" s="58" t="s">
        <v>77</v>
      </c>
      <c r="AS3" s="58" t="s">
        <v>78</v>
      </c>
      <c r="AT3" s="62" t="s">
        <v>79</v>
      </c>
      <c r="AU3" s="62" t="s">
        <v>80</v>
      </c>
      <c r="AV3" s="62" t="s">
        <v>81</v>
      </c>
      <c r="AW3" s="63" t="s">
        <v>82</v>
      </c>
      <c r="AX3" s="58" t="s">
        <v>83</v>
      </c>
      <c r="AY3" s="58" t="s">
        <v>84</v>
      </c>
      <c r="AZ3" s="58" t="s">
        <v>85</v>
      </c>
      <c r="BA3" s="58" t="s">
        <v>68</v>
      </c>
      <c r="BB3" s="58" t="s">
        <v>86</v>
      </c>
      <c r="BC3" s="58" t="s">
        <v>87</v>
      </c>
      <c r="BD3" s="61" t="s">
        <v>88</v>
      </c>
      <c r="BE3" s="61" t="s">
        <v>89</v>
      </c>
      <c r="BF3" s="62" t="s">
        <v>90</v>
      </c>
      <c r="BG3" s="370"/>
      <c r="BH3" s="64" t="s">
        <v>62</v>
      </c>
      <c r="BI3" s="65" t="s">
        <v>85</v>
      </c>
      <c r="BJ3" s="66" t="s">
        <v>91</v>
      </c>
      <c r="BK3" s="67" t="s">
        <v>92</v>
      </c>
      <c r="BL3" s="68" t="s">
        <v>93</v>
      </c>
      <c r="BM3" s="69" t="s">
        <v>94</v>
      </c>
      <c r="BN3" s="374"/>
      <c r="BO3" s="70" t="s">
        <v>62</v>
      </c>
      <c r="BP3" s="71" t="s">
        <v>95</v>
      </c>
      <c r="BQ3" s="72" t="s">
        <v>96</v>
      </c>
      <c r="BR3" s="73" t="s">
        <v>97</v>
      </c>
      <c r="BS3" s="74" t="s">
        <v>62</v>
      </c>
      <c r="BT3" s="75" t="s">
        <v>95</v>
      </c>
      <c r="BU3" s="76" t="s">
        <v>96</v>
      </c>
      <c r="BV3" s="77" t="s">
        <v>97</v>
      </c>
      <c r="BW3" s="364"/>
    </row>
    <row r="4" spans="1:75" ht="14.45" hidden="1" customHeight="1" outlineLevel="1" x14ac:dyDescent="0.25">
      <c r="A4" s="16">
        <v>43861</v>
      </c>
      <c r="B4" s="17">
        <v>38.979999999999997</v>
      </c>
      <c r="C4" s="18">
        <v>100000</v>
      </c>
      <c r="D4" s="19">
        <v>6.0000000000000001E-3</v>
      </c>
      <c r="E4" s="20">
        <v>6.0000000000000001E-3</v>
      </c>
      <c r="F4" s="20"/>
      <c r="G4" s="21">
        <v>4.431</v>
      </c>
      <c r="H4" s="21">
        <v>2E-3</v>
      </c>
      <c r="I4" s="22">
        <v>7.6400000000000001E-3</v>
      </c>
      <c r="J4" s="23"/>
      <c r="K4" s="23"/>
      <c r="N4" s="25"/>
      <c r="O4" s="26"/>
      <c r="P4" s="26"/>
      <c r="S4" s="28"/>
      <c r="X4" s="26"/>
      <c r="Y4" s="350"/>
      <c r="Z4" s="79"/>
      <c r="AA4" s="80"/>
      <c r="AF4" s="82"/>
      <c r="AG4" s="82"/>
      <c r="AH4" s="82"/>
      <c r="AI4" s="82"/>
      <c r="AJ4" s="82"/>
      <c r="AK4" s="82"/>
      <c r="AN4" s="82"/>
      <c r="AO4" s="82"/>
      <c r="AP4" s="82"/>
      <c r="AQ4" s="82"/>
      <c r="AR4" s="82"/>
      <c r="AS4" s="82"/>
      <c r="AT4" s="83"/>
      <c r="AU4" s="83"/>
      <c r="AV4" s="83"/>
      <c r="AW4" s="84"/>
      <c r="AX4" s="85"/>
      <c r="AY4" s="85"/>
      <c r="AZ4" s="85"/>
      <c r="BA4" s="85"/>
      <c r="BB4" s="85"/>
      <c r="BC4" s="85"/>
      <c r="BD4" s="85"/>
      <c r="BE4" s="85"/>
      <c r="BF4" s="86"/>
      <c r="BG4" s="370"/>
      <c r="BH4" s="87"/>
      <c r="BI4" s="88"/>
      <c r="BJ4" s="89"/>
      <c r="BK4" s="90"/>
      <c r="BL4" s="91"/>
      <c r="BM4" s="92"/>
      <c r="BN4" s="374"/>
      <c r="BO4" s="93"/>
      <c r="BP4" s="94"/>
      <c r="BQ4" s="95"/>
      <c r="BR4" s="96"/>
      <c r="BS4" s="94"/>
      <c r="BT4" s="94"/>
      <c r="BU4" s="94"/>
      <c r="BV4" s="97"/>
      <c r="BW4" s="364"/>
    </row>
    <row r="5" spans="1:75" ht="14.45" hidden="1" customHeight="1" outlineLevel="1" x14ac:dyDescent="0.25">
      <c r="A5" s="16">
        <v>43890</v>
      </c>
      <c r="B5" s="17">
        <v>38.979999999999997</v>
      </c>
      <c r="C5" s="18">
        <v>100000</v>
      </c>
      <c r="D5" s="19">
        <v>6.0000000000000001E-3</v>
      </c>
      <c r="E5" s="20">
        <v>6.0000000000000001E-3</v>
      </c>
      <c r="F5" s="20"/>
      <c r="G5" s="21">
        <v>4.431</v>
      </c>
      <c r="H5" s="21">
        <v>2E-3</v>
      </c>
      <c r="I5" s="22">
        <v>7.6400000000000001E-3</v>
      </c>
      <c r="Y5" s="350"/>
      <c r="Z5" s="79"/>
      <c r="AA5" s="80"/>
      <c r="AF5" s="82"/>
      <c r="AG5" s="82"/>
      <c r="AH5" s="82"/>
      <c r="AI5" s="82"/>
      <c r="AJ5" s="82"/>
      <c r="AK5" s="82"/>
      <c r="AN5" s="82"/>
      <c r="AO5" s="82"/>
      <c r="AP5" s="82"/>
      <c r="AQ5" s="82"/>
      <c r="AR5" s="82"/>
      <c r="AS5" s="82"/>
      <c r="AT5" s="83"/>
      <c r="AU5" s="83"/>
      <c r="AV5" s="83"/>
      <c r="AW5" s="84"/>
      <c r="AX5" s="85"/>
      <c r="AY5" s="85"/>
      <c r="AZ5" s="85"/>
      <c r="BA5" s="85"/>
      <c r="BB5" s="85"/>
      <c r="BC5" s="85"/>
      <c r="BD5" s="85"/>
      <c r="BE5" s="85"/>
      <c r="BF5" s="86"/>
      <c r="BG5" s="370"/>
      <c r="BH5" s="87"/>
      <c r="BI5" s="88"/>
      <c r="BJ5" s="89"/>
      <c r="BK5" s="90"/>
      <c r="BL5" s="91"/>
      <c r="BM5" s="92"/>
      <c r="BN5" s="374"/>
      <c r="BO5" s="93"/>
      <c r="BP5" s="94"/>
      <c r="BQ5" s="95"/>
      <c r="BR5" s="96"/>
      <c r="BS5" s="94"/>
      <c r="BT5" s="94"/>
      <c r="BU5" s="94"/>
      <c r="BV5" s="97"/>
      <c r="BW5" s="364"/>
    </row>
    <row r="6" spans="1:75" s="117" customFormat="1" ht="14.45" hidden="1" customHeight="1" outlineLevel="1" x14ac:dyDescent="0.25">
      <c r="A6" s="31">
        <v>43921</v>
      </c>
      <c r="B6" s="32">
        <v>38.979999999999997</v>
      </c>
      <c r="C6" s="33">
        <v>100000</v>
      </c>
      <c r="D6" s="34">
        <v>6.0000000000000001E-3</v>
      </c>
      <c r="E6" s="35">
        <v>6.0000000000000001E-3</v>
      </c>
      <c r="F6" s="35"/>
      <c r="G6" s="36">
        <v>4.431</v>
      </c>
      <c r="H6" s="36">
        <v>2E-3</v>
      </c>
      <c r="I6" s="37">
        <v>7.6400000000000001E-3</v>
      </c>
      <c r="J6" s="38"/>
      <c r="K6" s="38"/>
      <c r="L6" s="38"/>
      <c r="M6" s="38"/>
      <c r="N6" s="39"/>
      <c r="O6" s="40"/>
      <c r="P6" s="40"/>
      <c r="Q6" s="40"/>
      <c r="R6" s="40"/>
      <c r="S6" s="41"/>
      <c r="T6" s="40"/>
      <c r="U6" s="40"/>
      <c r="V6" s="40"/>
      <c r="W6" s="40"/>
      <c r="X6" s="40"/>
      <c r="Y6" s="350"/>
      <c r="Z6" s="98"/>
      <c r="AA6" s="99"/>
      <c r="AB6" s="100"/>
      <c r="AC6" s="100"/>
      <c r="AD6" s="100"/>
      <c r="AE6" s="100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2"/>
      <c r="AU6" s="102"/>
      <c r="AV6" s="102"/>
      <c r="AW6" s="103"/>
      <c r="AX6" s="104"/>
      <c r="AY6" s="104"/>
      <c r="AZ6" s="104"/>
      <c r="BA6" s="104"/>
      <c r="BB6" s="104"/>
      <c r="BC6" s="104"/>
      <c r="BD6" s="104"/>
      <c r="BE6" s="104"/>
      <c r="BF6" s="105"/>
      <c r="BG6" s="370"/>
      <c r="BH6" s="106"/>
      <c r="BI6" s="107"/>
      <c r="BJ6" s="108"/>
      <c r="BK6" s="109"/>
      <c r="BL6" s="110"/>
      <c r="BM6" s="111"/>
      <c r="BN6" s="374"/>
      <c r="BO6" s="112"/>
      <c r="BP6" s="113"/>
      <c r="BQ6" s="114"/>
      <c r="BR6" s="115"/>
      <c r="BS6" s="113"/>
      <c r="BT6" s="113"/>
      <c r="BU6" s="113"/>
      <c r="BV6" s="116"/>
      <c r="BW6" s="364"/>
    </row>
    <row r="7" spans="1:75" ht="14.45" hidden="1" customHeight="1" outlineLevel="1" x14ac:dyDescent="0.25">
      <c r="A7" s="16">
        <v>43951</v>
      </c>
      <c r="B7" s="17">
        <v>39.28</v>
      </c>
      <c r="C7" s="18">
        <v>100000</v>
      </c>
      <c r="D7" s="19">
        <v>6.0000000000000001E-3</v>
      </c>
      <c r="E7" s="20">
        <v>6.0000000000000001E-3</v>
      </c>
      <c r="F7" s="20"/>
      <c r="G7" s="21">
        <v>4.431</v>
      </c>
      <c r="H7" s="21">
        <v>2E-3</v>
      </c>
      <c r="I7" s="22">
        <v>3.1900000000000001E-3</v>
      </c>
      <c r="Y7" s="118"/>
      <c r="Z7" s="79"/>
      <c r="AA7" s="80"/>
      <c r="AF7" s="82"/>
      <c r="AG7" s="82"/>
      <c r="AH7" s="82"/>
      <c r="AI7" s="82"/>
      <c r="AJ7" s="82"/>
      <c r="AK7" s="82"/>
      <c r="AN7" s="82"/>
      <c r="AO7" s="82"/>
      <c r="AP7" s="82"/>
      <c r="AQ7" s="82"/>
      <c r="AR7" s="82"/>
      <c r="AS7" s="82"/>
      <c r="AT7" s="83"/>
      <c r="AU7" s="83"/>
      <c r="AV7" s="83"/>
      <c r="AW7" s="84"/>
      <c r="AX7" s="85"/>
      <c r="AY7" s="85"/>
      <c r="AZ7" s="85"/>
      <c r="BA7" s="85"/>
      <c r="BB7" s="85"/>
      <c r="BC7" s="85"/>
      <c r="BD7" s="85"/>
      <c r="BE7" s="85"/>
      <c r="BF7" s="86"/>
      <c r="BH7" s="87"/>
      <c r="BI7" s="88"/>
      <c r="BJ7" s="89"/>
      <c r="BK7" s="90"/>
      <c r="BL7" s="91"/>
      <c r="BM7" s="92"/>
      <c r="BO7" s="93"/>
      <c r="BP7" s="94"/>
      <c r="BQ7" s="95"/>
      <c r="BR7" s="96"/>
      <c r="BS7" s="94"/>
      <c r="BT7" s="94"/>
      <c r="BU7" s="94"/>
      <c r="BV7" s="97"/>
      <c r="BW7" s="121"/>
    </row>
    <row r="8" spans="1:75" ht="14.45" hidden="1" customHeight="1" outlineLevel="1" x14ac:dyDescent="0.25">
      <c r="A8" s="16">
        <v>43982</v>
      </c>
      <c r="B8" s="17">
        <v>39.28</v>
      </c>
      <c r="C8" s="18">
        <v>100000</v>
      </c>
      <c r="D8" s="19">
        <v>6.0000000000000001E-3</v>
      </c>
      <c r="E8" s="20">
        <v>6.0000000000000001E-3</v>
      </c>
      <c r="F8" s="20"/>
      <c r="G8" s="21">
        <v>4.431</v>
      </c>
      <c r="H8" s="21">
        <v>2E-3</v>
      </c>
      <c r="I8" s="22">
        <v>3.1900000000000001E-3</v>
      </c>
      <c r="Y8" s="118"/>
      <c r="Z8" s="79" t="s">
        <v>98</v>
      </c>
      <c r="AA8" s="80">
        <v>100000</v>
      </c>
      <c r="AB8" s="81">
        <v>11936</v>
      </c>
      <c r="AF8" s="82">
        <v>3541.67</v>
      </c>
      <c r="AG8" s="82">
        <f t="shared" ref="AG8:AG64" si="0">AB8*E7</f>
        <v>71.616</v>
      </c>
      <c r="AH8" s="82"/>
      <c r="AI8" s="122">
        <v>64</v>
      </c>
      <c r="AJ8" s="122"/>
      <c r="AK8" s="122"/>
      <c r="AN8" s="82"/>
      <c r="AO8" s="82"/>
      <c r="AP8" s="82"/>
      <c r="AQ8" s="82"/>
      <c r="AR8" s="82"/>
      <c r="AS8" s="82"/>
      <c r="AT8" s="86">
        <f>AF8+AG8+AL8</f>
        <v>3613.2860000000001</v>
      </c>
      <c r="AU8" s="86"/>
      <c r="AV8" s="86"/>
      <c r="AW8" s="123"/>
      <c r="AX8" s="85"/>
      <c r="AY8" s="85"/>
      <c r="AZ8" s="85"/>
      <c r="BA8" s="85"/>
      <c r="BB8" s="85"/>
      <c r="BC8" s="85"/>
      <c r="BD8" s="85"/>
      <c r="BE8" s="85"/>
      <c r="BF8" s="86"/>
      <c r="BH8" s="87"/>
      <c r="BI8" s="88"/>
      <c r="BJ8" s="89"/>
      <c r="BK8" s="90"/>
      <c r="BL8" s="91"/>
      <c r="BM8" s="92"/>
      <c r="BO8" s="128" t="str">
        <f t="shared" ref="BO8:BO64" si="1">Z8</f>
        <v>838 454</v>
      </c>
      <c r="BP8" s="94">
        <f>AT8+BF8</f>
        <v>3613.2860000000001</v>
      </c>
      <c r="BQ8" s="95"/>
      <c r="BR8" s="97">
        <f t="shared" ref="BR8:BR10" si="2">BP8+BQ8</f>
        <v>3613.2860000000001</v>
      </c>
      <c r="BS8" s="94"/>
      <c r="BT8" s="94"/>
      <c r="BU8" s="94"/>
      <c r="BV8" s="97"/>
      <c r="BW8" s="121"/>
    </row>
    <row r="9" spans="1:75" ht="14.45" hidden="1" customHeight="1" outlineLevel="1" x14ac:dyDescent="0.25">
      <c r="A9" s="16">
        <v>44012</v>
      </c>
      <c r="B9" s="17">
        <v>39.28</v>
      </c>
      <c r="C9" s="18">
        <v>100000</v>
      </c>
      <c r="D9" s="19">
        <v>6.0000000000000001E-3</v>
      </c>
      <c r="E9" s="20">
        <v>6.0000000000000001E-3</v>
      </c>
      <c r="F9" s="20"/>
      <c r="G9" s="21">
        <v>4.431</v>
      </c>
      <c r="H9" s="21">
        <v>2E-3</v>
      </c>
      <c r="I9" s="22">
        <v>3.1900000000000001E-3</v>
      </c>
      <c r="Y9" s="118"/>
      <c r="Z9" s="79" t="s">
        <v>99</v>
      </c>
      <c r="AA9" s="80">
        <v>100000</v>
      </c>
      <c r="AB9" s="81">
        <v>22500</v>
      </c>
      <c r="AF9" s="82">
        <v>7083.33</v>
      </c>
      <c r="AG9" s="82">
        <f t="shared" si="0"/>
        <v>135</v>
      </c>
      <c r="AH9" s="82"/>
      <c r="AI9" s="122">
        <v>120</v>
      </c>
      <c r="AJ9" s="122"/>
      <c r="AK9" s="122"/>
      <c r="AN9" s="82"/>
      <c r="AO9" s="82"/>
      <c r="AP9" s="82"/>
      <c r="AQ9" s="82"/>
      <c r="AS9" s="82"/>
      <c r="AT9" s="86">
        <f>AF9+AG9+AL9</f>
        <v>7218.33</v>
      </c>
      <c r="AU9" s="86"/>
      <c r="AV9" s="86"/>
      <c r="AW9" s="123"/>
      <c r="AX9" s="82">
        <v>1798.84</v>
      </c>
      <c r="AY9" s="134">
        <v>2979</v>
      </c>
      <c r="AZ9" s="85"/>
      <c r="BA9" s="133">
        <f t="shared" ref="BA9:BA40" si="3">AY9*G9</f>
        <v>13199.949000000001</v>
      </c>
      <c r="BB9" s="85"/>
      <c r="BC9" s="85"/>
      <c r="BD9" s="85"/>
      <c r="BE9" s="85"/>
      <c r="BF9" s="137">
        <f t="shared" ref="BF9:BF34" si="4">AX9+BA9+BB9</f>
        <v>14998.789000000001</v>
      </c>
      <c r="BH9" s="87"/>
      <c r="BI9" s="88"/>
      <c r="BJ9" s="89"/>
      <c r="BK9" s="90"/>
      <c r="BL9" s="91"/>
      <c r="BM9" s="92"/>
      <c r="BO9" s="128" t="str">
        <f t="shared" si="1"/>
        <v>842 770</v>
      </c>
      <c r="BP9" s="94">
        <f>AT9+BF9</f>
        <v>22217.118999999999</v>
      </c>
      <c r="BQ9" s="95"/>
      <c r="BR9" s="97">
        <f t="shared" si="2"/>
        <v>22217.118999999999</v>
      </c>
      <c r="BS9" s="94"/>
      <c r="BT9" s="94"/>
      <c r="BU9" s="94"/>
      <c r="BV9" s="97"/>
      <c r="BW9" s="121"/>
    </row>
    <row r="10" spans="1:75" ht="14.45" hidden="1" customHeight="1" outlineLevel="1" x14ac:dyDescent="0.25">
      <c r="A10" s="16">
        <v>44043</v>
      </c>
      <c r="B10" s="17">
        <v>39.28</v>
      </c>
      <c r="C10" s="18">
        <v>100000</v>
      </c>
      <c r="D10" s="19">
        <v>6.0000000000000001E-3</v>
      </c>
      <c r="E10" s="20">
        <v>6.0000000000000001E-3</v>
      </c>
      <c r="F10" s="20"/>
      <c r="G10" s="21">
        <v>4.431</v>
      </c>
      <c r="H10" s="21">
        <v>2E-3</v>
      </c>
      <c r="I10" s="22">
        <v>3.1900000000000001E-3</v>
      </c>
      <c r="Y10" s="118"/>
      <c r="Z10" s="79" t="s">
        <v>100</v>
      </c>
      <c r="AA10" s="80">
        <v>100000</v>
      </c>
      <c r="AB10" s="81">
        <v>23250</v>
      </c>
      <c r="AF10" s="82">
        <v>7083.33</v>
      </c>
      <c r="AG10" s="82">
        <f t="shared" si="0"/>
        <v>139.5</v>
      </c>
      <c r="AH10" s="82"/>
      <c r="AI10" s="122">
        <v>124</v>
      </c>
      <c r="AJ10" s="122"/>
      <c r="AK10" s="122"/>
      <c r="AN10" s="82"/>
      <c r="AO10" s="82"/>
      <c r="AP10" s="82"/>
      <c r="AQ10" s="82"/>
      <c r="AS10" s="82"/>
      <c r="AT10" s="86">
        <f>AF10+AG10+AL10</f>
        <v>7222.83</v>
      </c>
      <c r="AU10" s="86"/>
      <c r="AV10" s="86"/>
      <c r="AW10" s="123"/>
      <c r="AX10" s="82">
        <v>1998.71</v>
      </c>
      <c r="AY10" s="134">
        <v>3310</v>
      </c>
      <c r="AZ10" s="85"/>
      <c r="BA10" s="133">
        <f t="shared" si="3"/>
        <v>14666.61</v>
      </c>
      <c r="BB10" s="85"/>
      <c r="BC10" s="85"/>
      <c r="BD10" s="85"/>
      <c r="BE10" s="85"/>
      <c r="BF10" s="137">
        <f t="shared" si="4"/>
        <v>16665.32</v>
      </c>
      <c r="BH10" s="87"/>
      <c r="BI10" s="88"/>
      <c r="BJ10" s="89"/>
      <c r="BK10" s="90"/>
      <c r="BL10" s="91"/>
      <c r="BM10" s="92"/>
      <c r="BO10" s="128" t="str">
        <f t="shared" si="1"/>
        <v>847 784</v>
      </c>
      <c r="BP10" s="94">
        <f>AT10+BF10</f>
        <v>23888.15</v>
      </c>
      <c r="BQ10" s="95"/>
      <c r="BR10" s="97">
        <f t="shared" si="2"/>
        <v>23888.15</v>
      </c>
      <c r="BS10" s="94"/>
      <c r="BT10" s="94"/>
      <c r="BU10" s="94"/>
      <c r="BV10" s="97"/>
      <c r="BW10" s="121"/>
    </row>
    <row r="11" spans="1:75" ht="14.45" hidden="1" customHeight="1" outlineLevel="1" x14ac:dyDescent="0.25">
      <c r="A11" s="16">
        <v>44074</v>
      </c>
      <c r="B11" s="17">
        <v>39.28</v>
      </c>
      <c r="C11" s="18">
        <v>100000</v>
      </c>
      <c r="D11" s="19">
        <v>6.0000000000000001E-3</v>
      </c>
      <c r="E11" s="20">
        <v>6.0000000000000001E-3</v>
      </c>
      <c r="F11" s="20"/>
      <c r="G11" s="21">
        <v>4.431</v>
      </c>
      <c r="H11" s="21">
        <v>2E-3</v>
      </c>
      <c r="I11" s="22">
        <v>3.1900000000000001E-3</v>
      </c>
      <c r="J11" s="24">
        <v>41957</v>
      </c>
      <c r="K11" s="24">
        <f>J11-L11-M11-N11</f>
        <v>7478</v>
      </c>
      <c r="L11" s="24">
        <v>5304</v>
      </c>
      <c r="M11" s="24">
        <v>29175</v>
      </c>
      <c r="O11" s="27">
        <v>40639</v>
      </c>
      <c r="P11" s="27">
        <f>O11-Q11-R11-S11</f>
        <v>6400.7141127607974</v>
      </c>
      <c r="Q11" s="27">
        <v>5299.8486339592</v>
      </c>
      <c r="R11" s="27">
        <v>28938.437253280004</v>
      </c>
      <c r="T11" s="27">
        <v>8863</v>
      </c>
      <c r="U11" s="27">
        <f>T11-V11-W11-X11</f>
        <v>5452.4354400000002</v>
      </c>
      <c r="V11" s="27">
        <f>22800*B11/1000</f>
        <v>895.58399999999995</v>
      </c>
      <c r="W11" s="27">
        <f>64027*B11/1000</f>
        <v>2514.98056</v>
      </c>
      <c r="Y11" s="118"/>
      <c r="Z11" s="79" t="s">
        <v>101</v>
      </c>
      <c r="AA11" s="80">
        <v>100000</v>
      </c>
      <c r="AB11" s="81">
        <v>17500</v>
      </c>
      <c r="AF11" s="82">
        <v>7083.33</v>
      </c>
      <c r="AG11" s="82">
        <f t="shared" si="0"/>
        <v>105</v>
      </c>
      <c r="AH11" s="82"/>
      <c r="AI11" s="122">
        <v>109</v>
      </c>
      <c r="AJ11" s="122"/>
      <c r="AK11" s="82">
        <f>9750*0.041</f>
        <v>399.75</v>
      </c>
      <c r="AN11" s="82"/>
      <c r="AO11" s="82"/>
      <c r="AP11" s="82"/>
      <c r="AQ11" s="82"/>
      <c r="AS11" s="82"/>
      <c r="AT11" s="86">
        <f>AF11+AG11+AK11</f>
        <v>7588.08</v>
      </c>
      <c r="AU11" s="86"/>
      <c r="AV11" s="86"/>
      <c r="AW11" s="123"/>
      <c r="AX11" s="82">
        <v>1998.71</v>
      </c>
      <c r="AY11" s="134">
        <v>3310</v>
      </c>
      <c r="AZ11" s="134">
        <v>41957</v>
      </c>
      <c r="BA11" s="133">
        <f t="shared" si="3"/>
        <v>14666.61</v>
      </c>
      <c r="BB11" s="133">
        <f t="shared" ref="BB11:BB42" si="5">AZ11*H11</f>
        <v>83.914000000000001</v>
      </c>
      <c r="BC11" s="85"/>
      <c r="BD11" s="85"/>
      <c r="BE11" s="85"/>
      <c r="BF11" s="137">
        <f t="shared" si="4"/>
        <v>16749.234</v>
      </c>
      <c r="BH11" s="124" t="s">
        <v>102</v>
      </c>
      <c r="BI11" s="125">
        <f t="shared" ref="BI11:BI38" si="6">SUM(P11:S11)</f>
        <v>40639</v>
      </c>
      <c r="BJ11" s="126">
        <v>0.04</v>
      </c>
      <c r="BK11" s="127">
        <f t="shared" ref="BK11:BK64" si="7">BI11*BJ11</f>
        <v>1625.56</v>
      </c>
      <c r="BL11" s="91">
        <v>3057</v>
      </c>
      <c r="BM11" s="92"/>
      <c r="BO11" s="128" t="str">
        <f t="shared" si="1"/>
        <v>851 508</v>
      </c>
      <c r="BP11" s="132">
        <f>AT11
+(K11/AZ11*AX11)
+((T11-V11-W11-X11)/T11*BA11)
+(K11/AZ11*BB11)</f>
        <v>16982.028781150184</v>
      </c>
      <c r="BQ11" s="129">
        <f t="shared" ref="BQ11:BQ39" si="8">((L11+M11+N11)/AZ11*AX11)
+((V11+W11+X11)/T11*BA11)
+((L11+M11+N11)/AZ11*BB11)</f>
        <v>7355.2852188498155</v>
      </c>
      <c r="BR11" s="97">
        <f>BP11+BQ11</f>
        <v>24337.313999999998</v>
      </c>
      <c r="BS11" s="130" t="str">
        <f t="shared" ref="BS11:BS64" si="9">BH11</f>
        <v>E194CC-2008-1</v>
      </c>
      <c r="BT11" s="131">
        <f t="shared" ref="BT11:BT42" si="10">P11*BJ11+BL11</f>
        <v>3313.0285645104318</v>
      </c>
      <c r="BU11" s="131">
        <f t="shared" ref="BU11:BU50" si="11">(Q11+R11+S11)*BJ11</f>
        <v>1369.5314354895681</v>
      </c>
      <c r="BV11" s="97">
        <f t="shared" ref="BV11:BV50" si="12">BT11+BU11</f>
        <v>4682.5599999999995</v>
      </c>
      <c r="BW11" s="121"/>
    </row>
    <row r="12" spans="1:75" ht="14.45" hidden="1" customHeight="1" outlineLevel="1" x14ac:dyDescent="0.25">
      <c r="A12" s="16">
        <v>44104</v>
      </c>
      <c r="B12" s="17">
        <v>39.28</v>
      </c>
      <c r="C12" s="18">
        <v>100000</v>
      </c>
      <c r="D12" s="19">
        <v>6.0000000000000001E-3</v>
      </c>
      <c r="E12" s="20">
        <v>6.0000000000000001E-3</v>
      </c>
      <c r="F12" s="20"/>
      <c r="G12" s="21">
        <v>4.431</v>
      </c>
      <c r="H12" s="21">
        <v>2E-3</v>
      </c>
      <c r="I12" s="22">
        <v>3.1900000000000001E-3</v>
      </c>
      <c r="J12" s="24">
        <v>46856</v>
      </c>
      <c r="K12" s="24">
        <f t="shared" ref="K12:K39" si="13">J12-L12-M12-N12</f>
        <v>0</v>
      </c>
      <c r="L12" s="24">
        <v>13001</v>
      </c>
      <c r="M12" s="24">
        <v>33855</v>
      </c>
      <c r="O12" s="27">
        <v>46481</v>
      </c>
      <c r="P12" s="27">
        <f t="shared" ref="P12:P64" si="14">O12-Q12-R12-S12</f>
        <v>80.248272488795919</v>
      </c>
      <c r="Q12" s="27">
        <v>12810.21694065936</v>
      </c>
      <c r="R12" s="27">
        <v>33590.534786851844</v>
      </c>
      <c r="T12" s="27">
        <v>8863</v>
      </c>
      <c r="U12" s="27">
        <f t="shared" ref="U12:U56" si="15">T12-V12-W12-X12</f>
        <v>5452.4354400000002</v>
      </c>
      <c r="V12" s="27">
        <f t="shared" ref="V12:V64" si="16">22800*B12/1000</f>
        <v>895.58399999999995</v>
      </c>
      <c r="W12" s="27">
        <f t="shared" ref="W12:W64" si="17">64027*B12/1000</f>
        <v>2514.98056</v>
      </c>
      <c r="Y12" s="118"/>
      <c r="Z12" s="79" t="s">
        <v>103</v>
      </c>
      <c r="AA12" s="80">
        <v>100000</v>
      </c>
      <c r="AB12" s="81">
        <v>15000</v>
      </c>
      <c r="AF12" s="82">
        <v>7083.33</v>
      </c>
      <c r="AG12" s="82">
        <f t="shared" si="0"/>
        <v>90</v>
      </c>
      <c r="AH12" s="82"/>
      <c r="AI12" s="122">
        <v>90</v>
      </c>
      <c r="AJ12" s="122"/>
      <c r="AK12" s="122"/>
      <c r="AN12" s="82"/>
      <c r="AO12" s="82"/>
      <c r="AP12" s="82"/>
      <c r="AQ12" s="82"/>
      <c r="AS12" s="82"/>
      <c r="AT12" s="86">
        <f t="shared" ref="AT12:AT18" si="18">AF12+AG12+AL12</f>
        <v>7173.33</v>
      </c>
      <c r="AU12" s="86"/>
      <c r="AV12" s="86"/>
      <c r="AW12" s="123"/>
      <c r="AX12" s="82">
        <v>1998.71</v>
      </c>
      <c r="AY12" s="134">
        <v>3310</v>
      </c>
      <c r="AZ12" s="134">
        <v>46856</v>
      </c>
      <c r="BA12" s="133">
        <f t="shared" si="3"/>
        <v>14666.61</v>
      </c>
      <c r="BB12" s="133">
        <f t="shared" si="5"/>
        <v>93.712000000000003</v>
      </c>
      <c r="BC12" s="85"/>
      <c r="BD12" s="85"/>
      <c r="BE12" s="85"/>
      <c r="BF12" s="137">
        <f t="shared" si="4"/>
        <v>16759.031999999999</v>
      </c>
      <c r="BH12" s="124" t="s">
        <v>104</v>
      </c>
      <c r="BI12" s="125">
        <f t="shared" si="6"/>
        <v>46481</v>
      </c>
      <c r="BJ12" s="126">
        <v>0.04</v>
      </c>
      <c r="BK12" s="127">
        <f t="shared" si="7"/>
        <v>1859.24</v>
      </c>
      <c r="BL12" s="91">
        <v>3057</v>
      </c>
      <c r="BM12" s="92"/>
      <c r="BO12" s="128" t="str">
        <f t="shared" si="1"/>
        <v>855 478</v>
      </c>
      <c r="BP12" s="132">
        <f t="shared" ref="BP12:BP15" si="19">AT12
+(K12/AZ12*AX12)
+((T12-V12-W12-X12)/T12*BA12)
+(K12/AZ12*BB12)</f>
        <v>16196.092512541849</v>
      </c>
      <c r="BQ12" s="129">
        <f>((L12+M12+N12)/AZ12*AX12)
+((V12+W12+X12)/T12*BA12)
+((L12+M12+N12)/AZ12*BB12)</f>
        <v>7736.269487458153</v>
      </c>
      <c r="BR12" s="97">
        <f t="shared" ref="BR12:BR64" si="20">BP12+BQ12</f>
        <v>23932.362000000001</v>
      </c>
      <c r="BS12" s="130" t="str">
        <f t="shared" si="9"/>
        <v>E194CC-2009-1</v>
      </c>
      <c r="BT12" s="131">
        <f t="shared" si="10"/>
        <v>3060.2099308995516</v>
      </c>
      <c r="BU12" s="131">
        <f t="shared" si="11"/>
        <v>1856.0300691004481</v>
      </c>
      <c r="BV12" s="97">
        <f t="shared" si="12"/>
        <v>4916.24</v>
      </c>
      <c r="BW12" s="121"/>
    </row>
    <row r="13" spans="1:75" ht="14.45" hidden="1" customHeight="1" outlineLevel="1" x14ac:dyDescent="0.25">
      <c r="A13" s="16">
        <v>44135</v>
      </c>
      <c r="B13" s="17">
        <v>39.28</v>
      </c>
      <c r="C13" s="18">
        <v>100000</v>
      </c>
      <c r="D13" s="19">
        <v>6.0000000000000001E-3</v>
      </c>
      <c r="E13" s="20">
        <v>6.0000000000000001E-3</v>
      </c>
      <c r="F13" s="20"/>
      <c r="G13" s="21">
        <v>4.431</v>
      </c>
      <c r="H13" s="21">
        <v>2E-3</v>
      </c>
      <c r="I13" s="22">
        <v>3.1900000000000001E-3</v>
      </c>
      <c r="J13" s="24">
        <v>67529</v>
      </c>
      <c r="K13" s="24">
        <f t="shared" si="13"/>
        <v>0</v>
      </c>
      <c r="L13" s="24">
        <v>12349</v>
      </c>
      <c r="M13" s="24">
        <v>55180</v>
      </c>
      <c r="O13" s="27">
        <v>70664</v>
      </c>
      <c r="P13" s="27">
        <f t="shared" si="14"/>
        <v>2290.1165727904008</v>
      </c>
      <c r="Q13" s="27">
        <v>12497.3400771704</v>
      </c>
      <c r="R13" s="27">
        <v>55876.543350039196</v>
      </c>
      <c r="T13" s="27">
        <v>8863</v>
      </c>
      <c r="U13" s="27">
        <f t="shared" si="15"/>
        <v>5452.4354400000002</v>
      </c>
      <c r="V13" s="27">
        <f t="shared" si="16"/>
        <v>895.58399999999995</v>
      </c>
      <c r="W13" s="27">
        <f t="shared" si="17"/>
        <v>2514.98056</v>
      </c>
      <c r="Y13" s="118"/>
      <c r="Z13" s="79" t="s">
        <v>105</v>
      </c>
      <c r="AA13" s="80">
        <v>100000</v>
      </c>
      <c r="AF13" s="82">
        <v>7083.33</v>
      </c>
      <c r="AG13" s="82">
        <f t="shared" si="0"/>
        <v>0</v>
      </c>
      <c r="AH13" s="82"/>
      <c r="AI13" s="122"/>
      <c r="AJ13" s="122"/>
      <c r="AK13" s="122"/>
      <c r="AN13" s="82"/>
      <c r="AO13" s="82"/>
      <c r="AP13" s="82"/>
      <c r="AQ13" s="82"/>
      <c r="AS13" s="82"/>
      <c r="AT13" s="86">
        <f t="shared" si="18"/>
        <v>7083.33</v>
      </c>
      <c r="AU13" s="86"/>
      <c r="AV13" s="86"/>
      <c r="AW13" s="123"/>
      <c r="AX13" s="82">
        <v>1998.71</v>
      </c>
      <c r="AY13" s="134">
        <v>3310</v>
      </c>
      <c r="AZ13" s="134">
        <v>67529</v>
      </c>
      <c r="BA13" s="133">
        <f t="shared" si="3"/>
        <v>14666.61</v>
      </c>
      <c r="BB13" s="133">
        <f t="shared" si="5"/>
        <v>135.05799999999999</v>
      </c>
      <c r="BC13" s="85"/>
      <c r="BD13" s="85"/>
      <c r="BE13" s="85"/>
      <c r="BF13" s="137">
        <f t="shared" si="4"/>
        <v>16800.378000000001</v>
      </c>
      <c r="BH13" s="124" t="s">
        <v>106</v>
      </c>
      <c r="BI13" s="125">
        <f t="shared" si="6"/>
        <v>70664</v>
      </c>
      <c r="BJ13" s="126">
        <v>0.04</v>
      </c>
      <c r="BK13" s="127">
        <f t="shared" si="7"/>
        <v>2826.56</v>
      </c>
      <c r="BL13" s="91">
        <v>3057</v>
      </c>
      <c r="BM13" s="92"/>
      <c r="BO13" s="128" t="str">
        <f t="shared" si="1"/>
        <v>858 032</v>
      </c>
      <c r="BP13" s="132">
        <f t="shared" si="19"/>
        <v>16106.092512541849</v>
      </c>
      <c r="BQ13" s="129">
        <f>((L13+M13+N13)/AZ13*AX13)
+((V13+W13+X13)/T13*BA13)
+((L13+M13+N13)/AZ13*BB13)</f>
        <v>7777.6154874581525</v>
      </c>
      <c r="BR13" s="97">
        <f t="shared" si="20"/>
        <v>23883.708000000002</v>
      </c>
      <c r="BS13" s="130" t="str">
        <f t="shared" si="9"/>
        <v>E194CC-2010-1</v>
      </c>
      <c r="BT13" s="131">
        <f t="shared" si="10"/>
        <v>3148.6046629116158</v>
      </c>
      <c r="BU13" s="131">
        <f t="shared" si="11"/>
        <v>2734.9553370883841</v>
      </c>
      <c r="BV13" s="97">
        <f t="shared" si="12"/>
        <v>5883.5599999999995</v>
      </c>
      <c r="BW13" s="121"/>
    </row>
    <row r="14" spans="1:75" ht="14.45" hidden="1" customHeight="1" outlineLevel="1" x14ac:dyDescent="0.25">
      <c r="A14" s="16">
        <v>44165</v>
      </c>
      <c r="B14" s="17">
        <v>39.28</v>
      </c>
      <c r="C14" s="18">
        <v>100000</v>
      </c>
      <c r="D14" s="19">
        <v>6.0000000000000001E-3</v>
      </c>
      <c r="E14" s="20">
        <v>6.0000000000000001E-3</v>
      </c>
      <c r="F14" s="20"/>
      <c r="G14" s="21">
        <v>4.431</v>
      </c>
      <c r="H14" s="21">
        <v>2E-3</v>
      </c>
      <c r="I14" s="22">
        <v>7.6400000000000001E-3</v>
      </c>
      <c r="J14" s="24">
        <v>72432</v>
      </c>
      <c r="K14" s="24">
        <f t="shared" si="13"/>
        <v>4450</v>
      </c>
      <c r="L14" s="24">
        <v>10432</v>
      </c>
      <c r="M14" s="24">
        <v>57550</v>
      </c>
      <c r="O14" s="27">
        <v>69958</v>
      </c>
      <c r="P14" s="27">
        <f t="shared" si="14"/>
        <v>2146.8721594315139</v>
      </c>
      <c r="Q14" s="27">
        <v>10197.95885111232</v>
      </c>
      <c r="R14" s="27">
        <v>57613.168989456164</v>
      </c>
      <c r="T14" s="27">
        <v>8863</v>
      </c>
      <c r="U14" s="27">
        <f t="shared" si="15"/>
        <v>5452.4354400000002</v>
      </c>
      <c r="V14" s="27">
        <f t="shared" si="16"/>
        <v>895.58399999999995</v>
      </c>
      <c r="W14" s="27">
        <f t="shared" si="17"/>
        <v>2514.98056</v>
      </c>
      <c r="Y14" s="118"/>
      <c r="Z14" s="79" t="s">
        <v>107</v>
      </c>
      <c r="AA14" s="80">
        <v>100000</v>
      </c>
      <c r="AB14" s="81">
        <v>1866</v>
      </c>
      <c r="AF14" s="82">
        <v>7083.33</v>
      </c>
      <c r="AG14" s="82">
        <f t="shared" si="0"/>
        <v>11.196</v>
      </c>
      <c r="AH14" s="82"/>
      <c r="AI14" s="122">
        <v>12</v>
      </c>
      <c r="AJ14" s="122"/>
      <c r="AK14" s="122"/>
      <c r="AN14" s="82"/>
      <c r="AO14" s="82"/>
      <c r="AP14" s="82"/>
      <c r="AQ14" s="82"/>
      <c r="AS14" s="82"/>
      <c r="AT14" s="86">
        <f t="shared" si="18"/>
        <v>7094.5259999999998</v>
      </c>
      <c r="AU14" s="86"/>
      <c r="AV14" s="86"/>
      <c r="AW14" s="123"/>
      <c r="AX14" s="82">
        <v>1998.71</v>
      </c>
      <c r="AY14" s="134">
        <v>5531</v>
      </c>
      <c r="AZ14" s="134">
        <v>72432</v>
      </c>
      <c r="BA14" s="133">
        <f t="shared" si="3"/>
        <v>24507.861000000001</v>
      </c>
      <c r="BB14" s="133">
        <f t="shared" si="5"/>
        <v>144.864</v>
      </c>
      <c r="BC14" s="85"/>
      <c r="BD14" s="85"/>
      <c r="BE14" s="85"/>
      <c r="BF14" s="137">
        <f t="shared" si="4"/>
        <v>26651.435000000001</v>
      </c>
      <c r="BH14" s="124" t="s">
        <v>108</v>
      </c>
      <c r="BI14" s="125">
        <f t="shared" si="6"/>
        <v>69958</v>
      </c>
      <c r="BJ14" s="126">
        <v>0.04</v>
      </c>
      <c r="BK14" s="127">
        <f t="shared" si="7"/>
        <v>2798.32</v>
      </c>
      <c r="BL14" s="91">
        <v>3057</v>
      </c>
      <c r="BM14" s="92"/>
      <c r="BO14" s="128" t="str">
        <f t="shared" si="1"/>
        <v>863 949</v>
      </c>
      <c r="BP14" s="132">
        <f t="shared" si="19"/>
        <v>22303.229513615075</v>
      </c>
      <c r="BQ14" s="129">
        <f t="shared" si="8"/>
        <v>11442.731486384928</v>
      </c>
      <c r="BR14" s="97">
        <f t="shared" si="20"/>
        <v>33745.961000000003</v>
      </c>
      <c r="BS14" s="130" t="str">
        <f t="shared" si="9"/>
        <v>E194CC-2011-1</v>
      </c>
      <c r="BT14" s="131">
        <f t="shared" si="10"/>
        <v>3142.8748863772607</v>
      </c>
      <c r="BU14" s="131">
        <f t="shared" si="11"/>
        <v>2712.4451136227394</v>
      </c>
      <c r="BV14" s="97">
        <f t="shared" si="12"/>
        <v>5855.32</v>
      </c>
      <c r="BW14" s="121"/>
    </row>
    <row r="15" spans="1:75" ht="14.45" hidden="1" customHeight="1" outlineLevel="1" x14ac:dyDescent="0.25">
      <c r="A15" s="16">
        <v>44196</v>
      </c>
      <c r="B15" s="17">
        <v>39.28</v>
      </c>
      <c r="C15" s="18">
        <v>100000</v>
      </c>
      <c r="D15" s="19">
        <v>6.0000000000000001E-3</v>
      </c>
      <c r="E15" s="20">
        <v>6.0000000000000001E-3</v>
      </c>
      <c r="F15" s="20"/>
      <c r="G15" s="21">
        <v>4.431</v>
      </c>
      <c r="H15" s="21">
        <v>2E-3</v>
      </c>
      <c r="I15" s="22">
        <v>7.6400000000000001E-3</v>
      </c>
      <c r="J15" s="24">
        <v>73390</v>
      </c>
      <c r="K15" s="24">
        <f t="shared" si="13"/>
        <v>0</v>
      </c>
      <c r="L15" s="24">
        <v>12157</v>
      </c>
      <c r="M15" s="24">
        <v>61233</v>
      </c>
      <c r="O15" s="27">
        <v>74104</v>
      </c>
      <c r="P15" s="27">
        <f t="shared" si="14"/>
        <v>470.13368226974126</v>
      </c>
      <c r="Q15" s="27">
        <v>12558.009091995522</v>
      </c>
      <c r="R15" s="27">
        <v>61075.857225734733</v>
      </c>
      <c r="T15" s="27">
        <v>8863</v>
      </c>
      <c r="U15" s="27">
        <f t="shared" si="15"/>
        <v>5452.4354400000002</v>
      </c>
      <c r="V15" s="27">
        <f t="shared" si="16"/>
        <v>895.58399999999995</v>
      </c>
      <c r="W15" s="27">
        <f t="shared" si="17"/>
        <v>2514.98056</v>
      </c>
      <c r="Y15" s="118"/>
      <c r="Z15" s="79" t="s">
        <v>109</v>
      </c>
      <c r="AA15" s="80">
        <v>100000</v>
      </c>
      <c r="AF15" s="82">
        <v>7083.33</v>
      </c>
      <c r="AG15" s="82">
        <f t="shared" si="0"/>
        <v>0</v>
      </c>
      <c r="AH15" s="82"/>
      <c r="AI15" s="122"/>
      <c r="AJ15" s="122"/>
      <c r="AK15" s="122"/>
      <c r="AN15" s="82"/>
      <c r="AO15" s="82"/>
      <c r="AP15" s="82"/>
      <c r="AQ15" s="82"/>
      <c r="AS15" s="82"/>
      <c r="AT15" s="86">
        <f t="shared" si="18"/>
        <v>7083.33</v>
      </c>
      <c r="AU15" s="86"/>
      <c r="AV15" s="86"/>
      <c r="AW15" s="123"/>
      <c r="AX15" s="82">
        <v>1998.71</v>
      </c>
      <c r="AY15" s="134">
        <v>8863</v>
      </c>
      <c r="AZ15" s="134">
        <v>73390</v>
      </c>
      <c r="BA15" s="133">
        <f t="shared" si="3"/>
        <v>39271.953000000001</v>
      </c>
      <c r="BB15" s="133">
        <f t="shared" si="5"/>
        <v>146.78</v>
      </c>
      <c r="BC15" s="85"/>
      <c r="BD15" s="85"/>
      <c r="BE15" s="85"/>
      <c r="BF15" s="137">
        <f t="shared" si="4"/>
        <v>41417.442999999999</v>
      </c>
      <c r="BH15" s="124" t="s">
        <v>110</v>
      </c>
      <c r="BI15" s="125">
        <f t="shared" si="6"/>
        <v>74104</v>
      </c>
      <c r="BJ15" s="126">
        <v>0.04</v>
      </c>
      <c r="BK15" s="127">
        <f t="shared" si="7"/>
        <v>2964.16</v>
      </c>
      <c r="BL15" s="91">
        <v>3057</v>
      </c>
      <c r="BM15" s="92"/>
      <c r="BO15" s="128" t="str">
        <f t="shared" si="1"/>
        <v>867 741</v>
      </c>
      <c r="BP15" s="132">
        <f t="shared" si="19"/>
        <v>31243.071434640005</v>
      </c>
      <c r="BQ15" s="129">
        <f t="shared" si="8"/>
        <v>17257.701565359999</v>
      </c>
      <c r="BR15" s="97">
        <f t="shared" si="20"/>
        <v>48500.773000000001</v>
      </c>
      <c r="BS15" s="130" t="str">
        <f t="shared" si="9"/>
        <v>E194CC-2012-1</v>
      </c>
      <c r="BT15" s="131">
        <f t="shared" si="10"/>
        <v>3075.8053472907895</v>
      </c>
      <c r="BU15" s="131">
        <f t="shared" si="11"/>
        <v>2945.3546527092103</v>
      </c>
      <c r="BV15" s="97">
        <f t="shared" si="12"/>
        <v>6021.16</v>
      </c>
      <c r="BW15" s="121"/>
    </row>
    <row r="16" spans="1:75" ht="14.45" hidden="1" customHeight="1" outlineLevel="1" x14ac:dyDescent="0.25">
      <c r="A16" s="16">
        <v>44227</v>
      </c>
      <c r="B16" s="17">
        <v>39.28</v>
      </c>
      <c r="C16" s="18">
        <v>100000</v>
      </c>
      <c r="D16" s="19">
        <v>6.0000000000000001E-3</v>
      </c>
      <c r="E16" s="20">
        <v>6.0000000000000001E-3</v>
      </c>
      <c r="F16" s="20"/>
      <c r="G16" s="21">
        <v>4.5060000000000002</v>
      </c>
      <c r="H16" s="21">
        <v>2E-3</v>
      </c>
      <c r="I16" s="22">
        <v>7.9500000000000005E-3</v>
      </c>
      <c r="J16" s="24">
        <v>77773</v>
      </c>
      <c r="K16" s="24">
        <f t="shared" si="13"/>
        <v>975</v>
      </c>
      <c r="L16" s="24">
        <v>15274</v>
      </c>
      <c r="M16" s="24">
        <v>61524</v>
      </c>
      <c r="O16" s="27">
        <v>78815</v>
      </c>
      <c r="P16" s="27">
        <f t="shared" si="14"/>
        <v>1891.5939841068757</v>
      </c>
      <c r="Q16" s="27">
        <v>15424.724899912162</v>
      </c>
      <c r="R16" s="27">
        <v>61498.681115980959</v>
      </c>
      <c r="T16" s="27">
        <v>8863</v>
      </c>
      <c r="U16" s="27">
        <f t="shared" si="15"/>
        <v>5452.4354400000002</v>
      </c>
      <c r="V16" s="27">
        <f t="shared" si="16"/>
        <v>895.58399999999995</v>
      </c>
      <c r="W16" s="27">
        <f t="shared" si="17"/>
        <v>2514.98056</v>
      </c>
      <c r="Y16" s="118"/>
      <c r="Z16" s="79" t="s">
        <v>111</v>
      </c>
      <c r="AA16" s="80">
        <v>100000</v>
      </c>
      <c r="AB16" s="81">
        <v>981</v>
      </c>
      <c r="AF16" s="82">
        <v>7083.33</v>
      </c>
      <c r="AG16" s="82">
        <f t="shared" si="0"/>
        <v>5.8860000000000001</v>
      </c>
      <c r="AH16" s="82"/>
      <c r="AI16" s="122">
        <v>6</v>
      </c>
      <c r="AJ16" s="122"/>
      <c r="AK16" s="122"/>
      <c r="AN16" s="82"/>
      <c r="AO16" s="82"/>
      <c r="AP16" s="82"/>
      <c r="AQ16" s="82"/>
      <c r="AR16" s="82"/>
      <c r="AS16" s="82">
        <v>253302</v>
      </c>
      <c r="AT16" s="86">
        <f>AF16+AG16+AL16+AS16</f>
        <v>260391.21600000001</v>
      </c>
      <c r="AU16" s="86"/>
      <c r="AV16" s="86"/>
      <c r="AW16" s="123"/>
      <c r="AX16" s="133">
        <v>2032.69</v>
      </c>
      <c r="AY16" s="134">
        <v>8863</v>
      </c>
      <c r="AZ16" s="134">
        <f t="shared" ref="AZ16:AZ38" si="21">SUM(K16:N16)</f>
        <v>77773</v>
      </c>
      <c r="BA16" s="133">
        <f t="shared" si="3"/>
        <v>39936.678</v>
      </c>
      <c r="BB16" s="133">
        <f t="shared" si="5"/>
        <v>155.54599999999999</v>
      </c>
      <c r="BC16" s="135">
        <v>615</v>
      </c>
      <c r="BD16" s="136"/>
      <c r="BE16" s="136"/>
      <c r="BF16" s="137">
        <f t="shared" si="4"/>
        <v>42124.914000000004</v>
      </c>
      <c r="BH16" s="124" t="s">
        <v>112</v>
      </c>
      <c r="BI16" s="125">
        <f t="shared" si="6"/>
        <v>78815</v>
      </c>
      <c r="BJ16" s="126">
        <v>0.04</v>
      </c>
      <c r="BK16" s="127">
        <f t="shared" si="7"/>
        <v>3152.6</v>
      </c>
      <c r="BL16" s="91">
        <v>3057</v>
      </c>
      <c r="BM16" s="92"/>
      <c r="BO16" s="128" t="str">
        <f t="shared" si="1"/>
        <v>876 030</v>
      </c>
      <c r="BP16" s="132">
        <f>AT16
+(K16/AZ16*AX16)
+((T16-V16-W16-X16)/T16*BA16)
+(K16/AZ16*BB16)</f>
        <v>284987.32287908264</v>
      </c>
      <c r="BQ16" s="129">
        <f t="shared" si="8"/>
        <v>17528.807120917405</v>
      </c>
      <c r="BR16" s="97">
        <f t="shared" si="20"/>
        <v>302516.13000000006</v>
      </c>
      <c r="BS16" s="130" t="str">
        <f t="shared" si="9"/>
        <v>E194CC-2101-1</v>
      </c>
      <c r="BT16" s="131">
        <f t="shared" si="10"/>
        <v>3132.6637593642749</v>
      </c>
      <c r="BU16" s="131">
        <f t="shared" si="11"/>
        <v>3076.936240635725</v>
      </c>
      <c r="BV16" s="97">
        <f t="shared" si="12"/>
        <v>6209.6</v>
      </c>
      <c r="BW16" s="121"/>
    </row>
    <row r="17" spans="1:77" ht="14.45" hidden="1" customHeight="1" outlineLevel="1" x14ac:dyDescent="0.25">
      <c r="A17" s="16">
        <v>44255</v>
      </c>
      <c r="B17" s="17">
        <v>39.28</v>
      </c>
      <c r="C17" s="18">
        <v>100000</v>
      </c>
      <c r="D17" s="19">
        <v>6.0000000000000001E-3</v>
      </c>
      <c r="E17" s="20">
        <v>6.0000000000000001E-3</v>
      </c>
      <c r="F17" s="20"/>
      <c r="G17" s="21">
        <v>4.5060000000000002</v>
      </c>
      <c r="H17" s="21">
        <v>2E-3</v>
      </c>
      <c r="I17" s="22">
        <v>7.9500000000000005E-3</v>
      </c>
      <c r="J17" s="24">
        <v>78963</v>
      </c>
      <c r="K17" s="24">
        <f t="shared" si="13"/>
        <v>4960</v>
      </c>
      <c r="L17" s="24">
        <v>16749</v>
      </c>
      <c r="M17" s="24">
        <v>57254</v>
      </c>
      <c r="O17" s="27">
        <v>78034</v>
      </c>
      <c r="P17" s="27">
        <f t="shared" si="14"/>
        <v>4470.4363005324922</v>
      </c>
      <c r="Q17" s="27">
        <v>16335.670915583523</v>
      </c>
      <c r="R17" s="27">
        <v>57227.892783883981</v>
      </c>
      <c r="T17" s="27">
        <v>8863</v>
      </c>
      <c r="U17" s="27">
        <f t="shared" si="15"/>
        <v>5452.4354400000002</v>
      </c>
      <c r="V17" s="27">
        <f t="shared" si="16"/>
        <v>895.58399999999995</v>
      </c>
      <c r="W17" s="27">
        <f t="shared" si="17"/>
        <v>2514.98056</v>
      </c>
      <c r="Y17" s="118"/>
      <c r="Z17" s="79" t="s">
        <v>113</v>
      </c>
      <c r="AA17" s="80">
        <v>100000</v>
      </c>
      <c r="AB17" s="81">
        <v>20747</v>
      </c>
      <c r="AF17" s="82">
        <v>7083.33</v>
      </c>
      <c r="AG17" s="82">
        <f t="shared" si="0"/>
        <v>124.482</v>
      </c>
      <c r="AH17" s="82"/>
      <c r="AI17" s="122">
        <v>121</v>
      </c>
      <c r="AJ17" s="122"/>
      <c r="AK17" s="122"/>
      <c r="AN17" s="82"/>
      <c r="AO17" s="82"/>
      <c r="AP17" s="82"/>
      <c r="AQ17" s="82"/>
      <c r="AR17" s="82"/>
      <c r="AS17" s="82">
        <v>47.25</v>
      </c>
      <c r="AT17" s="86">
        <f>AF17+AG17+AL17+AS17</f>
        <v>7255.0619999999999</v>
      </c>
      <c r="AU17" s="86"/>
      <c r="AV17" s="86"/>
      <c r="AW17" s="123"/>
      <c r="AX17" s="133">
        <v>2032.69</v>
      </c>
      <c r="AY17" s="134">
        <v>8863</v>
      </c>
      <c r="AZ17" s="134">
        <f t="shared" si="21"/>
        <v>78963</v>
      </c>
      <c r="BA17" s="133">
        <f t="shared" si="3"/>
        <v>39936.678</v>
      </c>
      <c r="BB17" s="133">
        <f t="shared" si="5"/>
        <v>157.92600000000002</v>
      </c>
      <c r="BC17" s="135">
        <v>628</v>
      </c>
      <c r="BD17" s="136"/>
      <c r="BE17" s="136"/>
      <c r="BF17" s="137">
        <f t="shared" si="4"/>
        <v>42127.294000000002</v>
      </c>
      <c r="BH17" s="124" t="s">
        <v>114</v>
      </c>
      <c r="BI17" s="125">
        <f t="shared" si="6"/>
        <v>78034</v>
      </c>
      <c r="BJ17" s="126">
        <v>0.04</v>
      </c>
      <c r="BK17" s="127">
        <f t="shared" si="7"/>
        <v>3121.36</v>
      </c>
      <c r="BL17" s="91">
        <v>3057</v>
      </c>
      <c r="BM17" s="92"/>
      <c r="BO17" s="128" t="str">
        <f t="shared" si="1"/>
        <v>877 881</v>
      </c>
      <c r="BP17" s="132">
        <f t="shared" ref="BP17:BP39" si="22">AT17
+(K17/AZ17*AX17)
+((T17-V17-W17-X17)/T17*BA17)
+(K17/AZ17*BB17)</f>
        <v>31961.337948699169</v>
      </c>
      <c r="BQ17" s="129">
        <f t="shared" si="8"/>
        <v>17421.018051300834</v>
      </c>
      <c r="BR17" s="97">
        <f t="shared" si="20"/>
        <v>49382.356</v>
      </c>
      <c r="BS17" s="130" t="str">
        <f t="shared" si="9"/>
        <v>E194CC-2102-1</v>
      </c>
      <c r="BT17" s="131">
        <f t="shared" si="10"/>
        <v>3235.8174520212997</v>
      </c>
      <c r="BU17" s="131">
        <f t="shared" si="11"/>
        <v>2942.5425479787</v>
      </c>
      <c r="BV17" s="97">
        <f t="shared" si="12"/>
        <v>6178.36</v>
      </c>
      <c r="BW17" s="121"/>
    </row>
    <row r="18" spans="1:77" s="117" customFormat="1" ht="14.45" hidden="1" customHeight="1" outlineLevel="1" x14ac:dyDescent="0.25">
      <c r="A18" s="31">
        <v>44256</v>
      </c>
      <c r="B18" s="32">
        <v>39.28</v>
      </c>
      <c r="C18" s="33">
        <v>100000</v>
      </c>
      <c r="D18" s="34">
        <v>6.0000000000000001E-3</v>
      </c>
      <c r="E18" s="35">
        <v>6.0000000000000001E-3</v>
      </c>
      <c r="F18" s="35"/>
      <c r="G18" s="36">
        <v>4.5060000000000002</v>
      </c>
      <c r="H18" s="36">
        <v>2E-3</v>
      </c>
      <c r="I18" s="37">
        <v>7.9500000000000005E-3</v>
      </c>
      <c r="J18" s="42">
        <v>84821</v>
      </c>
      <c r="K18" s="43">
        <f t="shared" si="13"/>
        <v>6540</v>
      </c>
      <c r="L18" s="38">
        <v>16278</v>
      </c>
      <c r="M18" s="38">
        <v>62003</v>
      </c>
      <c r="N18" s="29"/>
      <c r="O18" s="44">
        <v>81798</v>
      </c>
      <c r="P18" s="45">
        <f t="shared" si="14"/>
        <v>3805.4510305609656</v>
      </c>
      <c r="Q18" s="40">
        <v>16250.179186788799</v>
      </c>
      <c r="R18" s="40">
        <v>61742.369782650239</v>
      </c>
      <c r="S18" s="30"/>
      <c r="T18" s="40">
        <v>8863</v>
      </c>
      <c r="U18" s="40">
        <f t="shared" si="15"/>
        <v>5452.4354400000002</v>
      </c>
      <c r="V18" s="40">
        <f t="shared" si="16"/>
        <v>895.58399999999995</v>
      </c>
      <c r="W18" s="40">
        <f t="shared" si="17"/>
        <v>2514.98056</v>
      </c>
      <c r="X18" s="27"/>
      <c r="Y18" s="118"/>
      <c r="Z18" s="98" t="s">
        <v>115</v>
      </c>
      <c r="AA18" s="99">
        <v>100000</v>
      </c>
      <c r="AB18" s="100">
        <v>6598</v>
      </c>
      <c r="AC18" s="100"/>
      <c r="AD18" s="100"/>
      <c r="AE18" s="100"/>
      <c r="AF18" s="101">
        <v>7083.33</v>
      </c>
      <c r="AG18" s="82">
        <f t="shared" si="0"/>
        <v>39.588000000000001</v>
      </c>
      <c r="AH18" s="101"/>
      <c r="AI18" s="138">
        <v>35</v>
      </c>
      <c r="AJ18" s="138"/>
      <c r="AK18" s="138"/>
      <c r="AL18" s="101"/>
      <c r="AM18" s="101"/>
      <c r="AN18" s="101"/>
      <c r="AO18" s="101"/>
      <c r="AP18" s="101"/>
      <c r="AQ18" s="101"/>
      <c r="AR18" s="101"/>
      <c r="AS18" s="101"/>
      <c r="AT18" s="105">
        <f t="shared" si="18"/>
        <v>7122.9179999999997</v>
      </c>
      <c r="AU18" s="105"/>
      <c r="AV18" s="105"/>
      <c r="AW18" s="139"/>
      <c r="AX18" s="101">
        <v>2032.69</v>
      </c>
      <c r="AY18" s="99">
        <v>8863</v>
      </c>
      <c r="AZ18" s="99">
        <f t="shared" si="21"/>
        <v>84821</v>
      </c>
      <c r="BA18" s="101">
        <f t="shared" si="3"/>
        <v>39936.678</v>
      </c>
      <c r="BB18" s="101">
        <f t="shared" si="5"/>
        <v>169.642</v>
      </c>
      <c r="BC18" s="140">
        <v>674</v>
      </c>
      <c r="BD18" s="141"/>
      <c r="BE18" s="141"/>
      <c r="BF18" s="142">
        <f t="shared" si="4"/>
        <v>42139.01</v>
      </c>
      <c r="BG18" s="119"/>
      <c r="BH18" s="143" t="s">
        <v>116</v>
      </c>
      <c r="BI18" s="144">
        <f t="shared" si="6"/>
        <v>81798</v>
      </c>
      <c r="BJ18" s="145">
        <v>0.04</v>
      </c>
      <c r="BK18" s="146">
        <f t="shared" si="7"/>
        <v>3271.92</v>
      </c>
      <c r="BL18" s="110">
        <v>3057</v>
      </c>
      <c r="BM18" s="111"/>
      <c r="BN18" s="120"/>
      <c r="BO18" s="147" t="str">
        <f t="shared" si="1"/>
        <v>881 850</v>
      </c>
      <c r="BP18" s="148">
        <f t="shared" si="22"/>
        <v>31861.399702547926</v>
      </c>
      <c r="BQ18" s="149">
        <f t="shared" si="8"/>
        <v>17400.528297452078</v>
      </c>
      <c r="BR18" s="116">
        <f t="shared" si="20"/>
        <v>49261.928</v>
      </c>
      <c r="BS18" s="150" t="str">
        <f t="shared" si="9"/>
        <v>E194CC-2103-1</v>
      </c>
      <c r="BT18" s="151">
        <f t="shared" si="10"/>
        <v>3209.2180412224388</v>
      </c>
      <c r="BU18" s="151">
        <f t="shared" si="11"/>
        <v>3119.7019587775617</v>
      </c>
      <c r="BV18" s="152">
        <f t="shared" si="12"/>
        <v>6328.92</v>
      </c>
      <c r="BW18" s="121"/>
    </row>
    <row r="19" spans="1:77" ht="14.45" hidden="1" customHeight="1" outlineLevel="1" x14ac:dyDescent="0.25">
      <c r="A19" s="16">
        <v>44287</v>
      </c>
      <c r="B19" s="17">
        <v>39.32</v>
      </c>
      <c r="C19" s="18">
        <v>100000</v>
      </c>
      <c r="D19" s="19">
        <v>6.0000000000000001E-3</v>
      </c>
      <c r="E19" s="20">
        <v>6.0000000000000001E-3</v>
      </c>
      <c r="F19" s="20"/>
      <c r="G19" s="21">
        <v>4.5060000000000002</v>
      </c>
      <c r="H19" s="21">
        <v>3.0000000000000001E-3</v>
      </c>
      <c r="I19" s="22">
        <v>3.3300000000000001E-3</v>
      </c>
      <c r="J19" s="24">
        <v>71004</v>
      </c>
      <c r="K19" s="24">
        <f t="shared" si="13"/>
        <v>0</v>
      </c>
      <c r="L19" s="24">
        <v>14404</v>
      </c>
      <c r="M19" s="24">
        <v>56600</v>
      </c>
      <c r="N19" s="207"/>
      <c r="O19" s="27">
        <v>73761</v>
      </c>
      <c r="P19" s="27">
        <f t="shared" si="14"/>
        <v>2335.9098622417732</v>
      </c>
      <c r="Q19" s="27">
        <v>14576.26507135272</v>
      </c>
      <c r="R19" s="27">
        <v>56848.825066405509</v>
      </c>
      <c r="S19" s="208"/>
      <c r="T19" s="27">
        <v>8863</v>
      </c>
      <c r="U19" s="27">
        <f t="shared" si="15"/>
        <v>5448.9623599999995</v>
      </c>
      <c r="V19" s="27">
        <f t="shared" si="16"/>
        <v>896.49599999999998</v>
      </c>
      <c r="W19" s="27">
        <f t="shared" si="17"/>
        <v>2517.5416399999999</v>
      </c>
      <c r="X19" s="209"/>
      <c r="Y19" s="118"/>
      <c r="Z19" s="79" t="s">
        <v>117</v>
      </c>
      <c r="AA19" s="80">
        <v>100000</v>
      </c>
      <c r="AF19" s="82">
        <v>7083.33</v>
      </c>
      <c r="AG19" s="210">
        <f t="shared" si="0"/>
        <v>0</v>
      </c>
      <c r="AH19" s="82"/>
      <c r="AI19" s="122"/>
      <c r="AJ19" s="122"/>
      <c r="AK19" s="122"/>
      <c r="AN19" s="82"/>
      <c r="AO19" s="82"/>
      <c r="AP19" s="82"/>
      <c r="AQ19" s="82"/>
      <c r="AR19" s="82"/>
      <c r="AS19" s="82"/>
      <c r="AT19" s="86">
        <f>AF19+AG19+AL19</f>
        <v>7083.33</v>
      </c>
      <c r="AU19" s="86"/>
      <c r="AV19" s="86"/>
      <c r="AW19" s="123"/>
      <c r="AX19" s="133">
        <v>2032.69</v>
      </c>
      <c r="AY19" s="134">
        <v>8863</v>
      </c>
      <c r="AZ19" s="134">
        <f t="shared" si="21"/>
        <v>71004</v>
      </c>
      <c r="BA19" s="133">
        <f t="shared" si="3"/>
        <v>39936.678</v>
      </c>
      <c r="BB19" s="133">
        <f t="shared" si="5"/>
        <v>213.012</v>
      </c>
      <c r="BC19" s="135">
        <v>241</v>
      </c>
      <c r="BD19" s="136"/>
      <c r="BE19" s="136"/>
      <c r="BF19" s="137">
        <f t="shared" si="4"/>
        <v>42182.380000000005</v>
      </c>
      <c r="BH19" s="124" t="s">
        <v>118</v>
      </c>
      <c r="BI19" s="125">
        <f t="shared" si="6"/>
        <v>73761</v>
      </c>
      <c r="BJ19" s="126">
        <v>0.04</v>
      </c>
      <c r="BK19" s="127">
        <f t="shared" si="7"/>
        <v>2950.44</v>
      </c>
      <c r="BL19" s="91">
        <v>3057</v>
      </c>
      <c r="BM19" s="92"/>
      <c r="BO19" s="128" t="str">
        <f t="shared" si="1"/>
        <v>887 240</v>
      </c>
      <c r="BP19" s="132">
        <f t="shared" si="22"/>
        <v>31636.35439416</v>
      </c>
      <c r="BQ19" s="129">
        <f t="shared" si="8"/>
        <v>17629.355605839999</v>
      </c>
      <c r="BR19" s="97">
        <f t="shared" si="20"/>
        <v>49265.71</v>
      </c>
      <c r="BS19" s="130" t="str">
        <f t="shared" si="9"/>
        <v>E194CC-2104-1</v>
      </c>
      <c r="BT19" s="131">
        <f t="shared" si="10"/>
        <v>3150.4363944896709</v>
      </c>
      <c r="BU19" s="131">
        <f t="shared" si="11"/>
        <v>2857.0036055103296</v>
      </c>
      <c r="BV19" s="97">
        <f t="shared" si="12"/>
        <v>6007.4400000000005</v>
      </c>
      <c r="BW19" s="121"/>
    </row>
    <row r="20" spans="1:77" ht="14.45" hidden="1" customHeight="1" outlineLevel="1" x14ac:dyDescent="0.25">
      <c r="A20" s="16">
        <v>44317</v>
      </c>
      <c r="B20" s="17">
        <v>39.32</v>
      </c>
      <c r="C20" s="18">
        <v>100000</v>
      </c>
      <c r="D20" s="19">
        <v>6.0000000000000001E-3</v>
      </c>
      <c r="E20" s="20">
        <v>6.0000000000000001E-3</v>
      </c>
      <c r="F20" s="20"/>
      <c r="G20" s="21">
        <v>4.5060000000000002</v>
      </c>
      <c r="H20" s="21">
        <v>3.0000000000000001E-3</v>
      </c>
      <c r="I20" s="22">
        <v>3.3300000000000001E-3</v>
      </c>
      <c r="J20" s="24">
        <v>66504</v>
      </c>
      <c r="K20" s="24">
        <f t="shared" si="13"/>
        <v>0</v>
      </c>
      <c r="L20" s="24">
        <v>13436</v>
      </c>
      <c r="M20" s="24">
        <v>53068</v>
      </c>
      <c r="O20" s="27">
        <v>67094</v>
      </c>
      <c r="P20" s="27">
        <f t="shared" si="14"/>
        <v>1492.2388868187936</v>
      </c>
      <c r="Q20" s="27">
        <v>52613.427832353926</v>
      </c>
      <c r="R20" s="27">
        <v>12988.333280827281</v>
      </c>
      <c r="T20" s="27">
        <v>8863</v>
      </c>
      <c r="U20" s="27">
        <f t="shared" si="15"/>
        <v>5448.9623599999995</v>
      </c>
      <c r="V20" s="27">
        <f t="shared" si="16"/>
        <v>896.49599999999998</v>
      </c>
      <c r="W20" s="27">
        <f t="shared" si="17"/>
        <v>2517.5416399999999</v>
      </c>
      <c r="Y20" s="118"/>
      <c r="Z20" s="79" t="s">
        <v>119</v>
      </c>
      <c r="AA20" s="80">
        <v>100000</v>
      </c>
      <c r="AB20" s="81">
        <v>13485</v>
      </c>
      <c r="AF20" s="82">
        <v>7083.33</v>
      </c>
      <c r="AG20" s="82">
        <f t="shared" si="0"/>
        <v>80.91</v>
      </c>
      <c r="AH20" s="82"/>
      <c r="AI20" s="122"/>
      <c r="AJ20" s="122"/>
      <c r="AK20" s="122"/>
      <c r="AN20" s="82"/>
      <c r="AO20" s="82"/>
      <c r="AP20" s="82"/>
      <c r="AQ20" s="82"/>
      <c r="AR20" s="82"/>
      <c r="AS20" s="82"/>
      <c r="AT20" s="86">
        <f t="shared" ref="AT20:AT30" si="23">AF20+AG20+AL20</f>
        <v>7164.24</v>
      </c>
      <c r="AU20" s="86"/>
      <c r="AV20" s="86"/>
      <c r="AW20" s="123"/>
      <c r="AX20" s="133">
        <v>2032.69</v>
      </c>
      <c r="AY20" s="134">
        <v>8863</v>
      </c>
      <c r="AZ20" s="134">
        <f t="shared" si="21"/>
        <v>66504</v>
      </c>
      <c r="BA20" s="133">
        <f t="shared" si="3"/>
        <v>39936.678</v>
      </c>
      <c r="BB20" s="133">
        <f t="shared" si="5"/>
        <v>199.512</v>
      </c>
      <c r="BC20" s="135">
        <v>210</v>
      </c>
      <c r="BD20" s="136"/>
      <c r="BE20" s="136"/>
      <c r="BF20" s="137">
        <f t="shared" si="4"/>
        <v>42168.880000000005</v>
      </c>
      <c r="BH20" s="124" t="s">
        <v>120</v>
      </c>
      <c r="BI20" s="125">
        <f t="shared" si="6"/>
        <v>67094</v>
      </c>
      <c r="BJ20" s="126">
        <v>0.04</v>
      </c>
      <c r="BK20" s="127">
        <f t="shared" si="7"/>
        <v>2683.76</v>
      </c>
      <c r="BL20" s="91">
        <v>3057</v>
      </c>
      <c r="BM20" s="92"/>
      <c r="BO20" s="128" t="str">
        <f t="shared" si="1"/>
        <v>889 724</v>
      </c>
      <c r="BP20" s="132">
        <f t="shared" si="22"/>
        <v>31717.264394159996</v>
      </c>
      <c r="BQ20" s="129">
        <f t="shared" si="8"/>
        <v>17615.855605839999</v>
      </c>
      <c r="BR20" s="97">
        <f t="shared" si="20"/>
        <v>49333.119999999995</v>
      </c>
      <c r="BS20" s="130" t="str">
        <f t="shared" si="9"/>
        <v>E194CC-2105-1</v>
      </c>
      <c r="BT20" s="131">
        <f t="shared" si="10"/>
        <v>3116.6895554727516</v>
      </c>
      <c r="BU20" s="131">
        <f t="shared" si="11"/>
        <v>2624.0704445272481</v>
      </c>
      <c r="BV20" s="97">
        <f t="shared" si="12"/>
        <v>5740.76</v>
      </c>
      <c r="BW20" s="121"/>
    </row>
    <row r="21" spans="1:77" ht="14.45" hidden="1" customHeight="1" outlineLevel="1" x14ac:dyDescent="0.25">
      <c r="A21" s="16">
        <v>44348</v>
      </c>
      <c r="B21" s="17">
        <v>39.32</v>
      </c>
      <c r="C21" s="18">
        <v>100000</v>
      </c>
      <c r="D21" s="19">
        <v>6.0000000000000001E-3</v>
      </c>
      <c r="E21" s="20">
        <v>6.0000000000000001E-3</v>
      </c>
      <c r="F21" s="20"/>
      <c r="G21" s="21">
        <v>4.5060000000000002</v>
      </c>
      <c r="H21" s="21">
        <v>3.0000000000000001E-3</v>
      </c>
      <c r="I21" s="22">
        <v>3.3300000000000001E-3</v>
      </c>
      <c r="J21" s="24">
        <v>47183</v>
      </c>
      <c r="K21" s="24">
        <f t="shared" si="13"/>
        <v>0</v>
      </c>
      <c r="L21" s="24">
        <v>9700</v>
      </c>
      <c r="M21" s="24">
        <v>37483</v>
      </c>
      <c r="O21" s="27">
        <v>48234</v>
      </c>
      <c r="P21" s="27">
        <f t="shared" si="14"/>
        <v>11.600028514149017</v>
      </c>
      <c r="Q21" s="27">
        <v>10280.942413223205</v>
      </c>
      <c r="R21" s="27">
        <v>37941.457558262642</v>
      </c>
      <c r="T21" s="27">
        <v>8863</v>
      </c>
      <c r="U21" s="27">
        <f t="shared" si="15"/>
        <v>5448.9623599999995</v>
      </c>
      <c r="V21" s="27">
        <f t="shared" si="16"/>
        <v>896.49599999999998</v>
      </c>
      <c r="W21" s="27">
        <f t="shared" si="17"/>
        <v>2517.5416399999999</v>
      </c>
      <c r="Y21" s="118"/>
      <c r="Z21" s="79" t="s">
        <v>121</v>
      </c>
      <c r="AA21" s="80">
        <v>100000</v>
      </c>
      <c r="AB21" s="81">
        <v>14370</v>
      </c>
      <c r="AF21" s="82">
        <v>7083.33</v>
      </c>
      <c r="AG21" s="82">
        <f t="shared" si="0"/>
        <v>86.22</v>
      </c>
      <c r="AH21" s="82"/>
      <c r="AI21" s="122">
        <v>90</v>
      </c>
      <c r="AJ21" s="122"/>
      <c r="AK21" s="122"/>
      <c r="AN21" s="82"/>
      <c r="AO21" s="82"/>
      <c r="AP21" s="82"/>
      <c r="AQ21" s="82"/>
      <c r="AR21" s="82"/>
      <c r="AS21" s="82"/>
      <c r="AT21" s="86">
        <f t="shared" si="23"/>
        <v>7169.55</v>
      </c>
      <c r="AU21" s="86"/>
      <c r="AV21" s="86"/>
      <c r="AW21" s="123"/>
      <c r="AX21" s="133">
        <v>2032.69</v>
      </c>
      <c r="AY21" s="134">
        <v>8863</v>
      </c>
      <c r="AZ21" s="134">
        <f t="shared" si="21"/>
        <v>47183</v>
      </c>
      <c r="BA21" s="133">
        <f t="shared" si="3"/>
        <v>39936.678</v>
      </c>
      <c r="BB21" s="133">
        <f t="shared" si="5"/>
        <v>141.54900000000001</v>
      </c>
      <c r="BC21" s="135">
        <v>150</v>
      </c>
      <c r="BD21" s="136"/>
      <c r="BE21" s="136"/>
      <c r="BF21" s="137">
        <f t="shared" si="4"/>
        <v>42110.917000000001</v>
      </c>
      <c r="BH21" s="124" t="s">
        <v>122</v>
      </c>
      <c r="BI21" s="125">
        <f t="shared" si="6"/>
        <v>48234</v>
      </c>
      <c r="BJ21" s="126">
        <v>0.04</v>
      </c>
      <c r="BK21" s="127">
        <f t="shared" si="7"/>
        <v>1929.3600000000001</v>
      </c>
      <c r="BL21" s="91">
        <v>3057</v>
      </c>
      <c r="BM21" s="92"/>
      <c r="BO21" s="128" t="str">
        <f t="shared" si="1"/>
        <v>895 037</v>
      </c>
      <c r="BP21" s="132">
        <f t="shared" si="22"/>
        <v>31722.574394159998</v>
      </c>
      <c r="BQ21" s="129">
        <f t="shared" si="8"/>
        <v>17557.892605839999</v>
      </c>
      <c r="BR21" s="97">
        <f t="shared" si="20"/>
        <v>49280.466999999997</v>
      </c>
      <c r="BS21" s="130" t="str">
        <f t="shared" si="9"/>
        <v>E194CC-2106-1</v>
      </c>
      <c r="BT21" s="131">
        <f t="shared" si="10"/>
        <v>3057.4640011405659</v>
      </c>
      <c r="BU21" s="131">
        <f t="shared" si="11"/>
        <v>1928.895998859434</v>
      </c>
      <c r="BV21" s="97">
        <f t="shared" si="12"/>
        <v>4986.3599999999997</v>
      </c>
      <c r="BW21" s="121"/>
    </row>
    <row r="22" spans="1:77" ht="14.45" hidden="1" customHeight="1" outlineLevel="1" x14ac:dyDescent="0.25">
      <c r="A22" s="16">
        <v>44378</v>
      </c>
      <c r="B22" s="17">
        <v>39.32</v>
      </c>
      <c r="C22" s="18">
        <v>100000</v>
      </c>
      <c r="D22" s="19">
        <v>6.0000000000000001E-3</v>
      </c>
      <c r="E22" s="20">
        <v>6.0000000000000001E-3</v>
      </c>
      <c r="F22" s="20"/>
      <c r="G22" s="21">
        <v>4.5060000000000002</v>
      </c>
      <c r="H22" s="21">
        <v>3.0000000000000001E-3</v>
      </c>
      <c r="I22" s="22">
        <v>3.3300000000000001E-3</v>
      </c>
      <c r="J22" s="24">
        <v>52414</v>
      </c>
      <c r="K22" s="24">
        <f t="shared" si="13"/>
        <v>0</v>
      </c>
      <c r="L22" s="24">
        <v>12487</v>
      </c>
      <c r="M22" s="24">
        <v>39927</v>
      </c>
      <c r="O22" s="27">
        <v>52925</v>
      </c>
      <c r="P22" s="27">
        <f t="shared" si="14"/>
        <v>503.53758176486735</v>
      </c>
      <c r="Q22" s="27">
        <v>12462.496380786717</v>
      </c>
      <c r="R22" s="27">
        <v>39958.966037448416</v>
      </c>
      <c r="T22" s="27">
        <v>8863</v>
      </c>
      <c r="U22" s="27">
        <f t="shared" si="15"/>
        <v>5448.9623599999995</v>
      </c>
      <c r="V22" s="27">
        <f t="shared" si="16"/>
        <v>896.49599999999998</v>
      </c>
      <c r="W22" s="27">
        <f t="shared" si="17"/>
        <v>2517.5416399999999</v>
      </c>
      <c r="Y22" s="118"/>
      <c r="Z22" s="79" t="s">
        <v>123</v>
      </c>
      <c r="AA22" s="80">
        <v>100000</v>
      </c>
      <c r="AF22" s="82">
        <v>7083.33</v>
      </c>
      <c r="AG22" s="82">
        <f t="shared" si="0"/>
        <v>0</v>
      </c>
      <c r="AH22" s="82"/>
      <c r="AI22" s="122"/>
      <c r="AJ22" s="122"/>
      <c r="AK22" s="122"/>
      <c r="AN22" s="82"/>
      <c r="AO22" s="82"/>
      <c r="AP22" s="82"/>
      <c r="AQ22" s="82"/>
      <c r="AR22" s="82"/>
      <c r="AS22" s="82"/>
      <c r="AT22" s="86">
        <f t="shared" si="23"/>
        <v>7083.33</v>
      </c>
      <c r="AU22" s="86"/>
      <c r="AV22" s="86"/>
      <c r="AW22" s="123"/>
      <c r="AX22" s="133">
        <v>2032.69</v>
      </c>
      <c r="AY22" s="134">
        <v>8863</v>
      </c>
      <c r="AZ22" s="134">
        <f t="shared" si="21"/>
        <v>52414</v>
      </c>
      <c r="BA22" s="133">
        <f t="shared" si="3"/>
        <v>39936.678</v>
      </c>
      <c r="BB22" s="133">
        <f t="shared" si="5"/>
        <v>157.24199999999999</v>
      </c>
      <c r="BC22" s="135">
        <v>161</v>
      </c>
      <c r="BD22" s="136"/>
      <c r="BE22" s="136"/>
      <c r="BF22" s="137">
        <f t="shared" si="4"/>
        <v>42126.61</v>
      </c>
      <c r="BH22" s="124" t="s">
        <v>124</v>
      </c>
      <c r="BI22" s="125">
        <f t="shared" si="6"/>
        <v>52925</v>
      </c>
      <c r="BJ22" s="126">
        <v>0.04</v>
      </c>
      <c r="BK22" s="127">
        <f t="shared" si="7"/>
        <v>2117</v>
      </c>
      <c r="BL22" s="91">
        <v>3057</v>
      </c>
      <c r="BM22" s="92"/>
      <c r="BO22" s="128" t="str">
        <f t="shared" si="1"/>
        <v>899 099</v>
      </c>
      <c r="BP22" s="132">
        <f t="shared" si="22"/>
        <v>31636.35439416</v>
      </c>
      <c r="BQ22" s="129">
        <f t="shared" si="8"/>
        <v>17573.585605839999</v>
      </c>
      <c r="BR22" s="97">
        <f t="shared" si="20"/>
        <v>49209.94</v>
      </c>
      <c r="BS22" s="130" t="str">
        <f t="shared" si="9"/>
        <v>E194CC-2107-1</v>
      </c>
      <c r="BT22" s="131">
        <f t="shared" si="10"/>
        <v>3077.1415032705945</v>
      </c>
      <c r="BU22" s="131">
        <f t="shared" si="11"/>
        <v>2096.8584967294055</v>
      </c>
      <c r="BV22" s="97">
        <f t="shared" si="12"/>
        <v>5174</v>
      </c>
      <c r="BW22" s="121"/>
    </row>
    <row r="23" spans="1:77" ht="14.45" hidden="1" customHeight="1" outlineLevel="1" x14ac:dyDescent="0.25">
      <c r="A23" s="16">
        <v>44409</v>
      </c>
      <c r="B23" s="17">
        <v>39.32</v>
      </c>
      <c r="C23" s="18">
        <v>100000</v>
      </c>
      <c r="D23" s="19">
        <v>6.0000000000000001E-3</v>
      </c>
      <c r="E23" s="20">
        <v>6.0000000000000001E-3</v>
      </c>
      <c r="F23" s="20"/>
      <c r="G23" s="21">
        <v>4.5060000000000002</v>
      </c>
      <c r="H23" s="21">
        <v>3.0000000000000001E-3</v>
      </c>
      <c r="I23" s="22">
        <v>3.3300000000000001E-3</v>
      </c>
      <c r="J23" s="24">
        <v>50715</v>
      </c>
      <c r="K23" s="24">
        <f t="shared" si="13"/>
        <v>500</v>
      </c>
      <c r="L23" s="24">
        <v>12905</v>
      </c>
      <c r="M23" s="24">
        <v>37310</v>
      </c>
      <c r="O23" s="27">
        <v>50379</v>
      </c>
      <c r="P23" s="27">
        <f t="shared" si="14"/>
        <v>448.3277414903132</v>
      </c>
      <c r="Q23" s="27">
        <v>12694.077890783999</v>
      </c>
      <c r="R23" s="27">
        <v>37236.594367725687</v>
      </c>
      <c r="T23" s="27">
        <v>8863</v>
      </c>
      <c r="U23" s="27">
        <f t="shared" si="15"/>
        <v>5448.9623599999995</v>
      </c>
      <c r="V23" s="27">
        <f t="shared" si="16"/>
        <v>896.49599999999998</v>
      </c>
      <c r="W23" s="27">
        <f t="shared" si="17"/>
        <v>2517.5416399999999</v>
      </c>
      <c r="Y23" s="118"/>
      <c r="Z23" s="79" t="s">
        <v>125</v>
      </c>
      <c r="AA23" s="80">
        <v>100000</v>
      </c>
      <c r="AD23" s="81">
        <v>502</v>
      </c>
      <c r="AF23" s="82">
        <v>7083.33</v>
      </c>
      <c r="AG23" s="82">
        <f t="shared" si="0"/>
        <v>0</v>
      </c>
      <c r="AH23" s="82"/>
      <c r="AI23" s="122"/>
      <c r="AJ23" s="122"/>
      <c r="AK23" s="122"/>
      <c r="AL23" s="82">
        <f>AD23*E23</f>
        <v>3.012</v>
      </c>
      <c r="AM23" s="82">
        <f>AE23*F23</f>
        <v>0</v>
      </c>
      <c r="AN23" s="82"/>
      <c r="AO23" s="82"/>
      <c r="AP23" s="82"/>
      <c r="AQ23" s="82"/>
      <c r="AR23" s="82"/>
      <c r="AS23" s="82"/>
      <c r="AT23" s="86">
        <f t="shared" si="23"/>
        <v>7086.3419999999996</v>
      </c>
      <c r="AU23" s="86"/>
      <c r="AV23" s="86"/>
      <c r="AW23" s="123"/>
      <c r="AX23" s="133">
        <v>2032.69</v>
      </c>
      <c r="AY23" s="134">
        <v>8863</v>
      </c>
      <c r="AZ23" s="134">
        <f t="shared" si="21"/>
        <v>50715</v>
      </c>
      <c r="BA23" s="133">
        <f t="shared" si="3"/>
        <v>39936.678</v>
      </c>
      <c r="BB23" s="133">
        <f t="shared" si="5"/>
        <v>152.14500000000001</v>
      </c>
      <c r="BC23" s="135">
        <v>156</v>
      </c>
      <c r="BD23" s="136"/>
      <c r="BE23" s="136"/>
      <c r="BF23" s="137">
        <f t="shared" si="4"/>
        <v>42121.512999999999</v>
      </c>
      <c r="BH23" s="124" t="s">
        <v>126</v>
      </c>
      <c r="BI23" s="125">
        <f t="shared" si="6"/>
        <v>50379</v>
      </c>
      <c r="BJ23" s="126">
        <v>0.04</v>
      </c>
      <c r="BK23" s="127">
        <f t="shared" si="7"/>
        <v>2015.16</v>
      </c>
      <c r="BL23" s="91">
        <v>3078.4</v>
      </c>
      <c r="BM23" s="92"/>
      <c r="BO23" s="128" t="str">
        <f t="shared" si="1"/>
        <v>905 664</v>
      </c>
      <c r="BP23" s="132">
        <f t="shared" si="22"/>
        <v>31660.906717535727</v>
      </c>
      <c r="BQ23" s="129">
        <f t="shared" si="8"/>
        <v>17546.948282464276</v>
      </c>
      <c r="BR23" s="97">
        <f t="shared" si="20"/>
        <v>49207.855000000003</v>
      </c>
      <c r="BS23" s="130" t="str">
        <f t="shared" si="9"/>
        <v>E194CC-2108-1</v>
      </c>
      <c r="BT23" s="131">
        <f t="shared" si="10"/>
        <v>3096.3331096596125</v>
      </c>
      <c r="BU23" s="131">
        <f t="shared" si="11"/>
        <v>1997.2268903403876</v>
      </c>
      <c r="BV23" s="97">
        <f t="shared" si="12"/>
        <v>5093.5600000000004</v>
      </c>
      <c r="BW23" s="121"/>
    </row>
    <row r="24" spans="1:77" ht="14.45" hidden="1" customHeight="1" outlineLevel="1" x14ac:dyDescent="0.25">
      <c r="A24" s="16">
        <v>44440</v>
      </c>
      <c r="B24" s="17">
        <v>39.32</v>
      </c>
      <c r="C24" s="18">
        <v>100000</v>
      </c>
      <c r="D24" s="19">
        <v>6.0000000000000001E-3</v>
      </c>
      <c r="E24" s="20">
        <v>6.0000000000000001E-3</v>
      </c>
      <c r="F24" s="20"/>
      <c r="G24" s="21">
        <v>4.5060000000000002</v>
      </c>
      <c r="H24" s="21">
        <v>3.0000000000000001E-3</v>
      </c>
      <c r="I24" s="22">
        <v>3.3300000000000001E-3</v>
      </c>
      <c r="J24" s="23">
        <v>45090</v>
      </c>
      <c r="K24" s="24">
        <f t="shared" si="13"/>
        <v>1395</v>
      </c>
      <c r="L24" s="24">
        <v>11800</v>
      </c>
      <c r="M24" s="24">
        <v>31895</v>
      </c>
      <c r="O24" s="26">
        <v>44774</v>
      </c>
      <c r="P24" s="27">
        <f t="shared" si="14"/>
        <v>1374.7004552275976</v>
      </c>
      <c r="Q24" s="27">
        <v>11794.36900176024</v>
      </c>
      <c r="R24" s="27">
        <v>31604.93054301216</v>
      </c>
      <c r="T24" s="27">
        <v>8863</v>
      </c>
      <c r="U24" s="27">
        <f t="shared" si="15"/>
        <v>5448.9623599999995</v>
      </c>
      <c r="V24" s="27">
        <f t="shared" si="16"/>
        <v>896.49599999999998</v>
      </c>
      <c r="W24" s="27">
        <f t="shared" si="17"/>
        <v>2517.5416399999999</v>
      </c>
      <c r="Y24" s="118"/>
      <c r="Z24" s="79" t="s">
        <v>127</v>
      </c>
      <c r="AA24" s="80">
        <v>100000</v>
      </c>
      <c r="AB24" s="81">
        <v>3000</v>
      </c>
      <c r="AF24" s="82">
        <v>7083.33</v>
      </c>
      <c r="AG24" s="82">
        <f t="shared" si="0"/>
        <v>18</v>
      </c>
      <c r="AH24" s="82"/>
      <c r="AI24" s="122"/>
      <c r="AJ24" s="122"/>
      <c r="AK24" s="122"/>
      <c r="AL24" s="82">
        <f t="shared" ref="AL24:AM55" si="24">AD24*E24</f>
        <v>0</v>
      </c>
      <c r="AM24" s="82">
        <f t="shared" si="24"/>
        <v>0</v>
      </c>
      <c r="AN24" s="82"/>
      <c r="AO24" s="82"/>
      <c r="AP24" s="82"/>
      <c r="AQ24" s="82"/>
      <c r="AR24" s="82"/>
      <c r="AS24" s="82"/>
      <c r="AT24" s="86">
        <f t="shared" si="23"/>
        <v>7101.33</v>
      </c>
      <c r="AU24" s="86"/>
      <c r="AV24" s="86"/>
      <c r="AW24" s="123"/>
      <c r="AX24" s="133">
        <v>2032.69</v>
      </c>
      <c r="AY24" s="134">
        <v>8863</v>
      </c>
      <c r="AZ24" s="134">
        <f t="shared" si="21"/>
        <v>45090</v>
      </c>
      <c r="BA24" s="133">
        <f t="shared" si="3"/>
        <v>39936.678</v>
      </c>
      <c r="BB24" s="133">
        <f t="shared" si="5"/>
        <v>135.27000000000001</v>
      </c>
      <c r="BC24" s="135">
        <v>135</v>
      </c>
      <c r="BD24" s="136"/>
      <c r="BE24" s="136"/>
      <c r="BF24" s="137">
        <f t="shared" si="4"/>
        <v>42104.637999999999</v>
      </c>
      <c r="BH24" s="124" t="s">
        <v>128</v>
      </c>
      <c r="BI24" s="125">
        <f t="shared" si="6"/>
        <v>44774</v>
      </c>
      <c r="BJ24" s="126">
        <v>0.04</v>
      </c>
      <c r="BK24" s="127">
        <f t="shared" si="7"/>
        <v>1790.96</v>
      </c>
      <c r="BL24" s="91">
        <v>3078.4</v>
      </c>
      <c r="BM24" s="92"/>
      <c r="BO24" s="128" t="str">
        <f t="shared" si="1"/>
        <v>912 435</v>
      </c>
      <c r="BP24" s="132">
        <f t="shared" si="22"/>
        <v>31721.427008930459</v>
      </c>
      <c r="BQ24" s="129">
        <f t="shared" si="8"/>
        <v>17484.540991069542</v>
      </c>
      <c r="BR24" s="97">
        <f t="shared" si="20"/>
        <v>49205.968000000001</v>
      </c>
      <c r="BS24" s="130" t="str">
        <f t="shared" si="9"/>
        <v>E194CC-2109-1</v>
      </c>
      <c r="BT24" s="131">
        <f t="shared" si="10"/>
        <v>3133.3880182091038</v>
      </c>
      <c r="BU24" s="131">
        <f t="shared" si="11"/>
        <v>1735.9719817908961</v>
      </c>
      <c r="BV24" s="97">
        <f t="shared" si="12"/>
        <v>4869.3599999999997</v>
      </c>
      <c r="BW24" s="121"/>
    </row>
    <row r="25" spans="1:77" ht="14.45" hidden="1" customHeight="1" outlineLevel="1" x14ac:dyDescent="0.25">
      <c r="A25" s="16">
        <v>44470</v>
      </c>
      <c r="B25" s="17">
        <v>39.32</v>
      </c>
      <c r="C25" s="18">
        <v>100000</v>
      </c>
      <c r="D25" s="19">
        <v>6.0000000000000001E-3</v>
      </c>
      <c r="E25" s="20">
        <v>6.0000000000000001E-3</v>
      </c>
      <c r="F25" s="20"/>
      <c r="G25" s="21">
        <v>4.5060000000000002</v>
      </c>
      <c r="H25" s="21">
        <v>3.0000000000000001E-3</v>
      </c>
      <c r="I25" s="22">
        <v>3.3300000000000001E-3</v>
      </c>
      <c r="J25" s="24">
        <v>73924</v>
      </c>
      <c r="K25" s="24">
        <f t="shared" si="13"/>
        <v>6455</v>
      </c>
      <c r="L25" s="24">
        <v>14469</v>
      </c>
      <c r="M25" s="24">
        <v>53000</v>
      </c>
      <c r="O25" s="27">
        <v>73026</v>
      </c>
      <c r="P25" s="27">
        <f t="shared" si="14"/>
        <v>5756.225220647837</v>
      </c>
      <c r="Q25" s="27">
        <v>14490.953263975922</v>
      </c>
      <c r="R25" s="27">
        <v>52778.821515376243</v>
      </c>
      <c r="T25" s="27">
        <v>8863</v>
      </c>
      <c r="U25" s="27">
        <f t="shared" si="15"/>
        <v>5448.9623599999995</v>
      </c>
      <c r="V25" s="27">
        <f t="shared" si="16"/>
        <v>896.49599999999998</v>
      </c>
      <c r="W25" s="27">
        <f t="shared" si="17"/>
        <v>2517.5416399999999</v>
      </c>
      <c r="Y25" s="118"/>
      <c r="Z25" s="79" t="s">
        <v>129</v>
      </c>
      <c r="AA25" s="80">
        <v>100000</v>
      </c>
      <c r="AF25" s="82">
        <v>7083.33</v>
      </c>
      <c r="AG25" s="82">
        <f t="shared" si="0"/>
        <v>0</v>
      </c>
      <c r="AH25" s="82"/>
      <c r="AI25" s="122"/>
      <c r="AJ25" s="122"/>
      <c r="AK25" s="122"/>
      <c r="AL25" s="82">
        <f t="shared" si="24"/>
        <v>0</v>
      </c>
      <c r="AM25" s="82">
        <f t="shared" si="24"/>
        <v>0</v>
      </c>
      <c r="AN25" s="82"/>
      <c r="AO25" s="82"/>
      <c r="AP25" s="82"/>
      <c r="AQ25" s="82"/>
      <c r="AR25" s="82"/>
      <c r="AS25" s="82"/>
      <c r="AT25" s="86">
        <f t="shared" si="23"/>
        <v>7083.33</v>
      </c>
      <c r="AU25" s="86"/>
      <c r="AV25" s="86"/>
      <c r="AW25" s="123"/>
      <c r="AX25" s="133">
        <v>2032.69</v>
      </c>
      <c r="AY25" s="134">
        <v>8863</v>
      </c>
      <c r="AZ25" s="134">
        <f t="shared" si="21"/>
        <v>73924</v>
      </c>
      <c r="BA25" s="133">
        <f t="shared" si="3"/>
        <v>39936.678</v>
      </c>
      <c r="BB25" s="133">
        <f t="shared" si="5"/>
        <v>221.77199999999999</v>
      </c>
      <c r="BC25" s="135">
        <v>251</v>
      </c>
      <c r="BD25" s="136"/>
      <c r="BE25" s="136"/>
      <c r="BF25" s="137">
        <f t="shared" si="4"/>
        <v>42191.14</v>
      </c>
      <c r="BH25" s="124" t="s">
        <v>130</v>
      </c>
      <c r="BI25" s="125">
        <f t="shared" si="6"/>
        <v>73026</v>
      </c>
      <c r="BJ25" s="126">
        <v>0.04</v>
      </c>
      <c r="BK25" s="127">
        <f t="shared" si="7"/>
        <v>2921.04</v>
      </c>
      <c r="BL25" s="91">
        <v>3078.4</v>
      </c>
      <c r="BM25" s="92"/>
      <c r="BO25" s="128" t="str">
        <f t="shared" si="1"/>
        <v>918 530</v>
      </c>
      <c r="BP25" s="132">
        <f t="shared" si="22"/>
        <v>31833.212683889993</v>
      </c>
      <c r="BQ25" s="129">
        <f t="shared" si="8"/>
        <v>17441.257316110008</v>
      </c>
      <c r="BR25" s="97">
        <f t="shared" si="20"/>
        <v>49274.47</v>
      </c>
      <c r="BS25" s="130" t="str">
        <f t="shared" si="9"/>
        <v>E194CC-2110-1</v>
      </c>
      <c r="BT25" s="131">
        <f t="shared" si="10"/>
        <v>3308.6490088259134</v>
      </c>
      <c r="BU25" s="131">
        <f t="shared" si="11"/>
        <v>2690.7909911740867</v>
      </c>
      <c r="BV25" s="97">
        <f t="shared" si="12"/>
        <v>5999.4400000000005</v>
      </c>
      <c r="BW25" s="121"/>
      <c r="BY25" s="153"/>
    </row>
    <row r="26" spans="1:77" ht="14.45" hidden="1" customHeight="1" outlineLevel="1" x14ac:dyDescent="0.25">
      <c r="A26" s="16">
        <v>44501</v>
      </c>
      <c r="B26" s="17">
        <v>39.32</v>
      </c>
      <c r="C26" s="18">
        <v>100000</v>
      </c>
      <c r="D26" s="19">
        <v>6.0000000000000001E-3</v>
      </c>
      <c r="E26" s="20">
        <v>6.0000000000000001E-3</v>
      </c>
      <c r="F26" s="20"/>
      <c r="G26" s="21">
        <v>4.5060000000000002</v>
      </c>
      <c r="H26" s="21">
        <v>3.0000000000000001E-3</v>
      </c>
      <c r="I26" s="22">
        <v>7.9500000000000005E-3</v>
      </c>
      <c r="J26" s="24">
        <v>91082</v>
      </c>
      <c r="K26" s="24">
        <f t="shared" si="13"/>
        <v>17204</v>
      </c>
      <c r="L26" s="24">
        <v>14991</v>
      </c>
      <c r="M26" s="24">
        <v>58723</v>
      </c>
      <c r="N26" s="29">
        <v>164</v>
      </c>
      <c r="O26" s="27">
        <v>90014</v>
      </c>
      <c r="P26" s="27">
        <f t="shared" si="14"/>
        <v>16121.505395981134</v>
      </c>
      <c r="Q26" s="27">
        <v>14932.777808010322</v>
      </c>
      <c r="R26" s="27">
        <v>58959.71679600855</v>
      </c>
      <c r="T26" s="27">
        <v>8863</v>
      </c>
      <c r="U26" s="27">
        <f t="shared" si="15"/>
        <v>5448.9623599999995</v>
      </c>
      <c r="V26" s="27">
        <f t="shared" si="16"/>
        <v>896.49599999999998</v>
      </c>
      <c r="W26" s="27">
        <f t="shared" si="17"/>
        <v>2517.5416399999999</v>
      </c>
      <c r="Y26" s="118"/>
      <c r="Z26" s="79" t="s">
        <v>131</v>
      </c>
      <c r="AA26" s="80">
        <v>100000</v>
      </c>
      <c r="AD26" s="81">
        <v>8700</v>
      </c>
      <c r="AF26" s="82">
        <v>7083.33</v>
      </c>
      <c r="AG26" s="82">
        <f t="shared" si="0"/>
        <v>0</v>
      </c>
      <c r="AH26" s="82"/>
      <c r="AI26" s="122"/>
      <c r="AJ26" s="122"/>
      <c r="AK26" s="122"/>
      <c r="AL26" s="82">
        <f t="shared" si="24"/>
        <v>52.2</v>
      </c>
      <c r="AM26" s="82">
        <f t="shared" si="24"/>
        <v>0</v>
      </c>
      <c r="AN26" s="82"/>
      <c r="AO26" s="82"/>
      <c r="AP26" s="82"/>
      <c r="AQ26" s="82"/>
      <c r="AR26" s="82"/>
      <c r="AS26" s="82"/>
      <c r="AT26" s="86">
        <f t="shared" si="23"/>
        <v>7135.53</v>
      </c>
      <c r="AU26" s="86"/>
      <c r="AV26" s="86"/>
      <c r="AW26" s="123"/>
      <c r="AX26" s="133">
        <v>2032.69</v>
      </c>
      <c r="AY26" s="134">
        <v>8863</v>
      </c>
      <c r="AZ26" s="134">
        <f t="shared" si="21"/>
        <v>91082</v>
      </c>
      <c r="BA26" s="133">
        <f t="shared" si="3"/>
        <v>39936.678</v>
      </c>
      <c r="BB26" s="133">
        <f t="shared" si="5"/>
        <v>273.24599999999998</v>
      </c>
      <c r="BC26" s="135">
        <v>739</v>
      </c>
      <c r="BD26" s="136"/>
      <c r="BE26" s="136"/>
      <c r="BF26" s="137">
        <f t="shared" si="4"/>
        <v>42242.614000000001</v>
      </c>
      <c r="BH26" s="124" t="s">
        <v>132</v>
      </c>
      <c r="BI26" s="125">
        <f t="shared" si="6"/>
        <v>90014</v>
      </c>
      <c r="BJ26" s="126">
        <v>0.04</v>
      </c>
      <c r="BK26" s="127">
        <f t="shared" si="7"/>
        <v>3600.56</v>
      </c>
      <c r="BL26" s="91">
        <v>3078.4</v>
      </c>
      <c r="BM26" s="92"/>
      <c r="BO26" s="128" t="str">
        <f t="shared" si="1"/>
        <v>923 433</v>
      </c>
      <c r="BP26" s="132">
        <f t="shared" si="22"/>
        <v>32124.110518794943</v>
      </c>
      <c r="BQ26" s="129">
        <f t="shared" si="8"/>
        <v>17254.033481205057</v>
      </c>
      <c r="BR26" s="97">
        <f t="shared" si="20"/>
        <v>49378.144</v>
      </c>
      <c r="BS26" s="130" t="str">
        <f t="shared" si="9"/>
        <v>E194CC-2111-1</v>
      </c>
      <c r="BT26" s="131">
        <f t="shared" si="10"/>
        <v>3723.2602158392456</v>
      </c>
      <c r="BU26" s="131">
        <f t="shared" si="11"/>
        <v>2955.6997841607549</v>
      </c>
      <c r="BV26" s="97">
        <f t="shared" si="12"/>
        <v>6678.9600000000009</v>
      </c>
      <c r="BW26" s="121"/>
      <c r="BY26" s="154"/>
    </row>
    <row r="27" spans="1:77" ht="14.45" hidden="1" customHeight="1" outlineLevel="1" x14ac:dyDescent="0.25">
      <c r="A27" s="16">
        <v>44531</v>
      </c>
      <c r="B27" s="17">
        <v>39.32</v>
      </c>
      <c r="C27" s="18">
        <v>100000</v>
      </c>
      <c r="D27" s="19">
        <v>6.0000000000000001E-3</v>
      </c>
      <c r="E27" s="20">
        <v>6.0000000000000001E-3</v>
      </c>
      <c r="F27" s="20"/>
      <c r="G27" s="21">
        <v>4.5060000000000002</v>
      </c>
      <c r="H27" s="21">
        <v>3.0000000000000001E-3</v>
      </c>
      <c r="I27" s="22">
        <v>7.9500000000000005E-3</v>
      </c>
      <c r="J27" s="24">
        <v>99487</v>
      </c>
      <c r="K27" s="24">
        <f t="shared" si="13"/>
        <v>18776</v>
      </c>
      <c r="L27" s="24">
        <v>16049</v>
      </c>
      <c r="M27" s="24">
        <v>62849</v>
      </c>
      <c r="N27" s="29">
        <v>1813</v>
      </c>
      <c r="O27" s="27">
        <v>98534</v>
      </c>
      <c r="P27" s="27">
        <f t="shared" si="14"/>
        <v>18052.221241620162</v>
      </c>
      <c r="Q27" s="27">
        <v>16242.068673172082</v>
      </c>
      <c r="R27" s="27">
        <v>62482.736620727759</v>
      </c>
      <c r="S27" s="30">
        <v>1756.9734644800008</v>
      </c>
      <c r="T27" s="27">
        <v>8863</v>
      </c>
      <c r="U27" s="27">
        <f t="shared" si="15"/>
        <v>5285.7474381713828</v>
      </c>
      <c r="V27" s="27">
        <f t="shared" si="16"/>
        <v>896.49599999999998</v>
      </c>
      <c r="W27" s="27">
        <f t="shared" si="17"/>
        <v>2517.5416399999999</v>
      </c>
      <c r="X27" s="27">
        <f>229.984662576687/31*22</f>
        <v>163.21492182861658</v>
      </c>
      <c r="Y27" s="118"/>
      <c r="Z27" s="79" t="s">
        <v>133</v>
      </c>
      <c r="AA27" s="80">
        <v>100000</v>
      </c>
      <c r="AD27" s="81">
        <v>14275</v>
      </c>
      <c r="AF27" s="82">
        <v>7083.33</v>
      </c>
      <c r="AG27" s="82">
        <f t="shared" si="0"/>
        <v>0</v>
      </c>
      <c r="AH27" s="82"/>
      <c r="AI27" s="122"/>
      <c r="AJ27" s="122"/>
      <c r="AK27" s="122"/>
      <c r="AL27" s="82">
        <f t="shared" si="24"/>
        <v>85.65</v>
      </c>
      <c r="AM27" s="82">
        <f t="shared" si="24"/>
        <v>0</v>
      </c>
      <c r="AN27" s="82"/>
      <c r="AO27" s="82"/>
      <c r="AP27" s="82"/>
      <c r="AQ27" s="82"/>
      <c r="AR27" s="82"/>
      <c r="AS27" s="82"/>
      <c r="AT27" s="86">
        <f t="shared" si="23"/>
        <v>7168.98</v>
      </c>
      <c r="AU27" s="86"/>
      <c r="AV27" s="86"/>
      <c r="AW27" s="123"/>
      <c r="AX27" s="133">
        <v>2032.69</v>
      </c>
      <c r="AY27" s="134">
        <v>8863</v>
      </c>
      <c r="AZ27" s="134">
        <f t="shared" si="21"/>
        <v>99487</v>
      </c>
      <c r="BA27" s="133">
        <f t="shared" si="3"/>
        <v>39936.678</v>
      </c>
      <c r="BB27" s="133">
        <f t="shared" si="5"/>
        <v>298.46100000000001</v>
      </c>
      <c r="BC27" s="135">
        <v>792</v>
      </c>
      <c r="BD27" s="136"/>
      <c r="BE27" s="136"/>
      <c r="BF27" s="137">
        <f t="shared" si="4"/>
        <v>42267.829000000005</v>
      </c>
      <c r="BH27" s="124" t="s">
        <v>134</v>
      </c>
      <c r="BI27" s="125">
        <f t="shared" si="6"/>
        <v>98534.000000000015</v>
      </c>
      <c r="BJ27" s="126">
        <v>0.04</v>
      </c>
      <c r="BK27" s="127">
        <f t="shared" si="7"/>
        <v>3941.3600000000006</v>
      </c>
      <c r="BL27" s="91">
        <v>3078.4</v>
      </c>
      <c r="BM27" s="92"/>
      <c r="BO27" s="128" t="str">
        <f t="shared" si="1"/>
        <v>929 292</v>
      </c>
      <c r="BP27" s="132">
        <f t="shared" si="22"/>
        <v>31426.511831539719</v>
      </c>
      <c r="BQ27" s="129">
        <f t="shared" si="8"/>
        <v>18010.297168460282</v>
      </c>
      <c r="BR27" s="97">
        <f t="shared" si="20"/>
        <v>49436.809000000001</v>
      </c>
      <c r="BS27" s="130" t="str">
        <f t="shared" si="9"/>
        <v>E194CC-2112-1</v>
      </c>
      <c r="BT27" s="131">
        <f t="shared" si="10"/>
        <v>3800.4888496648064</v>
      </c>
      <c r="BU27" s="131">
        <f t="shared" si="11"/>
        <v>3219.2711503351939</v>
      </c>
      <c r="BV27" s="97">
        <f t="shared" si="12"/>
        <v>7019.76</v>
      </c>
      <c r="BW27" s="121"/>
    </row>
    <row r="28" spans="1:77" ht="14.45" hidden="1" customHeight="1" outlineLevel="1" x14ac:dyDescent="0.25">
      <c r="A28" s="16">
        <v>44562</v>
      </c>
      <c r="B28" s="17">
        <v>39.32</v>
      </c>
      <c r="C28" s="18">
        <v>100000</v>
      </c>
      <c r="D28" s="19">
        <v>6.0000000000000001E-3</v>
      </c>
      <c r="E28" s="20">
        <v>6.0000000000000001E-3</v>
      </c>
      <c r="F28" s="20"/>
      <c r="G28" s="21">
        <v>4.569</v>
      </c>
      <c r="H28" s="21">
        <v>3.0000000000000001E-3</v>
      </c>
      <c r="I28" s="22">
        <v>8.0599999999999995E-3</v>
      </c>
      <c r="J28" s="24">
        <v>119112</v>
      </c>
      <c r="K28" s="24">
        <f t="shared" si="13"/>
        <v>28320</v>
      </c>
      <c r="L28" s="24">
        <v>19054</v>
      </c>
      <c r="M28" s="24">
        <v>68483</v>
      </c>
      <c r="N28" s="29">
        <v>3255</v>
      </c>
      <c r="O28" s="27">
        <v>119270</v>
      </c>
      <c r="P28" s="27">
        <f t="shared" si="14"/>
        <v>28301.554517412558</v>
      </c>
      <c r="Q28" s="27">
        <v>18980.504575056479</v>
      </c>
      <c r="R28" s="27">
        <v>68582.558543210966</v>
      </c>
      <c r="S28" s="30">
        <v>3405.3823643200003</v>
      </c>
      <c r="T28" s="27">
        <v>8863</v>
      </c>
      <c r="U28" s="27">
        <f t="shared" si="15"/>
        <v>5095.2003199999999</v>
      </c>
      <c r="V28" s="27">
        <f t="shared" si="16"/>
        <v>896.49599999999998</v>
      </c>
      <c r="W28" s="27">
        <f t="shared" si="17"/>
        <v>2517.5416399999999</v>
      </c>
      <c r="X28" s="27">
        <f>8997*B28/1000</f>
        <v>353.76203999999996</v>
      </c>
      <c r="Y28" s="118"/>
      <c r="Z28" s="79" t="s">
        <v>135</v>
      </c>
      <c r="AA28" s="80">
        <v>100000</v>
      </c>
      <c r="AD28" s="81">
        <v>23900</v>
      </c>
      <c r="AF28" s="82">
        <v>7083.33</v>
      </c>
      <c r="AG28" s="82">
        <f t="shared" si="0"/>
        <v>0</v>
      </c>
      <c r="AH28" s="82"/>
      <c r="AI28" s="122"/>
      <c r="AJ28" s="122"/>
      <c r="AK28" s="122"/>
      <c r="AL28" s="82">
        <f t="shared" si="24"/>
        <v>143.4</v>
      </c>
      <c r="AM28" s="82">
        <f t="shared" si="24"/>
        <v>0</v>
      </c>
      <c r="AN28" s="82"/>
      <c r="AO28" s="82"/>
      <c r="AP28" s="82"/>
      <c r="AQ28" s="82"/>
      <c r="AR28" s="82"/>
      <c r="AS28" s="82"/>
      <c r="AT28" s="86">
        <f t="shared" si="23"/>
        <v>7226.73</v>
      </c>
      <c r="AU28" s="86"/>
      <c r="AV28" s="86"/>
      <c r="AW28" s="123"/>
      <c r="AX28" s="133">
        <v>2061.15</v>
      </c>
      <c r="AY28" s="134">
        <v>8863</v>
      </c>
      <c r="AZ28" s="134">
        <f t="shared" si="21"/>
        <v>119112</v>
      </c>
      <c r="BA28" s="133">
        <f t="shared" si="3"/>
        <v>40495.046999999999</v>
      </c>
      <c r="BB28" s="133">
        <f t="shared" si="5"/>
        <v>357.33600000000001</v>
      </c>
      <c r="BC28" s="135">
        <v>971</v>
      </c>
      <c r="BD28" s="136"/>
      <c r="BE28" s="136"/>
      <c r="BF28" s="137">
        <f t="shared" si="4"/>
        <v>42913.533000000003</v>
      </c>
      <c r="BH28" s="124" t="s">
        <v>136</v>
      </c>
      <c r="BI28" s="125">
        <f t="shared" si="6"/>
        <v>119270</v>
      </c>
      <c r="BJ28" s="126">
        <v>0.04</v>
      </c>
      <c r="BK28" s="127">
        <f t="shared" si="7"/>
        <v>4770.8</v>
      </c>
      <c r="BL28" s="91">
        <v>3078.4</v>
      </c>
      <c r="BM28" s="92"/>
      <c r="BO28" s="128" t="str">
        <f t="shared" si="1"/>
        <v>936 129</v>
      </c>
      <c r="BP28" s="132">
        <f t="shared" si="22"/>
        <v>31081.718090006652</v>
      </c>
      <c r="BQ28" s="129">
        <f t="shared" si="8"/>
        <v>19058.544909993343</v>
      </c>
      <c r="BR28" s="97">
        <f t="shared" si="20"/>
        <v>50140.262999999992</v>
      </c>
      <c r="BS28" s="130" t="str">
        <f t="shared" si="9"/>
        <v>E194CC-2201-1</v>
      </c>
      <c r="BT28" s="131">
        <f t="shared" si="10"/>
        <v>4210.4621806965024</v>
      </c>
      <c r="BU28" s="131">
        <f t="shared" si="11"/>
        <v>3638.7378193034979</v>
      </c>
      <c r="BV28" s="97">
        <f t="shared" si="12"/>
        <v>7849.2000000000007</v>
      </c>
      <c r="BW28" s="121"/>
    </row>
    <row r="29" spans="1:77" ht="14.45" hidden="1" customHeight="1" outlineLevel="1" x14ac:dyDescent="0.25">
      <c r="A29" s="16">
        <v>44593</v>
      </c>
      <c r="B29" s="17">
        <v>39.32</v>
      </c>
      <c r="C29" s="18">
        <v>100000</v>
      </c>
      <c r="D29" s="19">
        <v>6.0000000000000001E-3</v>
      </c>
      <c r="E29" s="20">
        <v>6.0000000000000001E-3</v>
      </c>
      <c r="F29" s="20"/>
      <c r="G29" s="21">
        <v>4.569</v>
      </c>
      <c r="H29" s="21">
        <v>3.0000000000000001E-3</v>
      </c>
      <c r="I29" s="22">
        <v>8.0599999999999995E-3</v>
      </c>
      <c r="J29" s="24">
        <v>101645</v>
      </c>
      <c r="K29" s="24">
        <f t="shared" si="13"/>
        <v>23658</v>
      </c>
      <c r="L29" s="24">
        <v>15894</v>
      </c>
      <c r="M29" s="24">
        <v>59350</v>
      </c>
      <c r="N29" s="29">
        <v>2743</v>
      </c>
      <c r="O29" s="27">
        <v>101440</v>
      </c>
      <c r="P29" s="27">
        <f t="shared" si="14"/>
        <v>23689.065378591498</v>
      </c>
      <c r="Q29" s="27">
        <v>15803.624032063361</v>
      </c>
      <c r="R29" s="27">
        <v>59342.868839665134</v>
      </c>
      <c r="S29" s="30">
        <v>2604.4417496800002</v>
      </c>
      <c r="T29" s="27">
        <v>8863</v>
      </c>
      <c r="U29" s="27">
        <f t="shared" si="15"/>
        <v>5095.2003199999999</v>
      </c>
      <c r="V29" s="27">
        <f t="shared" si="16"/>
        <v>896.49599999999998</v>
      </c>
      <c r="W29" s="27">
        <f t="shared" si="17"/>
        <v>2517.5416399999999</v>
      </c>
      <c r="X29" s="27">
        <f t="shared" ref="X29:X64" si="25">8997*B29/1000</f>
        <v>353.76203999999996</v>
      </c>
      <c r="Y29" s="118"/>
      <c r="Z29" s="79" t="s">
        <v>137</v>
      </c>
      <c r="AA29" s="80">
        <v>100000</v>
      </c>
      <c r="AD29" s="81">
        <v>19650</v>
      </c>
      <c r="AF29" s="82">
        <v>7083.33</v>
      </c>
      <c r="AG29" s="82">
        <f t="shared" si="0"/>
        <v>0</v>
      </c>
      <c r="AH29" s="82"/>
      <c r="AI29" s="122"/>
      <c r="AJ29" s="122"/>
      <c r="AK29" s="122"/>
      <c r="AL29" s="82">
        <f t="shared" si="24"/>
        <v>117.9</v>
      </c>
      <c r="AM29" s="82">
        <f t="shared" si="24"/>
        <v>0</v>
      </c>
      <c r="AN29" s="82"/>
      <c r="AO29" s="82"/>
      <c r="AP29" s="82"/>
      <c r="AQ29" s="82"/>
      <c r="AR29" s="82"/>
      <c r="AS29" s="82"/>
      <c r="AT29" s="86">
        <f t="shared" si="23"/>
        <v>7201.23</v>
      </c>
      <c r="AU29" s="86"/>
      <c r="AV29" s="86"/>
      <c r="AW29" s="123"/>
      <c r="AX29" s="133">
        <v>2061.15</v>
      </c>
      <c r="AY29" s="134">
        <v>8863</v>
      </c>
      <c r="AZ29" s="134">
        <f t="shared" si="21"/>
        <v>101645</v>
      </c>
      <c r="BA29" s="133">
        <f t="shared" si="3"/>
        <v>40495.046999999999</v>
      </c>
      <c r="BB29" s="133">
        <f t="shared" si="5"/>
        <v>304.935</v>
      </c>
      <c r="BC29" s="135">
        <v>833</v>
      </c>
      <c r="BD29" s="136"/>
      <c r="BE29" s="136"/>
      <c r="BF29" s="137">
        <f t="shared" si="4"/>
        <v>42861.131999999998</v>
      </c>
      <c r="BH29" s="155" t="s">
        <v>138</v>
      </c>
      <c r="BI29" s="125">
        <f t="shared" si="6"/>
        <v>101440</v>
      </c>
      <c r="BJ29" s="126">
        <v>0.04</v>
      </c>
      <c r="BK29" s="127">
        <f t="shared" si="7"/>
        <v>4057.6</v>
      </c>
      <c r="BL29" s="91">
        <v>3078.4</v>
      </c>
      <c r="BM29" s="92"/>
      <c r="BO29" s="128" t="str">
        <f t="shared" si="1"/>
        <v>942 995</v>
      </c>
      <c r="BP29" s="132">
        <f t="shared" si="22"/>
        <v>31031.909484668417</v>
      </c>
      <c r="BQ29" s="129">
        <f t="shared" si="8"/>
        <v>19030.452515331581</v>
      </c>
      <c r="BR29" s="97">
        <f t="shared" si="20"/>
        <v>50062.361999999994</v>
      </c>
      <c r="BS29" s="130" t="str">
        <f t="shared" si="9"/>
        <v>E194CC-2202-1</v>
      </c>
      <c r="BT29" s="131">
        <f t="shared" si="10"/>
        <v>4025.9626151436601</v>
      </c>
      <c r="BU29" s="131">
        <f t="shared" si="11"/>
        <v>3110.0373848563399</v>
      </c>
      <c r="BV29" s="97">
        <f t="shared" si="12"/>
        <v>7136</v>
      </c>
      <c r="BW29" s="121"/>
    </row>
    <row r="30" spans="1:77" s="117" customFormat="1" ht="14.45" hidden="1" customHeight="1" outlineLevel="1" x14ac:dyDescent="0.25">
      <c r="A30" s="31">
        <v>44621</v>
      </c>
      <c r="B30" s="32">
        <v>39.32</v>
      </c>
      <c r="C30" s="33">
        <v>100000</v>
      </c>
      <c r="D30" s="34">
        <v>6.0000000000000001E-3</v>
      </c>
      <c r="E30" s="35">
        <v>6.0000000000000001E-3</v>
      </c>
      <c r="F30" s="35"/>
      <c r="G30" s="36">
        <v>4.569</v>
      </c>
      <c r="H30" s="36">
        <v>3.0000000000000001E-3</v>
      </c>
      <c r="I30" s="37">
        <v>8.0599999999999995E-3</v>
      </c>
      <c r="J30" s="46">
        <v>102096</v>
      </c>
      <c r="K30" s="38">
        <f t="shared" si="13"/>
        <v>20933</v>
      </c>
      <c r="L30" s="38">
        <v>15295</v>
      </c>
      <c r="M30" s="38">
        <v>63750</v>
      </c>
      <c r="N30" s="39">
        <v>2118</v>
      </c>
      <c r="O30" s="47">
        <v>102676</v>
      </c>
      <c r="P30" s="40">
        <f t="shared" si="14"/>
        <v>20982.118925646468</v>
      </c>
      <c r="Q30" s="40">
        <v>15557.343101574159</v>
      </c>
      <c r="R30" s="40">
        <v>63871.083537179366</v>
      </c>
      <c r="S30" s="41">
        <v>2265.4544355999997</v>
      </c>
      <c r="T30" s="40">
        <v>8863</v>
      </c>
      <c r="U30" s="40">
        <f t="shared" si="15"/>
        <v>5095.2003199999999</v>
      </c>
      <c r="V30" s="40">
        <f t="shared" si="16"/>
        <v>896.49599999999998</v>
      </c>
      <c r="W30" s="40">
        <f t="shared" si="17"/>
        <v>2517.5416399999999</v>
      </c>
      <c r="X30" s="48">
        <f t="shared" si="25"/>
        <v>353.76203999999996</v>
      </c>
      <c r="Y30" s="118"/>
      <c r="Z30" s="98" t="s">
        <v>139</v>
      </c>
      <c r="AA30" s="99">
        <v>100000</v>
      </c>
      <c r="AB30" s="100"/>
      <c r="AC30" s="100"/>
      <c r="AD30" s="100">
        <v>16450</v>
      </c>
      <c r="AE30" s="100"/>
      <c r="AF30" s="101">
        <v>7083.33</v>
      </c>
      <c r="AG30" s="101">
        <f t="shared" si="0"/>
        <v>0</v>
      </c>
      <c r="AH30" s="101"/>
      <c r="AI30" s="138"/>
      <c r="AJ30" s="138"/>
      <c r="AK30" s="138"/>
      <c r="AL30" s="101">
        <f t="shared" si="24"/>
        <v>98.7</v>
      </c>
      <c r="AM30" s="101">
        <f t="shared" si="24"/>
        <v>0</v>
      </c>
      <c r="AN30" s="101"/>
      <c r="AO30" s="101"/>
      <c r="AP30" s="101"/>
      <c r="AQ30" s="101"/>
      <c r="AR30" s="101"/>
      <c r="AS30" s="101"/>
      <c r="AT30" s="105">
        <f t="shared" si="23"/>
        <v>7182.03</v>
      </c>
      <c r="AU30" s="105"/>
      <c r="AV30" s="105"/>
      <c r="AW30" s="139"/>
      <c r="AX30" s="101">
        <v>2061.15</v>
      </c>
      <c r="AY30" s="99">
        <v>8863</v>
      </c>
      <c r="AZ30" s="99">
        <f t="shared" si="21"/>
        <v>102096</v>
      </c>
      <c r="BA30" s="101">
        <f t="shared" si="3"/>
        <v>40495.046999999999</v>
      </c>
      <c r="BB30" s="101">
        <f t="shared" si="5"/>
        <v>306.28800000000001</v>
      </c>
      <c r="BC30" s="140">
        <v>818</v>
      </c>
      <c r="BD30" s="141"/>
      <c r="BE30" s="141"/>
      <c r="BF30" s="142">
        <f t="shared" si="4"/>
        <v>42862.485000000001</v>
      </c>
      <c r="BG30" s="119"/>
      <c r="BH30" s="156" t="s">
        <v>140</v>
      </c>
      <c r="BI30" s="157">
        <f t="shared" si="6"/>
        <v>102675.99999999999</v>
      </c>
      <c r="BJ30" s="145">
        <v>0.04</v>
      </c>
      <c r="BK30" s="146">
        <f t="shared" si="7"/>
        <v>4107.0399999999991</v>
      </c>
      <c r="BL30" s="110">
        <v>3078.4</v>
      </c>
      <c r="BM30" s="158"/>
      <c r="BN30" s="120"/>
      <c r="BO30" s="147" t="str">
        <f t="shared" si="1"/>
        <v>947 909</v>
      </c>
      <c r="BP30" s="148">
        <f t="shared" si="22"/>
        <v>30947.402037409098</v>
      </c>
      <c r="BQ30" s="149">
        <f t="shared" si="8"/>
        <v>19097.112962590902</v>
      </c>
      <c r="BR30" s="116">
        <f t="shared" si="20"/>
        <v>50044.514999999999</v>
      </c>
      <c r="BS30" s="150" t="str">
        <f t="shared" si="9"/>
        <v>E194CC-2203-1</v>
      </c>
      <c r="BT30" s="151">
        <f t="shared" si="10"/>
        <v>3917.6847570258587</v>
      </c>
      <c r="BU30" s="151">
        <f t="shared" si="11"/>
        <v>3267.7552429741413</v>
      </c>
      <c r="BV30" s="152">
        <f t="shared" si="12"/>
        <v>7185.4400000000005</v>
      </c>
      <c r="BW30" s="121"/>
    </row>
    <row r="31" spans="1:77" ht="14.45" hidden="1" customHeight="1" outlineLevel="1" x14ac:dyDescent="0.25">
      <c r="A31" s="16">
        <v>44652</v>
      </c>
      <c r="B31" s="17">
        <v>39.119999999999997</v>
      </c>
      <c r="C31" s="18">
        <v>100000</v>
      </c>
      <c r="D31" s="19">
        <v>6.0000000000000001E-3</v>
      </c>
      <c r="E31" s="20">
        <v>6.0000000000000001E-3</v>
      </c>
      <c r="F31" s="20"/>
      <c r="G31" s="21">
        <v>4.569</v>
      </c>
      <c r="H31" s="21">
        <v>4.0000000000000001E-3</v>
      </c>
      <c r="I31" s="22">
        <v>3.3700000000000002E-3</v>
      </c>
      <c r="J31" s="24">
        <v>85994</v>
      </c>
      <c r="K31" s="24">
        <f t="shared" si="13"/>
        <v>11163</v>
      </c>
      <c r="L31" s="24">
        <v>14166</v>
      </c>
      <c r="M31" s="24">
        <v>59005</v>
      </c>
      <c r="N31" s="29">
        <v>1660</v>
      </c>
      <c r="O31" s="27">
        <v>86975</v>
      </c>
      <c r="P31" s="27">
        <f t="shared" si="14"/>
        <v>12842.253781506066</v>
      </c>
      <c r="Q31" s="27">
        <v>13675.888343579045</v>
      </c>
      <c r="R31" s="27">
        <v>58849.898563874885</v>
      </c>
      <c r="S31" s="30">
        <v>1606.9593110399996</v>
      </c>
      <c r="T31" s="27">
        <v>8863</v>
      </c>
      <c r="U31" s="27">
        <f t="shared" si="15"/>
        <v>5114.3651200000004</v>
      </c>
      <c r="V31" s="27">
        <f t="shared" si="16"/>
        <v>891.93599999999992</v>
      </c>
      <c r="W31" s="27">
        <f t="shared" si="17"/>
        <v>2504.7362399999997</v>
      </c>
      <c r="X31" s="27">
        <f t="shared" si="25"/>
        <v>351.96263999999996</v>
      </c>
      <c r="Y31" s="118"/>
      <c r="Z31" s="79" t="s">
        <v>141</v>
      </c>
      <c r="AA31" s="80">
        <v>100000</v>
      </c>
      <c r="AB31" s="81">
        <v>598</v>
      </c>
      <c r="AD31" s="81">
        <v>2775</v>
      </c>
      <c r="AF31" s="82">
        <v>7083.33</v>
      </c>
      <c r="AG31" s="82">
        <f t="shared" si="0"/>
        <v>3.5880000000000001</v>
      </c>
      <c r="AH31" s="82"/>
      <c r="AI31" s="122">
        <v>4</v>
      </c>
      <c r="AJ31" s="122"/>
      <c r="AK31" s="122"/>
      <c r="AL31" s="82">
        <f t="shared" si="24"/>
        <v>16.649999999999999</v>
      </c>
      <c r="AM31" s="82">
        <f t="shared" si="24"/>
        <v>0</v>
      </c>
      <c r="AN31" s="159">
        <v>14</v>
      </c>
      <c r="AR31" s="82"/>
      <c r="AS31" s="82"/>
      <c r="AT31" s="86">
        <f>AF31+AL31+AG31+AM31</f>
        <v>7103.5679999999993</v>
      </c>
      <c r="AU31" s="86"/>
      <c r="AV31" s="86"/>
      <c r="AW31" s="123"/>
      <c r="AX31" s="133">
        <v>2061.15</v>
      </c>
      <c r="AY31" s="134">
        <v>8863</v>
      </c>
      <c r="AZ31" s="134">
        <f t="shared" si="21"/>
        <v>85994</v>
      </c>
      <c r="BA31" s="133">
        <f t="shared" si="3"/>
        <v>40495.046999999999</v>
      </c>
      <c r="BB31" s="133">
        <f t="shared" si="5"/>
        <v>343.976</v>
      </c>
      <c r="BC31" s="135">
        <v>289</v>
      </c>
      <c r="BD31" s="136"/>
      <c r="BE31" s="136"/>
      <c r="BF31" s="137">
        <f t="shared" si="4"/>
        <v>42900.173000000003</v>
      </c>
      <c r="BH31" s="160" t="s">
        <v>142</v>
      </c>
      <c r="BI31" s="125">
        <f t="shared" si="6"/>
        <v>86975</v>
      </c>
      <c r="BJ31" s="126">
        <v>0.04</v>
      </c>
      <c r="BK31" s="127">
        <f t="shared" si="7"/>
        <v>3479</v>
      </c>
      <c r="BL31" s="91">
        <v>3078.4</v>
      </c>
      <c r="BM31" s="92"/>
      <c r="BO31" s="128" t="str">
        <f t="shared" si="1"/>
        <v>958 598</v>
      </c>
      <c r="BP31" s="132">
        <f t="shared" si="22"/>
        <v>30783.314963679793</v>
      </c>
      <c r="BQ31" s="129">
        <f t="shared" si="8"/>
        <v>19220.426036320205</v>
      </c>
      <c r="BR31" s="97">
        <f t="shared" si="20"/>
        <v>50003.740999999995</v>
      </c>
      <c r="BS31" s="130" t="str">
        <f t="shared" si="9"/>
        <v>E194CC-2204-1</v>
      </c>
      <c r="BT31" s="131">
        <f t="shared" si="10"/>
        <v>3592.0901512602427</v>
      </c>
      <c r="BU31" s="131">
        <f t="shared" si="11"/>
        <v>2965.3098487397574</v>
      </c>
      <c r="BV31" s="97">
        <f t="shared" si="12"/>
        <v>6557.4</v>
      </c>
      <c r="BW31" s="121"/>
    </row>
    <row r="32" spans="1:77" ht="14.45" hidden="1" customHeight="1" outlineLevel="1" x14ac:dyDescent="0.25">
      <c r="A32" s="16">
        <v>44682</v>
      </c>
      <c r="B32" s="17">
        <v>39.119999999999997</v>
      </c>
      <c r="C32" s="18">
        <v>100000</v>
      </c>
      <c r="D32" s="19">
        <v>6.0000000000000001E-3</v>
      </c>
      <c r="E32" s="20">
        <v>6.0000000000000001E-3</v>
      </c>
      <c r="F32" s="20"/>
      <c r="G32" s="21">
        <v>4.569</v>
      </c>
      <c r="H32" s="21">
        <v>4.0000000000000001E-3</v>
      </c>
      <c r="I32" s="22">
        <v>3.3700000000000002E-3</v>
      </c>
      <c r="J32" s="24">
        <v>76025</v>
      </c>
      <c r="K32" s="24">
        <f t="shared" si="13"/>
        <v>5476</v>
      </c>
      <c r="L32" s="24">
        <v>11359</v>
      </c>
      <c r="M32" s="24">
        <v>58400</v>
      </c>
      <c r="N32" s="29">
        <v>790</v>
      </c>
      <c r="O32" s="27">
        <v>74727</v>
      </c>
      <c r="P32" s="27">
        <f t="shared" si="14"/>
        <v>4241.2236902399882</v>
      </c>
      <c r="Q32" s="27">
        <v>11554.015403040003</v>
      </c>
      <c r="R32" s="27">
        <v>58143.711587520011</v>
      </c>
      <c r="S32" s="30">
        <v>788.04931920000001</v>
      </c>
      <c r="T32" s="27">
        <v>8863</v>
      </c>
      <c r="U32" s="27">
        <f t="shared" si="15"/>
        <v>5114.3651200000004</v>
      </c>
      <c r="V32" s="27">
        <f t="shared" si="16"/>
        <v>891.93599999999992</v>
      </c>
      <c r="W32" s="27">
        <f t="shared" si="17"/>
        <v>2504.7362399999997</v>
      </c>
      <c r="X32" s="27">
        <f t="shared" si="25"/>
        <v>351.96263999999996</v>
      </c>
      <c r="Y32" s="118"/>
      <c r="Z32" s="79" t="s">
        <v>143</v>
      </c>
      <c r="AA32" s="80">
        <v>100000</v>
      </c>
      <c r="AB32" s="81">
        <v>23250</v>
      </c>
      <c r="AC32" s="81">
        <v>2088</v>
      </c>
      <c r="AF32" s="82">
        <v>7083.33</v>
      </c>
      <c r="AG32" s="82">
        <f t="shared" si="0"/>
        <v>139.5</v>
      </c>
      <c r="AH32" s="82">
        <f>AC32*0.041</f>
        <v>85.608000000000004</v>
      </c>
      <c r="AI32" s="161">
        <v>155</v>
      </c>
      <c r="AJ32" s="161">
        <v>7</v>
      </c>
      <c r="AK32" s="122"/>
      <c r="AL32" s="82">
        <f t="shared" si="24"/>
        <v>0</v>
      </c>
      <c r="AM32" s="82">
        <f t="shared" si="24"/>
        <v>0</v>
      </c>
      <c r="AR32" s="82"/>
      <c r="AS32" s="82"/>
      <c r="AT32" s="86">
        <f t="shared" ref="AT32:AT64" si="26">AF32+AL32+AG32+AM32</f>
        <v>7222.83</v>
      </c>
      <c r="AU32" s="86"/>
      <c r="AV32" s="86"/>
      <c r="AW32" s="123"/>
      <c r="AX32" s="133">
        <v>2061.15</v>
      </c>
      <c r="AY32" s="134">
        <v>8863</v>
      </c>
      <c r="AZ32" s="134">
        <f t="shared" si="21"/>
        <v>76025</v>
      </c>
      <c r="BA32" s="133">
        <f t="shared" si="3"/>
        <v>40495.046999999999</v>
      </c>
      <c r="BB32" s="133">
        <f t="shared" si="5"/>
        <v>304.10000000000002</v>
      </c>
      <c r="BC32" s="135">
        <v>252</v>
      </c>
      <c r="BD32" s="136"/>
      <c r="BE32" s="136"/>
      <c r="BF32" s="137">
        <f t="shared" si="4"/>
        <v>42860.296999999999</v>
      </c>
      <c r="BH32" s="160" t="s">
        <v>144</v>
      </c>
      <c r="BI32" s="125">
        <f t="shared" si="6"/>
        <v>74727</v>
      </c>
      <c r="BJ32" s="126">
        <v>0.04</v>
      </c>
      <c r="BK32" s="127">
        <f t="shared" si="7"/>
        <v>2989.08</v>
      </c>
      <c r="BL32" s="91">
        <v>3078.4</v>
      </c>
      <c r="BM32" s="92"/>
      <c r="BO32" s="128" t="str">
        <f t="shared" si="1"/>
        <v>961 359</v>
      </c>
      <c r="BP32" s="132">
        <f t="shared" si="22"/>
        <v>30760.730678528271</v>
      </c>
      <c r="BQ32" s="129">
        <f t="shared" si="8"/>
        <v>19322.396321471726</v>
      </c>
      <c r="BR32" s="97">
        <f t="shared" si="20"/>
        <v>50083.126999999993</v>
      </c>
      <c r="BS32" s="130" t="str">
        <f t="shared" si="9"/>
        <v>E194CC-2205-1</v>
      </c>
      <c r="BT32" s="131">
        <f t="shared" si="10"/>
        <v>3248.0489476095995</v>
      </c>
      <c r="BU32" s="131">
        <f t="shared" si="11"/>
        <v>2819.4310523904005</v>
      </c>
      <c r="BV32" s="97">
        <f t="shared" si="12"/>
        <v>6067.48</v>
      </c>
      <c r="BW32" s="121"/>
    </row>
    <row r="33" spans="1:74" hidden="1" outlineLevel="1" x14ac:dyDescent="0.25">
      <c r="A33" s="16">
        <v>44713</v>
      </c>
      <c r="B33" s="17">
        <v>39.119999999999997</v>
      </c>
      <c r="C33" s="18">
        <v>100000</v>
      </c>
      <c r="D33" s="19">
        <v>6.0000000000000001E-3</v>
      </c>
      <c r="E33" s="20">
        <v>6.0000000000000001E-3</v>
      </c>
      <c r="F33" s="20"/>
      <c r="G33" s="21">
        <v>4.569</v>
      </c>
      <c r="H33" s="21">
        <v>4.0000000000000001E-3</v>
      </c>
      <c r="I33" s="22">
        <v>3.3700000000000002E-3</v>
      </c>
      <c r="J33" s="24">
        <v>52124</v>
      </c>
      <c r="K33" s="24">
        <f t="shared" si="13"/>
        <v>1500</v>
      </c>
      <c r="L33" s="24">
        <v>11314</v>
      </c>
      <c r="M33" s="24">
        <v>38650</v>
      </c>
      <c r="N33" s="29">
        <v>660</v>
      </c>
      <c r="O33" s="27">
        <v>53245</v>
      </c>
      <c r="P33" s="27">
        <f t="shared" si="14"/>
        <v>2023.9985857600032</v>
      </c>
      <c r="Q33" s="27">
        <v>11464.739885759998</v>
      </c>
      <c r="R33" s="27">
        <v>39067.407228479999</v>
      </c>
      <c r="S33" s="30">
        <v>688.85430000000008</v>
      </c>
      <c r="T33" s="27">
        <v>8863</v>
      </c>
      <c r="U33" s="27">
        <f t="shared" si="15"/>
        <v>5114.3651200000004</v>
      </c>
      <c r="V33" s="27">
        <f t="shared" si="16"/>
        <v>891.93599999999992</v>
      </c>
      <c r="W33" s="27">
        <f t="shared" si="17"/>
        <v>2504.7362399999997</v>
      </c>
      <c r="X33" s="27">
        <f t="shared" si="25"/>
        <v>351.96263999999996</v>
      </c>
      <c r="Z33" s="163" t="s">
        <v>145</v>
      </c>
      <c r="AA33" s="80">
        <v>100000</v>
      </c>
      <c r="AB33" s="81">
        <v>19470</v>
      </c>
      <c r="AF33" s="82">
        <v>7083.33</v>
      </c>
      <c r="AG33" s="82">
        <f t="shared" si="0"/>
        <v>116.82000000000001</v>
      </c>
      <c r="AH33" s="82"/>
      <c r="AI33" s="122"/>
      <c r="AJ33" s="122"/>
      <c r="AK33" s="122"/>
      <c r="AL33" s="82">
        <f t="shared" si="24"/>
        <v>0</v>
      </c>
      <c r="AM33" s="82">
        <f t="shared" si="24"/>
        <v>0</v>
      </c>
      <c r="AR33" s="82"/>
      <c r="AS33" s="82"/>
      <c r="AT33" s="86">
        <f t="shared" si="26"/>
        <v>7200.15</v>
      </c>
      <c r="AU33" s="86"/>
      <c r="AV33" s="86"/>
      <c r="AW33" s="123"/>
      <c r="AX33" s="133">
        <v>2061.15</v>
      </c>
      <c r="AY33" s="134">
        <v>8863</v>
      </c>
      <c r="AZ33" s="134">
        <f t="shared" si="21"/>
        <v>52124</v>
      </c>
      <c r="BA33" s="133">
        <f t="shared" si="3"/>
        <v>40495.046999999999</v>
      </c>
      <c r="BB33" s="133">
        <f t="shared" si="5"/>
        <v>208.49600000000001</v>
      </c>
      <c r="BC33" s="135">
        <v>163</v>
      </c>
      <c r="BD33" s="136"/>
      <c r="BE33" s="136"/>
      <c r="BF33" s="137">
        <f t="shared" si="4"/>
        <v>42764.692999999999</v>
      </c>
      <c r="BH33" s="160" t="s">
        <v>146</v>
      </c>
      <c r="BI33" s="125">
        <f t="shared" si="6"/>
        <v>53245</v>
      </c>
      <c r="BJ33" s="126">
        <v>0.04</v>
      </c>
      <c r="BK33" s="127">
        <f t="shared" si="7"/>
        <v>2129.8000000000002</v>
      </c>
      <c r="BL33" s="91">
        <v>3078.4</v>
      </c>
      <c r="BM33" s="92"/>
      <c r="BO33" s="128" t="str">
        <f t="shared" si="1"/>
        <v>964 935</v>
      </c>
      <c r="BP33" s="132">
        <f t="shared" si="22"/>
        <v>30632.999040278693</v>
      </c>
      <c r="BQ33" s="129">
        <f t="shared" si="8"/>
        <v>19331.843959721304</v>
      </c>
      <c r="BR33" s="97">
        <f t="shared" si="20"/>
        <v>49964.842999999993</v>
      </c>
      <c r="BS33" s="130" t="str">
        <f t="shared" si="9"/>
        <v>E194CC-2206-1</v>
      </c>
      <c r="BT33" s="131">
        <f t="shared" si="10"/>
        <v>3159.3599434304001</v>
      </c>
      <c r="BU33" s="131">
        <f t="shared" si="11"/>
        <v>2048.8400565695997</v>
      </c>
      <c r="BV33" s="97">
        <f t="shared" si="12"/>
        <v>5208.2</v>
      </c>
    </row>
    <row r="34" spans="1:74" hidden="1" outlineLevel="1" x14ac:dyDescent="0.25">
      <c r="A34" s="16">
        <v>44743</v>
      </c>
      <c r="B34" s="17">
        <v>39.119999999999997</v>
      </c>
      <c r="C34" s="18">
        <v>100000</v>
      </c>
      <c r="D34" s="19">
        <v>6.0000000000000001E-3</v>
      </c>
      <c r="E34" s="20">
        <v>6.0000000000000001E-3</v>
      </c>
      <c r="F34" s="20"/>
      <c r="G34" s="21">
        <v>4.569</v>
      </c>
      <c r="H34" s="21">
        <v>4.0000000000000001E-3</v>
      </c>
      <c r="I34" s="22">
        <v>3.3700000000000002E-3</v>
      </c>
      <c r="J34" s="24">
        <v>52262</v>
      </c>
      <c r="K34" s="24">
        <f t="shared" si="13"/>
        <v>775</v>
      </c>
      <c r="L34" s="24">
        <v>11877</v>
      </c>
      <c r="M34" s="24">
        <v>39020</v>
      </c>
      <c r="N34" s="29">
        <v>590</v>
      </c>
      <c r="O34" s="27">
        <v>53859</v>
      </c>
      <c r="P34" s="27">
        <f t="shared" si="14"/>
        <v>3078.8653377599876</v>
      </c>
      <c r="Q34" s="27">
        <v>11686.275428639998</v>
      </c>
      <c r="R34" s="27">
        <v>38538.367126080011</v>
      </c>
      <c r="S34" s="30">
        <v>555.49210751999999</v>
      </c>
      <c r="T34" s="27">
        <v>8863</v>
      </c>
      <c r="U34" s="27">
        <f t="shared" si="15"/>
        <v>5114.3651200000004</v>
      </c>
      <c r="V34" s="27">
        <f t="shared" si="16"/>
        <v>891.93599999999992</v>
      </c>
      <c r="W34" s="27">
        <f t="shared" si="17"/>
        <v>2504.7362399999997</v>
      </c>
      <c r="X34" s="27">
        <f t="shared" si="25"/>
        <v>351.96263999999996</v>
      </c>
      <c r="Z34" s="163" t="s">
        <v>147</v>
      </c>
      <c r="AA34" s="80">
        <v>100000</v>
      </c>
      <c r="AB34" s="81">
        <v>13919</v>
      </c>
      <c r="AF34" s="82">
        <v>7083.33</v>
      </c>
      <c r="AG34" s="82">
        <f t="shared" si="0"/>
        <v>83.513999999999996</v>
      </c>
      <c r="AH34" s="82"/>
      <c r="AI34" s="122"/>
      <c r="AJ34" s="122"/>
      <c r="AK34" s="122"/>
      <c r="AL34" s="82">
        <f t="shared" si="24"/>
        <v>0</v>
      </c>
      <c r="AM34" s="82">
        <f t="shared" si="24"/>
        <v>0</v>
      </c>
      <c r="AR34" s="82"/>
      <c r="AS34" s="82"/>
      <c r="AT34" s="86">
        <f t="shared" si="26"/>
        <v>7166.8440000000001</v>
      </c>
      <c r="AU34" s="86"/>
      <c r="AV34" s="86"/>
      <c r="AW34" s="123"/>
      <c r="AX34" s="133">
        <v>2061.15</v>
      </c>
      <c r="AY34" s="134">
        <v>8863</v>
      </c>
      <c r="AZ34" s="134">
        <f t="shared" si="21"/>
        <v>52262</v>
      </c>
      <c r="BA34" s="133">
        <f t="shared" si="3"/>
        <v>40495.046999999999</v>
      </c>
      <c r="BB34" s="133">
        <f t="shared" si="5"/>
        <v>209.048</v>
      </c>
      <c r="BC34" s="135">
        <v>156</v>
      </c>
      <c r="BD34" s="136"/>
      <c r="BE34" s="136"/>
      <c r="BF34" s="137">
        <f t="shared" si="4"/>
        <v>42765.245000000003</v>
      </c>
      <c r="BH34" s="160" t="s">
        <v>148</v>
      </c>
      <c r="BI34" s="125">
        <f t="shared" si="6"/>
        <v>53859</v>
      </c>
      <c r="BJ34" s="126">
        <v>0.04</v>
      </c>
      <c r="BK34" s="127">
        <f t="shared" si="7"/>
        <v>2154.36</v>
      </c>
      <c r="BL34" s="91">
        <v>3078.4</v>
      </c>
      <c r="BM34" s="92"/>
      <c r="BO34" s="128" t="str">
        <f t="shared" si="1"/>
        <v>971 955</v>
      </c>
      <c r="BP34" s="132">
        <f t="shared" si="22"/>
        <v>30568.043294892643</v>
      </c>
      <c r="BQ34" s="129">
        <f t="shared" si="8"/>
        <v>19364.045705107357</v>
      </c>
      <c r="BR34" s="97">
        <f t="shared" si="20"/>
        <v>49932.089</v>
      </c>
      <c r="BS34" s="130" t="str">
        <f t="shared" si="9"/>
        <v>E194CC-2207-1</v>
      </c>
      <c r="BT34" s="131">
        <f t="shared" si="10"/>
        <v>3201.5546135103996</v>
      </c>
      <c r="BU34" s="131">
        <f t="shared" si="11"/>
        <v>2031.2053864896002</v>
      </c>
      <c r="BV34" s="97">
        <f t="shared" si="12"/>
        <v>5232.76</v>
      </c>
    </row>
    <row r="35" spans="1:74" hidden="1" outlineLevel="1" x14ac:dyDescent="0.25">
      <c r="A35" s="16">
        <v>44774</v>
      </c>
      <c r="B35" s="49">
        <v>39.119999999999997</v>
      </c>
      <c r="C35" s="18">
        <v>100000</v>
      </c>
      <c r="D35" s="19">
        <v>6.0000000000000001E-3</v>
      </c>
      <c r="E35" s="20">
        <v>6.0000000000000001E-3</v>
      </c>
      <c r="F35" s="20"/>
      <c r="G35" s="21">
        <v>4.569</v>
      </c>
      <c r="H35" s="21">
        <v>4.0000000000000001E-3</v>
      </c>
      <c r="I35" s="22">
        <v>3.3700000000000002E-3</v>
      </c>
      <c r="J35" s="24">
        <v>56427</v>
      </c>
      <c r="K35" s="24">
        <f t="shared" si="13"/>
        <v>4073</v>
      </c>
      <c r="L35" s="24">
        <v>13384</v>
      </c>
      <c r="M35" s="24">
        <v>38270</v>
      </c>
      <c r="N35" s="29">
        <v>700</v>
      </c>
      <c r="O35" s="27">
        <v>56190</v>
      </c>
      <c r="P35" s="26">
        <f t="shared" si="14"/>
        <v>3185.6925739199928</v>
      </c>
      <c r="Q35" s="27">
        <v>13686.708315840002</v>
      </c>
      <c r="R35" s="27">
        <v>38581.351634400002</v>
      </c>
      <c r="S35" s="30">
        <v>736.24747583999999</v>
      </c>
      <c r="T35" s="27">
        <v>8863</v>
      </c>
      <c r="U35" s="27">
        <f t="shared" si="15"/>
        <v>5114.3651200000004</v>
      </c>
      <c r="V35" s="27">
        <f t="shared" si="16"/>
        <v>891.93599999999992</v>
      </c>
      <c r="W35" s="27">
        <f t="shared" si="17"/>
        <v>2504.7362399999997</v>
      </c>
      <c r="X35" s="27">
        <f t="shared" si="25"/>
        <v>351.96263999999996</v>
      </c>
      <c r="Z35" s="163" t="s">
        <v>149</v>
      </c>
      <c r="AA35" s="165">
        <f t="shared" ref="AA35:AA64" si="27">C35</f>
        <v>100000</v>
      </c>
      <c r="AB35" s="80">
        <v>13670</v>
      </c>
      <c r="AC35" s="80"/>
      <c r="AD35" s="80"/>
      <c r="AE35" s="80"/>
      <c r="AF35" s="82">
        <v>7083.33</v>
      </c>
      <c r="AG35" s="82">
        <f t="shared" si="0"/>
        <v>82.02</v>
      </c>
      <c r="AH35" s="82"/>
      <c r="AI35" s="159">
        <v>91</v>
      </c>
      <c r="AL35" s="82">
        <f t="shared" si="24"/>
        <v>0</v>
      </c>
      <c r="AM35" s="82">
        <f t="shared" si="24"/>
        <v>0</v>
      </c>
      <c r="AT35" s="166">
        <f t="shared" si="26"/>
        <v>7165.35</v>
      </c>
      <c r="AU35" s="166"/>
      <c r="AV35" s="166"/>
      <c r="AW35" s="167"/>
      <c r="AX35" s="133">
        <v>2061.15</v>
      </c>
      <c r="AY35" s="134">
        <f t="shared" ref="AY35:AY64" si="28">T35</f>
        <v>8863</v>
      </c>
      <c r="AZ35" s="134">
        <f t="shared" si="21"/>
        <v>56427</v>
      </c>
      <c r="BA35" s="133">
        <f t="shared" si="3"/>
        <v>40495.046999999999</v>
      </c>
      <c r="BB35" s="133">
        <f t="shared" si="5"/>
        <v>225.708</v>
      </c>
      <c r="BC35" s="135">
        <v>176</v>
      </c>
      <c r="BD35" s="136"/>
      <c r="BE35" s="136"/>
      <c r="BF35" s="137">
        <f>AX35+BA35+BB35</f>
        <v>42781.904999999999</v>
      </c>
      <c r="BH35" s="168" t="s">
        <v>150</v>
      </c>
      <c r="BI35" s="169">
        <f t="shared" si="6"/>
        <v>56189.999999999993</v>
      </c>
      <c r="BJ35" s="126">
        <v>0.04</v>
      </c>
      <c r="BK35" s="127">
        <f t="shared" si="7"/>
        <v>2247.6</v>
      </c>
      <c r="BL35" s="91">
        <v>3183.07</v>
      </c>
      <c r="BM35" s="170"/>
      <c r="BO35" s="128" t="str">
        <f t="shared" si="1"/>
        <v>977 916</v>
      </c>
      <c r="BP35" s="132">
        <f t="shared" si="22"/>
        <v>30697.953661638763</v>
      </c>
      <c r="BQ35" s="129">
        <f t="shared" si="8"/>
        <v>19249.301338361238</v>
      </c>
      <c r="BR35" s="97">
        <f t="shared" si="20"/>
        <v>49947.255000000005</v>
      </c>
      <c r="BS35" s="130" t="str">
        <f t="shared" si="9"/>
        <v>E194CC-2208-1</v>
      </c>
      <c r="BT35" s="131">
        <f t="shared" si="10"/>
        <v>3310.4977029567999</v>
      </c>
      <c r="BU35" s="131">
        <f t="shared" si="11"/>
        <v>2120.1722970432002</v>
      </c>
      <c r="BV35" s="97">
        <f t="shared" si="12"/>
        <v>5430.67</v>
      </c>
    </row>
    <row r="36" spans="1:74" hidden="1" outlineLevel="1" x14ac:dyDescent="0.25">
      <c r="A36" s="16">
        <v>44805</v>
      </c>
      <c r="B36" s="49">
        <v>39.119999999999997</v>
      </c>
      <c r="C36" s="18">
        <v>100000</v>
      </c>
      <c r="D36" s="19">
        <v>6.0000000000000001E-3</v>
      </c>
      <c r="E36" s="20">
        <v>6.0000000000000001E-3</v>
      </c>
      <c r="F36" s="20"/>
      <c r="G36" s="21">
        <v>4.569</v>
      </c>
      <c r="H36" s="21">
        <v>4.0000000000000001E-3</v>
      </c>
      <c r="I36" s="22">
        <v>3.3700000000000002E-3</v>
      </c>
      <c r="J36" s="24">
        <v>50955</v>
      </c>
      <c r="K36" s="24">
        <f t="shared" si="13"/>
        <v>3407</v>
      </c>
      <c r="L36" s="24">
        <v>15421</v>
      </c>
      <c r="M36" s="24">
        <v>31497</v>
      </c>
      <c r="N36" s="29">
        <v>630</v>
      </c>
      <c r="O36" s="27">
        <v>51426</v>
      </c>
      <c r="P36" s="26">
        <f t="shared" si="14"/>
        <v>3827.8211203200003</v>
      </c>
      <c r="Q36" s="27">
        <v>15332.24346768</v>
      </c>
      <c r="R36" s="27">
        <v>31668.560963039996</v>
      </c>
      <c r="S36" s="30">
        <v>597.37444895999988</v>
      </c>
      <c r="T36" s="27">
        <v>8863</v>
      </c>
      <c r="U36" s="27">
        <f t="shared" si="15"/>
        <v>5114.3651200000004</v>
      </c>
      <c r="V36" s="27">
        <f t="shared" si="16"/>
        <v>891.93599999999992</v>
      </c>
      <c r="W36" s="27">
        <f t="shared" si="17"/>
        <v>2504.7362399999997</v>
      </c>
      <c r="X36" s="27">
        <f t="shared" si="25"/>
        <v>351.96263999999996</v>
      </c>
      <c r="Z36" s="163" t="s">
        <v>151</v>
      </c>
      <c r="AA36" s="165">
        <f t="shared" si="27"/>
        <v>100000</v>
      </c>
      <c r="AB36" s="80">
        <v>13343</v>
      </c>
      <c r="AC36" s="80"/>
      <c r="AD36" s="80"/>
      <c r="AE36" s="80"/>
      <c r="AF36" s="82">
        <v>7083.33</v>
      </c>
      <c r="AG36" s="82">
        <f t="shared" si="0"/>
        <v>80.058000000000007</v>
      </c>
      <c r="AH36" s="82"/>
      <c r="AI36" s="159">
        <v>90</v>
      </c>
      <c r="AL36" s="82">
        <f t="shared" si="24"/>
        <v>0</v>
      </c>
      <c r="AM36" s="82">
        <f t="shared" si="24"/>
        <v>0</v>
      </c>
      <c r="AT36" s="166">
        <f t="shared" si="26"/>
        <v>7163.3879999999999</v>
      </c>
      <c r="AU36" s="166"/>
      <c r="AV36" s="166"/>
      <c r="AW36" s="167"/>
      <c r="AX36" s="133">
        <v>2061.15</v>
      </c>
      <c r="AY36" s="134">
        <f t="shared" si="28"/>
        <v>8863</v>
      </c>
      <c r="AZ36" s="134">
        <f t="shared" si="21"/>
        <v>50955</v>
      </c>
      <c r="BA36" s="133">
        <f t="shared" si="3"/>
        <v>40495.046999999999</v>
      </c>
      <c r="BB36" s="133">
        <f t="shared" si="5"/>
        <v>203.82</v>
      </c>
      <c r="BC36" s="159">
        <v>160</v>
      </c>
      <c r="BF36" s="137">
        <f>AX36+BA36+BB36</f>
        <v>42760.017</v>
      </c>
      <c r="BH36" s="168" t="s">
        <v>152</v>
      </c>
      <c r="BI36" s="169">
        <f t="shared" si="6"/>
        <v>51425.999999999993</v>
      </c>
      <c r="BJ36" s="126">
        <v>0.04</v>
      </c>
      <c r="BK36" s="127">
        <f t="shared" si="7"/>
        <v>2057.04</v>
      </c>
      <c r="BL36" s="91">
        <v>3183.07</v>
      </c>
      <c r="BM36" s="170"/>
      <c r="BO36" s="128" t="str">
        <f t="shared" si="1"/>
        <v>986 545</v>
      </c>
      <c r="BP36" s="132">
        <f t="shared" si="22"/>
        <v>30682.364737254095</v>
      </c>
      <c r="BQ36" s="129">
        <f t="shared" si="8"/>
        <v>19241.040262745904</v>
      </c>
      <c r="BR36" s="97">
        <f t="shared" si="20"/>
        <v>49923.404999999999</v>
      </c>
      <c r="BS36" s="130" t="str">
        <f t="shared" si="9"/>
        <v>E194CC-2209-1</v>
      </c>
      <c r="BT36" s="131">
        <f t="shared" si="10"/>
        <v>3336.1828448128003</v>
      </c>
      <c r="BU36" s="131">
        <f t="shared" si="11"/>
        <v>1903.9271551871998</v>
      </c>
      <c r="BV36" s="97">
        <f t="shared" si="12"/>
        <v>5240.1100000000006</v>
      </c>
    </row>
    <row r="37" spans="1:74" hidden="1" outlineLevel="1" x14ac:dyDescent="0.25">
      <c r="A37" s="50">
        <f t="shared" ref="A37:A71" si="29">EOMONTH(A36,0)+1</f>
        <v>44835</v>
      </c>
      <c r="B37" s="49">
        <v>39.119999999999997</v>
      </c>
      <c r="C37" s="18">
        <v>100000</v>
      </c>
      <c r="D37" s="19">
        <v>6.0000000000000001E-3</v>
      </c>
      <c r="E37" s="20">
        <v>6.0000000000000001E-3</v>
      </c>
      <c r="F37" s="20"/>
      <c r="G37" s="21">
        <v>4.569</v>
      </c>
      <c r="H37" s="21">
        <v>4.0000000000000001E-3</v>
      </c>
      <c r="I37" s="22">
        <v>3.3700000000000002E-3</v>
      </c>
      <c r="J37" s="24">
        <v>89993</v>
      </c>
      <c r="K37" s="24">
        <f t="shared" si="13"/>
        <v>25894</v>
      </c>
      <c r="L37" s="24">
        <v>15989</v>
      </c>
      <c r="M37" s="24">
        <v>47340</v>
      </c>
      <c r="N37" s="29">
        <v>770</v>
      </c>
      <c r="O37" s="27">
        <v>91003</v>
      </c>
      <c r="P37" s="26">
        <f t="shared" si="14"/>
        <v>26966</v>
      </c>
      <c r="Q37" s="26">
        <v>15814</v>
      </c>
      <c r="R37" s="26">
        <v>47448</v>
      </c>
      <c r="S37" s="30">
        <v>775</v>
      </c>
      <c r="T37" s="27">
        <v>8863</v>
      </c>
      <c r="U37" s="27">
        <f t="shared" si="15"/>
        <v>5114.3651200000004</v>
      </c>
      <c r="V37" s="27">
        <f t="shared" si="16"/>
        <v>891.93599999999992</v>
      </c>
      <c r="W37" s="27">
        <f t="shared" si="17"/>
        <v>2504.7362399999997</v>
      </c>
      <c r="X37" s="27">
        <f t="shared" si="25"/>
        <v>351.96263999999996</v>
      </c>
      <c r="Z37" s="163" t="s">
        <v>153</v>
      </c>
      <c r="AA37" s="165">
        <f t="shared" si="27"/>
        <v>100000</v>
      </c>
      <c r="AB37" s="80">
        <v>0</v>
      </c>
      <c r="AC37" s="80"/>
      <c r="AD37" s="80">
        <v>0</v>
      </c>
      <c r="AE37" s="80"/>
      <c r="AF37" s="82">
        <v>7083.33</v>
      </c>
      <c r="AG37" s="82">
        <f t="shared" si="0"/>
        <v>0</v>
      </c>
      <c r="AH37" s="82"/>
      <c r="AI37" s="159">
        <v>0</v>
      </c>
      <c r="AL37" s="82">
        <f t="shared" si="24"/>
        <v>0</v>
      </c>
      <c r="AM37" s="82">
        <f t="shared" si="24"/>
        <v>0</v>
      </c>
      <c r="AN37" s="159">
        <v>0</v>
      </c>
      <c r="AT37" s="166">
        <f t="shared" si="26"/>
        <v>7083.33</v>
      </c>
      <c r="AU37" s="166"/>
      <c r="AV37" s="166"/>
      <c r="AW37" s="167"/>
      <c r="AX37" s="133">
        <v>2061.15</v>
      </c>
      <c r="AY37" s="134">
        <f t="shared" si="28"/>
        <v>8863</v>
      </c>
      <c r="AZ37" s="134">
        <f t="shared" si="21"/>
        <v>89993</v>
      </c>
      <c r="BA37" s="133">
        <f t="shared" si="3"/>
        <v>40495.046999999999</v>
      </c>
      <c r="BB37" s="133">
        <f t="shared" si="5"/>
        <v>359.97199999999998</v>
      </c>
      <c r="BC37" s="159">
        <v>304</v>
      </c>
      <c r="BF37" s="137">
        <f>AX37+BA37+BB37</f>
        <v>42916.169000000002</v>
      </c>
      <c r="BH37" s="168" t="s">
        <v>154</v>
      </c>
      <c r="BI37" s="169">
        <f t="shared" si="6"/>
        <v>91003</v>
      </c>
      <c r="BJ37" s="126">
        <v>0.04</v>
      </c>
      <c r="BK37" s="127">
        <f t="shared" si="7"/>
        <v>3640.12</v>
      </c>
      <c r="BL37" s="91">
        <v>3183.07</v>
      </c>
      <c r="BM37" s="171">
        <f>2+70000</f>
        <v>70002</v>
      </c>
      <c r="BO37" s="128" t="str">
        <f t="shared" si="1"/>
        <v>993 085</v>
      </c>
      <c r="BP37" s="132">
        <f t="shared" si="22"/>
        <v>31147.502116982065</v>
      </c>
      <c r="BQ37" s="129">
        <f t="shared" si="8"/>
        <v>18851.996883017935</v>
      </c>
      <c r="BR37" s="97">
        <f t="shared" si="20"/>
        <v>49999.498999999996</v>
      </c>
      <c r="BS37" s="130" t="str">
        <f t="shared" si="9"/>
        <v>E194CC-2210-1</v>
      </c>
      <c r="BT37" s="131">
        <f t="shared" si="10"/>
        <v>4261.71</v>
      </c>
      <c r="BU37" s="131">
        <f t="shared" si="11"/>
        <v>2561.48</v>
      </c>
      <c r="BV37" s="97">
        <f t="shared" si="12"/>
        <v>6823.1900000000005</v>
      </c>
    </row>
    <row r="38" spans="1:74" hidden="1" outlineLevel="1" x14ac:dyDescent="0.25">
      <c r="A38" s="50">
        <f t="shared" si="29"/>
        <v>44866</v>
      </c>
      <c r="B38" s="49">
        <v>39.119999999999997</v>
      </c>
      <c r="C38" s="18">
        <v>100000</v>
      </c>
      <c r="D38" s="19">
        <v>6.0000000000000001E-3</v>
      </c>
      <c r="E38" s="20">
        <v>6.0000000000000001E-3</v>
      </c>
      <c r="F38" s="20"/>
      <c r="G38" s="21">
        <v>4.569</v>
      </c>
      <c r="H38" s="21">
        <v>4.0000000000000001E-3</v>
      </c>
      <c r="I38" s="22">
        <v>8.0599999999999995E-3</v>
      </c>
      <c r="J38" s="24">
        <v>105774</v>
      </c>
      <c r="K38" s="24">
        <f t="shared" si="13"/>
        <v>36486</v>
      </c>
      <c r="L38" s="24">
        <v>15301</v>
      </c>
      <c r="M38" s="24">
        <v>52540</v>
      </c>
      <c r="N38" s="29">
        <v>1447</v>
      </c>
      <c r="O38" s="27">
        <v>103758</v>
      </c>
      <c r="P38" s="26">
        <f t="shared" si="14"/>
        <v>34443.827083680007</v>
      </c>
      <c r="Q38" s="27">
        <v>15302.484961920001</v>
      </c>
      <c r="R38" s="27">
        <v>52498.412828159999</v>
      </c>
      <c r="S38" s="30">
        <v>1513.2751262400004</v>
      </c>
      <c r="T38" s="27">
        <v>8863</v>
      </c>
      <c r="U38" s="27">
        <f t="shared" si="15"/>
        <v>5114.3651200000004</v>
      </c>
      <c r="V38" s="27">
        <f t="shared" si="16"/>
        <v>891.93599999999992</v>
      </c>
      <c r="W38" s="27">
        <f t="shared" si="17"/>
        <v>2504.7362399999997</v>
      </c>
      <c r="X38" s="27">
        <f t="shared" si="25"/>
        <v>351.96263999999996</v>
      </c>
      <c r="Z38" s="163" t="s">
        <v>155</v>
      </c>
      <c r="AA38" s="165">
        <f t="shared" si="27"/>
        <v>100000</v>
      </c>
      <c r="AB38" s="80">
        <v>0</v>
      </c>
      <c r="AC38" s="80"/>
      <c r="AD38" s="80">
        <v>6701</v>
      </c>
      <c r="AE38" s="80"/>
      <c r="AF38" s="82">
        <v>7083.33</v>
      </c>
      <c r="AG38" s="82">
        <f t="shared" si="0"/>
        <v>0</v>
      </c>
      <c r="AH38" s="82"/>
      <c r="AI38" s="159">
        <v>0</v>
      </c>
      <c r="AL38" s="82">
        <f t="shared" si="24"/>
        <v>40.206000000000003</v>
      </c>
      <c r="AM38" s="82">
        <f t="shared" si="24"/>
        <v>0</v>
      </c>
      <c r="AN38" s="159">
        <v>45</v>
      </c>
      <c r="AT38" s="166">
        <f t="shared" si="26"/>
        <v>7123.5360000000001</v>
      </c>
      <c r="AU38" s="166"/>
      <c r="AV38" s="166"/>
      <c r="AW38" s="167"/>
      <c r="AX38" s="133">
        <v>2061.15</v>
      </c>
      <c r="AY38" s="134">
        <f t="shared" si="28"/>
        <v>8863</v>
      </c>
      <c r="AZ38" s="134">
        <f t="shared" si="21"/>
        <v>105774</v>
      </c>
      <c r="BA38" s="133">
        <f t="shared" si="3"/>
        <v>40495.046999999999</v>
      </c>
      <c r="BB38" s="133">
        <f t="shared" si="5"/>
        <v>423.096</v>
      </c>
      <c r="BC38" s="159">
        <v>838</v>
      </c>
      <c r="BF38" s="137">
        <f>AX38+BA38+BB38</f>
        <v>42979.292999999998</v>
      </c>
      <c r="BH38" s="168" t="s">
        <v>156</v>
      </c>
      <c r="BI38" s="169">
        <f t="shared" si="6"/>
        <v>103758.00000000001</v>
      </c>
      <c r="BJ38" s="126">
        <v>0.04</v>
      </c>
      <c r="BK38" s="127">
        <f t="shared" si="7"/>
        <v>4150.3200000000006</v>
      </c>
      <c r="BL38" s="91">
        <v>3183.07</v>
      </c>
      <c r="BM38" s="172">
        <f t="shared" ref="BM38:BM43" si="30">BM37-BL38-BK38</f>
        <v>62668.609999999993</v>
      </c>
      <c r="BO38" s="128" t="str">
        <f t="shared" si="1"/>
        <v>999 184</v>
      </c>
      <c r="BP38" s="132">
        <f t="shared" si="22"/>
        <v>31347.993480543031</v>
      </c>
      <c r="BQ38" s="129">
        <f t="shared" si="8"/>
        <v>18754.835519456967</v>
      </c>
      <c r="BR38" s="97">
        <f t="shared" si="20"/>
        <v>50102.828999999998</v>
      </c>
      <c r="BS38" s="130" t="str">
        <f t="shared" si="9"/>
        <v>E194CC-2211-1</v>
      </c>
      <c r="BT38" s="131">
        <f t="shared" si="10"/>
        <v>4560.8230833472007</v>
      </c>
      <c r="BU38" s="131">
        <f t="shared" si="11"/>
        <v>2772.5669166527996</v>
      </c>
      <c r="BV38" s="97">
        <f t="shared" si="12"/>
        <v>7333.39</v>
      </c>
    </row>
    <row r="39" spans="1:74" hidden="1" outlineLevel="1" x14ac:dyDescent="0.25">
      <c r="A39" s="50">
        <f t="shared" si="29"/>
        <v>44896</v>
      </c>
      <c r="B39" s="49">
        <f>B38</f>
        <v>39.119999999999997</v>
      </c>
      <c r="C39" s="18">
        <v>100000</v>
      </c>
      <c r="D39" s="19">
        <v>6.0000000000000001E-3</v>
      </c>
      <c r="E39" s="20">
        <v>6.0000000000000001E-3</v>
      </c>
      <c r="F39" s="20"/>
      <c r="G39" s="21">
        <v>4.569</v>
      </c>
      <c r="H39" s="21">
        <v>4.0000000000000001E-3</v>
      </c>
      <c r="I39" s="22">
        <v>8.0599999999999995E-3</v>
      </c>
      <c r="J39" s="24">
        <v>113942</v>
      </c>
      <c r="K39" s="24">
        <f t="shared" si="13"/>
        <v>39430</v>
      </c>
      <c r="L39" s="24">
        <v>15629</v>
      </c>
      <c r="M39" s="24">
        <v>56540</v>
      </c>
      <c r="N39" s="29">
        <v>2343</v>
      </c>
      <c r="O39" s="27">
        <v>113245</v>
      </c>
      <c r="P39" s="27">
        <f t="shared" si="14"/>
        <v>39297.317520159995</v>
      </c>
      <c r="Q39" s="27">
        <v>15818.299061760003</v>
      </c>
      <c r="R39" s="27">
        <v>55927.253991840007</v>
      </c>
      <c r="S39" s="30">
        <v>2202.1294262400002</v>
      </c>
      <c r="T39" s="27">
        <v>8863</v>
      </c>
      <c r="U39" s="27">
        <f t="shared" si="15"/>
        <v>5114.3651200000004</v>
      </c>
      <c r="V39" s="27">
        <f t="shared" si="16"/>
        <v>891.93599999999992</v>
      </c>
      <c r="W39" s="27">
        <f t="shared" si="17"/>
        <v>2504.7362399999997</v>
      </c>
      <c r="X39" s="27">
        <f t="shared" si="25"/>
        <v>351.96263999999996</v>
      </c>
      <c r="Z39" s="163">
        <v>1006658</v>
      </c>
      <c r="AA39" s="165">
        <f t="shared" si="27"/>
        <v>100000</v>
      </c>
      <c r="AB39" s="80">
        <v>0</v>
      </c>
      <c r="AC39" s="80"/>
      <c r="AD39" s="81">
        <v>19793</v>
      </c>
      <c r="AF39" s="82">
        <v>7083.33</v>
      </c>
      <c r="AG39" s="82">
        <f t="shared" si="0"/>
        <v>0</v>
      </c>
      <c r="AH39" s="82"/>
      <c r="AI39" s="159">
        <v>0</v>
      </c>
      <c r="AL39" s="82">
        <f t="shared" si="24"/>
        <v>118.758</v>
      </c>
      <c r="AM39" s="82">
        <f t="shared" si="24"/>
        <v>0</v>
      </c>
      <c r="AN39" s="159">
        <v>123</v>
      </c>
      <c r="AT39" s="166">
        <f t="shared" si="26"/>
        <v>7202.0879999999997</v>
      </c>
      <c r="AU39" s="166"/>
      <c r="AV39" s="166"/>
      <c r="AW39" s="167"/>
      <c r="AX39" s="133">
        <v>2061.15</v>
      </c>
      <c r="AY39" s="134">
        <f t="shared" si="28"/>
        <v>8863</v>
      </c>
      <c r="AZ39" s="134">
        <f t="shared" ref="AZ39:AZ63" si="31">J39</f>
        <v>113942</v>
      </c>
      <c r="BA39" s="133">
        <f t="shared" si="3"/>
        <v>40495.046999999999</v>
      </c>
      <c r="BB39" s="133">
        <f t="shared" si="5"/>
        <v>455.76800000000003</v>
      </c>
      <c r="BC39" s="159">
        <v>913</v>
      </c>
      <c r="BF39" s="137">
        <f>AX39+BA39+BB39</f>
        <v>43011.964999999997</v>
      </c>
      <c r="BH39" s="168" t="s">
        <v>157</v>
      </c>
      <c r="BI39" s="173">
        <f t="shared" ref="BI39:BI45" si="32">O39</f>
        <v>113245</v>
      </c>
      <c r="BJ39" s="126">
        <v>0.04</v>
      </c>
      <c r="BK39" s="127">
        <f t="shared" si="7"/>
        <v>4529.8</v>
      </c>
      <c r="BL39" s="91">
        <v>3183.07</v>
      </c>
      <c r="BM39" s="172">
        <f t="shared" si="30"/>
        <v>54955.739999999991</v>
      </c>
      <c r="BO39" s="128">
        <f t="shared" si="1"/>
        <v>1006658</v>
      </c>
      <c r="BP39" s="132">
        <f t="shared" si="22"/>
        <v>31440.609900163152</v>
      </c>
      <c r="BQ39" s="129">
        <f t="shared" si="8"/>
        <v>18773.443099836848</v>
      </c>
      <c r="BR39" s="97">
        <f t="shared" si="20"/>
        <v>50214.053</v>
      </c>
      <c r="BS39" s="130" t="str">
        <f t="shared" si="9"/>
        <v>E194CC-2212-1</v>
      </c>
      <c r="BT39" s="131">
        <f t="shared" si="10"/>
        <v>4754.9627008063999</v>
      </c>
      <c r="BU39" s="131">
        <f t="shared" si="11"/>
        <v>2957.9072991936009</v>
      </c>
      <c r="BV39" s="97">
        <f t="shared" si="12"/>
        <v>7712.8700000000008</v>
      </c>
    </row>
    <row r="40" spans="1:74" hidden="1" outlineLevel="1" x14ac:dyDescent="0.25">
      <c r="A40" s="50">
        <f t="shared" si="29"/>
        <v>44927</v>
      </c>
      <c r="B40" s="49">
        <f>B39</f>
        <v>39.119999999999997</v>
      </c>
      <c r="C40" s="18">
        <v>100000</v>
      </c>
      <c r="D40" s="19">
        <v>6.0000000000000001E-3</v>
      </c>
      <c r="E40" s="20">
        <v>6.0000000000000001E-3</v>
      </c>
      <c r="F40" s="20"/>
      <c r="G40" s="21">
        <v>4.734</v>
      </c>
      <c r="H40" s="21">
        <v>4.0000000000000001E-3</v>
      </c>
      <c r="I40" s="22">
        <v>8.3499999999999998E-3</v>
      </c>
      <c r="J40" s="24">
        <v>115349</v>
      </c>
      <c r="K40" s="24">
        <f>J40-L40-M40-N40</f>
        <v>42450</v>
      </c>
      <c r="L40" s="24">
        <v>17416</v>
      </c>
      <c r="M40" s="24">
        <v>53328</v>
      </c>
      <c r="N40" s="29">
        <v>2155</v>
      </c>
      <c r="O40" s="27">
        <v>114764</v>
      </c>
      <c r="P40" s="27">
        <f t="shared" si="14"/>
        <v>41044.466064320011</v>
      </c>
      <c r="Q40" s="27">
        <v>17432.97354096</v>
      </c>
      <c r="R40" s="27">
        <v>53995.155451199993</v>
      </c>
      <c r="S40" s="30">
        <v>2291.4049435200004</v>
      </c>
      <c r="T40" s="27">
        <v>8863</v>
      </c>
      <c r="U40" s="27">
        <f t="shared" si="15"/>
        <v>5114.3651200000004</v>
      </c>
      <c r="V40" s="27">
        <f t="shared" si="16"/>
        <v>891.93599999999992</v>
      </c>
      <c r="W40" s="27">
        <f t="shared" si="17"/>
        <v>2504.7362399999997</v>
      </c>
      <c r="X40" s="27">
        <f t="shared" si="25"/>
        <v>351.96263999999996</v>
      </c>
      <c r="Z40" s="163">
        <v>1015034</v>
      </c>
      <c r="AA40" s="165">
        <f t="shared" si="27"/>
        <v>100000</v>
      </c>
      <c r="AD40" s="81">
        <v>17824</v>
      </c>
      <c r="AF40" s="82">
        <v>7083.33</v>
      </c>
      <c r="AG40" s="82">
        <f t="shared" si="0"/>
        <v>0</v>
      </c>
      <c r="AL40" s="82">
        <f t="shared" si="24"/>
        <v>106.944</v>
      </c>
      <c r="AM40" s="82">
        <f t="shared" si="24"/>
        <v>0</v>
      </c>
      <c r="AN40" s="159">
        <v>104</v>
      </c>
      <c r="AT40" s="166">
        <f t="shared" si="26"/>
        <v>7190.2740000000003</v>
      </c>
      <c r="AU40" s="166"/>
      <c r="AV40" s="166"/>
      <c r="AW40" s="167"/>
      <c r="AX40" s="133">
        <v>2135.35</v>
      </c>
      <c r="AY40" s="134">
        <f t="shared" si="28"/>
        <v>8863</v>
      </c>
      <c r="AZ40" s="134">
        <f t="shared" si="31"/>
        <v>115349</v>
      </c>
      <c r="BA40" s="133">
        <f t="shared" si="3"/>
        <v>41957.442000000003</v>
      </c>
      <c r="BB40" s="133">
        <f t="shared" si="5"/>
        <v>461.39600000000002</v>
      </c>
      <c r="BC40" s="159">
        <v>972</v>
      </c>
      <c r="BD40" s="174">
        <v>13409.78</v>
      </c>
      <c r="BE40" s="174"/>
      <c r="BF40" s="137">
        <f t="shared" ref="BF40:BF54" si="33">AX40+BA40+BB40+BD40</f>
        <v>57963.968000000001</v>
      </c>
      <c r="BH40" s="168" t="s">
        <v>158</v>
      </c>
      <c r="BI40" s="173">
        <f t="shared" si="32"/>
        <v>114764</v>
      </c>
      <c r="BJ40" s="126">
        <v>0.04</v>
      </c>
      <c r="BK40" s="127">
        <f t="shared" si="7"/>
        <v>4590.5600000000004</v>
      </c>
      <c r="BL40" s="91">
        <v>3183.07</v>
      </c>
      <c r="BM40" s="172">
        <f t="shared" si="30"/>
        <v>47182.109999999993</v>
      </c>
      <c r="BO40" s="128">
        <f t="shared" si="1"/>
        <v>1015034</v>
      </c>
      <c r="BP40" s="132">
        <v>42388.392566040762</v>
      </c>
      <c r="BQ40" s="129">
        <v>22765.84943395924</v>
      </c>
      <c r="BR40" s="97">
        <f t="shared" si="20"/>
        <v>65154.241999999998</v>
      </c>
      <c r="BS40" s="130" t="str">
        <f t="shared" si="9"/>
        <v>E194CC-2301-1</v>
      </c>
      <c r="BT40" s="131">
        <f t="shared" si="10"/>
        <v>4824.8486425728006</v>
      </c>
      <c r="BU40" s="131">
        <f t="shared" si="11"/>
        <v>2948.7813574272</v>
      </c>
      <c r="BV40" s="97">
        <f t="shared" si="12"/>
        <v>7773.630000000001</v>
      </c>
    </row>
    <row r="41" spans="1:74" hidden="1" outlineLevel="1" x14ac:dyDescent="0.25">
      <c r="A41" s="50">
        <f t="shared" si="29"/>
        <v>44958</v>
      </c>
      <c r="B41" s="49">
        <f>B40</f>
        <v>39.119999999999997</v>
      </c>
      <c r="C41" s="18">
        <v>100000</v>
      </c>
      <c r="D41" s="19">
        <v>6.0000000000000001E-3</v>
      </c>
      <c r="E41" s="20">
        <v>6.0000000000000001E-3</v>
      </c>
      <c r="F41" s="20"/>
      <c r="G41" s="21">
        <v>4.734</v>
      </c>
      <c r="H41" s="21">
        <v>4.0000000000000001E-3</v>
      </c>
      <c r="I41" s="22">
        <v>8.3499999999999998E-3</v>
      </c>
      <c r="J41" s="24">
        <v>107798</v>
      </c>
      <c r="K41" s="24">
        <f>J41-L41-M41-N41</f>
        <v>39766</v>
      </c>
      <c r="L41" s="24">
        <v>15762</v>
      </c>
      <c r="M41" s="24">
        <v>49608</v>
      </c>
      <c r="N41" s="29">
        <v>2662</v>
      </c>
      <c r="O41" s="27">
        <v>108415</v>
      </c>
      <c r="P41" s="27">
        <f t="shared" si="14"/>
        <v>40414.610004639981</v>
      </c>
      <c r="Q41" s="27">
        <v>15754.373382720003</v>
      </c>
      <c r="R41" s="27">
        <v>49589.794431840011</v>
      </c>
      <c r="S41" s="30">
        <v>2656.2221808000004</v>
      </c>
      <c r="T41" s="27">
        <v>8863</v>
      </c>
      <c r="U41" s="27">
        <f t="shared" si="15"/>
        <v>5114.3651200000004</v>
      </c>
      <c r="V41" s="27">
        <f t="shared" si="16"/>
        <v>891.93599999999992</v>
      </c>
      <c r="W41" s="27">
        <f t="shared" si="17"/>
        <v>2504.7362399999997</v>
      </c>
      <c r="X41" s="27">
        <f t="shared" si="25"/>
        <v>351.96263999999996</v>
      </c>
      <c r="Z41" s="163">
        <v>1020933</v>
      </c>
      <c r="AA41" s="165">
        <f t="shared" si="27"/>
        <v>100000</v>
      </c>
      <c r="AD41" s="81">
        <v>23358</v>
      </c>
      <c r="AF41" s="82">
        <v>7083.33</v>
      </c>
      <c r="AG41" s="82">
        <f t="shared" si="0"/>
        <v>0</v>
      </c>
      <c r="AL41" s="82">
        <f t="shared" si="24"/>
        <v>140.148</v>
      </c>
      <c r="AM41" s="82">
        <f t="shared" si="24"/>
        <v>0</v>
      </c>
      <c r="AN41" s="159">
        <v>139</v>
      </c>
      <c r="AT41" s="166">
        <f t="shared" si="26"/>
        <v>7223.4780000000001</v>
      </c>
      <c r="AU41" s="166"/>
      <c r="AV41" s="166"/>
      <c r="AW41" s="167"/>
      <c r="AX41" s="133">
        <v>2135.35</v>
      </c>
      <c r="AY41" s="134">
        <f t="shared" si="28"/>
        <v>8863</v>
      </c>
      <c r="AZ41" s="134">
        <f t="shared" si="31"/>
        <v>107798</v>
      </c>
      <c r="BA41" s="133">
        <f t="shared" ref="BA41:BA64" si="34">AY41*G41</f>
        <v>41957.442000000003</v>
      </c>
      <c r="BB41" s="133">
        <f t="shared" si="5"/>
        <v>431.19200000000001</v>
      </c>
      <c r="BC41" s="159">
        <v>894</v>
      </c>
      <c r="BF41" s="137">
        <f t="shared" si="33"/>
        <v>44523.984000000004</v>
      </c>
      <c r="BH41" s="168" t="s">
        <v>159</v>
      </c>
      <c r="BI41" s="173">
        <f t="shared" si="32"/>
        <v>108415</v>
      </c>
      <c r="BJ41" s="126">
        <v>0.04</v>
      </c>
      <c r="BK41" s="127">
        <f t="shared" si="7"/>
        <v>4336.6000000000004</v>
      </c>
      <c r="BL41" s="91">
        <v>3183.07</v>
      </c>
      <c r="BM41" s="172">
        <f t="shared" si="30"/>
        <v>39662.439999999995</v>
      </c>
      <c r="BO41" s="128">
        <f t="shared" si="1"/>
        <v>1020933</v>
      </c>
      <c r="BP41" s="132">
        <f t="shared" ref="BP41:BP64" si="35">AT41
+(K41/AZ41*AX41)
+((T41-V41-W41-X41)/T41*BA41)
+(K41/AZ41*BB41)</f>
        <v>32381.663579510456</v>
      </c>
      <c r="BQ41" s="129">
        <f t="shared" ref="BQ41:BQ64" si="36">((L41+M41+N41)/AZ41*AX41)
+((V41+W41+X41)/T41*BA41)
+((L41+M41+N41)/AZ41*BB41)</f>
        <v>19365.798420489547</v>
      </c>
      <c r="BR41" s="97">
        <f t="shared" si="20"/>
        <v>51747.462</v>
      </c>
      <c r="BS41" s="130" t="str">
        <f t="shared" si="9"/>
        <v>E194CC-2302-1</v>
      </c>
      <c r="BT41" s="131">
        <f t="shared" si="10"/>
        <v>4799.6544001855991</v>
      </c>
      <c r="BU41" s="131">
        <f t="shared" si="11"/>
        <v>2720.015599814401</v>
      </c>
      <c r="BV41" s="97">
        <f t="shared" si="12"/>
        <v>7519.67</v>
      </c>
    </row>
    <row r="42" spans="1:74" hidden="1" outlineLevel="1" x14ac:dyDescent="0.25">
      <c r="A42" s="50">
        <f t="shared" si="29"/>
        <v>44986</v>
      </c>
      <c r="B42" s="49">
        <f>B41</f>
        <v>39.119999999999997</v>
      </c>
      <c r="C42" s="18">
        <v>100000</v>
      </c>
      <c r="D42" s="19">
        <v>6.0000000000000001E-3</v>
      </c>
      <c r="E42" s="20">
        <v>6.0000000000000001E-3</v>
      </c>
      <c r="F42" s="20"/>
      <c r="G42" s="21">
        <v>4.734</v>
      </c>
      <c r="H42" s="21">
        <v>4.0000000000000001E-3</v>
      </c>
      <c r="I42" s="22">
        <v>8.3499999999999998E-3</v>
      </c>
      <c r="J42" s="24">
        <v>114465</v>
      </c>
      <c r="K42" s="24">
        <f>J42-L42-M42-N42</f>
        <v>39211</v>
      </c>
      <c r="L42" s="24">
        <v>16639</v>
      </c>
      <c r="M42" s="24">
        <v>56166</v>
      </c>
      <c r="N42" s="29">
        <v>2449</v>
      </c>
      <c r="O42" s="27">
        <v>114045</v>
      </c>
      <c r="P42" s="27">
        <f t="shared" si="14"/>
        <v>39200.15367983999</v>
      </c>
      <c r="Q42" s="27">
        <v>16406.856175680005</v>
      </c>
      <c r="R42" s="27">
        <v>55992.281837760005</v>
      </c>
      <c r="S42" s="30">
        <v>2445.708306720001</v>
      </c>
      <c r="T42" s="27">
        <v>8863</v>
      </c>
      <c r="U42" s="27">
        <f t="shared" si="15"/>
        <v>5114.3651200000004</v>
      </c>
      <c r="V42" s="27">
        <f t="shared" si="16"/>
        <v>891.93599999999992</v>
      </c>
      <c r="W42" s="27">
        <f t="shared" si="17"/>
        <v>2504.7362399999997</v>
      </c>
      <c r="X42" s="27">
        <f t="shared" si="25"/>
        <v>351.96263999999996</v>
      </c>
      <c r="Z42" s="163">
        <v>1027086</v>
      </c>
      <c r="AA42" s="165">
        <f t="shared" si="27"/>
        <v>100000</v>
      </c>
      <c r="AD42" s="81">
        <v>18425</v>
      </c>
      <c r="AF42" s="82">
        <v>7083.33</v>
      </c>
      <c r="AG42" s="82">
        <f t="shared" si="0"/>
        <v>0</v>
      </c>
      <c r="AL42" s="82">
        <f t="shared" si="24"/>
        <v>110.55</v>
      </c>
      <c r="AM42" s="82">
        <f t="shared" si="24"/>
        <v>0</v>
      </c>
      <c r="AN42" s="159">
        <v>108</v>
      </c>
      <c r="AT42" s="166">
        <f t="shared" si="26"/>
        <v>7193.88</v>
      </c>
      <c r="AU42" s="166"/>
      <c r="AV42" s="166"/>
      <c r="AW42" s="167"/>
      <c r="AX42" s="133">
        <v>2135.35</v>
      </c>
      <c r="AY42" s="134">
        <f t="shared" si="28"/>
        <v>8863</v>
      </c>
      <c r="AZ42" s="134">
        <f t="shared" si="31"/>
        <v>114465</v>
      </c>
      <c r="BA42" s="133">
        <f t="shared" si="34"/>
        <v>41957.442000000003</v>
      </c>
      <c r="BB42" s="133">
        <f t="shared" si="5"/>
        <v>457.86</v>
      </c>
      <c r="BC42" s="159">
        <v>969</v>
      </c>
      <c r="BF42" s="137">
        <f t="shared" si="33"/>
        <v>44550.652000000002</v>
      </c>
      <c r="BH42" s="168" t="s">
        <v>160</v>
      </c>
      <c r="BI42" s="173">
        <f t="shared" si="32"/>
        <v>114045</v>
      </c>
      <c r="BJ42" s="126">
        <v>0.04</v>
      </c>
      <c r="BK42" s="127">
        <f t="shared" si="7"/>
        <v>4561.8</v>
      </c>
      <c r="BL42" s="91">
        <v>3183.07</v>
      </c>
      <c r="BM42" s="172">
        <f t="shared" si="30"/>
        <v>31917.569999999996</v>
      </c>
      <c r="BO42" s="128">
        <f t="shared" si="1"/>
        <v>1027086</v>
      </c>
      <c r="BP42" s="132">
        <f t="shared" si="35"/>
        <v>32293.611541461822</v>
      </c>
      <c r="BQ42" s="129">
        <f t="shared" si="36"/>
        <v>19450.920458538178</v>
      </c>
      <c r="BR42" s="97">
        <f t="shared" si="20"/>
        <v>51744.531999999999</v>
      </c>
      <c r="BS42" s="130" t="str">
        <f t="shared" si="9"/>
        <v>E194CC-2303-1</v>
      </c>
      <c r="BT42" s="131">
        <f t="shared" si="10"/>
        <v>4751.0761471936003</v>
      </c>
      <c r="BU42" s="131">
        <f t="shared" si="11"/>
        <v>2993.7938528064005</v>
      </c>
      <c r="BV42" s="97">
        <f t="shared" si="12"/>
        <v>7744.8700000000008</v>
      </c>
    </row>
    <row r="43" spans="1:74" hidden="1" outlineLevel="1" x14ac:dyDescent="0.25">
      <c r="A43" s="50">
        <f t="shared" si="29"/>
        <v>45017</v>
      </c>
      <c r="B43" s="49">
        <v>39.17</v>
      </c>
      <c r="C43" s="18">
        <v>100000</v>
      </c>
      <c r="D43" s="19">
        <v>6.0000000000000001E-3</v>
      </c>
      <c r="E43" s="20">
        <v>6.0000000000000001E-3</v>
      </c>
      <c r="F43" s="20"/>
      <c r="G43" s="21">
        <v>4.734</v>
      </c>
      <c r="H43" s="21">
        <v>4.0000000000000001E-3</v>
      </c>
      <c r="I43" s="22">
        <v>3.49E-3</v>
      </c>
      <c r="J43" s="24">
        <v>89364</v>
      </c>
      <c r="K43" s="24">
        <f>J43-L43-M43-N43</f>
        <v>20038</v>
      </c>
      <c r="L43" s="24">
        <v>14288</v>
      </c>
      <c r="M43" s="24">
        <v>53643</v>
      </c>
      <c r="N43" s="29">
        <v>1395</v>
      </c>
      <c r="O43" s="27">
        <v>90044</v>
      </c>
      <c r="P43" s="27">
        <f t="shared" si="14"/>
        <v>20857.536163060005</v>
      </c>
      <c r="Q43" s="27">
        <v>14440.286464300003</v>
      </c>
      <c r="R43" s="27">
        <v>53438.440310339989</v>
      </c>
      <c r="S43" s="30">
        <v>1307.7370623000002</v>
      </c>
      <c r="T43" s="27">
        <v>8863</v>
      </c>
      <c r="U43" s="27">
        <f t="shared" si="15"/>
        <v>5109.5739199999998</v>
      </c>
      <c r="V43" s="27">
        <f t="shared" si="16"/>
        <v>893.07600000000002</v>
      </c>
      <c r="W43" s="27">
        <f t="shared" si="17"/>
        <v>2507.9375900000005</v>
      </c>
      <c r="X43" s="27">
        <f t="shared" si="25"/>
        <v>352.41248999999999</v>
      </c>
      <c r="Z43" s="163">
        <v>1033347</v>
      </c>
      <c r="AA43" s="165">
        <f t="shared" si="27"/>
        <v>100000</v>
      </c>
      <c r="AB43" s="81">
        <v>10013</v>
      </c>
      <c r="AF43" s="82">
        <v>7083.33</v>
      </c>
      <c r="AG43" s="82">
        <f t="shared" si="0"/>
        <v>60.078000000000003</v>
      </c>
      <c r="AI43" s="159">
        <v>63</v>
      </c>
      <c r="AL43" s="82">
        <f t="shared" si="24"/>
        <v>0</v>
      </c>
      <c r="AM43" s="82">
        <f t="shared" si="24"/>
        <v>0</v>
      </c>
      <c r="AT43" s="166">
        <f t="shared" si="26"/>
        <v>7143.4080000000004</v>
      </c>
      <c r="AU43" s="166"/>
      <c r="AV43" s="166"/>
      <c r="AW43" s="167"/>
      <c r="AX43" s="133">
        <v>2135.35</v>
      </c>
      <c r="AY43" s="134">
        <f t="shared" si="28"/>
        <v>8863</v>
      </c>
      <c r="AZ43" s="134">
        <f t="shared" si="31"/>
        <v>89364</v>
      </c>
      <c r="BA43" s="133">
        <f t="shared" si="34"/>
        <v>41957.442000000003</v>
      </c>
      <c r="BB43" s="133">
        <f t="shared" ref="BB43:BB64" si="37">AZ43*H43</f>
        <v>357.45600000000002</v>
      </c>
      <c r="BC43" s="159">
        <v>311</v>
      </c>
      <c r="BF43" s="137">
        <f t="shared" si="33"/>
        <v>44450.248</v>
      </c>
      <c r="BH43" s="168" t="s">
        <v>161</v>
      </c>
      <c r="BI43" s="173">
        <f t="shared" si="32"/>
        <v>90044</v>
      </c>
      <c r="BJ43" s="126">
        <v>0.04</v>
      </c>
      <c r="BK43" s="127">
        <f t="shared" si="7"/>
        <v>3601.76</v>
      </c>
      <c r="BL43" s="91">
        <v>3183.07</v>
      </c>
      <c r="BM43" s="172">
        <f t="shared" si="30"/>
        <v>25132.739999999998</v>
      </c>
      <c r="BO43" s="128">
        <f t="shared" si="1"/>
        <v>1033347</v>
      </c>
      <c r="BP43" s="132">
        <f t="shared" si="35"/>
        <v>31891.090323923388</v>
      </c>
      <c r="BQ43" s="129">
        <f t="shared" si="36"/>
        <v>19702.565676076611</v>
      </c>
      <c r="BR43" s="97">
        <f t="shared" si="20"/>
        <v>51593.656000000003</v>
      </c>
      <c r="BS43" s="130" t="str">
        <f t="shared" si="9"/>
        <v>E194CC-2304-1</v>
      </c>
      <c r="BT43" s="131">
        <f>P43*BJ43+BL43</f>
        <v>4017.3714465224002</v>
      </c>
      <c r="BU43" s="131">
        <f t="shared" si="11"/>
        <v>2767.4585534775997</v>
      </c>
      <c r="BV43" s="97">
        <f t="shared" si="12"/>
        <v>6784.83</v>
      </c>
    </row>
    <row r="44" spans="1:74" hidden="1" outlineLevel="1" x14ac:dyDescent="0.25">
      <c r="A44" s="50">
        <f t="shared" si="29"/>
        <v>45047</v>
      </c>
      <c r="B44" s="49">
        <v>39.17</v>
      </c>
      <c r="C44" s="18">
        <v>100000</v>
      </c>
      <c r="D44" s="19">
        <v>6.0000000000000001E-3</v>
      </c>
      <c r="E44" s="20">
        <v>6.0000000000000001E-3</v>
      </c>
      <c r="F44" s="20"/>
      <c r="G44" s="21">
        <v>4.734</v>
      </c>
      <c r="H44" s="21">
        <v>4.0000000000000001E-3</v>
      </c>
      <c r="I44" s="22">
        <v>3.49E-3</v>
      </c>
      <c r="J44" s="24">
        <f>SUM(K44:N44)</f>
        <v>73291</v>
      </c>
      <c r="K44" s="24">
        <v>12850</v>
      </c>
      <c r="L44" s="24">
        <v>12807</v>
      </c>
      <c r="M44" s="24">
        <v>46839</v>
      </c>
      <c r="N44" s="29">
        <v>795</v>
      </c>
      <c r="O44" s="27">
        <v>71772</v>
      </c>
      <c r="P44" s="27">
        <f t="shared" si="14"/>
        <v>13065.089870739985</v>
      </c>
      <c r="Q44" s="27">
        <v>12747.401524580002</v>
      </c>
      <c r="R44" s="27">
        <v>45247.702355580011</v>
      </c>
      <c r="S44" s="30">
        <v>711.80624909999995</v>
      </c>
      <c r="T44" s="27">
        <v>8863</v>
      </c>
      <c r="U44" s="27">
        <f t="shared" si="15"/>
        <v>5109.5739199999998</v>
      </c>
      <c r="V44" s="27">
        <f t="shared" si="16"/>
        <v>893.07600000000002</v>
      </c>
      <c r="W44" s="27">
        <f t="shared" si="17"/>
        <v>2507.9375900000005</v>
      </c>
      <c r="X44" s="27">
        <f t="shared" si="25"/>
        <v>352.41248999999999</v>
      </c>
      <c r="Z44" s="163">
        <v>1041148</v>
      </c>
      <c r="AA44" s="165">
        <f t="shared" si="27"/>
        <v>100000</v>
      </c>
      <c r="AB44" s="81">
        <v>18125</v>
      </c>
      <c r="AF44" s="82">
        <v>7083.33</v>
      </c>
      <c r="AG44" s="82">
        <f t="shared" si="0"/>
        <v>108.75</v>
      </c>
      <c r="AI44" s="159">
        <v>99</v>
      </c>
      <c r="AL44" s="82">
        <f t="shared" si="24"/>
        <v>0</v>
      </c>
      <c r="AM44" s="82">
        <f t="shared" si="24"/>
        <v>0</v>
      </c>
      <c r="AT44" s="166">
        <f t="shared" si="26"/>
        <v>7192.08</v>
      </c>
      <c r="AU44" s="166"/>
      <c r="AV44" s="166"/>
      <c r="AW44" s="167"/>
      <c r="AX44" s="133">
        <v>2135.35</v>
      </c>
      <c r="AY44" s="134">
        <f t="shared" si="28"/>
        <v>8863</v>
      </c>
      <c r="AZ44" s="134">
        <f t="shared" si="31"/>
        <v>73291</v>
      </c>
      <c r="BA44" s="133">
        <f t="shared" si="34"/>
        <v>41957.442000000003</v>
      </c>
      <c r="BB44" s="133">
        <f t="shared" si="37"/>
        <v>293.16399999999999</v>
      </c>
      <c r="BC44" s="159">
        <v>312</v>
      </c>
      <c r="BF44" s="137">
        <f t="shared" si="33"/>
        <v>44385.955999999998</v>
      </c>
      <c r="BH44" s="168" t="s">
        <v>162</v>
      </c>
      <c r="BI44" s="173">
        <f t="shared" si="32"/>
        <v>71772</v>
      </c>
      <c r="BJ44" s="126">
        <v>0.04</v>
      </c>
      <c r="BK44" s="127">
        <f t="shared" si="7"/>
        <v>2870.88</v>
      </c>
      <c r="BL44" s="91">
        <v>3183.07</v>
      </c>
      <c r="BM44" s="172">
        <f>BM43-BL44-BK44</f>
        <v>19078.789999999997</v>
      </c>
      <c r="BO44" s="128">
        <f t="shared" si="1"/>
        <v>1041148</v>
      </c>
      <c r="BP44" s="132">
        <f t="shared" si="35"/>
        <v>31806.590617895628</v>
      </c>
      <c r="BQ44" s="129">
        <f t="shared" si="36"/>
        <v>19771.445382104375</v>
      </c>
      <c r="BR44" s="97">
        <f t="shared" si="20"/>
        <v>51578.036000000007</v>
      </c>
      <c r="BS44" s="175" t="str">
        <f t="shared" si="9"/>
        <v>E194CC-2305-1</v>
      </c>
      <c r="BT44" s="131">
        <f t="shared" ref="BT44:BT50" si="38">P44*BJ44+BL44</f>
        <v>3705.6735948295996</v>
      </c>
      <c r="BU44" s="131">
        <f t="shared" si="11"/>
        <v>2348.2764051704007</v>
      </c>
      <c r="BV44" s="97">
        <f t="shared" si="12"/>
        <v>6053.9500000000007</v>
      </c>
    </row>
    <row r="45" spans="1:74" hidden="1" outlineLevel="1" x14ac:dyDescent="0.25">
      <c r="A45" s="50">
        <f t="shared" si="29"/>
        <v>45078</v>
      </c>
      <c r="B45" s="49">
        <v>39.17</v>
      </c>
      <c r="C45" s="18">
        <v>100000</v>
      </c>
      <c r="D45" s="19">
        <v>6.0000000000000001E-3</v>
      </c>
      <c r="E45" s="20">
        <v>6.0000000000000001E-3</v>
      </c>
      <c r="F45" s="20"/>
      <c r="G45" s="21">
        <v>4.734</v>
      </c>
      <c r="H45" s="21">
        <v>4.0000000000000001E-3</v>
      </c>
      <c r="I45" s="22">
        <v>3.49E-3</v>
      </c>
      <c r="J45" s="24">
        <f>SUM(K45:N45)</f>
        <v>52862</v>
      </c>
      <c r="K45" s="24">
        <v>4400</v>
      </c>
      <c r="L45" s="24">
        <v>13338</v>
      </c>
      <c r="M45" s="24">
        <v>34944</v>
      </c>
      <c r="N45" s="29">
        <v>180</v>
      </c>
      <c r="O45" s="27">
        <v>54310</v>
      </c>
      <c r="P45" s="27">
        <f t="shared" si="14"/>
        <v>4547.5699466399883</v>
      </c>
      <c r="Q45" s="27">
        <v>13111.581465980005</v>
      </c>
      <c r="R45" s="27">
        <v>36369.436814480003</v>
      </c>
      <c r="S45" s="30">
        <v>281.41177290000002</v>
      </c>
      <c r="T45" s="27">
        <v>8863</v>
      </c>
      <c r="U45" s="27">
        <f t="shared" si="15"/>
        <v>5109.5739199999998</v>
      </c>
      <c r="V45" s="27">
        <f t="shared" si="16"/>
        <v>893.07600000000002</v>
      </c>
      <c r="W45" s="27">
        <f t="shared" si="17"/>
        <v>2507.9375900000005</v>
      </c>
      <c r="X45" s="27">
        <f t="shared" si="25"/>
        <v>352.41248999999999</v>
      </c>
      <c r="Z45" s="163">
        <v>1047495</v>
      </c>
      <c r="AA45" s="165">
        <f t="shared" si="27"/>
        <v>100000</v>
      </c>
      <c r="AB45" s="81">
        <v>18094</v>
      </c>
      <c r="AF45" s="82">
        <v>7083.33</v>
      </c>
      <c r="AG45" s="82">
        <f t="shared" si="0"/>
        <v>108.56400000000001</v>
      </c>
      <c r="AI45" s="159">
        <v>110</v>
      </c>
      <c r="AL45" s="82">
        <f t="shared" si="24"/>
        <v>0</v>
      </c>
      <c r="AM45" s="82">
        <f t="shared" si="24"/>
        <v>0</v>
      </c>
      <c r="AT45" s="166">
        <f t="shared" si="26"/>
        <v>7191.8940000000002</v>
      </c>
      <c r="AU45" s="166"/>
      <c r="AV45" s="166"/>
      <c r="AW45" s="167"/>
      <c r="AX45" s="133">
        <v>2135.35</v>
      </c>
      <c r="AY45" s="134">
        <f t="shared" si="28"/>
        <v>8863</v>
      </c>
      <c r="AZ45" s="134">
        <f t="shared" si="31"/>
        <v>52862</v>
      </c>
      <c r="BA45" s="133">
        <f t="shared" si="34"/>
        <v>41957.442000000003</v>
      </c>
      <c r="BB45" s="133">
        <f t="shared" si="37"/>
        <v>211.44800000000001</v>
      </c>
      <c r="BC45" s="159">
        <v>182</v>
      </c>
      <c r="BF45" s="137">
        <f t="shared" si="33"/>
        <v>44304.24</v>
      </c>
      <c r="BH45" s="168" t="s">
        <v>163</v>
      </c>
      <c r="BI45" s="173">
        <f t="shared" si="32"/>
        <v>54310</v>
      </c>
      <c r="BJ45" s="126">
        <v>0.04</v>
      </c>
      <c r="BK45" s="127">
        <f t="shared" si="7"/>
        <v>2172.4</v>
      </c>
      <c r="BL45" s="91">
        <v>3183.07</v>
      </c>
      <c r="BM45" s="172">
        <f>BM44-BL45-BK45</f>
        <v>13723.319999999998</v>
      </c>
      <c r="BO45" s="128">
        <f t="shared" si="1"/>
        <v>1047495</v>
      </c>
      <c r="BP45" s="132">
        <f t="shared" si="35"/>
        <v>31575.954064138612</v>
      </c>
      <c r="BQ45" s="129">
        <f t="shared" si="36"/>
        <v>19920.179935861393</v>
      </c>
      <c r="BR45" s="97">
        <f t="shared" si="20"/>
        <v>51496.134000000005</v>
      </c>
      <c r="BS45" s="175" t="str">
        <f t="shared" si="9"/>
        <v>E194CC-2306-1</v>
      </c>
      <c r="BT45" s="131">
        <f t="shared" si="38"/>
        <v>3364.9727978655997</v>
      </c>
      <c r="BU45" s="131">
        <f t="shared" si="11"/>
        <v>1990.4972021344001</v>
      </c>
      <c r="BV45" s="97">
        <f t="shared" si="12"/>
        <v>5355.4699999999993</v>
      </c>
    </row>
    <row r="46" spans="1:74" hidden="1" outlineLevel="1" x14ac:dyDescent="0.25">
      <c r="A46" s="50">
        <f t="shared" si="29"/>
        <v>45108</v>
      </c>
      <c r="B46" s="49">
        <v>39.17</v>
      </c>
      <c r="C46" s="18">
        <v>100000</v>
      </c>
      <c r="D46" s="19">
        <v>6.0000000000000001E-3</v>
      </c>
      <c r="E46" s="20">
        <v>6.0000000000000001E-3</v>
      </c>
      <c r="F46" s="20"/>
      <c r="G46" s="21">
        <v>4.734</v>
      </c>
      <c r="H46" s="21">
        <v>4.0000000000000001E-3</v>
      </c>
      <c r="I46" s="22">
        <v>3.49E-3</v>
      </c>
      <c r="J46" s="24">
        <f>SUM(K46:N46)</f>
        <v>58156</v>
      </c>
      <c r="K46" s="24">
        <v>3250</v>
      </c>
      <c r="L46" s="24">
        <v>14346</v>
      </c>
      <c r="M46" s="24">
        <v>39935</v>
      </c>
      <c r="N46" s="24">
        <v>625</v>
      </c>
      <c r="O46" s="51">
        <v>59479</v>
      </c>
      <c r="P46" s="27">
        <f t="shared" si="14"/>
        <v>4311.2567557999892</v>
      </c>
      <c r="Q46" s="27">
        <v>14598.097772240004</v>
      </c>
      <c r="R46" s="27">
        <v>40003.511199420005</v>
      </c>
      <c r="S46" s="30">
        <v>566.1342725400001</v>
      </c>
      <c r="T46" s="27">
        <v>8863</v>
      </c>
      <c r="U46" s="27">
        <f t="shared" si="15"/>
        <v>5109.5739199999998</v>
      </c>
      <c r="V46" s="27">
        <f t="shared" si="16"/>
        <v>893.07600000000002</v>
      </c>
      <c r="W46" s="27">
        <f t="shared" si="17"/>
        <v>2507.9375900000005</v>
      </c>
      <c r="X46" s="27">
        <f t="shared" si="25"/>
        <v>352.41248999999999</v>
      </c>
      <c r="Z46" s="163">
        <v>1053241</v>
      </c>
      <c r="AA46" s="165">
        <f t="shared" si="27"/>
        <v>100000</v>
      </c>
      <c r="AB46" s="81">
        <v>12459</v>
      </c>
      <c r="AF46" s="82">
        <v>7083.33</v>
      </c>
      <c r="AG46" s="82">
        <f t="shared" si="0"/>
        <v>74.754000000000005</v>
      </c>
      <c r="AI46" s="159">
        <v>62</v>
      </c>
      <c r="AL46" s="82">
        <f t="shared" si="24"/>
        <v>0</v>
      </c>
      <c r="AM46" s="82">
        <f t="shared" si="24"/>
        <v>0</v>
      </c>
      <c r="AT46" s="166">
        <f t="shared" si="26"/>
        <v>7158.0839999999998</v>
      </c>
      <c r="AU46" s="166"/>
      <c r="AV46" s="166"/>
      <c r="AW46" s="167"/>
      <c r="AX46" s="133">
        <v>2135.35</v>
      </c>
      <c r="AY46" s="134">
        <f t="shared" si="28"/>
        <v>8863</v>
      </c>
      <c r="AZ46" s="134">
        <f t="shared" si="31"/>
        <v>58156</v>
      </c>
      <c r="BA46" s="133">
        <f t="shared" si="34"/>
        <v>41957.442000000003</v>
      </c>
      <c r="BB46" s="133">
        <f t="shared" si="37"/>
        <v>232.624</v>
      </c>
      <c r="BC46" s="159">
        <v>196</v>
      </c>
      <c r="BF46" s="137">
        <f t="shared" si="33"/>
        <v>44325.416000000005</v>
      </c>
      <c r="BH46" s="168" t="s">
        <v>164</v>
      </c>
      <c r="BI46" s="173">
        <f>O46</f>
        <v>59479</v>
      </c>
      <c r="BJ46" s="126">
        <v>0.04</v>
      </c>
      <c r="BK46" s="127">
        <f t="shared" si="7"/>
        <v>2379.16</v>
      </c>
      <c r="BL46" s="91">
        <v>3183.07</v>
      </c>
      <c r="BM46" s="172">
        <f>BM45-BL46-BK46</f>
        <v>8161.0899999999983</v>
      </c>
      <c r="BO46" s="128">
        <f t="shared" si="1"/>
        <v>1053241</v>
      </c>
      <c r="BP46" s="132">
        <f t="shared" si="35"/>
        <v>31479.139207381108</v>
      </c>
      <c r="BQ46" s="129">
        <f t="shared" si="36"/>
        <v>20004.360792618896</v>
      </c>
      <c r="BR46" s="97">
        <f t="shared" si="20"/>
        <v>51483.5</v>
      </c>
      <c r="BS46" s="175" t="str">
        <f t="shared" si="9"/>
        <v>E194CC-2307-1</v>
      </c>
      <c r="BT46" s="131">
        <f t="shared" si="38"/>
        <v>3355.5202702319998</v>
      </c>
      <c r="BU46" s="131">
        <f t="shared" si="11"/>
        <v>2206.7097297680007</v>
      </c>
      <c r="BV46" s="97">
        <f t="shared" si="12"/>
        <v>5562.2300000000005</v>
      </c>
    </row>
    <row r="47" spans="1:74" hidden="1" outlineLevel="1" x14ac:dyDescent="0.25">
      <c r="A47" s="50">
        <f t="shared" si="29"/>
        <v>45139</v>
      </c>
      <c r="B47" s="49">
        <v>39.17</v>
      </c>
      <c r="C47" s="18">
        <v>100000</v>
      </c>
      <c r="D47" s="19">
        <v>6.0000000000000001E-3</v>
      </c>
      <c r="E47" s="20">
        <v>6.0000000000000001E-3</v>
      </c>
      <c r="F47" s="20"/>
      <c r="G47" s="21">
        <v>4.734</v>
      </c>
      <c r="H47" s="21">
        <v>4.0000000000000001E-3</v>
      </c>
      <c r="I47" s="22">
        <v>3.49E-3</v>
      </c>
      <c r="J47" s="24">
        <f>SUM(K47:N47)</f>
        <v>66598</v>
      </c>
      <c r="K47" s="24">
        <v>9293</v>
      </c>
      <c r="L47" s="24">
        <v>16489</v>
      </c>
      <c r="M47" s="24">
        <v>40300</v>
      </c>
      <c r="N47" s="29">
        <v>516</v>
      </c>
      <c r="O47" s="27">
        <v>65659</v>
      </c>
      <c r="P47" s="27">
        <f t="shared" si="14"/>
        <v>8253.2054795599834</v>
      </c>
      <c r="Q47" s="27">
        <v>16538.183641880001</v>
      </c>
      <c r="R47" s="27">
        <v>40332.376722260015</v>
      </c>
      <c r="S47" s="30">
        <v>535.2341563</v>
      </c>
      <c r="T47" s="27">
        <v>8863</v>
      </c>
      <c r="U47" s="27">
        <f t="shared" si="15"/>
        <v>5109.5739199999998</v>
      </c>
      <c r="V47" s="27">
        <f t="shared" si="16"/>
        <v>893.07600000000002</v>
      </c>
      <c r="W47" s="27">
        <f t="shared" si="17"/>
        <v>2507.9375900000005</v>
      </c>
      <c r="X47" s="27">
        <f t="shared" si="25"/>
        <v>352.41248999999999</v>
      </c>
      <c r="Z47" s="163">
        <v>1060241</v>
      </c>
      <c r="AA47" s="165">
        <f t="shared" si="27"/>
        <v>100000</v>
      </c>
      <c r="AB47" s="81">
        <v>15500</v>
      </c>
      <c r="AF47" s="82">
        <v>7083.33</v>
      </c>
      <c r="AG47" s="82">
        <f t="shared" si="0"/>
        <v>93</v>
      </c>
      <c r="AI47" s="159">
        <v>93</v>
      </c>
      <c r="AL47" s="82">
        <f t="shared" si="24"/>
        <v>0</v>
      </c>
      <c r="AM47" s="82">
        <f t="shared" si="24"/>
        <v>0</v>
      </c>
      <c r="AT47" s="166">
        <f t="shared" si="26"/>
        <v>7176.33</v>
      </c>
      <c r="AU47" s="166"/>
      <c r="AV47" s="166"/>
      <c r="AW47" s="167"/>
      <c r="AX47" s="133">
        <v>2135.35</v>
      </c>
      <c r="AY47" s="134">
        <f t="shared" si="28"/>
        <v>8863</v>
      </c>
      <c r="AZ47" s="134">
        <f t="shared" si="31"/>
        <v>66598</v>
      </c>
      <c r="BA47" s="133">
        <f t="shared" si="34"/>
        <v>41957.442000000003</v>
      </c>
      <c r="BB47" s="133">
        <f t="shared" si="37"/>
        <v>266.392</v>
      </c>
      <c r="BC47" s="159">
        <v>255</v>
      </c>
      <c r="BF47" s="137">
        <f t="shared" si="33"/>
        <v>44359.184000000001</v>
      </c>
      <c r="BH47" s="168" t="s">
        <v>165</v>
      </c>
      <c r="BI47" s="173">
        <f>O47</f>
        <v>65659</v>
      </c>
      <c r="BJ47" s="126">
        <v>0.04</v>
      </c>
      <c r="BK47" s="127">
        <f t="shared" si="7"/>
        <v>2626.36</v>
      </c>
      <c r="BL47" s="91">
        <v>3399.52</v>
      </c>
      <c r="BM47" s="172">
        <f>BM46-BL47-BK47+60000</f>
        <v>62135.21</v>
      </c>
      <c r="BO47" s="128">
        <f t="shared" si="1"/>
        <v>1060241</v>
      </c>
      <c r="BP47" s="132">
        <f t="shared" si="35"/>
        <v>31700.18895346667</v>
      </c>
      <c r="BQ47" s="129">
        <f t="shared" si="36"/>
        <v>19835.325046533333</v>
      </c>
      <c r="BR47" s="97">
        <f t="shared" si="20"/>
        <v>51535.514000000003</v>
      </c>
      <c r="BS47" s="175" t="str">
        <f t="shared" si="9"/>
        <v>E194CC-2308-1</v>
      </c>
      <c r="BT47" s="131">
        <f t="shared" si="38"/>
        <v>3729.6482191823993</v>
      </c>
      <c r="BU47" s="131">
        <f t="shared" si="11"/>
        <v>2296.2317808176008</v>
      </c>
      <c r="BV47" s="97">
        <f t="shared" si="12"/>
        <v>6025.88</v>
      </c>
    </row>
    <row r="48" spans="1:74" hidden="1" outlineLevel="1" x14ac:dyDescent="0.25">
      <c r="A48" s="50">
        <f t="shared" si="29"/>
        <v>45170</v>
      </c>
      <c r="B48" s="49">
        <v>39.17</v>
      </c>
      <c r="C48" s="18">
        <v>100000</v>
      </c>
      <c r="D48" s="19">
        <v>6.0000000000000001E-3</v>
      </c>
      <c r="E48" s="20">
        <v>6.0000000000000001E-3</v>
      </c>
      <c r="F48" s="20"/>
      <c r="G48" s="21">
        <v>4.734</v>
      </c>
      <c r="H48" s="21">
        <v>4.0000000000000001E-3</v>
      </c>
      <c r="I48" s="22">
        <v>3.49E-3</v>
      </c>
      <c r="J48" s="24">
        <f t="shared" ref="J48:J64" si="39">SUM(K48:N48)</f>
        <v>60149</v>
      </c>
      <c r="K48" s="24">
        <v>6500</v>
      </c>
      <c r="L48" s="24">
        <v>15990</v>
      </c>
      <c r="M48" s="24">
        <v>37254</v>
      </c>
      <c r="N48" s="29">
        <v>405</v>
      </c>
      <c r="O48" s="27">
        <v>58647</v>
      </c>
      <c r="P48" s="27">
        <f t="shared" si="14"/>
        <v>4979.015969019988</v>
      </c>
      <c r="Q48" s="27">
        <v>15823.066666040007</v>
      </c>
      <c r="R48" s="27">
        <v>37445.423004980003</v>
      </c>
      <c r="S48" s="30">
        <v>399.49435995999988</v>
      </c>
      <c r="T48" s="27">
        <v>8863</v>
      </c>
      <c r="U48" s="27">
        <f t="shared" si="15"/>
        <v>5109.5739199999998</v>
      </c>
      <c r="V48" s="27">
        <f t="shared" si="16"/>
        <v>893.07600000000002</v>
      </c>
      <c r="W48" s="27">
        <f t="shared" si="17"/>
        <v>2507.9375900000005</v>
      </c>
      <c r="X48" s="27">
        <f t="shared" si="25"/>
        <v>352.41248999999999</v>
      </c>
      <c r="Z48" s="163">
        <v>1066303</v>
      </c>
      <c r="AA48" s="165">
        <f t="shared" si="27"/>
        <v>100000</v>
      </c>
      <c r="AB48" s="81">
        <v>12429</v>
      </c>
      <c r="AF48" s="82">
        <v>7083.33</v>
      </c>
      <c r="AG48" s="82">
        <f t="shared" si="0"/>
        <v>74.573999999999998</v>
      </c>
      <c r="AI48" s="159">
        <v>61</v>
      </c>
      <c r="AL48" s="82">
        <f t="shared" si="24"/>
        <v>0</v>
      </c>
      <c r="AM48" s="82">
        <f t="shared" si="24"/>
        <v>0</v>
      </c>
      <c r="AT48" s="166">
        <f t="shared" si="26"/>
        <v>7157.9039999999995</v>
      </c>
      <c r="AU48" s="166"/>
      <c r="AV48" s="166"/>
      <c r="AW48" s="167"/>
      <c r="AX48" s="133">
        <v>2135.35</v>
      </c>
      <c r="AY48" s="134">
        <f t="shared" si="28"/>
        <v>8863</v>
      </c>
      <c r="AZ48" s="134">
        <f t="shared" si="31"/>
        <v>60149</v>
      </c>
      <c r="BA48" s="133">
        <f t="shared" si="34"/>
        <v>41957.442000000003</v>
      </c>
      <c r="BB48" s="133">
        <f t="shared" si="37"/>
        <v>240.596</v>
      </c>
      <c r="BC48" s="159">
        <v>221</v>
      </c>
      <c r="BF48" s="137">
        <f t="shared" si="33"/>
        <v>44333.387999999999</v>
      </c>
      <c r="BH48" s="168" t="s">
        <v>166</v>
      </c>
      <c r="BI48" s="173">
        <f>O48</f>
        <v>58647</v>
      </c>
      <c r="BJ48" s="126">
        <v>0.04</v>
      </c>
      <c r="BK48" s="127">
        <f t="shared" si="7"/>
        <v>2345.88</v>
      </c>
      <c r="BL48" s="91">
        <v>3399.52</v>
      </c>
      <c r="BM48" s="172">
        <f t="shared" ref="BM48:BM51" si="40">BM47-BL48-BK48</f>
        <v>56389.810000000005</v>
      </c>
      <c r="BO48" s="128">
        <f t="shared" si="1"/>
        <v>1066303</v>
      </c>
      <c r="BP48" s="132">
        <f t="shared" si="35"/>
        <v>31603.383475210805</v>
      </c>
      <c r="BQ48" s="129">
        <f t="shared" si="36"/>
        <v>19887.9085247892</v>
      </c>
      <c r="BR48" s="97">
        <f t="shared" si="20"/>
        <v>51491.292000000001</v>
      </c>
      <c r="BS48" s="175" t="str">
        <f t="shared" si="9"/>
        <v>E194CC-2309-1</v>
      </c>
      <c r="BT48" s="131">
        <f t="shared" si="38"/>
        <v>3598.6806387607994</v>
      </c>
      <c r="BU48" s="131">
        <f t="shared" si="11"/>
        <v>2146.7193612392007</v>
      </c>
      <c r="BV48" s="97">
        <f t="shared" si="12"/>
        <v>5745.4</v>
      </c>
    </row>
    <row r="49" spans="1:75" hidden="1" outlineLevel="1" x14ac:dyDescent="0.25">
      <c r="A49" s="50">
        <f t="shared" si="29"/>
        <v>45200</v>
      </c>
      <c r="B49" s="49">
        <v>39.17</v>
      </c>
      <c r="C49" s="18">
        <v>100000</v>
      </c>
      <c r="D49" s="19">
        <v>6.0000000000000001E-3</v>
      </c>
      <c r="E49" s="20">
        <v>6.0000000000000001E-3</v>
      </c>
      <c r="F49" s="20"/>
      <c r="G49" s="21">
        <v>4.734</v>
      </c>
      <c r="H49" s="21">
        <v>4.0000000000000001E-3</v>
      </c>
      <c r="I49" s="22">
        <v>3.49E-3</v>
      </c>
      <c r="J49" s="24">
        <f t="shared" si="39"/>
        <v>86838</v>
      </c>
      <c r="K49" s="23">
        <v>23942</v>
      </c>
      <c r="L49" s="23">
        <v>16758</v>
      </c>
      <c r="M49" s="23">
        <v>45594</v>
      </c>
      <c r="N49" s="25">
        <v>544</v>
      </c>
      <c r="O49" s="26">
        <v>89750</v>
      </c>
      <c r="P49" s="27">
        <f t="shared" si="14"/>
        <v>25708.405517020004</v>
      </c>
      <c r="Q49" s="26">
        <v>16924.435094880006</v>
      </c>
      <c r="R49" s="26">
        <v>46415.285319219998</v>
      </c>
      <c r="S49" s="28">
        <v>701.87406887999998</v>
      </c>
      <c r="T49" s="27">
        <v>8863</v>
      </c>
      <c r="U49" s="27">
        <f t="shared" si="15"/>
        <v>5109.5739199999998</v>
      </c>
      <c r="V49" s="27">
        <f t="shared" si="16"/>
        <v>893.07600000000002</v>
      </c>
      <c r="W49" s="27">
        <f t="shared" si="17"/>
        <v>2507.9375900000005</v>
      </c>
      <c r="X49" s="27">
        <f t="shared" si="25"/>
        <v>352.41248999999999</v>
      </c>
      <c r="Z49" s="163">
        <v>1072257</v>
      </c>
      <c r="AA49" s="165">
        <f t="shared" si="27"/>
        <v>100000</v>
      </c>
      <c r="AD49" s="81">
        <v>2559</v>
      </c>
      <c r="AF49" s="82">
        <v>7083.33</v>
      </c>
      <c r="AG49" s="82">
        <f t="shared" si="0"/>
        <v>0</v>
      </c>
      <c r="AL49" s="82">
        <f t="shared" si="24"/>
        <v>15.354000000000001</v>
      </c>
      <c r="AM49" s="82">
        <f t="shared" si="24"/>
        <v>0</v>
      </c>
      <c r="AN49" s="159">
        <v>16</v>
      </c>
      <c r="AT49" s="166">
        <f t="shared" si="26"/>
        <v>7098.6840000000002</v>
      </c>
      <c r="AU49" s="166"/>
      <c r="AV49" s="166"/>
      <c r="AW49" s="167"/>
      <c r="AX49" s="133">
        <v>2135.35</v>
      </c>
      <c r="AY49" s="134">
        <f t="shared" si="28"/>
        <v>8863</v>
      </c>
      <c r="AZ49" s="134">
        <f t="shared" si="31"/>
        <v>86838</v>
      </c>
      <c r="BA49" s="133">
        <f t="shared" si="34"/>
        <v>41957.442000000003</v>
      </c>
      <c r="BB49" s="133">
        <f t="shared" si="37"/>
        <v>347.35200000000003</v>
      </c>
      <c r="BC49" s="159">
        <v>291</v>
      </c>
      <c r="BF49" s="137">
        <f t="shared" si="33"/>
        <v>44440.144</v>
      </c>
      <c r="BH49" s="168" t="s">
        <v>167</v>
      </c>
      <c r="BI49" s="173">
        <v>89750</v>
      </c>
      <c r="BJ49" s="126">
        <v>0.04</v>
      </c>
      <c r="BK49" s="127">
        <f t="shared" si="7"/>
        <v>3590</v>
      </c>
      <c r="BL49" s="91">
        <v>3399.52</v>
      </c>
      <c r="BM49" s="172">
        <f t="shared" si="40"/>
        <v>49400.290000000008</v>
      </c>
      <c r="BO49" s="128">
        <f t="shared" si="1"/>
        <v>1072257</v>
      </c>
      <c r="BP49" s="132">
        <f t="shared" si="35"/>
        <v>31971.909704317473</v>
      </c>
      <c r="BQ49" s="129">
        <f t="shared" si="36"/>
        <v>19566.918295682532</v>
      </c>
      <c r="BR49" s="97">
        <f t="shared" si="20"/>
        <v>51538.828000000009</v>
      </c>
      <c r="BS49" s="175" t="str">
        <f t="shared" si="9"/>
        <v>E194CC-2310-1</v>
      </c>
      <c r="BT49" s="131">
        <f t="shared" si="38"/>
        <v>4427.8562206808001</v>
      </c>
      <c r="BU49" s="131">
        <f t="shared" si="11"/>
        <v>2561.6637793192003</v>
      </c>
      <c r="BV49" s="97">
        <f t="shared" si="12"/>
        <v>6989.52</v>
      </c>
    </row>
    <row r="50" spans="1:75" hidden="1" outlineLevel="1" x14ac:dyDescent="0.25">
      <c r="A50" s="50">
        <f t="shared" si="29"/>
        <v>45231</v>
      </c>
      <c r="B50" s="49">
        <v>39.17</v>
      </c>
      <c r="C50" s="18">
        <v>100000</v>
      </c>
      <c r="D50" s="19">
        <v>6.0000000000000001E-3</v>
      </c>
      <c r="E50" s="20">
        <v>6.0000000000000001E-3</v>
      </c>
      <c r="F50" s="20"/>
      <c r="G50" s="21">
        <v>4.734</v>
      </c>
      <c r="H50" s="21">
        <v>4.0000000000000001E-3</v>
      </c>
      <c r="I50" s="22">
        <v>8.3499999999999998E-3</v>
      </c>
      <c r="J50" s="24">
        <f t="shared" si="39"/>
        <v>160775</v>
      </c>
      <c r="K50" s="24">
        <v>90815</v>
      </c>
      <c r="L50" s="24">
        <v>16000</v>
      </c>
      <c r="M50" s="24">
        <v>51990</v>
      </c>
      <c r="N50" s="29">
        <v>1970</v>
      </c>
      <c r="O50" s="27">
        <v>159561</v>
      </c>
      <c r="P50" s="27">
        <f t="shared" si="14"/>
        <v>89966.213198459984</v>
      </c>
      <c r="Q50" s="27">
        <v>15942.252828679999</v>
      </c>
      <c r="R50" s="27">
        <v>51736.726765980013</v>
      </c>
      <c r="S50" s="30">
        <v>1915.8072068800004</v>
      </c>
      <c r="T50" s="27">
        <v>8863</v>
      </c>
      <c r="U50" s="27">
        <f t="shared" si="15"/>
        <v>5109.5739199999998</v>
      </c>
      <c r="V50" s="27">
        <f t="shared" si="16"/>
        <v>893.07600000000002</v>
      </c>
      <c r="W50" s="27">
        <f t="shared" si="17"/>
        <v>2507.9375900000005</v>
      </c>
      <c r="X50" s="27">
        <f t="shared" si="25"/>
        <v>352.41248999999999</v>
      </c>
      <c r="Z50" s="163">
        <v>1080182</v>
      </c>
      <c r="AA50" s="165">
        <f t="shared" si="27"/>
        <v>100000</v>
      </c>
      <c r="AD50" s="81">
        <v>13082</v>
      </c>
      <c r="AF50" s="82">
        <v>7083.33</v>
      </c>
      <c r="AG50" s="82">
        <f t="shared" si="0"/>
        <v>0</v>
      </c>
      <c r="AL50" s="82">
        <f t="shared" si="24"/>
        <v>78.492000000000004</v>
      </c>
      <c r="AM50" s="82">
        <f t="shared" si="24"/>
        <v>0</v>
      </c>
      <c r="AN50" s="159">
        <v>77</v>
      </c>
      <c r="AT50" s="166">
        <f t="shared" si="26"/>
        <v>7161.8220000000001</v>
      </c>
      <c r="AU50" s="166"/>
      <c r="AV50" s="166"/>
      <c r="AW50" s="167"/>
      <c r="AX50" s="133">
        <v>2135.35</v>
      </c>
      <c r="AY50" s="134">
        <f t="shared" si="28"/>
        <v>8863</v>
      </c>
      <c r="AZ50" s="134">
        <f t="shared" si="31"/>
        <v>160775</v>
      </c>
      <c r="BA50" s="133">
        <f t="shared" si="34"/>
        <v>41957.442000000003</v>
      </c>
      <c r="BB50" s="133">
        <f t="shared" si="37"/>
        <v>643.1</v>
      </c>
      <c r="BC50" s="159">
        <v>1353</v>
      </c>
      <c r="BF50" s="137">
        <f t="shared" si="33"/>
        <v>44735.892</v>
      </c>
      <c r="BH50" s="168" t="s">
        <v>168</v>
      </c>
      <c r="BI50" s="173">
        <v>159561</v>
      </c>
      <c r="BJ50" s="126">
        <v>0.04</v>
      </c>
      <c r="BK50" s="127">
        <f t="shared" si="7"/>
        <v>6382.4400000000005</v>
      </c>
      <c r="BL50" s="91">
        <v>3399.52</v>
      </c>
      <c r="BM50" s="172">
        <f t="shared" si="40"/>
        <v>39618.330000000009</v>
      </c>
      <c r="BO50" s="128">
        <f t="shared" si="1"/>
        <v>1080182</v>
      </c>
      <c r="BP50" s="132">
        <f t="shared" si="35"/>
        <v>32919.97387057187</v>
      </c>
      <c r="BQ50" s="129">
        <f t="shared" si="36"/>
        <v>18977.740129428137</v>
      </c>
      <c r="BR50" s="97">
        <f t="shared" si="20"/>
        <v>51897.714000000007</v>
      </c>
      <c r="BS50" s="175" t="str">
        <f t="shared" si="9"/>
        <v>E194CC-2311-1</v>
      </c>
      <c r="BT50" s="131">
        <f t="shared" si="38"/>
        <v>6998.1685279384001</v>
      </c>
      <c r="BU50" s="131">
        <f t="shared" si="11"/>
        <v>2783.7914720616</v>
      </c>
      <c r="BV50" s="97">
        <f t="shared" si="12"/>
        <v>9781.9599999999991</v>
      </c>
    </row>
    <row r="51" spans="1:75" hidden="1" outlineLevel="1" x14ac:dyDescent="0.25">
      <c r="A51" s="50">
        <f t="shared" si="29"/>
        <v>45261</v>
      </c>
      <c r="B51" s="49">
        <v>39.17</v>
      </c>
      <c r="C51" s="18">
        <v>100000</v>
      </c>
      <c r="D51" s="19">
        <v>6.0000000000000001E-3</v>
      </c>
      <c r="E51" s="20">
        <v>6.0000000000000001E-3</v>
      </c>
      <c r="F51" s="20"/>
      <c r="G51" s="21">
        <v>4.734</v>
      </c>
      <c r="H51" s="21">
        <v>4.0000000000000001E-3</v>
      </c>
      <c r="I51" s="22">
        <v>8.3499999999999998E-3</v>
      </c>
      <c r="J51" s="24">
        <f t="shared" si="39"/>
        <v>133639</v>
      </c>
      <c r="K51" s="24">
        <v>59113</v>
      </c>
      <c r="L51" s="24">
        <v>16922</v>
      </c>
      <c r="M51" s="24">
        <v>55517</v>
      </c>
      <c r="N51" s="29">
        <v>2087</v>
      </c>
      <c r="O51" s="27">
        <v>132281</v>
      </c>
      <c r="P51" s="27">
        <f t="shared" si="14"/>
        <v>57886.763001039995</v>
      </c>
      <c r="Q51" s="27">
        <v>16931.056548360004</v>
      </c>
      <c r="R51" s="27">
        <v>55318.933098659996</v>
      </c>
      <c r="S51" s="30">
        <v>2144.24735194</v>
      </c>
      <c r="T51" s="27">
        <v>8863</v>
      </c>
      <c r="U51" s="27">
        <f t="shared" si="15"/>
        <v>5109.5739199999998</v>
      </c>
      <c r="V51" s="27">
        <f t="shared" si="16"/>
        <v>893.07600000000002</v>
      </c>
      <c r="W51" s="27">
        <f t="shared" si="17"/>
        <v>2507.9375900000005</v>
      </c>
      <c r="X51" s="27">
        <f t="shared" si="25"/>
        <v>352.41248999999999</v>
      </c>
      <c r="Z51" s="163">
        <v>1085627</v>
      </c>
      <c r="AA51" s="165">
        <f t="shared" si="27"/>
        <v>100000</v>
      </c>
      <c r="AB51" s="81">
        <v>1500</v>
      </c>
      <c r="AD51" s="81">
        <v>5762</v>
      </c>
      <c r="AF51" s="82">
        <v>7083.33</v>
      </c>
      <c r="AG51" s="82">
        <f t="shared" si="0"/>
        <v>9</v>
      </c>
      <c r="AI51" s="159">
        <v>9</v>
      </c>
      <c r="AL51" s="82">
        <f t="shared" si="24"/>
        <v>34.572000000000003</v>
      </c>
      <c r="AM51" s="82">
        <f t="shared" si="24"/>
        <v>0</v>
      </c>
      <c r="AN51" s="159">
        <v>35</v>
      </c>
      <c r="AT51" s="166">
        <f t="shared" si="26"/>
        <v>7126.902</v>
      </c>
      <c r="AU51" s="166"/>
      <c r="AV51" s="166"/>
      <c r="AW51" s="167"/>
      <c r="AX51" s="133">
        <v>2135.35</v>
      </c>
      <c r="AY51" s="134">
        <f t="shared" si="28"/>
        <v>8863</v>
      </c>
      <c r="AZ51" s="134">
        <f t="shared" si="31"/>
        <v>133639</v>
      </c>
      <c r="BA51" s="133">
        <f t="shared" si="34"/>
        <v>41957.442000000003</v>
      </c>
      <c r="BB51" s="133">
        <f t="shared" si="37"/>
        <v>534.55600000000004</v>
      </c>
      <c r="BC51" s="159">
        <v>1132</v>
      </c>
      <c r="BF51" s="137">
        <f t="shared" si="33"/>
        <v>44627.347999999998</v>
      </c>
      <c r="BH51" s="168" t="s">
        <v>169</v>
      </c>
      <c r="BI51" s="173">
        <v>132281</v>
      </c>
      <c r="BJ51" s="126">
        <v>0.04</v>
      </c>
      <c r="BK51" s="127">
        <f t="shared" si="7"/>
        <v>5291.24</v>
      </c>
      <c r="BL51" s="91">
        <v>3399.52</v>
      </c>
      <c r="BM51" s="172">
        <f t="shared" si="40"/>
        <v>30927.570000000014</v>
      </c>
      <c r="BO51" s="128">
        <f t="shared" si="1"/>
        <v>1085627</v>
      </c>
      <c r="BP51" s="132">
        <f t="shared" si="35"/>
        <v>32496.613670943076</v>
      </c>
      <c r="BQ51" s="129">
        <f t="shared" si="36"/>
        <v>19257.636329056924</v>
      </c>
      <c r="BR51" s="97">
        <f t="shared" si="20"/>
        <v>51754.25</v>
      </c>
      <c r="BS51" s="175" t="str">
        <f t="shared" si="9"/>
        <v>E194CC-2312-1</v>
      </c>
      <c r="BT51" s="131">
        <f>P51*BJ51+BL51</f>
        <v>5714.9905200415997</v>
      </c>
      <c r="BU51" s="131">
        <f>(Q51+R51+S51)*BJ51</f>
        <v>2975.7694799584001</v>
      </c>
      <c r="BV51" s="97">
        <f>BT51+BU51</f>
        <v>8690.76</v>
      </c>
    </row>
    <row r="52" spans="1:75" s="322" customFormat="1" collapsed="1" x14ac:dyDescent="0.25">
      <c r="A52" s="306">
        <f t="shared" si="29"/>
        <v>45292</v>
      </c>
      <c r="B52" s="307">
        <v>39.17</v>
      </c>
      <c r="C52" s="308">
        <v>100000</v>
      </c>
      <c r="D52" s="309">
        <v>6.0000000000000001E-3</v>
      </c>
      <c r="E52" s="310">
        <v>6.0000000000000001E-3</v>
      </c>
      <c r="F52" s="310">
        <v>4.1000000000000002E-2</v>
      </c>
      <c r="G52" s="311">
        <v>4.734</v>
      </c>
      <c r="H52" s="311">
        <v>4.0000000000000001E-3</v>
      </c>
      <c r="I52" s="312">
        <v>8.3499999999999998E-3</v>
      </c>
      <c r="J52" s="313">
        <f t="shared" si="39"/>
        <v>143553</v>
      </c>
      <c r="K52" s="313">
        <v>63174</v>
      </c>
      <c r="L52" s="313">
        <v>18410</v>
      </c>
      <c r="M52" s="313">
        <v>59139</v>
      </c>
      <c r="N52" s="314">
        <v>2830</v>
      </c>
      <c r="O52" s="315">
        <v>143233</v>
      </c>
      <c r="P52" s="315">
        <f t="shared" si="14"/>
        <v>63197.284636079996</v>
      </c>
      <c r="Q52" s="315">
        <v>18514.68750566</v>
      </c>
      <c r="R52" s="315">
        <v>58780.849693120006</v>
      </c>
      <c r="S52" s="316">
        <v>2740.1781651399997</v>
      </c>
      <c r="T52" s="315">
        <v>8863</v>
      </c>
      <c r="U52" s="315">
        <f t="shared" si="15"/>
        <v>5109.5739199999998</v>
      </c>
      <c r="V52" s="315">
        <f t="shared" si="16"/>
        <v>893.07600000000002</v>
      </c>
      <c r="W52" s="315">
        <f t="shared" si="17"/>
        <v>2507.9375900000005</v>
      </c>
      <c r="X52" s="315">
        <f t="shared" si="25"/>
        <v>352.41248999999999</v>
      </c>
      <c r="Y52" s="317"/>
      <c r="Z52" s="318">
        <v>1091701</v>
      </c>
      <c r="AA52" s="319">
        <f t="shared" si="27"/>
        <v>100000</v>
      </c>
      <c r="AB52" s="320">
        <v>902</v>
      </c>
      <c r="AC52" s="320"/>
      <c r="AD52" s="320">
        <v>14722</v>
      </c>
      <c r="AE52" s="320"/>
      <c r="AF52" s="321">
        <v>7083.33</v>
      </c>
      <c r="AG52" s="321">
        <f t="shared" si="0"/>
        <v>5.4119999999999999</v>
      </c>
      <c r="AI52" s="322">
        <v>5</v>
      </c>
      <c r="AL52" s="321">
        <f t="shared" si="24"/>
        <v>88.332000000000008</v>
      </c>
      <c r="AM52" s="321">
        <f t="shared" si="24"/>
        <v>0</v>
      </c>
      <c r="AN52" s="322">
        <v>84</v>
      </c>
      <c r="AT52" s="323">
        <f t="shared" si="26"/>
        <v>7177.0740000000005</v>
      </c>
      <c r="AU52" s="323"/>
      <c r="AV52" s="323"/>
      <c r="AW52" s="324"/>
      <c r="AX52" s="325">
        <v>2135.35</v>
      </c>
      <c r="AY52" s="326">
        <f t="shared" si="28"/>
        <v>8863</v>
      </c>
      <c r="AZ52" s="326">
        <f t="shared" si="31"/>
        <v>143553</v>
      </c>
      <c r="BA52" s="325">
        <f t="shared" si="34"/>
        <v>41957.442000000003</v>
      </c>
      <c r="BB52" s="325">
        <f t="shared" si="37"/>
        <v>574.21199999999999</v>
      </c>
      <c r="BC52" s="322">
        <v>1132</v>
      </c>
      <c r="BD52" s="325"/>
      <c r="BE52" s="325"/>
      <c r="BF52" s="327">
        <f t="shared" si="33"/>
        <v>44667.004000000001</v>
      </c>
      <c r="BG52" s="317"/>
      <c r="BH52" s="328" t="s">
        <v>170</v>
      </c>
      <c r="BI52" s="313">
        <v>143233</v>
      </c>
      <c r="BJ52" s="321">
        <v>0.04</v>
      </c>
      <c r="BK52" s="329">
        <f t="shared" si="7"/>
        <v>5729.32</v>
      </c>
      <c r="BL52" s="330">
        <v>3399.52</v>
      </c>
      <c r="BM52" s="331">
        <v>21798.730000000014</v>
      </c>
      <c r="BN52" s="317"/>
      <c r="BO52" s="332">
        <f t="shared" si="1"/>
        <v>1091701</v>
      </c>
      <c r="BP52" s="333">
        <f t="shared" si="35"/>
        <v>32558.205802214903</v>
      </c>
      <c r="BQ52" s="321">
        <f t="shared" si="36"/>
        <v>19285.872197785102</v>
      </c>
      <c r="BR52" s="334">
        <f t="shared" si="20"/>
        <v>51844.078000000009</v>
      </c>
      <c r="BS52" s="335" t="str">
        <f t="shared" si="9"/>
        <v>E194CC-2401-1</v>
      </c>
      <c r="BT52" s="336">
        <f>P52*BJ52+BL52</f>
        <v>5927.4113854431998</v>
      </c>
      <c r="BU52" s="336">
        <f>(Q52+R52+S52)*BJ52</f>
        <v>3201.4286145567999</v>
      </c>
      <c r="BV52" s="334">
        <f>BT52+BU52</f>
        <v>9128.84</v>
      </c>
      <c r="BW52" s="317"/>
    </row>
    <row r="53" spans="1:75" s="322" customFormat="1" x14ac:dyDescent="0.25">
      <c r="A53" s="306">
        <f t="shared" si="29"/>
        <v>45323</v>
      </c>
      <c r="B53" s="307">
        <v>39.17</v>
      </c>
      <c r="C53" s="308">
        <v>100000</v>
      </c>
      <c r="D53" s="309">
        <v>6.0000000000000001E-3</v>
      </c>
      <c r="E53" s="310">
        <v>6.0000000000000001E-3</v>
      </c>
      <c r="F53" s="310">
        <v>4.1000000000000002E-2</v>
      </c>
      <c r="G53" s="311">
        <v>4.734</v>
      </c>
      <c r="H53" s="311">
        <v>4.0000000000000001E-3</v>
      </c>
      <c r="I53" s="312">
        <v>8.3499999999999998E-3</v>
      </c>
      <c r="J53" s="313">
        <f t="shared" si="39"/>
        <v>115976</v>
      </c>
      <c r="K53" s="313">
        <v>51034</v>
      </c>
      <c r="L53" s="313">
        <v>16080</v>
      </c>
      <c r="M53" s="313">
        <v>46550</v>
      </c>
      <c r="N53" s="314">
        <v>2312</v>
      </c>
      <c r="O53" s="315">
        <v>117211</v>
      </c>
      <c r="P53" s="315">
        <f t="shared" si="14"/>
        <v>52160.737436899995</v>
      </c>
      <c r="Q53" s="315">
        <v>15980.877973980003</v>
      </c>
      <c r="R53" s="315">
        <v>46724.286481619994</v>
      </c>
      <c r="S53" s="316">
        <v>2345.0981075000004</v>
      </c>
      <c r="T53" s="315">
        <v>8863</v>
      </c>
      <c r="U53" s="315">
        <f t="shared" si="15"/>
        <v>5109.5739199999998</v>
      </c>
      <c r="V53" s="315">
        <f t="shared" si="16"/>
        <v>893.07600000000002</v>
      </c>
      <c r="W53" s="315">
        <f t="shared" si="17"/>
        <v>2507.9375900000005</v>
      </c>
      <c r="X53" s="315">
        <f t="shared" si="25"/>
        <v>352.41248999999999</v>
      </c>
      <c r="Y53" s="317"/>
      <c r="Z53" s="318">
        <v>1095016</v>
      </c>
      <c r="AA53" s="319">
        <f t="shared" si="27"/>
        <v>100000</v>
      </c>
      <c r="AB53" s="320">
        <v>845</v>
      </c>
      <c r="AC53" s="320"/>
      <c r="AD53" s="320">
        <v>15913</v>
      </c>
      <c r="AE53" s="320"/>
      <c r="AF53" s="321">
        <v>7083.33</v>
      </c>
      <c r="AG53" s="321">
        <f t="shared" si="0"/>
        <v>5.07</v>
      </c>
      <c r="AI53" s="322">
        <v>5</v>
      </c>
      <c r="AL53" s="321">
        <f t="shared" si="24"/>
        <v>95.478000000000009</v>
      </c>
      <c r="AM53" s="321">
        <f t="shared" si="24"/>
        <v>0</v>
      </c>
      <c r="AT53" s="323">
        <f t="shared" si="26"/>
        <v>7183.8779999999997</v>
      </c>
      <c r="AU53" s="337">
        <v>104</v>
      </c>
      <c r="AV53" s="337">
        <v>1.3895999999999999</v>
      </c>
      <c r="AW53" s="324">
        <f>AU53*AV53*0.2</f>
        <v>28.903679999999998</v>
      </c>
      <c r="AX53" s="325">
        <v>2135.35</v>
      </c>
      <c r="AY53" s="326">
        <f t="shared" si="28"/>
        <v>8863</v>
      </c>
      <c r="AZ53" s="326">
        <f t="shared" si="31"/>
        <v>115976</v>
      </c>
      <c r="BA53" s="325">
        <f t="shared" si="34"/>
        <v>41957.442000000003</v>
      </c>
      <c r="BB53" s="325">
        <f t="shared" si="37"/>
        <v>463.904</v>
      </c>
      <c r="BC53" s="322">
        <v>976</v>
      </c>
      <c r="BD53" s="325"/>
      <c r="BE53" s="325"/>
      <c r="BF53" s="327">
        <f t="shared" si="33"/>
        <v>44556.696000000004</v>
      </c>
      <c r="BG53" s="317"/>
      <c r="BH53" s="328" t="s">
        <v>171</v>
      </c>
      <c r="BI53" s="313">
        <v>117211</v>
      </c>
      <c r="BJ53" s="321">
        <v>0.04</v>
      </c>
      <c r="BK53" s="329">
        <f t="shared" si="7"/>
        <v>4688.4400000000005</v>
      </c>
      <c r="BL53" s="330">
        <v>3399.52</v>
      </c>
      <c r="BM53" s="331">
        <v>13710.770000000013</v>
      </c>
      <c r="BN53" s="317"/>
      <c r="BO53" s="332">
        <f t="shared" si="1"/>
        <v>1095016</v>
      </c>
      <c r="BP53" s="333">
        <f t="shared" si="35"/>
        <v>32516.374895995592</v>
      </c>
      <c r="BQ53" s="321">
        <f t="shared" si="36"/>
        <v>19224.199104004409</v>
      </c>
      <c r="BR53" s="334">
        <f t="shared" si="20"/>
        <v>51740.574000000001</v>
      </c>
      <c r="BS53" s="335" t="str">
        <f t="shared" si="9"/>
        <v>E194CC-2402-1</v>
      </c>
      <c r="BT53" s="336">
        <f>P53*BJ53+BL53</f>
        <v>5485.949497476</v>
      </c>
      <c r="BU53" s="336">
        <f>(Q53+R53+S53)*BJ53</f>
        <v>2602.010502524</v>
      </c>
      <c r="BV53" s="334">
        <f>BT53+BU53</f>
        <v>8087.96</v>
      </c>
      <c r="BW53" s="317"/>
    </row>
    <row r="54" spans="1:75" s="322" customFormat="1" x14ac:dyDescent="0.25">
      <c r="A54" s="306">
        <f t="shared" si="29"/>
        <v>45352</v>
      </c>
      <c r="B54" s="307">
        <v>39.17</v>
      </c>
      <c r="C54" s="308">
        <v>100000</v>
      </c>
      <c r="D54" s="309">
        <v>6.0000000000000001E-3</v>
      </c>
      <c r="E54" s="310">
        <v>6.0000000000000001E-3</v>
      </c>
      <c r="F54" s="310">
        <v>4.1000000000000002E-2</v>
      </c>
      <c r="G54" s="311">
        <v>4.734</v>
      </c>
      <c r="H54" s="311">
        <v>4.0000000000000001E-3</v>
      </c>
      <c r="I54" s="312">
        <v>8.3499999999999998E-3</v>
      </c>
      <c r="J54" s="313">
        <f t="shared" si="39"/>
        <v>111827</v>
      </c>
      <c r="K54" s="313">
        <v>44955</v>
      </c>
      <c r="L54" s="313">
        <v>15901</v>
      </c>
      <c r="M54" s="313">
        <v>48715</v>
      </c>
      <c r="N54" s="314">
        <v>2256</v>
      </c>
      <c r="O54" s="315">
        <v>112149</v>
      </c>
      <c r="P54" s="315">
        <f t="shared" si="14"/>
        <v>45434.99762050467</v>
      </c>
      <c r="Q54" s="315">
        <v>15846.241753220003</v>
      </c>
      <c r="R54" s="315">
        <v>48691.961740760009</v>
      </c>
      <c r="S54" s="316">
        <v>2175.7988855153126</v>
      </c>
      <c r="T54" s="315">
        <v>8863</v>
      </c>
      <c r="U54" s="315">
        <f t="shared" si="15"/>
        <v>5109.5739199999998</v>
      </c>
      <c r="V54" s="315">
        <f t="shared" si="16"/>
        <v>893.07600000000002</v>
      </c>
      <c r="W54" s="315">
        <f t="shared" si="17"/>
        <v>2507.9375900000005</v>
      </c>
      <c r="X54" s="315">
        <f t="shared" si="25"/>
        <v>352.41248999999999</v>
      </c>
      <c r="Y54" s="317"/>
      <c r="Z54" s="318">
        <v>1098683</v>
      </c>
      <c r="AA54" s="319">
        <f t="shared" si="27"/>
        <v>100000</v>
      </c>
      <c r="AB54" s="320"/>
      <c r="AC54" s="320"/>
      <c r="AD54" s="320">
        <v>17271</v>
      </c>
      <c r="AE54" s="320"/>
      <c r="AF54" s="321">
        <v>7083.33</v>
      </c>
      <c r="AG54" s="321">
        <f t="shared" si="0"/>
        <v>0</v>
      </c>
      <c r="AL54" s="321">
        <f t="shared" si="24"/>
        <v>103.626</v>
      </c>
      <c r="AM54" s="321">
        <f t="shared" si="24"/>
        <v>0</v>
      </c>
      <c r="AN54" s="322">
        <v>103</v>
      </c>
      <c r="AT54" s="323">
        <f t="shared" si="26"/>
        <v>7186.9560000000001</v>
      </c>
      <c r="AU54" s="338"/>
      <c r="AV54" s="338"/>
      <c r="AW54" s="307"/>
      <c r="AX54" s="325">
        <v>2135.35</v>
      </c>
      <c r="AY54" s="326">
        <f t="shared" si="28"/>
        <v>8863</v>
      </c>
      <c r="AZ54" s="326">
        <f t="shared" si="31"/>
        <v>111827</v>
      </c>
      <c r="BA54" s="325">
        <f t="shared" si="34"/>
        <v>41957.442000000003</v>
      </c>
      <c r="BB54" s="325">
        <f t="shared" si="37"/>
        <v>447.30799999999999</v>
      </c>
      <c r="BC54" s="322">
        <v>931</v>
      </c>
      <c r="BD54" s="325"/>
      <c r="BE54" s="325"/>
      <c r="BF54" s="327">
        <f t="shared" si="33"/>
        <v>44540.1</v>
      </c>
      <c r="BG54" s="317"/>
      <c r="BH54" s="328" t="s">
        <v>172</v>
      </c>
      <c r="BI54" s="313">
        <v>112149</v>
      </c>
      <c r="BJ54" s="321">
        <v>0.04</v>
      </c>
      <c r="BK54" s="329">
        <f t="shared" si="7"/>
        <v>4485.96</v>
      </c>
      <c r="BL54" s="330">
        <v>3399.52</v>
      </c>
      <c r="BM54" s="331">
        <v>5825.2900000000127</v>
      </c>
      <c r="BN54" s="317"/>
      <c r="BO54" s="332">
        <f t="shared" si="1"/>
        <v>1098683</v>
      </c>
      <c r="BP54" s="333">
        <f t="shared" si="35"/>
        <v>32413.920063215595</v>
      </c>
      <c r="BQ54" s="321">
        <f t="shared" si="36"/>
        <v>19313.135936784409</v>
      </c>
      <c r="BR54" s="334">
        <f t="shared" si="20"/>
        <v>51727.056000000004</v>
      </c>
      <c r="BS54" s="335" t="str">
        <f t="shared" si="9"/>
        <v>E194CC-2403-1</v>
      </c>
      <c r="BT54" s="336">
        <f>P54*BJ54+BL54</f>
        <v>5216.9199048201863</v>
      </c>
      <c r="BU54" s="336">
        <f>(Q54+R54+S54)*BJ54</f>
        <v>2668.5600951798133</v>
      </c>
      <c r="BV54" s="334">
        <f>BT54+BU54</f>
        <v>7885.48</v>
      </c>
      <c r="BW54" s="317"/>
    </row>
    <row r="55" spans="1:75" s="322" customFormat="1" x14ac:dyDescent="0.25">
      <c r="A55" s="306">
        <f t="shared" si="29"/>
        <v>45383</v>
      </c>
      <c r="B55" s="307">
        <v>39.17</v>
      </c>
      <c r="C55" s="308">
        <v>100000</v>
      </c>
      <c r="D55" s="309">
        <v>6.0000000000000001E-3</v>
      </c>
      <c r="E55" s="310">
        <v>6.0000000000000001E-3</v>
      </c>
      <c r="F55" s="310">
        <v>4.1000000000000002E-2</v>
      </c>
      <c r="G55" s="311">
        <v>4.734</v>
      </c>
      <c r="H55" s="311">
        <v>4.0000000000000001E-3</v>
      </c>
      <c r="I55" s="312">
        <v>3.49E-3</v>
      </c>
      <c r="J55" s="313">
        <f t="shared" si="39"/>
        <v>90364</v>
      </c>
      <c r="K55" s="313">
        <v>27434</v>
      </c>
      <c r="L55" s="339">
        <v>13980</v>
      </c>
      <c r="M55" s="313">
        <v>47700</v>
      </c>
      <c r="N55" s="314">
        <v>1250</v>
      </c>
      <c r="O55" s="315">
        <v>89066</v>
      </c>
      <c r="P55" s="315">
        <f t="shared" si="14"/>
        <v>26798.955049659984</v>
      </c>
      <c r="Q55" s="315">
        <v>13956.920360260003</v>
      </c>
      <c r="R55" s="315">
        <v>47122.677266000013</v>
      </c>
      <c r="S55" s="316">
        <v>1187.4473240800003</v>
      </c>
      <c r="T55" s="315">
        <v>8863</v>
      </c>
      <c r="U55" s="315">
        <f t="shared" si="15"/>
        <v>5109.5739199999998</v>
      </c>
      <c r="V55" s="315">
        <f t="shared" si="16"/>
        <v>893.07600000000002</v>
      </c>
      <c r="W55" s="315">
        <f t="shared" si="17"/>
        <v>2507.9375900000005</v>
      </c>
      <c r="X55" s="315">
        <f t="shared" si="25"/>
        <v>352.41248999999999</v>
      </c>
      <c r="Y55" s="317"/>
      <c r="Z55" s="318">
        <v>1104722</v>
      </c>
      <c r="AA55" s="319">
        <f t="shared" si="27"/>
        <v>100000</v>
      </c>
      <c r="AB55" s="320">
        <v>6896</v>
      </c>
      <c r="AC55" s="320"/>
      <c r="AD55" s="320"/>
      <c r="AE55" s="320">
        <v>1469</v>
      </c>
      <c r="AF55" s="321">
        <v>7083.33</v>
      </c>
      <c r="AG55" s="321">
        <f t="shared" si="0"/>
        <v>41.375999999999998</v>
      </c>
      <c r="AI55" s="322">
        <v>42</v>
      </c>
      <c r="AL55" s="321">
        <f t="shared" si="24"/>
        <v>0</v>
      </c>
      <c r="AM55" s="321">
        <f t="shared" si="24"/>
        <v>60.228999999999999</v>
      </c>
      <c r="AN55" s="322">
        <v>9</v>
      </c>
      <c r="AT55" s="323">
        <f t="shared" si="26"/>
        <v>7184.9350000000004</v>
      </c>
      <c r="AU55" s="338"/>
      <c r="AV55" s="338"/>
      <c r="AW55" s="307"/>
      <c r="AX55" s="325">
        <v>2135.35</v>
      </c>
      <c r="AY55" s="326">
        <f t="shared" si="28"/>
        <v>8863</v>
      </c>
      <c r="AZ55" s="326">
        <f t="shared" si="31"/>
        <v>90364</v>
      </c>
      <c r="BA55" s="325">
        <f t="shared" si="34"/>
        <v>41957.442000000003</v>
      </c>
      <c r="BB55" s="325">
        <f t="shared" si="37"/>
        <v>361.45600000000002</v>
      </c>
      <c r="BC55" s="322">
        <v>319</v>
      </c>
      <c r="BD55" s="325">
        <v>26000</v>
      </c>
      <c r="BE55" s="340">
        <v>-1905.97</v>
      </c>
      <c r="BF55" s="327">
        <f t="shared" ref="BF55:BF64" si="41">AX55+BA55+BB55+BD55+BE55</f>
        <v>68548.277999999991</v>
      </c>
      <c r="BG55" s="317"/>
      <c r="BH55" s="328" t="s">
        <v>173</v>
      </c>
      <c r="BI55" s="313">
        <v>89066</v>
      </c>
      <c r="BJ55" s="321">
        <v>0.04</v>
      </c>
      <c r="BK55" s="329">
        <f t="shared" si="7"/>
        <v>3562.64</v>
      </c>
      <c r="BL55" s="330">
        <v>3399.52</v>
      </c>
      <c r="BM55" s="331">
        <v>-1136.8699999999872</v>
      </c>
      <c r="BN55" s="317"/>
      <c r="BO55" s="332">
        <f t="shared" si="1"/>
        <v>1104722</v>
      </c>
      <c r="BP55" s="333">
        <f t="shared" si="35"/>
        <v>32131.674136253041</v>
      </c>
      <c r="BQ55" s="321">
        <f t="shared" si="36"/>
        <v>19507.508863746963</v>
      </c>
      <c r="BR55" s="334">
        <f t="shared" si="20"/>
        <v>51639.183000000005</v>
      </c>
      <c r="BS55" s="335" t="str">
        <f t="shared" si="9"/>
        <v>E194CC-2404-1</v>
      </c>
      <c r="BT55" s="336">
        <f>P55*BJ55+BL55</f>
        <v>4471.4782019863997</v>
      </c>
      <c r="BU55" s="336">
        <f>(Q55+R55+S55)*BJ55</f>
        <v>2490.6817980136007</v>
      </c>
      <c r="BV55" s="334">
        <f>BT55+BU55</f>
        <v>6962.16</v>
      </c>
      <c r="BW55" s="317"/>
    </row>
    <row r="56" spans="1:75" s="322" customFormat="1" ht="15.75" x14ac:dyDescent="0.25">
      <c r="A56" s="306">
        <f t="shared" si="29"/>
        <v>45413</v>
      </c>
      <c r="B56" s="307">
        <v>39.17</v>
      </c>
      <c r="C56" s="308">
        <v>100000</v>
      </c>
      <c r="D56" s="309">
        <v>6.0000000000000001E-3</v>
      </c>
      <c r="E56" s="310">
        <v>6.0000000000000001E-3</v>
      </c>
      <c r="F56" s="310">
        <v>4.1000000000000002E-2</v>
      </c>
      <c r="G56" s="311">
        <v>4.8620000000000001</v>
      </c>
      <c r="H56" s="311">
        <v>4.0000000000000001E-3</v>
      </c>
      <c r="I56" s="312">
        <v>3.8700000000000002E-3</v>
      </c>
      <c r="J56" s="313">
        <f t="shared" si="39"/>
        <v>78821</v>
      </c>
      <c r="K56" s="313">
        <v>11102</v>
      </c>
      <c r="L56" s="313">
        <v>14989</v>
      </c>
      <c r="M56" s="313">
        <v>52290</v>
      </c>
      <c r="N56" s="314">
        <v>440</v>
      </c>
      <c r="O56" s="341">
        <v>78037</v>
      </c>
      <c r="P56" s="315">
        <f t="shared" si="14"/>
        <v>10772.964823419976</v>
      </c>
      <c r="Q56" s="315">
        <v>14847.505853320003</v>
      </c>
      <c r="R56" s="315">
        <v>51868.052260000019</v>
      </c>
      <c r="S56" s="316">
        <v>548.47706326000014</v>
      </c>
      <c r="T56" s="315">
        <v>8863</v>
      </c>
      <c r="U56" s="315">
        <f t="shared" si="15"/>
        <v>5109.5739199999998</v>
      </c>
      <c r="V56" s="315">
        <f t="shared" si="16"/>
        <v>893.07600000000002</v>
      </c>
      <c r="W56" s="315">
        <f t="shared" si="17"/>
        <v>2507.9375900000005</v>
      </c>
      <c r="X56" s="315">
        <f t="shared" si="25"/>
        <v>352.41248999999999</v>
      </c>
      <c r="Y56" s="317"/>
      <c r="Z56" s="318">
        <v>1110809</v>
      </c>
      <c r="AA56" s="319">
        <f t="shared" si="27"/>
        <v>100000</v>
      </c>
      <c r="AB56" s="320">
        <v>21360</v>
      </c>
      <c r="AC56" s="320"/>
      <c r="AD56" s="320"/>
      <c r="AE56" s="320"/>
      <c r="AF56" s="321">
        <v>7083.33</v>
      </c>
      <c r="AG56" s="321">
        <f t="shared" si="0"/>
        <v>128.16</v>
      </c>
      <c r="AI56" s="322">
        <v>140</v>
      </c>
      <c r="AL56" s="321">
        <f t="shared" ref="AL56:AM64" si="42">AD56*E56</f>
        <v>0</v>
      </c>
      <c r="AM56" s="321">
        <f t="shared" si="42"/>
        <v>0</v>
      </c>
      <c r="AT56" s="323">
        <f t="shared" si="26"/>
        <v>7211.49</v>
      </c>
      <c r="AU56" s="338"/>
      <c r="AV56" s="338"/>
      <c r="AW56" s="307"/>
      <c r="AX56" s="325">
        <v>2192.9299999999998</v>
      </c>
      <c r="AY56" s="326">
        <f t="shared" si="28"/>
        <v>8863</v>
      </c>
      <c r="AZ56" s="326">
        <f t="shared" si="31"/>
        <v>78821</v>
      </c>
      <c r="BA56" s="325">
        <f t="shared" si="34"/>
        <v>43091.906000000003</v>
      </c>
      <c r="BB56" s="325">
        <f t="shared" si="37"/>
        <v>315.28399999999999</v>
      </c>
      <c r="BC56" s="322">
        <v>301</v>
      </c>
      <c r="BD56" s="340">
        <f>SUM(AY52:AY55)*0.128+612.88</f>
        <v>5150.7359999999999</v>
      </c>
      <c r="BE56" s="340"/>
      <c r="BF56" s="327">
        <f t="shared" si="41"/>
        <v>50750.856</v>
      </c>
      <c r="BG56" s="317"/>
      <c r="BH56" s="328" t="s">
        <v>174</v>
      </c>
      <c r="BI56" s="313">
        <f>O56</f>
        <v>78037</v>
      </c>
      <c r="BJ56" s="321">
        <v>0.04</v>
      </c>
      <c r="BK56" s="329">
        <f t="shared" si="7"/>
        <v>3121.48</v>
      </c>
      <c r="BL56" s="330">
        <v>3399.52</v>
      </c>
      <c r="BM56" s="331">
        <v>-7657.8699999999862</v>
      </c>
      <c r="BN56" s="317"/>
      <c r="BO56" s="332">
        <f t="shared" si="1"/>
        <v>1110809</v>
      </c>
      <c r="BP56" s="333">
        <f t="shared" si="35"/>
        <v>32407.52231865533</v>
      </c>
      <c r="BQ56" s="321">
        <f t="shared" si="36"/>
        <v>20404.087681344678</v>
      </c>
      <c r="BR56" s="334">
        <f t="shared" si="20"/>
        <v>52811.610000000008</v>
      </c>
      <c r="BS56" s="335" t="str">
        <f t="shared" si="9"/>
        <v>E194CC-2405-1</v>
      </c>
      <c r="BT56" s="336">
        <f t="shared" ref="BT56:BT64" si="43">P56*BJ56+BL56</f>
        <v>3830.4385929367991</v>
      </c>
      <c r="BU56" s="336">
        <f t="shared" ref="BU56:BU64" si="44">(Q56+R56+S56)*BJ56</f>
        <v>2690.5614070632005</v>
      </c>
      <c r="BV56" s="334">
        <f t="shared" ref="BV56:BV64" si="45">BT56+BU56</f>
        <v>6521</v>
      </c>
      <c r="BW56" s="317"/>
    </row>
    <row r="57" spans="1:75" s="322" customFormat="1" x14ac:dyDescent="0.25">
      <c r="A57" s="306">
        <f t="shared" si="29"/>
        <v>45444</v>
      </c>
      <c r="B57" s="322">
        <v>39.17</v>
      </c>
      <c r="C57" s="308">
        <v>100000</v>
      </c>
      <c r="D57" s="309">
        <v>6.0000000000000001E-3</v>
      </c>
      <c r="E57" s="310">
        <v>6.0000000000000001E-3</v>
      </c>
      <c r="F57" s="310">
        <v>4.1000000000000002E-2</v>
      </c>
      <c r="G57" s="311">
        <v>4.8620000000000001</v>
      </c>
      <c r="H57" s="311">
        <v>4.0000000000000001E-3</v>
      </c>
      <c r="I57" s="312">
        <v>3.8700000000000002E-3</v>
      </c>
      <c r="J57" s="313">
        <f t="shared" si="39"/>
        <v>50174</v>
      </c>
      <c r="K57" s="313">
        <v>4500</v>
      </c>
      <c r="L57" s="313">
        <v>14079</v>
      </c>
      <c r="M57" s="313">
        <v>30650</v>
      </c>
      <c r="N57" s="314">
        <v>945</v>
      </c>
      <c r="O57" s="315">
        <v>52610</v>
      </c>
      <c r="P57" s="315">
        <f t="shared" si="14"/>
        <v>5577.8159315599996</v>
      </c>
      <c r="Q57" s="315">
        <v>14291.303761000006</v>
      </c>
      <c r="R57" s="315">
        <v>31820.498273719997</v>
      </c>
      <c r="S57" s="316">
        <v>920.38203372000021</v>
      </c>
      <c r="T57" s="315">
        <v>8863</v>
      </c>
      <c r="U57" s="315">
        <f>T57-V57-W57-X57</f>
        <v>5109.5739199999998</v>
      </c>
      <c r="V57" s="315">
        <f t="shared" si="16"/>
        <v>893.07600000000002</v>
      </c>
      <c r="W57" s="315">
        <f t="shared" si="17"/>
        <v>2507.9375900000005</v>
      </c>
      <c r="X57" s="315">
        <f t="shared" si="25"/>
        <v>352.41248999999999</v>
      </c>
      <c r="Y57" s="317"/>
      <c r="Z57" s="318">
        <v>1114293</v>
      </c>
      <c r="AA57" s="319">
        <f t="shared" si="27"/>
        <v>100000</v>
      </c>
      <c r="AB57" s="320">
        <v>8940</v>
      </c>
      <c r="AC57" s="320"/>
      <c r="AD57" s="320"/>
      <c r="AE57" s="320"/>
      <c r="AF57" s="321">
        <v>7083.33</v>
      </c>
      <c r="AG57" s="321">
        <f t="shared" si="0"/>
        <v>53.64</v>
      </c>
      <c r="AI57" s="322">
        <v>60</v>
      </c>
      <c r="AL57" s="321">
        <f t="shared" si="42"/>
        <v>0</v>
      </c>
      <c r="AM57" s="321">
        <f t="shared" si="42"/>
        <v>0</v>
      </c>
      <c r="AT57" s="323">
        <f t="shared" si="26"/>
        <v>7136.97</v>
      </c>
      <c r="AU57" s="338"/>
      <c r="AV57" s="338"/>
      <c r="AW57" s="307"/>
      <c r="AX57" s="325">
        <v>2192.9299999999998</v>
      </c>
      <c r="AY57" s="326">
        <f t="shared" si="28"/>
        <v>8863</v>
      </c>
      <c r="AZ57" s="326">
        <f t="shared" si="31"/>
        <v>50174</v>
      </c>
      <c r="BA57" s="325">
        <f t="shared" si="34"/>
        <v>43091.906000000003</v>
      </c>
      <c r="BB57" s="325">
        <f t="shared" si="37"/>
        <v>200.696</v>
      </c>
      <c r="BC57" s="322">
        <v>215</v>
      </c>
      <c r="BD57" s="340"/>
      <c r="BE57" s="340"/>
      <c r="BF57" s="327">
        <f t="shared" si="41"/>
        <v>45485.532000000007</v>
      </c>
      <c r="BG57" s="317"/>
      <c r="BH57" s="328" t="s">
        <v>175</v>
      </c>
      <c r="BI57" s="313">
        <f>O57</f>
        <v>52610</v>
      </c>
      <c r="BJ57" s="321">
        <v>0.04</v>
      </c>
      <c r="BK57" s="329">
        <f t="shared" si="7"/>
        <v>2104.4</v>
      </c>
      <c r="BL57" s="330">
        <v>3399.52</v>
      </c>
      <c r="BM57" s="342">
        <v>66838.210000000021</v>
      </c>
      <c r="BN57" s="317"/>
      <c r="BO57" s="332">
        <f t="shared" si="1"/>
        <v>1114293</v>
      </c>
      <c r="BP57" s="333">
        <f t="shared" si="35"/>
        <v>32194.397655228466</v>
      </c>
      <c r="BQ57" s="321">
        <f t="shared" si="36"/>
        <v>20428.104344771542</v>
      </c>
      <c r="BR57" s="334">
        <f t="shared" si="20"/>
        <v>52622.502000000008</v>
      </c>
      <c r="BS57" s="335" t="str">
        <f t="shared" si="9"/>
        <v>E194CC-2406-1</v>
      </c>
      <c r="BT57" s="336">
        <f t="shared" si="43"/>
        <v>3622.6326372623998</v>
      </c>
      <c r="BU57" s="336">
        <f t="shared" si="44"/>
        <v>1881.2873627376005</v>
      </c>
      <c r="BV57" s="334">
        <f t="shared" si="45"/>
        <v>5503.92</v>
      </c>
      <c r="BW57" s="317"/>
    </row>
    <row r="58" spans="1:75" s="322" customFormat="1" x14ac:dyDescent="0.25">
      <c r="A58" s="306">
        <f t="shared" si="29"/>
        <v>45474</v>
      </c>
      <c r="B58" s="322">
        <v>39.090000000000003</v>
      </c>
      <c r="C58" s="308">
        <v>100000</v>
      </c>
      <c r="D58" s="309">
        <v>6.0000000000000001E-3</v>
      </c>
      <c r="E58" s="310">
        <v>6.0000000000000001E-3</v>
      </c>
      <c r="F58" s="310">
        <v>4.1000000000000002E-2</v>
      </c>
      <c r="G58" s="311">
        <v>4.8620000000000001</v>
      </c>
      <c r="H58" s="311">
        <v>4.0000000000000001E-3</v>
      </c>
      <c r="I58" s="312">
        <v>3.8700000000000002E-3</v>
      </c>
      <c r="J58" s="313">
        <f t="shared" si="39"/>
        <v>63871</v>
      </c>
      <c r="K58" s="313">
        <v>7743</v>
      </c>
      <c r="L58" s="313">
        <v>14858</v>
      </c>
      <c r="M58" s="313">
        <v>40680</v>
      </c>
      <c r="N58" s="314">
        <v>590</v>
      </c>
      <c r="O58" s="315">
        <v>63342</v>
      </c>
      <c r="P58" s="315">
        <f t="shared" si="14"/>
        <v>7477.4587965000019</v>
      </c>
      <c r="Q58" s="315">
        <v>14748.899670720002</v>
      </c>
      <c r="R58" s="315">
        <v>40477.97629164</v>
      </c>
      <c r="S58" s="316">
        <v>637.66524114000015</v>
      </c>
      <c r="T58" s="315">
        <v>8863</v>
      </c>
      <c r="U58" s="315">
        <f>T58-V58-W58-X58</f>
        <v>5117.2398399999993</v>
      </c>
      <c r="V58" s="315">
        <f t="shared" si="16"/>
        <v>891.25200000000007</v>
      </c>
      <c r="W58" s="315">
        <f t="shared" si="17"/>
        <v>2502.8154300000001</v>
      </c>
      <c r="X58" s="315">
        <f t="shared" si="25"/>
        <v>351.69273000000004</v>
      </c>
      <c r="Y58" s="317"/>
      <c r="Z58" s="318">
        <v>1117934</v>
      </c>
      <c r="AA58" s="319">
        <f t="shared" si="27"/>
        <v>100000</v>
      </c>
      <c r="AB58" s="320">
        <v>6626</v>
      </c>
      <c r="AC58" s="320"/>
      <c r="AD58" s="320"/>
      <c r="AE58" s="320"/>
      <c r="AF58" s="321">
        <v>7083.33</v>
      </c>
      <c r="AG58" s="321">
        <f t="shared" si="0"/>
        <v>39.756</v>
      </c>
      <c r="AI58" s="322">
        <v>34</v>
      </c>
      <c r="AL58" s="321">
        <f t="shared" si="42"/>
        <v>0</v>
      </c>
      <c r="AM58" s="321">
        <f t="shared" si="42"/>
        <v>0</v>
      </c>
      <c r="AT58" s="323">
        <f t="shared" si="26"/>
        <v>7123.0860000000002</v>
      </c>
      <c r="AU58" s="338"/>
      <c r="AV58" s="338"/>
      <c r="AW58" s="307"/>
      <c r="AX58" s="325">
        <v>2192.9299999999998</v>
      </c>
      <c r="AY58" s="326">
        <f t="shared" si="28"/>
        <v>8863</v>
      </c>
      <c r="AZ58" s="326">
        <f t="shared" si="31"/>
        <v>63871</v>
      </c>
      <c r="BA58" s="325">
        <f t="shared" si="34"/>
        <v>43091.906000000003</v>
      </c>
      <c r="BB58" s="325">
        <f t="shared" si="37"/>
        <v>255.48400000000001</v>
      </c>
      <c r="BC58" s="322">
        <v>245</v>
      </c>
      <c r="BD58" s="340"/>
      <c r="BE58" s="340"/>
      <c r="BF58" s="327">
        <f t="shared" si="41"/>
        <v>45540.32</v>
      </c>
      <c r="BG58" s="317"/>
      <c r="BH58" s="328" t="s">
        <v>175</v>
      </c>
      <c r="BI58" s="313">
        <f>O58</f>
        <v>63342</v>
      </c>
      <c r="BJ58" s="321">
        <v>0.04</v>
      </c>
      <c r="BK58" s="329">
        <f t="shared" si="7"/>
        <v>2533.6799999999998</v>
      </c>
      <c r="BL58" s="330">
        <v>3399.52</v>
      </c>
      <c r="BM58" s="331">
        <v>60905.010000000024</v>
      </c>
      <c r="BN58" s="317"/>
      <c r="BO58" s="332">
        <f t="shared" si="1"/>
        <v>1117934</v>
      </c>
      <c r="BP58" s="333">
        <f t="shared" si="35"/>
        <v>32299.924213617312</v>
      </c>
      <c r="BQ58" s="321">
        <f t="shared" si="36"/>
        <v>20363.481786382683</v>
      </c>
      <c r="BR58" s="334">
        <f t="shared" si="20"/>
        <v>52663.405999999995</v>
      </c>
      <c r="BS58" s="335" t="str">
        <f t="shared" si="9"/>
        <v>E194CC-2406-1</v>
      </c>
      <c r="BT58" s="336">
        <f t="shared" si="43"/>
        <v>3698.6183518600001</v>
      </c>
      <c r="BU58" s="336">
        <f t="shared" si="44"/>
        <v>2234.5816481400002</v>
      </c>
      <c r="BV58" s="334">
        <f t="shared" si="45"/>
        <v>5933.2000000000007</v>
      </c>
      <c r="BW58" s="317"/>
    </row>
    <row r="59" spans="1:75" s="322" customFormat="1" x14ac:dyDescent="0.25">
      <c r="A59" s="306">
        <f t="shared" si="29"/>
        <v>45505</v>
      </c>
      <c r="B59" s="322">
        <v>39.090000000000003</v>
      </c>
      <c r="C59" s="308">
        <v>100000</v>
      </c>
      <c r="D59" s="309">
        <v>6.0000000000000001E-3</v>
      </c>
      <c r="E59" s="310">
        <v>6.0000000000000001E-3</v>
      </c>
      <c r="F59" s="310">
        <v>4.1000000000000002E-2</v>
      </c>
      <c r="G59" s="311">
        <v>4.8620000000000001</v>
      </c>
      <c r="H59" s="311">
        <v>4.0000000000000001E-3</v>
      </c>
      <c r="I59" s="312">
        <v>3.8700000000000002E-3</v>
      </c>
      <c r="J59" s="313">
        <f t="shared" si="39"/>
        <v>64160</v>
      </c>
      <c r="K59" s="313">
        <v>6797</v>
      </c>
      <c r="L59" s="313">
        <v>16088</v>
      </c>
      <c r="M59" s="313">
        <v>40645</v>
      </c>
      <c r="N59" s="314">
        <v>630</v>
      </c>
      <c r="O59" s="315">
        <v>63523</v>
      </c>
      <c r="P59" s="315">
        <f t="shared" si="14"/>
        <v>6085.7714660199954</v>
      </c>
      <c r="Q59" s="315">
        <v>16077.093592679999</v>
      </c>
      <c r="R59" s="315">
        <v>40711.456483560003</v>
      </c>
      <c r="S59" s="316">
        <v>648.67845774</v>
      </c>
      <c r="T59" s="315">
        <v>8863</v>
      </c>
      <c r="U59" s="315">
        <f>T59-V59-W59-X59</f>
        <v>5117.2398399999993</v>
      </c>
      <c r="V59" s="315">
        <f t="shared" si="16"/>
        <v>891.25200000000007</v>
      </c>
      <c r="W59" s="315">
        <f t="shared" si="17"/>
        <v>2502.8154300000001</v>
      </c>
      <c r="X59" s="315">
        <f t="shared" si="25"/>
        <v>351.69273000000004</v>
      </c>
      <c r="Y59" s="317"/>
      <c r="Z59" s="318">
        <v>1122672</v>
      </c>
      <c r="AA59" s="319">
        <f t="shared" si="27"/>
        <v>100000</v>
      </c>
      <c r="AB59" s="320">
        <v>12098</v>
      </c>
      <c r="AC59" s="320"/>
      <c r="AD59" s="320"/>
      <c r="AE59" s="320"/>
      <c r="AF59" s="321">
        <v>7083.33</v>
      </c>
      <c r="AG59" s="321">
        <f t="shared" si="0"/>
        <v>72.588000000000008</v>
      </c>
      <c r="AI59" s="322">
        <v>60</v>
      </c>
      <c r="AL59" s="321">
        <f t="shared" si="42"/>
        <v>0</v>
      </c>
      <c r="AM59" s="321">
        <f t="shared" si="42"/>
        <v>0</v>
      </c>
      <c r="AT59" s="323">
        <f t="shared" si="26"/>
        <v>7155.9179999999997</v>
      </c>
      <c r="AU59" s="338"/>
      <c r="AV59" s="338"/>
      <c r="AW59" s="307"/>
      <c r="AX59" s="325">
        <v>2192.9299999999998</v>
      </c>
      <c r="AY59" s="326">
        <f t="shared" si="28"/>
        <v>8863</v>
      </c>
      <c r="AZ59" s="326">
        <f t="shared" si="31"/>
        <v>64160</v>
      </c>
      <c r="BA59" s="325">
        <f t="shared" si="34"/>
        <v>43091.906000000003</v>
      </c>
      <c r="BB59" s="325">
        <f t="shared" si="37"/>
        <v>256.64</v>
      </c>
      <c r="BC59" s="322">
        <v>251</v>
      </c>
      <c r="BD59" s="325"/>
      <c r="BE59" s="325"/>
      <c r="BF59" s="327">
        <f t="shared" si="41"/>
        <v>45541.476000000002</v>
      </c>
      <c r="BG59" s="317"/>
      <c r="BH59" s="328" t="s">
        <v>176</v>
      </c>
      <c r="BI59" s="313">
        <f>O59</f>
        <v>63523</v>
      </c>
      <c r="BJ59" s="321">
        <v>0.04</v>
      </c>
      <c r="BK59" s="329">
        <f t="shared" si="7"/>
        <v>2540.92</v>
      </c>
      <c r="BL59" s="330">
        <v>3532.1</v>
      </c>
      <c r="BM59" s="331">
        <v>54831.990000000027</v>
      </c>
      <c r="BN59" s="317"/>
      <c r="BO59" s="332">
        <f t="shared" si="1"/>
        <v>1122672</v>
      </c>
      <c r="BP59" s="333">
        <f t="shared" si="35"/>
        <v>32295.441332909169</v>
      </c>
      <c r="BQ59" s="321">
        <f t="shared" si="36"/>
        <v>20401.952667090827</v>
      </c>
      <c r="BR59" s="334">
        <f t="shared" si="20"/>
        <v>52697.394</v>
      </c>
      <c r="BS59" s="335" t="str">
        <f t="shared" si="9"/>
        <v>E194CC-2408-1</v>
      </c>
      <c r="BT59" s="336">
        <f t="shared" si="43"/>
        <v>3775.5308586407996</v>
      </c>
      <c r="BU59" s="336">
        <f t="shared" si="44"/>
        <v>2297.4891413592004</v>
      </c>
      <c r="BV59" s="334">
        <f t="shared" si="45"/>
        <v>6073.02</v>
      </c>
      <c r="BW59" s="317"/>
    </row>
    <row r="60" spans="1:75" s="322" customFormat="1" x14ac:dyDescent="0.25">
      <c r="A60" s="306">
        <f t="shared" si="29"/>
        <v>45536</v>
      </c>
      <c r="B60" s="322">
        <v>39.090000000000003</v>
      </c>
      <c r="C60" s="308">
        <v>100000</v>
      </c>
      <c r="D60" s="309">
        <v>6.0000000000000001E-3</v>
      </c>
      <c r="E60" s="310">
        <v>6.0000000000000001E-3</v>
      </c>
      <c r="F60" s="310">
        <v>4.1000000000000002E-2</v>
      </c>
      <c r="G60" s="311">
        <v>4.8620000000000001</v>
      </c>
      <c r="H60" s="311">
        <v>4.0000000000000001E-3</v>
      </c>
      <c r="I60" s="312">
        <v>3.8700000000000002E-3</v>
      </c>
      <c r="J60" s="313">
        <f t="shared" si="39"/>
        <v>62483</v>
      </c>
      <c r="K60" s="313">
        <v>6910</v>
      </c>
      <c r="L60" s="313">
        <v>15663</v>
      </c>
      <c r="M60" s="313">
        <v>39310</v>
      </c>
      <c r="N60" s="314">
        <v>600</v>
      </c>
      <c r="O60" s="315">
        <v>62091</v>
      </c>
      <c r="P60" s="315">
        <f t="shared" si="14"/>
        <v>6669.1901038199994</v>
      </c>
      <c r="Q60" s="315">
        <v>15581.49884568</v>
      </c>
      <c r="R60" s="315">
        <v>39296.258150460002</v>
      </c>
      <c r="S60" s="316">
        <v>544.05290004000017</v>
      </c>
      <c r="T60" s="315">
        <v>8863</v>
      </c>
      <c r="U60" s="315">
        <v>6413.5112474437619</v>
      </c>
      <c r="V60" s="315">
        <f t="shared" si="16"/>
        <v>891.25200000000007</v>
      </c>
      <c r="W60" s="315">
        <f t="shared" si="17"/>
        <v>2502.8154300000001</v>
      </c>
      <c r="X60" s="315">
        <f t="shared" si="25"/>
        <v>351.69273000000004</v>
      </c>
      <c r="Y60" s="317"/>
      <c r="Z60" s="318">
        <v>1126549</v>
      </c>
      <c r="AA60" s="319">
        <f t="shared" si="27"/>
        <v>100000</v>
      </c>
      <c r="AB60" s="320">
        <v>12030</v>
      </c>
      <c r="AC60" s="320"/>
      <c r="AD60" s="320"/>
      <c r="AE60" s="320"/>
      <c r="AF60" s="321">
        <v>7083.33</v>
      </c>
      <c r="AG60" s="321">
        <f t="shared" si="0"/>
        <v>72.180000000000007</v>
      </c>
      <c r="AI60" s="322">
        <v>60</v>
      </c>
      <c r="AL60" s="321">
        <f t="shared" si="42"/>
        <v>0</v>
      </c>
      <c r="AM60" s="321">
        <f t="shared" si="42"/>
        <v>0</v>
      </c>
      <c r="AT60" s="323">
        <f t="shared" si="26"/>
        <v>7155.51</v>
      </c>
      <c r="AU60" s="338"/>
      <c r="AV60" s="338"/>
      <c r="AW60" s="307"/>
      <c r="AX60" s="325">
        <v>2192.9299999999998</v>
      </c>
      <c r="AY60" s="326">
        <f t="shared" si="28"/>
        <v>8863</v>
      </c>
      <c r="AZ60" s="326">
        <f t="shared" si="31"/>
        <v>62483</v>
      </c>
      <c r="BA60" s="325">
        <f t="shared" si="34"/>
        <v>43091.906000000003</v>
      </c>
      <c r="BB60" s="325">
        <f t="shared" si="37"/>
        <v>249.93200000000002</v>
      </c>
      <c r="BC60" s="322">
        <v>239</v>
      </c>
      <c r="BD60" s="325"/>
      <c r="BE60" s="325"/>
      <c r="BF60" s="327">
        <f t="shared" si="41"/>
        <v>45534.768000000004</v>
      </c>
      <c r="BG60" s="317"/>
      <c r="BH60" s="328" t="s">
        <v>177</v>
      </c>
      <c r="BI60" s="313">
        <v>62091</v>
      </c>
      <c r="BJ60" s="321">
        <v>0.04</v>
      </c>
      <c r="BK60" s="329">
        <f t="shared" si="7"/>
        <v>2483.64</v>
      </c>
      <c r="BL60" s="330">
        <v>3532.1</v>
      </c>
      <c r="BM60" s="331">
        <v>48816.250000000029</v>
      </c>
      <c r="BN60" s="317"/>
      <c r="BO60" s="332">
        <f t="shared" si="1"/>
        <v>1126549</v>
      </c>
      <c r="BP60" s="333">
        <f t="shared" si="35"/>
        <v>32305.686407315017</v>
      </c>
      <c r="BQ60" s="321">
        <f t="shared" si="36"/>
        <v>20384.591592684978</v>
      </c>
      <c r="BR60" s="334">
        <f t="shared" si="20"/>
        <v>52690.277999999991</v>
      </c>
      <c r="BS60" s="335" t="str">
        <f t="shared" si="9"/>
        <v>E194CC-2409-1</v>
      </c>
      <c r="BT60" s="336">
        <f t="shared" si="43"/>
        <v>3798.8676041527997</v>
      </c>
      <c r="BU60" s="336">
        <f t="shared" si="44"/>
        <v>2216.8723958472001</v>
      </c>
      <c r="BV60" s="334">
        <f t="shared" si="45"/>
        <v>6015.74</v>
      </c>
      <c r="BW60" s="317"/>
    </row>
    <row r="61" spans="1:75" s="322" customFormat="1" x14ac:dyDescent="0.25">
      <c r="A61" s="306">
        <f t="shared" si="29"/>
        <v>45566</v>
      </c>
      <c r="B61" s="322">
        <v>39.090000000000003</v>
      </c>
      <c r="C61" s="308">
        <v>100000</v>
      </c>
      <c r="D61" s="309">
        <v>6.0000000000000001E-3</v>
      </c>
      <c r="E61" s="310">
        <v>6.0000000000000001E-3</v>
      </c>
      <c r="F61" s="310">
        <v>4.1000000000000002E-2</v>
      </c>
      <c r="G61" s="311">
        <v>4.8620000000000001</v>
      </c>
      <c r="H61" s="311">
        <v>4.0000000000000001E-3</v>
      </c>
      <c r="I61" s="312">
        <v>3.8700000000000002E-3</v>
      </c>
      <c r="J61" s="313">
        <f t="shared" si="39"/>
        <v>117888</v>
      </c>
      <c r="K61" s="313">
        <v>52144</v>
      </c>
      <c r="L61" s="313">
        <v>15598</v>
      </c>
      <c r="M61" s="313">
        <v>49426</v>
      </c>
      <c r="N61" s="314">
        <v>720</v>
      </c>
      <c r="O61" s="315">
        <v>117602</v>
      </c>
      <c r="P61" s="315">
        <f t="shared" si="14"/>
        <v>51778.207025120006</v>
      </c>
      <c r="Q61" s="315">
        <v>15820.485645900002</v>
      </c>
      <c r="R61" s="315">
        <v>49320.487899779997</v>
      </c>
      <c r="S61" s="316">
        <v>682.81942920000006</v>
      </c>
      <c r="T61" s="315">
        <v>8863</v>
      </c>
      <c r="U61" s="315">
        <v>6413.5112474437619</v>
      </c>
      <c r="V61" s="315">
        <f t="shared" si="16"/>
        <v>891.25200000000007</v>
      </c>
      <c r="W61" s="315">
        <f t="shared" si="17"/>
        <v>2502.8154300000001</v>
      </c>
      <c r="X61" s="315">
        <f t="shared" si="25"/>
        <v>351.69273000000004</v>
      </c>
      <c r="Y61" s="317"/>
      <c r="Z61" s="318">
        <v>1131648</v>
      </c>
      <c r="AA61" s="319">
        <f t="shared" si="27"/>
        <v>100000</v>
      </c>
      <c r="AB61" s="320"/>
      <c r="AC61" s="320"/>
      <c r="AD61" s="320"/>
      <c r="AE61" s="320"/>
      <c r="AF61" s="321">
        <v>7083.33</v>
      </c>
      <c r="AG61" s="321">
        <f t="shared" si="0"/>
        <v>0</v>
      </c>
      <c r="AL61" s="321">
        <f t="shared" si="42"/>
        <v>0</v>
      </c>
      <c r="AM61" s="321">
        <f t="shared" si="42"/>
        <v>0</v>
      </c>
      <c r="AT61" s="323">
        <f t="shared" si="26"/>
        <v>7083.33</v>
      </c>
      <c r="AU61" s="338"/>
      <c r="AV61" s="338"/>
      <c r="AW61" s="307"/>
      <c r="AX61" s="325">
        <v>2192.9299999999998</v>
      </c>
      <c r="AY61" s="326">
        <f t="shared" si="28"/>
        <v>8863</v>
      </c>
      <c r="AZ61" s="326">
        <f t="shared" si="31"/>
        <v>117888</v>
      </c>
      <c r="BA61" s="325">
        <f t="shared" si="34"/>
        <v>43091.906000000003</v>
      </c>
      <c r="BB61" s="325">
        <f t="shared" si="37"/>
        <v>471.55200000000002</v>
      </c>
      <c r="BC61" s="322">
        <v>458</v>
      </c>
      <c r="BD61" s="325"/>
      <c r="BE61" s="325"/>
      <c r="BF61" s="327">
        <f t="shared" si="41"/>
        <v>45756.388000000006</v>
      </c>
      <c r="BG61" s="317"/>
      <c r="BH61" s="328" t="s">
        <v>178</v>
      </c>
      <c r="BI61" s="313">
        <v>117602</v>
      </c>
      <c r="BJ61" s="321">
        <v>0.04</v>
      </c>
      <c r="BK61" s="329">
        <f t="shared" si="7"/>
        <v>4704.08</v>
      </c>
      <c r="BL61" s="330">
        <v>3532.1</v>
      </c>
      <c r="BM61" s="331">
        <v>40580.070000000029</v>
      </c>
      <c r="BN61" s="317"/>
      <c r="BO61" s="332">
        <f t="shared" si="1"/>
        <v>1131648</v>
      </c>
      <c r="BP61" s="333">
        <f t="shared" si="35"/>
        <v>33141.898804305834</v>
      </c>
      <c r="BQ61" s="321">
        <f t="shared" si="36"/>
        <v>19697.819195694159</v>
      </c>
      <c r="BR61" s="334">
        <f t="shared" si="20"/>
        <v>52839.717999999993</v>
      </c>
      <c r="BS61" s="335" t="str">
        <f t="shared" si="9"/>
        <v>E194CC-2410-1</v>
      </c>
      <c r="BT61" s="336">
        <f t="shared" si="43"/>
        <v>5603.2282810048</v>
      </c>
      <c r="BU61" s="336">
        <f t="shared" si="44"/>
        <v>2632.9517189951998</v>
      </c>
      <c r="BV61" s="334">
        <f t="shared" si="45"/>
        <v>8236.18</v>
      </c>
      <c r="BW61" s="317"/>
    </row>
    <row r="62" spans="1:75" s="322" customFormat="1" x14ac:dyDescent="0.25">
      <c r="A62" s="306">
        <f t="shared" si="29"/>
        <v>45597</v>
      </c>
      <c r="B62" s="322">
        <v>39.090000000000003</v>
      </c>
      <c r="C62" s="308">
        <v>100000</v>
      </c>
      <c r="D62" s="309">
        <v>6.0000000000000001E-3</v>
      </c>
      <c r="E62" s="310">
        <v>6.0000000000000001E-3</v>
      </c>
      <c r="F62" s="310">
        <v>4.1000000000000002E-2</v>
      </c>
      <c r="G62" s="311">
        <v>4.8620000000000001</v>
      </c>
      <c r="H62" s="311">
        <v>4.0000000000000001E-3</v>
      </c>
      <c r="I62" s="312">
        <v>8.6899999999999998E-3</v>
      </c>
      <c r="J62" s="313">
        <f t="shared" si="39"/>
        <v>108772</v>
      </c>
      <c r="K62" s="313">
        <v>44016</v>
      </c>
      <c r="L62" s="313">
        <v>16200</v>
      </c>
      <c r="M62" s="313">
        <v>47196</v>
      </c>
      <c r="N62" s="314">
        <v>1360</v>
      </c>
      <c r="O62" s="315">
        <v>110283</v>
      </c>
      <c r="P62" s="315">
        <f t="shared" si="14"/>
        <v>45089.163014639991</v>
      </c>
      <c r="Q62" s="315">
        <v>16435.023132180002</v>
      </c>
      <c r="R62" s="315">
        <v>47274.232255499999</v>
      </c>
      <c r="S62" s="316">
        <v>1484.5815976800002</v>
      </c>
      <c r="T62" s="315">
        <v>8863</v>
      </c>
      <c r="U62" s="315">
        <v>6413.5112474437619</v>
      </c>
      <c r="V62" s="315">
        <f t="shared" si="16"/>
        <v>891.25200000000007</v>
      </c>
      <c r="W62" s="315">
        <f t="shared" si="17"/>
        <v>2502.8154300000001</v>
      </c>
      <c r="X62" s="315">
        <f t="shared" si="25"/>
        <v>351.69273000000004</v>
      </c>
      <c r="Y62" s="317"/>
      <c r="Z62" s="318">
        <v>1136316</v>
      </c>
      <c r="AA62" s="319">
        <f t="shared" si="27"/>
        <v>100000</v>
      </c>
      <c r="AB62" s="320"/>
      <c r="AC62" s="320"/>
      <c r="AD62" s="320">
        <v>4800</v>
      </c>
      <c r="AE62" s="320"/>
      <c r="AF62" s="321">
        <v>7083.33</v>
      </c>
      <c r="AG62" s="321">
        <f t="shared" si="0"/>
        <v>0</v>
      </c>
      <c r="AL62" s="321">
        <f t="shared" si="42"/>
        <v>28.8</v>
      </c>
      <c r="AM62" s="321">
        <f t="shared" si="42"/>
        <v>0</v>
      </c>
      <c r="AN62" s="322">
        <v>28</v>
      </c>
      <c r="AT62" s="323">
        <f t="shared" si="26"/>
        <v>7112.13</v>
      </c>
      <c r="AU62" s="338"/>
      <c r="AV62" s="338"/>
      <c r="AW62" s="307"/>
      <c r="AX62" s="325">
        <v>2192.9299999999998</v>
      </c>
      <c r="AY62" s="326">
        <f t="shared" si="28"/>
        <v>8863</v>
      </c>
      <c r="AZ62" s="326">
        <f t="shared" si="31"/>
        <v>108772</v>
      </c>
      <c r="BA62" s="325">
        <f t="shared" si="34"/>
        <v>43091.906000000003</v>
      </c>
      <c r="BB62" s="325">
        <f t="shared" si="37"/>
        <v>435.08800000000002</v>
      </c>
      <c r="BC62" s="322">
        <v>944</v>
      </c>
      <c r="BD62" s="325"/>
      <c r="BE62" s="325"/>
      <c r="BF62" s="327">
        <f t="shared" si="41"/>
        <v>45719.924000000006</v>
      </c>
      <c r="BG62" s="317"/>
      <c r="BH62" s="328" t="s">
        <v>179</v>
      </c>
      <c r="BI62" s="313">
        <v>110283</v>
      </c>
      <c r="BJ62" s="321">
        <v>0.04</v>
      </c>
      <c r="BK62" s="329">
        <f t="shared" si="7"/>
        <v>4411.32</v>
      </c>
      <c r="BL62" s="330">
        <v>3532.1</v>
      </c>
      <c r="BM62" s="331">
        <v>32636.650000000031</v>
      </c>
      <c r="BN62" s="317"/>
      <c r="BO62" s="332">
        <f t="shared" si="1"/>
        <v>1136316</v>
      </c>
      <c r="BP62" s="333">
        <f t="shared" si="35"/>
        <v>33055.611657333182</v>
      </c>
      <c r="BQ62" s="321">
        <f t="shared" si="36"/>
        <v>19776.442342666811</v>
      </c>
      <c r="BR62" s="334">
        <f t="shared" si="20"/>
        <v>52832.053999999989</v>
      </c>
      <c r="BS62" s="335" t="str">
        <f t="shared" si="9"/>
        <v>E194CC-2411-1</v>
      </c>
      <c r="BT62" s="336">
        <f t="shared" si="43"/>
        <v>5335.6665205855998</v>
      </c>
      <c r="BU62" s="336">
        <f t="shared" si="44"/>
        <v>2607.7534794144003</v>
      </c>
      <c r="BV62" s="334">
        <f t="shared" si="45"/>
        <v>7943.42</v>
      </c>
      <c r="BW62" s="317"/>
    </row>
    <row r="63" spans="1:75" s="322" customFormat="1" x14ac:dyDescent="0.25">
      <c r="A63" s="306">
        <f t="shared" si="29"/>
        <v>45627</v>
      </c>
      <c r="B63" s="322">
        <v>39.090000000000003</v>
      </c>
      <c r="C63" s="308">
        <v>100000</v>
      </c>
      <c r="D63" s="309">
        <v>6.0000000000000001E-3</v>
      </c>
      <c r="E63" s="310">
        <v>6.0000000000000001E-3</v>
      </c>
      <c r="F63" s="310">
        <v>4.1000000000000002E-2</v>
      </c>
      <c r="G63" s="311">
        <v>4.8620000000000001</v>
      </c>
      <c r="H63" s="311">
        <v>4.0000000000000001E-3</v>
      </c>
      <c r="I63" s="312">
        <v>8.6899999999999998E-3</v>
      </c>
      <c r="J63" s="313">
        <f t="shared" si="39"/>
        <v>143577</v>
      </c>
      <c r="K63" s="313">
        <v>67757</v>
      </c>
      <c r="L63" s="313">
        <v>18550</v>
      </c>
      <c r="M63" s="313">
        <v>54490</v>
      </c>
      <c r="N63" s="314">
        <v>2780</v>
      </c>
      <c r="O63" s="315">
        <v>141664</v>
      </c>
      <c r="P63" s="315">
        <f t="shared" si="14"/>
        <v>66434.920048720014</v>
      </c>
      <c r="Q63" s="315">
        <v>18314.979205800002</v>
      </c>
      <c r="R63" s="315">
        <v>54275.334048119985</v>
      </c>
      <c r="S63" s="316">
        <v>2638.7666973600003</v>
      </c>
      <c r="T63" s="315">
        <v>8863</v>
      </c>
      <c r="U63" s="315">
        <v>6413.5112474437619</v>
      </c>
      <c r="V63" s="315">
        <f t="shared" si="16"/>
        <v>891.25200000000007</v>
      </c>
      <c r="W63" s="315">
        <f t="shared" si="17"/>
        <v>2502.8154300000001</v>
      </c>
      <c r="X63" s="315">
        <f t="shared" si="25"/>
        <v>351.69273000000004</v>
      </c>
      <c r="Y63" s="317"/>
      <c r="Z63" s="318">
        <v>1140946</v>
      </c>
      <c r="AA63" s="319">
        <f t="shared" si="27"/>
        <v>100000</v>
      </c>
      <c r="AB63" s="320"/>
      <c r="AC63" s="320"/>
      <c r="AD63" s="320">
        <v>19000</v>
      </c>
      <c r="AE63" s="320"/>
      <c r="AF63" s="321">
        <v>7083.33</v>
      </c>
      <c r="AG63" s="321">
        <f t="shared" si="0"/>
        <v>0</v>
      </c>
      <c r="AL63" s="321">
        <f t="shared" si="42"/>
        <v>114</v>
      </c>
      <c r="AM63" s="321">
        <f t="shared" si="42"/>
        <v>0</v>
      </c>
      <c r="AN63" s="322">
        <v>112</v>
      </c>
      <c r="AT63" s="323">
        <f t="shared" si="26"/>
        <v>7197.33</v>
      </c>
      <c r="AU63" s="338"/>
      <c r="AV63" s="338"/>
      <c r="AW63" s="307"/>
      <c r="AX63" s="325">
        <v>2192.9299999999998</v>
      </c>
      <c r="AY63" s="326">
        <f t="shared" si="28"/>
        <v>8863</v>
      </c>
      <c r="AZ63" s="326">
        <f t="shared" si="31"/>
        <v>143577</v>
      </c>
      <c r="BA63" s="325">
        <f t="shared" si="34"/>
        <v>43091.906000000003</v>
      </c>
      <c r="BB63" s="325">
        <f t="shared" si="37"/>
        <v>574.30799999999999</v>
      </c>
      <c r="BC63" s="322">
        <v>1251</v>
      </c>
      <c r="BD63" s="325"/>
      <c r="BE63" s="325"/>
      <c r="BF63" s="327">
        <f t="shared" si="41"/>
        <v>45859.144</v>
      </c>
      <c r="BG63" s="317"/>
      <c r="BH63" s="328" t="s">
        <v>180</v>
      </c>
      <c r="BI63" s="313">
        <v>141664</v>
      </c>
      <c r="BJ63" s="321">
        <v>0.04</v>
      </c>
      <c r="BK63" s="329">
        <f t="shared" si="7"/>
        <v>5666.56</v>
      </c>
      <c r="BL63" s="330">
        <v>3532.1</v>
      </c>
      <c r="BM63" s="331">
        <v>23437.990000000031</v>
      </c>
      <c r="BN63" s="317"/>
      <c r="BO63" s="332">
        <f t="shared" si="1"/>
        <v>1140946</v>
      </c>
      <c r="BP63" s="333">
        <f t="shared" si="35"/>
        <v>33383.267798967376</v>
      </c>
      <c r="BQ63" s="321">
        <f t="shared" si="36"/>
        <v>19673.206201032615</v>
      </c>
      <c r="BR63" s="334">
        <f t="shared" si="20"/>
        <v>53056.473999999987</v>
      </c>
      <c r="BS63" s="335" t="str">
        <f t="shared" si="9"/>
        <v>E194CC-2412-1</v>
      </c>
      <c r="BT63" s="336">
        <f t="shared" si="43"/>
        <v>6189.4968019488006</v>
      </c>
      <c r="BU63" s="336">
        <f t="shared" si="44"/>
        <v>3009.1631980511993</v>
      </c>
      <c r="BV63" s="334">
        <f t="shared" si="45"/>
        <v>9198.66</v>
      </c>
      <c r="BW63" s="317"/>
    </row>
    <row r="64" spans="1:75" x14ac:dyDescent="0.25">
      <c r="A64" s="50">
        <f t="shared" si="29"/>
        <v>45658</v>
      </c>
      <c r="B64">
        <v>39.090000000000003</v>
      </c>
      <c r="C64" s="18">
        <v>100000</v>
      </c>
      <c r="D64" s="19">
        <v>6.0000000000000001E-3</v>
      </c>
      <c r="E64" s="20">
        <v>6.0000000000000001E-3</v>
      </c>
      <c r="F64" s="20">
        <v>4.1000000000000002E-2</v>
      </c>
      <c r="G64" s="21">
        <v>5.24</v>
      </c>
      <c r="H64" s="21">
        <v>4.0000000000000001E-3</v>
      </c>
      <c r="I64" s="22">
        <v>8.6899999999999998E-3</v>
      </c>
      <c r="J64" s="24">
        <f t="shared" si="39"/>
        <v>165970</v>
      </c>
      <c r="K64" s="24">
        <v>85603</v>
      </c>
      <c r="L64" s="24">
        <v>20755</v>
      </c>
      <c r="M64" s="24">
        <v>56043</v>
      </c>
      <c r="N64" s="29">
        <v>3569</v>
      </c>
      <c r="O64" s="27">
        <v>167118.95397504</v>
      </c>
      <c r="P64" s="26">
        <f t="shared" si="14"/>
        <v>86537.450756160018</v>
      </c>
      <c r="Q64" s="27">
        <v>20769.825185940001</v>
      </c>
      <c r="R64" s="27">
        <v>56155.290121739999</v>
      </c>
      <c r="S64" s="30">
        <v>3656.3879111999995</v>
      </c>
      <c r="T64" s="27">
        <v>8863</v>
      </c>
      <c r="U64" s="27">
        <v>6413.5112474437619</v>
      </c>
      <c r="V64" s="27">
        <f t="shared" si="16"/>
        <v>891.25200000000007</v>
      </c>
      <c r="W64" s="27">
        <f t="shared" si="17"/>
        <v>2502.8154300000001</v>
      </c>
      <c r="X64" s="27">
        <f t="shared" si="25"/>
        <v>351.69273000000004</v>
      </c>
      <c r="Z64" s="163">
        <v>1145727</v>
      </c>
      <c r="AA64" s="165">
        <f t="shared" si="27"/>
        <v>100000</v>
      </c>
      <c r="AB64" s="81">
        <v>500</v>
      </c>
      <c r="AD64" s="81">
        <v>15500</v>
      </c>
      <c r="AF64" s="82">
        <v>7083.33</v>
      </c>
      <c r="AG64" s="82">
        <f t="shared" si="0"/>
        <v>3</v>
      </c>
      <c r="AI64" s="159">
        <v>3</v>
      </c>
      <c r="AL64" s="82">
        <f t="shared" si="42"/>
        <v>93</v>
      </c>
      <c r="AM64" s="82">
        <f t="shared" si="42"/>
        <v>0</v>
      </c>
      <c r="AN64" s="159">
        <v>93</v>
      </c>
      <c r="AT64" s="166">
        <f t="shared" si="26"/>
        <v>7179.33</v>
      </c>
      <c r="AX64" s="133">
        <v>2273.08</v>
      </c>
      <c r="AY64" s="134">
        <f t="shared" si="28"/>
        <v>8863</v>
      </c>
      <c r="AZ64" s="134">
        <v>165970</v>
      </c>
      <c r="BA64" s="133">
        <f t="shared" si="34"/>
        <v>46442.12</v>
      </c>
      <c r="BB64" s="133">
        <f t="shared" si="37"/>
        <v>663.88</v>
      </c>
      <c r="BC64" s="159">
        <v>1437</v>
      </c>
      <c r="BF64" s="137">
        <f t="shared" si="41"/>
        <v>49379.08</v>
      </c>
      <c r="BH64" s="168" t="s">
        <v>181</v>
      </c>
      <c r="BI64" s="173">
        <v>166628</v>
      </c>
      <c r="BJ64" s="126">
        <v>0.04</v>
      </c>
      <c r="BK64" s="127">
        <f t="shared" si="7"/>
        <v>6665.12</v>
      </c>
      <c r="BL64" s="91">
        <v>3532.1</v>
      </c>
      <c r="BM64" s="172">
        <v>13221.131840998432</v>
      </c>
      <c r="BO64" s="128">
        <f t="shared" si="1"/>
        <v>1145727</v>
      </c>
      <c r="BP64" s="132">
        <f t="shared" si="35"/>
        <v>35508.474177880045</v>
      </c>
      <c r="BQ64" s="129">
        <f t="shared" si="36"/>
        <v>21049.935822119955</v>
      </c>
      <c r="BR64" s="97">
        <f t="shared" si="20"/>
        <v>56558.41</v>
      </c>
      <c r="BS64" s="175" t="str">
        <f t="shared" si="9"/>
        <v>E194CC-2501-1</v>
      </c>
      <c r="BT64" s="131">
        <f t="shared" si="43"/>
        <v>6993.5980302464013</v>
      </c>
      <c r="BU64" s="131">
        <f t="shared" si="44"/>
        <v>3223.2601287551997</v>
      </c>
      <c r="BV64" s="97">
        <f t="shared" si="45"/>
        <v>10216.8581590016</v>
      </c>
    </row>
    <row r="65" spans="1:74" x14ac:dyDescent="0.25">
      <c r="A65" s="50">
        <f t="shared" si="29"/>
        <v>45689</v>
      </c>
      <c r="B65">
        <v>39.090000000000003</v>
      </c>
      <c r="C65" s="18">
        <v>100000</v>
      </c>
      <c r="D65" s="19">
        <v>6.0000000000000001E-3</v>
      </c>
      <c r="E65" s="20">
        <v>6.0000000000000001E-3</v>
      </c>
      <c r="F65" s="20">
        <v>4.1000000000000002E-2</v>
      </c>
      <c r="G65" s="21">
        <v>5.24</v>
      </c>
      <c r="H65" s="21">
        <v>4.0000000000000001E-3</v>
      </c>
      <c r="I65" s="22">
        <v>8.6899999999999998E-3</v>
      </c>
      <c r="J65" s="24">
        <v>145149</v>
      </c>
      <c r="K65" s="24">
        <v>73355</v>
      </c>
      <c r="L65" s="24">
        <v>19187</v>
      </c>
      <c r="M65" s="24">
        <v>48580</v>
      </c>
      <c r="N65" s="29">
        <v>4027</v>
      </c>
      <c r="O65" s="27">
        <v>144806</v>
      </c>
      <c r="P65" s="26">
        <v>73145.202227119997</v>
      </c>
      <c r="Q65" s="27">
        <v>18997.798635000003</v>
      </c>
      <c r="R65" s="27">
        <v>48731.280811680001</v>
      </c>
      <c r="S65" s="30">
        <v>3931.7183262000008</v>
      </c>
      <c r="T65" s="27">
        <v>8863</v>
      </c>
      <c r="U65" s="27">
        <v>5117.2398399999993</v>
      </c>
      <c r="V65" s="27">
        <v>891.25200000000007</v>
      </c>
      <c r="W65" s="27">
        <v>2502.8154300000001</v>
      </c>
      <c r="X65" s="27">
        <v>351.69273000000004</v>
      </c>
      <c r="Z65" s="163">
        <v>1151879</v>
      </c>
      <c r="AA65" s="165">
        <v>100000</v>
      </c>
      <c r="AD65" s="81">
        <v>29900</v>
      </c>
      <c r="AF65" s="82">
        <v>7083.33</v>
      </c>
      <c r="AG65" s="82">
        <v>0</v>
      </c>
      <c r="AL65" s="82">
        <v>179.4</v>
      </c>
      <c r="AM65" s="82">
        <v>0</v>
      </c>
      <c r="AN65" s="159">
        <v>175</v>
      </c>
      <c r="AT65" s="166">
        <v>7262.73</v>
      </c>
      <c r="AX65" s="133">
        <v>2273.08</v>
      </c>
      <c r="AY65" s="134">
        <v>8863</v>
      </c>
      <c r="AZ65" s="134">
        <v>145149</v>
      </c>
      <c r="BA65" s="133">
        <v>46442.12</v>
      </c>
      <c r="BB65" s="133">
        <v>580.596</v>
      </c>
      <c r="BC65" s="159">
        <v>1267</v>
      </c>
      <c r="BD65" s="133">
        <v>1630.21</v>
      </c>
      <c r="BF65" s="137">
        <v>50926.006000000001</v>
      </c>
      <c r="BH65" s="168" t="s">
        <v>305</v>
      </c>
      <c r="BI65" s="173">
        <v>144806</v>
      </c>
      <c r="BJ65" s="126">
        <v>0.04</v>
      </c>
      <c r="BK65" s="127">
        <v>5792.24</v>
      </c>
      <c r="BL65" s="91">
        <v>3532.1</v>
      </c>
      <c r="BM65" s="172">
        <v>3896.7918409984322</v>
      </c>
      <c r="BO65" s="128">
        <v>1151879</v>
      </c>
      <c r="BP65" s="132">
        <v>35519.249642501687</v>
      </c>
      <c r="BQ65" s="129">
        <v>21039.276357498307</v>
      </c>
      <c r="BR65" s="97">
        <v>56558.525999999998</v>
      </c>
      <c r="BS65" s="175" t="s">
        <v>305</v>
      </c>
      <c r="BT65" s="131">
        <v>6457.9080890847999</v>
      </c>
      <c r="BU65" s="131">
        <v>2866.4319109152002</v>
      </c>
      <c r="BV65" s="97">
        <v>9324.34</v>
      </c>
    </row>
    <row r="66" spans="1:74" x14ac:dyDescent="0.25">
      <c r="A66" s="50">
        <f t="shared" si="29"/>
        <v>45717</v>
      </c>
      <c r="B66">
        <v>39.090000000000003</v>
      </c>
      <c r="C66" s="18">
        <v>100000</v>
      </c>
      <c r="D66" s="19">
        <v>6.0000000000000001E-3</v>
      </c>
      <c r="E66" s="20">
        <v>6.0000000000000001E-3</v>
      </c>
      <c r="F66" s="20">
        <v>4.1000000000000002E-2</v>
      </c>
      <c r="G66" s="21">
        <v>5.24</v>
      </c>
      <c r="H66" s="21">
        <v>4.0000000000000001E-3</v>
      </c>
      <c r="I66" s="22">
        <v>8.6899999999999998E-3</v>
      </c>
      <c r="J66" s="24">
        <v>131156</v>
      </c>
      <c r="K66" s="24">
        <v>55670</v>
      </c>
      <c r="L66" s="24">
        <v>17758</v>
      </c>
      <c r="M66" s="24">
        <v>54415</v>
      </c>
      <c r="N66" s="29">
        <v>3313</v>
      </c>
      <c r="O66" s="27">
        <v>131929</v>
      </c>
      <c r="P66" s="26">
        <v>56151.461862040007</v>
      </c>
      <c r="Q66" s="27">
        <v>18046.256720759997</v>
      </c>
      <c r="R66" s="27">
        <v>54406.391325659999</v>
      </c>
      <c r="S66" s="30">
        <v>3324.89009154</v>
      </c>
      <c r="T66" s="27">
        <v>8863</v>
      </c>
      <c r="U66" s="27">
        <v>5117.2398399999993</v>
      </c>
      <c r="V66" s="27">
        <v>891.25200000000007</v>
      </c>
      <c r="W66" s="27">
        <v>2502.8154300000001</v>
      </c>
      <c r="X66" s="27">
        <v>351.69273000000004</v>
      </c>
      <c r="Z66" s="163">
        <v>1157485</v>
      </c>
      <c r="AA66" s="165">
        <v>100000</v>
      </c>
      <c r="AB66" s="81">
        <v>497</v>
      </c>
      <c r="AD66" s="81">
        <v>22900</v>
      </c>
      <c r="AF66" s="82">
        <v>7083.33</v>
      </c>
      <c r="AG66" s="82">
        <v>2.9820000000000002</v>
      </c>
      <c r="AI66" s="159">
        <v>3</v>
      </c>
      <c r="AL66" s="82">
        <v>137.4</v>
      </c>
      <c r="AM66" s="82">
        <v>0</v>
      </c>
      <c r="AN66" s="159">
        <v>139</v>
      </c>
      <c r="AT66" s="166">
        <v>7223.7119999999995</v>
      </c>
      <c r="AX66" s="133">
        <v>2273.08</v>
      </c>
      <c r="AY66" s="134">
        <v>8863</v>
      </c>
      <c r="AZ66" s="134">
        <v>131156</v>
      </c>
      <c r="BA66" s="133">
        <v>46442.12</v>
      </c>
      <c r="BB66" s="133">
        <v>524.62400000000002</v>
      </c>
      <c r="BC66" s="159">
        <v>1268</v>
      </c>
      <c r="BF66" s="137">
        <v>49239.824000000008</v>
      </c>
      <c r="BH66" s="168" t="s">
        <v>306</v>
      </c>
      <c r="BI66" s="173">
        <v>131929</v>
      </c>
      <c r="BJ66" s="126">
        <v>0.04</v>
      </c>
      <c r="BK66" s="127">
        <v>5277.16</v>
      </c>
      <c r="BL66" s="91">
        <v>3533.1</v>
      </c>
      <c r="BM66" s="172">
        <v>38832.531840998432</v>
      </c>
      <c r="BO66" s="128">
        <v>1157485</v>
      </c>
      <c r="BP66" s="132">
        <v>35225.5520529477</v>
      </c>
      <c r="BQ66" s="129">
        <v>21237.983947052293</v>
      </c>
      <c r="BR66" s="97">
        <v>56463.535999999993</v>
      </c>
      <c r="BS66" s="175" t="s">
        <v>306</v>
      </c>
      <c r="BT66" s="131">
        <v>5779.1584744816</v>
      </c>
      <c r="BU66" s="131">
        <v>3031.1015255184002</v>
      </c>
      <c r="BV66" s="97">
        <v>8810.26</v>
      </c>
    </row>
    <row r="67" spans="1:74" x14ac:dyDescent="0.25">
      <c r="A67" s="50">
        <f t="shared" si="29"/>
        <v>45748</v>
      </c>
      <c r="B67">
        <v>39.020000000000003</v>
      </c>
      <c r="C67" s="18">
        <v>100000</v>
      </c>
      <c r="D67" s="19">
        <v>6.0000000000000001E-3</v>
      </c>
      <c r="E67" s="20">
        <v>6.0000000000000001E-3</v>
      </c>
      <c r="F67" s="20">
        <v>4.1000000000000002E-2</v>
      </c>
      <c r="G67" s="21">
        <v>5.24</v>
      </c>
      <c r="H67" s="21">
        <v>4.0000000000000001E-3</v>
      </c>
      <c r="I67" s="22">
        <v>3.8700000000000002E-3</v>
      </c>
      <c r="J67" s="24">
        <f t="shared" ref="J67:J68" si="46">SUM(K67:N67)</f>
        <v>107562</v>
      </c>
      <c r="K67" s="24">
        <v>40356</v>
      </c>
      <c r="L67" s="24">
        <v>16790</v>
      </c>
      <c r="M67" s="24">
        <v>47826</v>
      </c>
      <c r="N67" s="29">
        <v>2590</v>
      </c>
      <c r="O67" s="27">
        <v>106575</v>
      </c>
      <c r="P67" s="26">
        <f t="shared" ref="P67:P71" si="47">O67-Q67-R67-S67</f>
        <v>39184.026302940008</v>
      </c>
      <c r="Q67" s="27">
        <v>16809.472496579998</v>
      </c>
      <c r="R67" s="27">
        <v>47884.364455139992</v>
      </c>
      <c r="S67" s="30">
        <v>2697.1367453399994</v>
      </c>
      <c r="T67" s="27">
        <v>8863</v>
      </c>
      <c r="U67" s="27">
        <f>T67-V67-W67-X67</f>
        <v>5117.2398399999993</v>
      </c>
      <c r="V67" s="27">
        <v>891.25200000000007</v>
      </c>
      <c r="W67" s="27">
        <v>2502.8154300000001</v>
      </c>
      <c r="X67" s="27">
        <v>351.69273000000004</v>
      </c>
      <c r="Z67" s="163">
        <v>1165982</v>
      </c>
      <c r="AA67" s="165">
        <f t="shared" ref="AA67:AA71" si="48">C67</f>
        <v>100000</v>
      </c>
      <c r="AB67" s="81">
        <v>17250</v>
      </c>
      <c r="AC67" s="81">
        <v>3528</v>
      </c>
      <c r="AE67" s="81">
        <v>6850</v>
      </c>
      <c r="AF67" s="82">
        <v>7083.33</v>
      </c>
      <c r="AG67" s="82">
        <f t="shared" ref="AG67:AG68" si="49">AB67*E66</f>
        <v>103.5</v>
      </c>
      <c r="AH67" s="133">
        <f>AC67*F67</f>
        <v>144.648</v>
      </c>
      <c r="AI67" s="159">
        <v>115</v>
      </c>
      <c r="AJ67" s="159">
        <v>35</v>
      </c>
      <c r="AL67" s="82">
        <f t="shared" ref="AL67:AM67" si="50">AD67*E67</f>
        <v>0</v>
      </c>
      <c r="AM67" s="82">
        <f t="shared" si="50"/>
        <v>280.85000000000002</v>
      </c>
      <c r="AN67" s="159">
        <v>40</v>
      </c>
      <c r="AT67" s="166">
        <f>AF67+AL67+AH67+AG67+AM67</f>
        <v>7612.3280000000004</v>
      </c>
      <c r="AX67" s="133">
        <v>2273.08</v>
      </c>
      <c r="AY67" s="134">
        <f t="shared" ref="AY67:AY68" si="51">T67</f>
        <v>8863</v>
      </c>
      <c r="AZ67" s="134">
        <f t="shared" ref="AZ67:AZ70" si="52">J67</f>
        <v>107562</v>
      </c>
      <c r="BA67" s="133">
        <f t="shared" ref="BA67:BB71" si="53">AY67*G67</f>
        <v>46442.12</v>
      </c>
      <c r="BB67" s="133">
        <f t="shared" si="53"/>
        <v>430.24799999999999</v>
      </c>
      <c r="BC67" s="159">
        <v>406</v>
      </c>
      <c r="BE67" s="133">
        <v>-3061.18</v>
      </c>
      <c r="BF67" s="137">
        <f>AX67+BA67+BB67+BD67+BE67</f>
        <v>46084.268000000004</v>
      </c>
      <c r="BH67" s="168" t="s">
        <v>307</v>
      </c>
      <c r="BI67" s="173">
        <f t="shared" ref="BI67:BI71" si="54">O67</f>
        <v>106575</v>
      </c>
      <c r="BJ67" s="126">
        <v>0.04</v>
      </c>
      <c r="BK67" s="127">
        <f t="shared" ref="BK67:BK69" si="55">BI67*BJ67</f>
        <v>4263</v>
      </c>
      <c r="BL67" s="91">
        <v>3532.1</v>
      </c>
      <c r="BM67" s="172">
        <v>31037.431840998433</v>
      </c>
      <c r="BO67" s="128">
        <f t="shared" ref="BO67:BO71" si="56">Z67</f>
        <v>1165982</v>
      </c>
      <c r="BP67" s="132">
        <f t="shared" ref="BP67:BP68" si="57">AT67
+(K67/AZ67*AX67)
+((T67-V67-W67-X67)/T67*BA67)
+(K67/AZ67*BB67)</f>
        <v>35440.921699626437</v>
      </c>
      <c r="BQ67" s="129">
        <f t="shared" ref="BQ67:BQ68" si="58">((L67+M67+N67)/AZ67*AX67)
+((V67+W67+X67)/T67*BA67)
+((L67+M67+N67)/AZ67*BB67)</f>
        <v>21316.854300373561</v>
      </c>
      <c r="BR67" s="97">
        <f t="shared" ref="BR67:BR71" si="59">BP67+BQ67</f>
        <v>56757.775999999998</v>
      </c>
      <c r="BS67" s="175" t="str">
        <f t="shared" ref="BS67:BS70" si="60">BH67</f>
        <v>E194CC-2504-1</v>
      </c>
      <c r="BT67" s="131">
        <f t="shared" ref="BT67:BT71" si="61">P67*BJ67+BL67</f>
        <v>5099.4610521176</v>
      </c>
      <c r="BU67" s="131">
        <f t="shared" ref="BU67:BU71" si="62">(Q67+R67+S67)*BJ67</f>
        <v>2695.6389478823999</v>
      </c>
      <c r="BV67" s="97">
        <f t="shared" ref="BV67:BV71" si="63">BT67+BU67</f>
        <v>7795.1</v>
      </c>
    </row>
    <row r="68" spans="1:74" x14ac:dyDescent="0.25">
      <c r="A68" s="50">
        <f t="shared" si="29"/>
        <v>45778</v>
      </c>
      <c r="B68">
        <v>39.020000000000003</v>
      </c>
      <c r="C68" s="18">
        <v>100000</v>
      </c>
      <c r="D68" s="19">
        <v>6.0000000000000001E-3</v>
      </c>
      <c r="E68" s="20">
        <v>6.0000000000000001E-3</v>
      </c>
      <c r="F68" s="20">
        <v>4.1000000000000002E-2</v>
      </c>
      <c r="G68" s="21">
        <v>5.24</v>
      </c>
      <c r="H68" s="21">
        <v>4.0000000000000001E-3</v>
      </c>
      <c r="I68" s="22">
        <v>3.8700000000000002E-3</v>
      </c>
      <c r="J68" s="24">
        <f t="shared" si="46"/>
        <v>84289</v>
      </c>
      <c r="K68" s="24">
        <v>20502</v>
      </c>
      <c r="L68" s="24">
        <v>16788</v>
      </c>
      <c r="M68" s="24">
        <v>45129</v>
      </c>
      <c r="N68" s="29">
        <v>1870</v>
      </c>
      <c r="O68" s="27">
        <v>84380</v>
      </c>
      <c r="P68" s="26">
        <f t="shared" si="47"/>
        <v>21341.102117839997</v>
      </c>
      <c r="Q68" s="27">
        <v>16691.423154840002</v>
      </c>
      <c r="R68" s="27">
        <v>44452.196223800005</v>
      </c>
      <c r="S68" s="30">
        <v>1895.2785035200009</v>
      </c>
      <c r="T68" s="27">
        <v>8863</v>
      </c>
      <c r="U68" s="27">
        <f>T68-V68-W68-X68</f>
        <v>5117.2398399999993</v>
      </c>
      <c r="V68" s="27">
        <v>891.25200000000007</v>
      </c>
      <c r="W68" s="27">
        <v>2502.8154300000001</v>
      </c>
      <c r="X68" s="27">
        <v>351.69273000000004</v>
      </c>
      <c r="Z68" s="163">
        <v>1167724</v>
      </c>
      <c r="AA68" s="165">
        <f t="shared" si="48"/>
        <v>100000</v>
      </c>
      <c r="AB68" s="81">
        <v>23250</v>
      </c>
      <c r="AF68" s="82">
        <v>7083.33</v>
      </c>
      <c r="AG68" s="82">
        <f t="shared" si="49"/>
        <v>139.5</v>
      </c>
      <c r="AI68" s="159">
        <v>155</v>
      </c>
      <c r="AT68" s="166">
        <f>AF68+AL68+AH68+AG68+AM68</f>
        <v>7222.83</v>
      </c>
      <c r="AX68" s="133">
        <v>2273.08</v>
      </c>
      <c r="AY68" s="134">
        <f t="shared" si="51"/>
        <v>8863</v>
      </c>
      <c r="AZ68" s="134">
        <f t="shared" si="52"/>
        <v>84289</v>
      </c>
      <c r="BA68" s="133">
        <f t="shared" si="53"/>
        <v>46442.12</v>
      </c>
      <c r="BB68" s="133">
        <f t="shared" si="53"/>
        <v>337.15600000000001</v>
      </c>
      <c r="BC68" s="159">
        <v>321</v>
      </c>
      <c r="BF68" s="137">
        <f>AX68+BA68+BB68+BD68+BE68</f>
        <v>49052.356000000007</v>
      </c>
      <c r="BH68" s="168" t="s">
        <v>308</v>
      </c>
      <c r="BI68" s="173">
        <f t="shared" si="54"/>
        <v>84380</v>
      </c>
      <c r="BJ68" s="126">
        <v>0.04</v>
      </c>
      <c r="BK68" s="127">
        <f t="shared" si="55"/>
        <v>3375.2000000000003</v>
      </c>
      <c r="BL68" s="91">
        <v>3532.1</v>
      </c>
      <c r="BM68" s="172">
        <v>24130.131840998434</v>
      </c>
      <c r="BO68" s="128">
        <f t="shared" si="56"/>
        <v>1167724</v>
      </c>
      <c r="BP68" s="132">
        <f t="shared" si="57"/>
        <v>34672.066433822947</v>
      </c>
      <c r="BQ68" s="129">
        <f t="shared" si="58"/>
        <v>21603.119566177058</v>
      </c>
      <c r="BR68" s="97">
        <f t="shared" si="59"/>
        <v>56275.186000000002</v>
      </c>
      <c r="BS68" s="175" t="str">
        <f t="shared" si="60"/>
        <v>E194CC-2505-1</v>
      </c>
      <c r="BT68" s="131">
        <f t="shared" si="61"/>
        <v>4385.7440847135995</v>
      </c>
      <c r="BU68" s="131">
        <f t="shared" si="62"/>
        <v>2521.5559152864002</v>
      </c>
      <c r="BV68" s="97">
        <f t="shared" si="63"/>
        <v>6907.2999999999993</v>
      </c>
    </row>
    <row r="69" spans="1:74" x14ac:dyDescent="0.25">
      <c r="A69" s="50">
        <f t="shared" si="29"/>
        <v>45809</v>
      </c>
      <c r="B69">
        <v>39.020000000000003</v>
      </c>
      <c r="C69" s="18">
        <v>100000</v>
      </c>
      <c r="D69" s="19">
        <v>6.0000000000000001E-3</v>
      </c>
      <c r="E69" s="20">
        <v>6.0000000000000001E-3</v>
      </c>
      <c r="F69" s="20">
        <v>4.1000000000000002E-2</v>
      </c>
      <c r="G69" s="21">
        <v>5.24</v>
      </c>
      <c r="H69" s="21">
        <v>4.0000000000000001E-3</v>
      </c>
      <c r="I69" s="22">
        <v>3.8700000000000002E-3</v>
      </c>
      <c r="J69" s="24">
        <f t="shared" ref="J69:J70" si="64">SUM(K69:N69)</f>
        <v>51875</v>
      </c>
      <c r="K69" s="24">
        <v>7110</v>
      </c>
      <c r="L69" s="24">
        <v>14765</v>
      </c>
      <c r="M69" s="23">
        <v>28900</v>
      </c>
      <c r="N69" s="29">
        <v>1100</v>
      </c>
      <c r="O69" s="27">
        <v>53663</v>
      </c>
      <c r="P69" s="26">
        <f t="shared" si="47"/>
        <v>8613.8599999999969</v>
      </c>
      <c r="Q69" s="27">
        <v>14436.66</v>
      </c>
      <c r="R69" s="27">
        <v>29535.119999999999</v>
      </c>
      <c r="S69" s="30">
        <v>1077.3599999999999</v>
      </c>
      <c r="T69" s="27">
        <v>8863</v>
      </c>
      <c r="U69" s="27">
        <f t="shared" ref="U69:U70" si="65">T69-V69-W69-X69</f>
        <v>5117.2398399999993</v>
      </c>
      <c r="V69" s="27">
        <v>891.25200000000007</v>
      </c>
      <c r="W69" s="27">
        <v>2502.8154300000001</v>
      </c>
      <c r="X69" s="27">
        <v>351.69273000000004</v>
      </c>
      <c r="Z69" s="163">
        <v>1171726</v>
      </c>
      <c r="AA69" s="165">
        <f t="shared" si="48"/>
        <v>100000</v>
      </c>
      <c r="AB69" s="81">
        <v>16530</v>
      </c>
      <c r="AF69" s="82">
        <v>7083.33</v>
      </c>
      <c r="AG69" s="82">
        <v>99.18</v>
      </c>
      <c r="AI69" s="159">
        <v>90</v>
      </c>
      <c r="AL69" s="82">
        <v>0</v>
      </c>
      <c r="AM69" s="82">
        <v>0</v>
      </c>
      <c r="AN69" s="159">
        <v>0</v>
      </c>
      <c r="AT69" s="166">
        <f>AF69+AL69+AH69+AG69+AM69</f>
        <v>7182.51</v>
      </c>
      <c r="AX69" s="133">
        <v>2273.08</v>
      </c>
      <c r="AY69" s="134">
        <f>T69</f>
        <v>8863</v>
      </c>
      <c r="AZ69" s="134">
        <f t="shared" si="52"/>
        <v>51875</v>
      </c>
      <c r="BA69" s="133">
        <f t="shared" si="53"/>
        <v>46442.12</v>
      </c>
      <c r="BB69" s="133">
        <f t="shared" si="53"/>
        <v>207.5</v>
      </c>
      <c r="BC69" s="159">
        <v>200</v>
      </c>
      <c r="BF69" s="137">
        <f>AX69+BA69+BB69+BD69+BE69</f>
        <v>48922.700000000004</v>
      </c>
      <c r="BH69" s="168" t="s">
        <v>310</v>
      </c>
      <c r="BI69" s="173">
        <f t="shared" si="54"/>
        <v>53663</v>
      </c>
      <c r="BJ69" s="126">
        <v>0.04</v>
      </c>
      <c r="BK69" s="127">
        <f t="shared" si="55"/>
        <v>2146.52</v>
      </c>
      <c r="BL69" s="91">
        <v>3532.1</v>
      </c>
      <c r="BM69" s="172">
        <v>18451.511840998435</v>
      </c>
      <c r="BO69" s="128">
        <f t="shared" si="56"/>
        <v>1171726</v>
      </c>
      <c r="BP69" s="132">
        <f>AT69
+(K69/AZ69*AX69)
+((T69-V69-W69-X69)/T69*BA69)
+(K69/AZ69*BB69)</f>
        <v>34336.835654130118</v>
      </c>
      <c r="BQ69" s="129">
        <f>((L69+M69+N69)/AZ69*AX69)
+((V69+W69+X69)/T69*BA69)
+((L69+M69+N69)/AZ69*BB69)</f>
        <v>21768.374345869885</v>
      </c>
      <c r="BR69" s="97">
        <f t="shared" si="59"/>
        <v>56105.210000000006</v>
      </c>
      <c r="BS69" s="175" t="str">
        <f t="shared" si="60"/>
        <v>E194CC-2506-1</v>
      </c>
      <c r="BT69" s="131">
        <f t="shared" si="61"/>
        <v>3876.6543999999999</v>
      </c>
      <c r="BU69" s="131">
        <f t="shared" si="62"/>
        <v>1801.9656</v>
      </c>
      <c r="BV69" s="97">
        <f t="shared" si="63"/>
        <v>5678.62</v>
      </c>
    </row>
    <row r="70" spans="1:74" x14ac:dyDescent="0.25">
      <c r="A70" s="50">
        <f t="shared" si="29"/>
        <v>45839</v>
      </c>
      <c r="B70">
        <v>39.020000000000003</v>
      </c>
      <c r="C70" s="18">
        <v>100000</v>
      </c>
      <c r="D70" s="19">
        <v>6.0000000000000001E-3</v>
      </c>
      <c r="E70" s="20">
        <v>6.0000000000000001E-3</v>
      </c>
      <c r="F70" s="20">
        <v>4.1000000000000002E-2</v>
      </c>
      <c r="G70" s="21">
        <v>5.24</v>
      </c>
      <c r="H70" s="21">
        <v>3.0000000000000001E-3</v>
      </c>
      <c r="I70" s="22">
        <v>3.8700000000000002E-3</v>
      </c>
      <c r="J70" s="24">
        <f t="shared" si="64"/>
        <v>60964</v>
      </c>
      <c r="K70" s="24">
        <v>8601</v>
      </c>
      <c r="L70" s="24">
        <v>14093</v>
      </c>
      <c r="M70" s="24">
        <v>36975</v>
      </c>
      <c r="N70" s="29">
        <v>1295</v>
      </c>
      <c r="O70" s="27">
        <v>61330</v>
      </c>
      <c r="P70" s="26">
        <f t="shared" si="47"/>
        <v>11074.410000000002</v>
      </c>
      <c r="Q70" s="27">
        <v>14424.56</v>
      </c>
      <c r="R70" s="27">
        <v>33684</v>
      </c>
      <c r="S70" s="30">
        <v>2147.0300000000002</v>
      </c>
      <c r="T70" s="27">
        <v>8863</v>
      </c>
      <c r="U70" s="27">
        <f t="shared" si="65"/>
        <v>5117.2398399999993</v>
      </c>
      <c r="V70" s="27">
        <v>891.25200000000007</v>
      </c>
      <c r="W70" s="27">
        <v>2502.8154300000001</v>
      </c>
      <c r="X70" s="27">
        <v>351.69273000000004</v>
      </c>
      <c r="Z70" s="163">
        <v>1175936</v>
      </c>
      <c r="AA70" s="165">
        <f t="shared" si="48"/>
        <v>100000</v>
      </c>
      <c r="AB70" s="81">
        <v>15069</v>
      </c>
      <c r="AF70" s="82">
        <v>7083.33</v>
      </c>
      <c r="AG70" s="82">
        <v>90.41</v>
      </c>
      <c r="AI70" s="159">
        <v>101</v>
      </c>
      <c r="AT70" s="166">
        <f>AF70+AL70+AH70+AG70+AM70</f>
        <v>7173.74</v>
      </c>
      <c r="AX70" s="133">
        <v>2273.08</v>
      </c>
      <c r="AY70" s="134">
        <f>T70</f>
        <v>8863</v>
      </c>
      <c r="AZ70" s="134">
        <f t="shared" si="52"/>
        <v>60964</v>
      </c>
      <c r="BA70" s="133">
        <f t="shared" si="53"/>
        <v>46442.12</v>
      </c>
      <c r="BB70" s="133">
        <f t="shared" si="53"/>
        <v>182.892</v>
      </c>
      <c r="BC70" s="159">
        <v>253</v>
      </c>
      <c r="BF70" s="137">
        <f>AX70+BA70+BB70+BD70+BE70</f>
        <v>48898.092000000004</v>
      </c>
      <c r="BH70" s="168" t="s">
        <v>311</v>
      </c>
      <c r="BI70" s="173">
        <f t="shared" si="54"/>
        <v>61330</v>
      </c>
      <c r="BJ70" s="126">
        <v>0.04</v>
      </c>
      <c r="BK70" s="127">
        <v>2453.1999999999998</v>
      </c>
      <c r="BL70" s="91">
        <v>3532.1</v>
      </c>
      <c r="BM70" s="172">
        <v>12466.211840998434</v>
      </c>
      <c r="BO70" s="128">
        <f t="shared" si="56"/>
        <v>1175936</v>
      </c>
      <c r="BP70" s="132">
        <f>AT70
+(K70/AZ70*AX70)
+((T70-V70-W70-X70)/T70*BA70)
+(K70/AZ70*BB70)</f>
        <v>34334.573303362347</v>
      </c>
      <c r="BQ70" s="129">
        <f>((L70+M70+N70)/AZ70*AX70)
+((V70+W70+X70)/T70*BA70)
+((L70+M70+N70)/AZ70*BB70)</f>
        <v>21737.258696637651</v>
      </c>
      <c r="BR70" s="97">
        <f t="shared" si="59"/>
        <v>56071.831999999995</v>
      </c>
      <c r="BS70" s="175" t="str">
        <f t="shared" si="60"/>
        <v>E194CC-2507-1</v>
      </c>
      <c r="BT70" s="131">
        <f t="shared" si="61"/>
        <v>3975.0763999999999</v>
      </c>
      <c r="BU70" s="131">
        <f t="shared" si="62"/>
        <v>2010.2235999999998</v>
      </c>
      <c r="BV70" s="97">
        <f t="shared" si="63"/>
        <v>5985.2999999999993</v>
      </c>
    </row>
    <row r="71" spans="1:74" x14ac:dyDescent="0.25">
      <c r="A71" s="50">
        <f t="shared" si="29"/>
        <v>45870</v>
      </c>
      <c r="B71">
        <v>39.020000000000003</v>
      </c>
      <c r="C71" s="18">
        <v>100000</v>
      </c>
      <c r="D71" s="19">
        <v>6.0000000000000001E-3</v>
      </c>
      <c r="E71" s="20">
        <v>6.0000000000000001E-3</v>
      </c>
      <c r="F71" s="20">
        <v>4.1000000000000002E-2</v>
      </c>
      <c r="G71" s="21">
        <v>5.24</v>
      </c>
      <c r="H71" s="21">
        <v>3.0000000000000001E-3</v>
      </c>
      <c r="I71" s="22">
        <v>3.8700000000000002E-3</v>
      </c>
      <c r="J71" s="24">
        <f t="shared" ref="J71" si="66">SUM(K71:N71)</f>
        <v>62962</v>
      </c>
      <c r="K71" s="24">
        <v>9004</v>
      </c>
      <c r="L71" s="24">
        <v>15378</v>
      </c>
      <c r="M71" s="24">
        <v>37095</v>
      </c>
      <c r="N71" s="29">
        <v>1485</v>
      </c>
      <c r="O71" s="27">
        <v>62095</v>
      </c>
      <c r="P71" s="26">
        <f t="shared" si="47"/>
        <v>13096</v>
      </c>
      <c r="Q71" s="27">
        <v>14095</v>
      </c>
      <c r="R71" s="27">
        <v>33636</v>
      </c>
      <c r="S71" s="30">
        <v>1268</v>
      </c>
      <c r="T71" s="27">
        <v>8863</v>
      </c>
      <c r="U71" s="27">
        <f>T71-V71-W71-X71</f>
        <v>5117.2398399999993</v>
      </c>
      <c r="V71" s="27">
        <v>891.25200000000007</v>
      </c>
      <c r="W71" s="27">
        <v>2502.8154300000001</v>
      </c>
      <c r="X71" s="27">
        <v>351.69273000000004</v>
      </c>
      <c r="Z71" s="163">
        <v>1180836</v>
      </c>
      <c r="AA71" s="165">
        <f t="shared" si="48"/>
        <v>100000</v>
      </c>
      <c r="AB71" s="81">
        <v>13857</v>
      </c>
      <c r="AF71" s="82">
        <v>7083.33</v>
      </c>
      <c r="AG71" s="159">
        <v>83.14</v>
      </c>
      <c r="AI71" s="159">
        <v>93</v>
      </c>
      <c r="AT71" s="166">
        <f t="shared" ref="AT71" si="67">AF71+AL71+AH71+AG71+AM71</f>
        <v>7166.47</v>
      </c>
      <c r="AX71" s="133">
        <v>2273.08</v>
      </c>
      <c r="AY71" s="134">
        <f>T71</f>
        <v>8863</v>
      </c>
      <c r="AZ71" s="134">
        <f>J71</f>
        <v>62962</v>
      </c>
      <c r="BA71" s="133">
        <f t="shared" si="53"/>
        <v>46442.12</v>
      </c>
      <c r="BB71" s="133">
        <f t="shared" si="53"/>
        <v>188.886</v>
      </c>
      <c r="BC71" s="159">
        <v>235</v>
      </c>
      <c r="BF71" s="137">
        <f t="shared" ref="BF71" si="68">AX71+BA71+BB71+BD71+BE71</f>
        <v>48904.086000000003</v>
      </c>
      <c r="BH71" s="168" t="s">
        <v>315</v>
      </c>
      <c r="BI71" s="173">
        <f t="shared" si="54"/>
        <v>62095</v>
      </c>
      <c r="BJ71" s="126">
        <v>0.04</v>
      </c>
      <c r="BK71" s="127">
        <f t="shared" ref="BK71" si="69">BI71*BJ71</f>
        <v>2483.8000000000002</v>
      </c>
      <c r="BL71" s="91">
        <v>3616.87</v>
      </c>
      <c r="BM71" s="172">
        <v>6365.5418409984331</v>
      </c>
      <c r="BO71" s="128">
        <f t="shared" si="56"/>
        <v>1180836</v>
      </c>
      <c r="BP71" s="132">
        <f>AT71
+(K71/AZ71*AX71)
+((T71-V71-W71-X71)/T71*BA71)
+(K71/AZ71*BB71)</f>
        <v>34332.884870046364</v>
      </c>
      <c r="BQ71" s="129">
        <f>((L71+M71+N71)/AZ71*AX71)
+((V71+W71+X71)/T71*BA71)
+((L71+M71+N71)/AZ71*BB71)</f>
        <v>21737.671129953636</v>
      </c>
      <c r="BR71" s="97">
        <f t="shared" si="59"/>
        <v>56070.555999999997</v>
      </c>
      <c r="BT71" s="131">
        <f t="shared" si="61"/>
        <v>4140.71</v>
      </c>
      <c r="BU71" s="131">
        <f t="shared" si="62"/>
        <v>1959.96</v>
      </c>
      <c r="BV71" s="97">
        <f t="shared" si="63"/>
        <v>6100.67</v>
      </c>
    </row>
    <row r="72" spans="1:74" x14ac:dyDescent="0.25">
      <c r="A72" s="50">
        <v>45901</v>
      </c>
      <c r="B72">
        <v>39.020000000000003</v>
      </c>
      <c r="C72" s="18">
        <v>100000</v>
      </c>
      <c r="D72" s="19">
        <v>6.0000000000000001E-3</v>
      </c>
      <c r="E72" s="20">
        <v>6.0000000000000001E-3</v>
      </c>
      <c r="F72" s="20">
        <v>4.1000000000000002E-2</v>
      </c>
      <c r="G72" s="21">
        <v>5.24</v>
      </c>
      <c r="H72" s="21">
        <v>3.0000000000000001E-3</v>
      </c>
      <c r="I72" s="22">
        <v>3.8700000000000002E-3</v>
      </c>
      <c r="J72" s="24">
        <v>65813</v>
      </c>
      <c r="K72" s="24">
        <v>10048</v>
      </c>
      <c r="L72" s="24">
        <v>15740</v>
      </c>
      <c r="M72" s="24">
        <v>38950</v>
      </c>
      <c r="N72" s="29">
        <v>1075</v>
      </c>
      <c r="O72" s="27">
        <v>63896</v>
      </c>
      <c r="P72" s="26">
        <v>8436.0199999999968</v>
      </c>
      <c r="Q72" s="27">
        <v>15536</v>
      </c>
      <c r="R72" s="27">
        <v>38825.730000000003</v>
      </c>
      <c r="S72" s="30">
        <v>1098.25</v>
      </c>
      <c r="T72" s="27">
        <v>8863</v>
      </c>
      <c r="U72" s="27">
        <v>5117.2398399999993</v>
      </c>
      <c r="V72" s="27">
        <v>891.25200000000007</v>
      </c>
      <c r="W72" s="27">
        <v>2502.8154300000001</v>
      </c>
      <c r="X72" s="27">
        <v>351.69273000000004</v>
      </c>
      <c r="Z72" s="163">
        <v>1184298</v>
      </c>
      <c r="AA72" s="165">
        <v>100000</v>
      </c>
      <c r="AB72" s="81">
        <v>9058</v>
      </c>
      <c r="AF72" s="82">
        <v>7083.33</v>
      </c>
      <c r="AG72" s="159">
        <v>54.35</v>
      </c>
      <c r="AI72" s="159">
        <v>60</v>
      </c>
      <c r="AT72" s="166">
        <v>7137.68</v>
      </c>
      <c r="AX72" s="133">
        <v>2273.08</v>
      </c>
      <c r="AY72" s="134">
        <v>8863</v>
      </c>
      <c r="AZ72" s="134">
        <v>65813</v>
      </c>
      <c r="BA72" s="133">
        <v>46442.12</v>
      </c>
      <c r="BB72" s="133">
        <v>197.43899999999999</v>
      </c>
      <c r="BC72" s="159">
        <v>249</v>
      </c>
      <c r="BF72" s="137">
        <v>48912.639000000003</v>
      </c>
      <c r="BH72" s="168" t="s">
        <v>314</v>
      </c>
      <c r="BI72" s="173">
        <v>63896</v>
      </c>
      <c r="BJ72" s="126">
        <v>0.04</v>
      </c>
      <c r="BK72" s="127">
        <v>2555.84</v>
      </c>
      <c r="BL72" s="91">
        <v>3616.87</v>
      </c>
      <c r="BM72" s="172">
        <v>192.83184099843311</v>
      </c>
      <c r="BO72" s="128">
        <v>1184298</v>
      </c>
      <c r="BP72" s="132">
        <v>34329.203258371148</v>
      </c>
      <c r="BQ72" s="129">
        <v>21721.115741628848</v>
      </c>
      <c r="BR72" s="97">
        <v>56050.318999999996</v>
      </c>
      <c r="BS72" s="183" t="s">
        <v>314</v>
      </c>
      <c r="BT72" s="131">
        <v>3954.3107999999997</v>
      </c>
      <c r="BU72" s="131">
        <v>2218.3992000000003</v>
      </c>
      <c r="BV72" s="97">
        <v>6172.71</v>
      </c>
    </row>
    <row r="73" spans="1:74" x14ac:dyDescent="0.25">
      <c r="A73" s="50">
        <v>45931</v>
      </c>
      <c r="B73">
        <v>39.020000000000003</v>
      </c>
      <c r="C73" s="18">
        <v>100000</v>
      </c>
      <c r="D73" s="19">
        <v>6.0000000000000001E-3</v>
      </c>
      <c r="E73" s="20">
        <v>6.0000000000000001E-3</v>
      </c>
      <c r="F73" s="20">
        <v>4.1000000000000002E-2</v>
      </c>
      <c r="G73" s="21">
        <v>5.24</v>
      </c>
      <c r="H73" s="21">
        <v>3.0000000000000001E-3</v>
      </c>
      <c r="I73" s="22">
        <v>3.8700000000000002E-3</v>
      </c>
      <c r="J73" s="24">
        <v>90046</v>
      </c>
      <c r="K73" s="24">
        <v>27523</v>
      </c>
      <c r="L73" s="24">
        <v>15683</v>
      </c>
      <c r="M73" s="24">
        <v>45000</v>
      </c>
      <c r="N73" s="29">
        <v>1840</v>
      </c>
      <c r="O73" s="27">
        <v>93898</v>
      </c>
      <c r="P73" s="26">
        <v>31293.345162439997</v>
      </c>
      <c r="Q73" s="27">
        <v>15868.010394320003</v>
      </c>
      <c r="R73" s="27">
        <v>44894.134714759995</v>
      </c>
      <c r="S73" s="30">
        <v>1842.5097284800008</v>
      </c>
      <c r="T73" s="27">
        <v>8863</v>
      </c>
      <c r="U73" s="27">
        <v>5117.2398399999993</v>
      </c>
      <c r="V73" s="27">
        <v>891.25200000000007</v>
      </c>
      <c r="W73" s="27">
        <v>2502.8154300000001</v>
      </c>
      <c r="X73" s="27">
        <v>351.69273000000004</v>
      </c>
      <c r="Z73" s="163">
        <v>1190197</v>
      </c>
      <c r="AA73" s="165">
        <v>100000</v>
      </c>
      <c r="AB73" s="81">
        <v>0</v>
      </c>
      <c r="AF73" s="82">
        <v>7083.33</v>
      </c>
      <c r="AG73" s="159">
        <v>0</v>
      </c>
      <c r="AT73" s="166">
        <v>7083.33</v>
      </c>
      <c r="AX73" s="133">
        <v>2273.08</v>
      </c>
      <c r="AY73" s="134">
        <v>8863</v>
      </c>
      <c r="AZ73" s="134">
        <v>90046</v>
      </c>
      <c r="BA73" s="133">
        <v>46442.12</v>
      </c>
      <c r="BB73" s="133">
        <v>270.13800000000003</v>
      </c>
      <c r="BC73" s="159">
        <v>348</v>
      </c>
      <c r="BF73" s="137">
        <v>48985.338000000003</v>
      </c>
      <c r="BH73" s="168" t="s">
        <v>316</v>
      </c>
      <c r="BI73" s="173">
        <v>93898</v>
      </c>
      <c r="BJ73" s="126">
        <v>0.04</v>
      </c>
      <c r="BK73" s="127">
        <v>3755.92</v>
      </c>
      <c r="BL73" s="91">
        <v>3616.87</v>
      </c>
      <c r="BM73" s="172">
        <v>22820.041840998434</v>
      </c>
      <c r="BO73" s="128">
        <v>1190197</v>
      </c>
      <c r="BP73" s="132">
        <v>34675.013773282917</v>
      </c>
      <c r="BQ73" s="129">
        <v>21393.654226717084</v>
      </c>
      <c r="BR73" s="97">
        <v>56068.668000000005</v>
      </c>
      <c r="BS73" s="183" t="s">
        <v>316</v>
      </c>
      <c r="BT73" s="131">
        <v>4868.6038064976001</v>
      </c>
      <c r="BU73" s="131">
        <v>2504.1861935023999</v>
      </c>
      <c r="BV73" s="97">
        <v>7372.79</v>
      </c>
    </row>
    <row r="74" spans="1:74" x14ac:dyDescent="0.25">
      <c r="A74" s="50">
        <v>45962</v>
      </c>
      <c r="B74">
        <v>39.020000000000003</v>
      </c>
      <c r="C74" s="18">
        <v>100000</v>
      </c>
      <c r="D74" s="19">
        <v>6.0000000000000001E-3</v>
      </c>
      <c r="E74" s="20">
        <v>6.0000000000000001E-3</v>
      </c>
      <c r="F74" s="20">
        <v>4.1000000000000002E-2</v>
      </c>
      <c r="G74" s="21">
        <v>5.24</v>
      </c>
      <c r="H74" s="21">
        <v>3.0000000000000001E-3</v>
      </c>
      <c r="I74" s="22">
        <v>3.8700000000000002E-3</v>
      </c>
      <c r="J74" s="24">
        <v>177368</v>
      </c>
      <c r="K74" s="24">
        <v>109230</v>
      </c>
      <c r="L74" s="24">
        <v>17985</v>
      </c>
      <c r="M74" s="24">
        <v>46400</v>
      </c>
      <c r="N74" s="29">
        <v>3753</v>
      </c>
      <c r="O74" s="27">
        <v>172221</v>
      </c>
      <c r="P74" s="26">
        <v>103427.00759003997</v>
      </c>
      <c r="Q74" s="27">
        <v>18167.849506480001</v>
      </c>
      <c r="R74" s="27">
        <v>46780.61842244002</v>
      </c>
      <c r="S74" s="30">
        <v>3845.5244810400018</v>
      </c>
      <c r="T74" s="27">
        <v>8863</v>
      </c>
      <c r="U74" s="27">
        <v>5117.2398399999993</v>
      </c>
      <c r="V74" s="27">
        <v>891.25200000000007</v>
      </c>
      <c r="W74" s="27">
        <v>2502.8154300000001</v>
      </c>
      <c r="X74" s="27">
        <v>351.69273000000004</v>
      </c>
      <c r="Z74" s="163">
        <v>1194759</v>
      </c>
      <c r="AA74" s="165">
        <v>100000</v>
      </c>
      <c r="AB74" s="81">
        <v>0</v>
      </c>
      <c r="AF74" s="82">
        <v>7083.33</v>
      </c>
      <c r="AG74" s="159">
        <v>0</v>
      </c>
      <c r="AT74" s="166">
        <v>7083.33</v>
      </c>
      <c r="AX74" s="133">
        <v>2273.08</v>
      </c>
      <c r="AY74" s="134">
        <v>8863</v>
      </c>
      <c r="AZ74" s="134">
        <v>177368</v>
      </c>
      <c r="BA74" s="133">
        <v>46442.12</v>
      </c>
      <c r="BB74" s="133">
        <v>532.10400000000004</v>
      </c>
      <c r="BC74" s="159">
        <v>1543</v>
      </c>
      <c r="BF74" s="137">
        <v>49247.304000000004</v>
      </c>
      <c r="BH74" s="168" t="s">
        <v>317</v>
      </c>
      <c r="BI74" s="173">
        <v>172221</v>
      </c>
      <c r="BJ74" s="126">
        <v>0.04</v>
      </c>
      <c r="BK74" s="127">
        <v>6888.84</v>
      </c>
      <c r="BL74" s="91">
        <v>3616.87</v>
      </c>
      <c r="BM74" s="172">
        <v>12314.331840998435</v>
      </c>
      <c r="BO74" s="128">
        <v>1194759</v>
      </c>
      <c r="BP74" s="132">
        <v>35625.206387237093</v>
      </c>
      <c r="BQ74" s="129">
        <v>20705.427612762909</v>
      </c>
      <c r="BR74" s="97">
        <v>56330.634000000005</v>
      </c>
      <c r="BS74" s="183" t="s">
        <v>317</v>
      </c>
      <c r="BT74" s="131">
        <v>7753.9503036015985</v>
      </c>
      <c r="BU74" s="131">
        <v>2751.7596963984006</v>
      </c>
      <c r="BV74" s="97">
        <v>10505.71</v>
      </c>
    </row>
    <row r="75" spans="1:74" x14ac:dyDescent="0.25">
      <c r="A75" s="50">
        <v>45992</v>
      </c>
      <c r="B75">
        <v>39.020000000000003</v>
      </c>
      <c r="C75" s="18">
        <v>100000</v>
      </c>
      <c r="D75" s="19">
        <v>6.0000000000000001E-3</v>
      </c>
      <c r="E75" s="20">
        <v>6.0000000000000001E-3</v>
      </c>
      <c r="F75" s="20">
        <v>4.1000000000000002E-2</v>
      </c>
      <c r="G75" s="21">
        <v>5.24</v>
      </c>
      <c r="H75" s="21">
        <v>3.0000000000000001E-3</v>
      </c>
      <c r="I75" s="22">
        <v>3.8700000000000002E-3</v>
      </c>
      <c r="J75" s="24">
        <v>165329</v>
      </c>
      <c r="K75" s="24">
        <v>85042</v>
      </c>
      <c r="L75" s="24">
        <v>20748</v>
      </c>
      <c r="M75" s="24">
        <v>52940</v>
      </c>
      <c r="N75" s="29">
        <v>6599</v>
      </c>
      <c r="O75" s="27">
        <v>168668</v>
      </c>
      <c r="P75" s="26">
        <v>88573.794285120006</v>
      </c>
      <c r="Q75" s="27">
        <v>20309.382293519993</v>
      </c>
      <c r="R75" s="27">
        <v>53155.746056960001</v>
      </c>
      <c r="S75" s="30">
        <v>6629.077364400001</v>
      </c>
      <c r="T75" s="27">
        <v>8863</v>
      </c>
      <c r="U75" s="27">
        <v>5117.2398399999993</v>
      </c>
      <c r="V75" s="27">
        <v>891.25200000000007</v>
      </c>
      <c r="W75" s="27">
        <v>2502.8154300000001</v>
      </c>
      <c r="X75" s="27">
        <v>351.69273000000004</v>
      </c>
      <c r="Z75" s="163">
        <v>1200127</v>
      </c>
      <c r="AA75" s="165">
        <v>100000</v>
      </c>
      <c r="AD75" s="81">
        <v>31765</v>
      </c>
      <c r="AF75" s="82">
        <v>7083.33</v>
      </c>
      <c r="AL75" s="82">
        <v>190.59</v>
      </c>
      <c r="AT75" s="166">
        <v>7273.92</v>
      </c>
      <c r="AX75" s="133">
        <v>2273.08</v>
      </c>
      <c r="AY75" s="134">
        <v>8863</v>
      </c>
      <c r="AZ75" s="134">
        <v>165329</v>
      </c>
      <c r="BA75" s="133">
        <v>46442.12</v>
      </c>
      <c r="BB75" s="133">
        <v>495.98700000000002</v>
      </c>
      <c r="BC75" s="159">
        <v>1443</v>
      </c>
      <c r="BF75" s="137">
        <v>49211.187000000005</v>
      </c>
      <c r="BH75" s="168" t="s">
        <v>318</v>
      </c>
      <c r="BI75" s="173">
        <v>168668</v>
      </c>
      <c r="BJ75" s="126">
        <v>4.4999999999999998E-2</v>
      </c>
      <c r="BK75" s="127">
        <v>7590.0599999999995</v>
      </c>
      <c r="BL75" s="91">
        <v>-5903.1399999999994</v>
      </c>
      <c r="BM75" s="172">
        <v>10627.411840998435</v>
      </c>
      <c r="BO75" s="128">
        <v>1200127</v>
      </c>
      <c r="BP75" s="132">
        <v>35512.610600394153</v>
      </c>
      <c r="BQ75" s="129">
        <v>20972.496399605843</v>
      </c>
      <c r="BR75" s="97">
        <v>56485.106999999996</v>
      </c>
      <c r="BS75" s="183" t="s">
        <v>318</v>
      </c>
      <c r="BT75" s="131">
        <v>-1917.3192571695995</v>
      </c>
      <c r="BU75" s="131">
        <v>3604.2392571695996</v>
      </c>
      <c r="BV75" s="97">
        <v>1686.92</v>
      </c>
    </row>
    <row r="76" spans="1:74" x14ac:dyDescent="0.25">
      <c r="A76" s="50">
        <v>46023</v>
      </c>
      <c r="B76">
        <v>39.020000000000003</v>
      </c>
      <c r="C76" s="18">
        <v>100000</v>
      </c>
      <c r="D76" s="19">
        <v>6.0000000000000001E-3</v>
      </c>
      <c r="E76" s="20">
        <v>6.0000000000000001E-3</v>
      </c>
      <c r="F76" s="20">
        <v>4.1000000000000002E-2</v>
      </c>
      <c r="G76" s="21">
        <v>5.2859999999999996</v>
      </c>
      <c r="H76" s="21">
        <v>4.0000000000000001E-3</v>
      </c>
      <c r="I76" s="22">
        <v>8.6899999999999998E-3</v>
      </c>
      <c r="J76" s="24">
        <v>171208</v>
      </c>
      <c r="K76" s="24">
        <v>92749</v>
      </c>
      <c r="L76" s="24">
        <v>19066</v>
      </c>
      <c r="M76" s="24">
        <v>51805</v>
      </c>
      <c r="N76" s="29">
        <v>7588</v>
      </c>
      <c r="O76" s="27">
        <v>172591</v>
      </c>
      <c r="P76" s="26">
        <v>94474.523999639991</v>
      </c>
      <c r="Q76" s="27">
        <v>19273.795083360001</v>
      </c>
      <c r="R76" s="27">
        <v>51382.495345720017</v>
      </c>
      <c r="S76" s="30">
        <v>7460.1855712799997</v>
      </c>
      <c r="T76" s="27">
        <v>8863</v>
      </c>
      <c r="U76" s="27">
        <v>5117.2398399999993</v>
      </c>
      <c r="V76" s="27">
        <v>891.25200000000007</v>
      </c>
      <c r="W76" s="27">
        <v>2502.8154300000001</v>
      </c>
      <c r="X76" s="27">
        <v>351.69273000000004</v>
      </c>
      <c r="Z76" s="163">
        <v>1205534</v>
      </c>
      <c r="AA76" s="165">
        <v>100000</v>
      </c>
      <c r="AB76" s="81">
        <v>4700</v>
      </c>
      <c r="AD76" s="81">
        <v>21066</v>
      </c>
      <c r="AF76" s="82">
        <v>7083.33</v>
      </c>
      <c r="AG76" s="159">
        <v>28.2</v>
      </c>
      <c r="AI76" s="159">
        <v>29</v>
      </c>
      <c r="AL76" s="82">
        <v>126.396</v>
      </c>
      <c r="AN76" s="159">
        <v>123</v>
      </c>
      <c r="AO76" s="159">
        <v>1900</v>
      </c>
      <c r="AP76" s="159">
        <v>19</v>
      </c>
      <c r="AQ76" s="159">
        <v>77.900000000000006</v>
      </c>
      <c r="AT76" s="166">
        <v>7315.8259999999991</v>
      </c>
      <c r="AX76" s="133">
        <v>2363.94</v>
      </c>
      <c r="AY76" s="134">
        <v>8863</v>
      </c>
      <c r="AZ76" s="134">
        <v>171208</v>
      </c>
      <c r="BA76" s="133">
        <v>46849.817999999999</v>
      </c>
      <c r="BB76" s="133">
        <v>684.83199999999999</v>
      </c>
      <c r="BC76" s="159">
        <v>1481</v>
      </c>
      <c r="BD76" s="133">
        <v>-18017.36</v>
      </c>
      <c r="BF76" s="137">
        <v>31881.230000000003</v>
      </c>
      <c r="BH76" s="168" t="s">
        <v>336</v>
      </c>
      <c r="BI76" s="173">
        <v>172591</v>
      </c>
      <c r="BJ76" s="126">
        <v>4.4999999999999998E-2</v>
      </c>
      <c r="BK76" s="127">
        <v>7766.5949999999993</v>
      </c>
      <c r="BL76" s="91">
        <v>0</v>
      </c>
      <c r="BM76" s="172">
        <v>2860.8168409984355</v>
      </c>
      <c r="BO76" s="128">
        <v>1205534</v>
      </c>
      <c r="BP76" s="132">
        <v>36017.175778282792</v>
      </c>
      <c r="BQ76" s="129">
        <v>21197.240221717198</v>
      </c>
      <c r="BR76" s="97">
        <v>57214.41599999999</v>
      </c>
      <c r="BS76" s="183" t="s">
        <v>336</v>
      </c>
      <c r="BT76" s="131">
        <v>4251.3535799837991</v>
      </c>
      <c r="BU76" s="131">
        <v>3515.2414200162011</v>
      </c>
      <c r="BV76" s="97">
        <v>7766.5950000000003</v>
      </c>
    </row>
    <row r="77" spans="1:74" x14ac:dyDescent="0.25">
      <c r="A77" s="50">
        <f t="shared" ref="A77:A81" si="70">EOMONTH(A76,0)+1</f>
        <v>46054</v>
      </c>
      <c r="B77">
        <v>39.020000000000003</v>
      </c>
      <c r="C77" s="18">
        <v>100000</v>
      </c>
      <c r="D77" s="19">
        <v>6.0000000000000001E-3</v>
      </c>
      <c r="E77" s="20">
        <v>6.0000000000000001E-3</v>
      </c>
      <c r="F77" s="20">
        <v>4.1000000000000002E-2</v>
      </c>
      <c r="G77" s="21">
        <v>5.2859999999999996</v>
      </c>
      <c r="H77" s="21">
        <v>4.0000000000000001E-3</v>
      </c>
      <c r="I77" s="22">
        <v>8.6899999999999998E-3</v>
      </c>
      <c r="J77" s="24">
        <v>145282</v>
      </c>
      <c r="K77" s="24">
        <v>78851</v>
      </c>
      <c r="L77" s="24">
        <v>16879</v>
      </c>
      <c r="M77" s="24">
        <v>43210</v>
      </c>
      <c r="N77" s="29">
        <v>6342</v>
      </c>
      <c r="O77" s="27">
        <v>142995</v>
      </c>
      <c r="P77" s="346">
        <f t="shared" ref="P77:P79" si="71">O77-Q77-R77-S77</f>
        <v>76621.775145000007</v>
      </c>
      <c r="Q77" s="27">
        <v>16716.70819288</v>
      </c>
      <c r="R77" s="27">
        <v>43362.740889119988</v>
      </c>
      <c r="S77" s="30">
        <v>6293.7757730000012</v>
      </c>
      <c r="T77" s="27">
        <v>8863</v>
      </c>
      <c r="U77" s="27">
        <f>T77-V77-W77-X77</f>
        <v>5117.2398399999993</v>
      </c>
      <c r="V77" s="27">
        <v>891.25200000000007</v>
      </c>
      <c r="W77" s="27">
        <v>2502.8154300000001</v>
      </c>
      <c r="X77" s="27">
        <v>351.69273000000004</v>
      </c>
      <c r="Z77" s="163">
        <v>1210150</v>
      </c>
      <c r="AA77" s="165">
        <f>C77</f>
        <v>100000</v>
      </c>
      <c r="AD77" s="81">
        <v>27125</v>
      </c>
      <c r="AF77" s="82">
        <v>7083.33</v>
      </c>
      <c r="AG77" s="133">
        <f>AB77*E76</f>
        <v>0</v>
      </c>
      <c r="AL77" s="82">
        <f>AD77*E77</f>
        <v>162.75</v>
      </c>
      <c r="AN77" s="159">
        <v>160</v>
      </c>
      <c r="AO77" s="159">
        <v>3100</v>
      </c>
      <c r="AP77" s="159">
        <v>31</v>
      </c>
      <c r="AQ77" s="133">
        <f>AO77*F77</f>
        <v>127.10000000000001</v>
      </c>
      <c r="AT77" s="166">
        <f>AF77+AL77+AH77+AG77+AM77+AQ77</f>
        <v>7373.18</v>
      </c>
      <c r="AX77" s="133">
        <v>2363.94</v>
      </c>
      <c r="AY77" s="134">
        <v>8863</v>
      </c>
      <c r="AZ77" s="134">
        <v>145282</v>
      </c>
      <c r="BA77" s="133">
        <f t="shared" ref="BA77:BB79" si="72">AY77*G77</f>
        <v>46849.817999999999</v>
      </c>
      <c r="BB77" s="133">
        <f t="shared" si="72"/>
        <v>581.12800000000004</v>
      </c>
      <c r="BC77" s="159">
        <v>1259</v>
      </c>
      <c r="BF77" s="137">
        <f t="shared" ref="BF77:BF79" si="73">AX77+BA77+BB77+BD77+BE77</f>
        <v>49794.885999999999</v>
      </c>
      <c r="BH77" s="168" t="s">
        <v>337</v>
      </c>
      <c r="BI77" s="173">
        <v>142995</v>
      </c>
      <c r="BJ77" s="347">
        <v>4.4999999999999998E-2</v>
      </c>
      <c r="BK77" s="127">
        <v>6434.7749999999996</v>
      </c>
      <c r="BL77" s="91">
        <v>0</v>
      </c>
      <c r="BM77" s="172">
        <v>-3573.9581590015641</v>
      </c>
      <c r="BO77" s="128">
        <f>Z77</f>
        <v>1210150</v>
      </c>
      <c r="BP77" s="132">
        <f>AT77
+(K77/AZ77*AX77)
+((T77-V77-W77-X77)/T77*BA77)
+(K77/AZ77*BB77)</f>
        <v>36021.329122635805</v>
      </c>
      <c r="BQ77" s="129">
        <f>((L77+M77+N77)/AZ77*AX77)
+((V77+W77+X77)/T77*BA77)
+((L77+M77+N77)/AZ77*BB77)</f>
        <v>21146.736877364187</v>
      </c>
      <c r="BR77" s="97">
        <f t="shared" ref="BR77" si="74">BP77+BQ77</f>
        <v>57168.065999999992</v>
      </c>
      <c r="BS77" s="175" t="str">
        <f t="shared" ref="BS77:BS81" si="75">BH77</f>
        <v>E194CC-2602-1</v>
      </c>
      <c r="BT77" s="131">
        <f>P77*BJ77+BL77</f>
        <v>3447.9798815250001</v>
      </c>
      <c r="BU77" s="131">
        <f>(Q77+R77+S77)*BJ77</f>
        <v>2986.7951184749995</v>
      </c>
      <c r="BV77" s="97">
        <f t="shared" ref="BV77:BV79" si="76">BT77+BU77</f>
        <v>6434.7749999999996</v>
      </c>
    </row>
    <row r="78" spans="1:74" x14ac:dyDescent="0.25">
      <c r="A78" s="50">
        <f t="shared" si="70"/>
        <v>46082</v>
      </c>
      <c r="B78">
        <v>39.020000000000003</v>
      </c>
      <c r="C78" s="18">
        <v>100000</v>
      </c>
      <c r="D78" s="19">
        <v>6.0000000000000001E-3</v>
      </c>
      <c r="E78" s="20">
        <v>6.0000000000000001E-3</v>
      </c>
      <c r="F78" s="20">
        <v>4.1000000000000002E-2</v>
      </c>
      <c r="G78" s="21">
        <v>5.2859999999999996</v>
      </c>
      <c r="H78" s="21">
        <v>4.0000000000000001E-3</v>
      </c>
      <c r="I78" s="22">
        <v>3.8700000000000002E-3</v>
      </c>
      <c r="J78" s="24">
        <v>133529</v>
      </c>
      <c r="K78" s="24">
        <v>66376</v>
      </c>
      <c r="L78" s="24">
        <v>16034</v>
      </c>
      <c r="M78" s="24">
        <v>45596</v>
      </c>
      <c r="N78" s="29">
        <v>5523</v>
      </c>
      <c r="O78" s="27">
        <v>133189</v>
      </c>
      <c r="P78" s="346">
        <f t="shared" si="71"/>
        <v>66096.800585079982</v>
      </c>
      <c r="Q78" s="27">
        <v>16220.9015774</v>
      </c>
      <c r="R78" s="27">
        <v>45304.192070800003</v>
      </c>
      <c r="S78" s="30">
        <v>5567.1057667200012</v>
      </c>
      <c r="T78" s="27">
        <v>8863</v>
      </c>
      <c r="U78" s="27">
        <f>T78-V78-W78-X78</f>
        <v>5117.2398399999993</v>
      </c>
      <c r="V78" s="27">
        <v>891.25200000000007</v>
      </c>
      <c r="W78" s="27">
        <v>2502.8154300000001</v>
      </c>
      <c r="X78" s="27">
        <v>351.69273000000004</v>
      </c>
      <c r="Z78" s="163">
        <v>1213521</v>
      </c>
      <c r="AA78" s="165">
        <f>C78</f>
        <v>100000</v>
      </c>
      <c r="AB78" s="81">
        <v>2000</v>
      </c>
      <c r="AD78" s="81">
        <v>800</v>
      </c>
      <c r="AF78" s="82">
        <v>7083.33</v>
      </c>
      <c r="AG78" s="133">
        <f>AB78*E77</f>
        <v>12</v>
      </c>
      <c r="AI78" s="159">
        <v>13</v>
      </c>
      <c r="AL78" s="82">
        <f>AD78*E78</f>
        <v>4.8</v>
      </c>
      <c r="AT78" s="166">
        <f>AF78+AL78+AH78+AG78+AM78+AQ78</f>
        <v>7100.13</v>
      </c>
      <c r="AX78" s="133">
        <v>2363.94</v>
      </c>
      <c r="AY78" s="134">
        <v>8863</v>
      </c>
      <c r="AZ78" s="134">
        <v>133529</v>
      </c>
      <c r="BA78" s="133">
        <f t="shared" si="72"/>
        <v>46849.817999999999</v>
      </c>
      <c r="BB78" s="133">
        <f t="shared" si="72"/>
        <v>534.11599999999999</v>
      </c>
      <c r="BC78" s="159">
        <v>1162</v>
      </c>
      <c r="BF78" s="137">
        <f t="shared" si="73"/>
        <v>49747.874000000003</v>
      </c>
      <c r="BH78" s="168" t="s">
        <v>338</v>
      </c>
      <c r="BI78" s="173">
        <v>133189</v>
      </c>
      <c r="BJ78" s="347">
        <v>4.4999999999999998E-2</v>
      </c>
      <c r="BK78" s="127">
        <v>5993.5050000000001</v>
      </c>
      <c r="BL78" s="91">
        <v>0</v>
      </c>
      <c r="BM78" s="172">
        <v>-9567.4631590015633</v>
      </c>
      <c r="BO78" s="128">
        <f>Z78</f>
        <v>1213521</v>
      </c>
      <c r="BP78" s="132">
        <f>AT78
+(K78/AZ78*AX78)
+((T78-V78-W78-X78)/T78*BA78)
+(K78/AZ78*BB78)</f>
        <v>35590.455957290716</v>
      </c>
      <c r="BQ78" s="129">
        <f>((L78+M78+N78)/AZ78*AX78)
+((V78+W78+X78)/T78*BA78)
+((L78+M78+N78)/AZ78*BB78)</f>
        <v>21257.548042709277</v>
      </c>
      <c r="BR78" s="97">
        <f>BP78+BQ78</f>
        <v>56848.003999999994</v>
      </c>
      <c r="BS78" s="175" t="str">
        <f t="shared" si="75"/>
        <v>E194CC-2603-1</v>
      </c>
      <c r="BT78" s="131">
        <f>P78*BJ78+BL78</f>
        <v>2974.356026328599</v>
      </c>
      <c r="BU78" s="131">
        <f>(Q78+R78+S78)*BJ78</f>
        <v>3019.1489736714002</v>
      </c>
      <c r="BV78" s="97">
        <f t="shared" si="76"/>
        <v>5993.5049999999992</v>
      </c>
    </row>
    <row r="79" spans="1:74" x14ac:dyDescent="0.25">
      <c r="A79" s="50">
        <f t="shared" si="70"/>
        <v>46113</v>
      </c>
      <c r="B79">
        <v>39.08</v>
      </c>
      <c r="C79" s="18">
        <v>100000</v>
      </c>
      <c r="D79" s="19">
        <v>6.0000000000000001E-3</v>
      </c>
      <c r="E79" s="20">
        <v>6.0000000000000001E-3</v>
      </c>
      <c r="F79" s="20">
        <v>4.1000000000000002E-2</v>
      </c>
      <c r="G79" s="21">
        <v>5.2859999999999996</v>
      </c>
      <c r="H79" s="21">
        <v>4.0000000000000001E-3</v>
      </c>
      <c r="I79" s="22">
        <v>3.8700000000000002E-3</v>
      </c>
      <c r="J79" s="24">
        <v>100481</v>
      </c>
      <c r="K79" s="24">
        <v>37166</v>
      </c>
      <c r="L79" s="24">
        <v>17379</v>
      </c>
      <c r="M79" s="24">
        <v>42316</v>
      </c>
      <c r="N79" s="29">
        <v>3620</v>
      </c>
      <c r="O79" s="27">
        <v>101908</v>
      </c>
      <c r="P79" s="27">
        <f t="shared" si="71"/>
        <v>38698.399232720018</v>
      </c>
      <c r="Q79" s="27">
        <v>17213.658109279997</v>
      </c>
      <c r="R79" s="27">
        <v>42371.31924135999</v>
      </c>
      <c r="S79" s="30">
        <v>3624.6234166399995</v>
      </c>
      <c r="T79" s="27">
        <v>8863</v>
      </c>
      <c r="U79" s="27">
        <f t="shared" ref="U79" si="77">T79-V79-W79-X79</f>
        <v>5118.1980800000001</v>
      </c>
      <c r="V79" s="27">
        <f t="shared" ref="V79" si="78">22800*B79/1000</f>
        <v>891.024</v>
      </c>
      <c r="W79" s="27">
        <f t="shared" ref="W79" si="79">64027*B79/1000</f>
        <v>2502.1751599999998</v>
      </c>
      <c r="X79" s="27">
        <f t="shared" ref="X79" si="80">8997*B79/1000</f>
        <v>351.60275999999999</v>
      </c>
      <c r="Z79" s="163">
        <v>1218206</v>
      </c>
      <c r="AA79" s="165">
        <v>100000</v>
      </c>
      <c r="AB79" s="81">
        <v>7950</v>
      </c>
      <c r="AF79" s="82">
        <v>7083.33</v>
      </c>
      <c r="AG79" s="133">
        <f>AB79*E78</f>
        <v>47.7</v>
      </c>
      <c r="AI79" s="159">
        <v>49</v>
      </c>
      <c r="AL79" s="82">
        <f>AD79*E79</f>
        <v>0</v>
      </c>
      <c r="AN79" s="159">
        <v>5</v>
      </c>
      <c r="AT79" s="166">
        <f>AF79+AL79+AH79+AG79+AM79+AQ79</f>
        <v>7131.03</v>
      </c>
      <c r="AX79" s="133">
        <v>2363.94</v>
      </c>
      <c r="AY79" s="134">
        <v>8863</v>
      </c>
      <c r="AZ79" s="134">
        <v>100481</v>
      </c>
      <c r="BA79" s="133">
        <f t="shared" si="72"/>
        <v>46849.817999999999</v>
      </c>
      <c r="BB79" s="159">
        <f t="shared" si="72"/>
        <v>401.92400000000004</v>
      </c>
      <c r="BC79" s="159">
        <v>375</v>
      </c>
      <c r="BF79" s="137">
        <f t="shared" si="73"/>
        <v>49615.682000000001</v>
      </c>
      <c r="BH79" s="168" t="s">
        <v>339</v>
      </c>
      <c r="BI79" s="173">
        <v>101908</v>
      </c>
      <c r="BJ79" s="347">
        <v>4.4999999999999998E-2</v>
      </c>
      <c r="BK79" s="127">
        <v>4585.8599999999997</v>
      </c>
      <c r="BL79" s="91">
        <v>0</v>
      </c>
      <c r="BM79" s="172">
        <v>-14153.323159001564</v>
      </c>
      <c r="BO79" s="128">
        <f>Z79</f>
        <v>1218206</v>
      </c>
      <c r="BP79" s="132">
        <f>AT79
+(K79/AZ79*AX79)
+((T79-V79-W79-X79)/T79*BA79)
+(K79/AZ79*BB79)</f>
        <v>35208.865241801665</v>
      </c>
      <c r="BQ79" s="129">
        <f>((L79+M79+N79)/AZ79*AX79)
+((V79+W79+X79)/T79*BA79)
+((L79+M79+N79)/AZ79*BB79)</f>
        <v>21537.846758198331</v>
      </c>
      <c r="BR79" s="97">
        <f>BP79+BQ79</f>
        <v>56746.712</v>
      </c>
      <c r="BS79" s="175" t="str">
        <f t="shared" si="75"/>
        <v>E194CC-2604-1</v>
      </c>
      <c r="BT79" s="131">
        <f>P79*BJ79+BL79</f>
        <v>1741.4279654724007</v>
      </c>
      <c r="BU79" s="131">
        <f>(Q79+R79+S79)*BJ79</f>
        <v>2844.4320345275996</v>
      </c>
      <c r="BV79" s="97">
        <f t="shared" si="76"/>
        <v>4585.8600000000006</v>
      </c>
    </row>
    <row r="80" spans="1:74" x14ac:dyDescent="0.25">
      <c r="A80" s="50">
        <f t="shared" si="70"/>
        <v>46143</v>
      </c>
      <c r="B80">
        <v>39.08</v>
      </c>
      <c r="C80" s="18">
        <v>100000</v>
      </c>
      <c r="D80" s="19">
        <v>6.0000000000000001E-3</v>
      </c>
      <c r="E80" s="20">
        <v>6.0000000000000001E-3</v>
      </c>
      <c r="F80" s="20">
        <v>4.1000000000000002E-2</v>
      </c>
      <c r="G80" s="21">
        <v>5.2859999999999996</v>
      </c>
      <c r="H80" s="21">
        <v>4.0000000000000001E-3</v>
      </c>
      <c r="I80" s="22">
        <v>3.8700000000000002E-3</v>
      </c>
      <c r="Z80" s="163">
        <v>1221910</v>
      </c>
      <c r="AA80" s="165">
        <v>100000</v>
      </c>
      <c r="AB80" s="81">
        <v>12375</v>
      </c>
      <c r="AF80" s="82">
        <v>7083.33</v>
      </c>
      <c r="AG80" s="133">
        <f>AB80*E79</f>
        <v>74.25</v>
      </c>
      <c r="AI80" s="159">
        <v>80</v>
      </c>
      <c r="AL80" s="82">
        <f>AD80*E80</f>
        <v>0</v>
      </c>
      <c r="AT80" s="166">
        <f>AF80+AL80+AH80+AG80+AM80+AQ80</f>
        <v>7157.58</v>
      </c>
      <c r="AX80" s="133">
        <v>2363.94</v>
      </c>
      <c r="AY80" s="134">
        <v>8863</v>
      </c>
      <c r="AZ80" s="159">
        <v>86391</v>
      </c>
      <c r="BA80" s="133">
        <f>AY80*G80</f>
        <v>46849.817999999999</v>
      </c>
      <c r="BB80" s="159">
        <f>AZ80*H80</f>
        <v>345.56400000000002</v>
      </c>
      <c r="BC80" s="159">
        <v>337</v>
      </c>
      <c r="BF80" s="137">
        <f t="shared" ref="BF80:BF81" si="81">AX80+BA80+BB80+BD80+BE80</f>
        <v>49559.322</v>
      </c>
      <c r="BO80" s="128">
        <f t="shared" ref="BO80:BO81" si="82">Z80</f>
        <v>1221910</v>
      </c>
      <c r="BP80" s="348" t="e">
        <f>AT80
+(K80/AZ80*AX80)
+((T80-V80-W80-X80)/T80*BA80)
+(K80/AZ80*BB80)</f>
        <v>#DIV/0!</v>
      </c>
      <c r="BS80" s="175">
        <f t="shared" si="75"/>
        <v>0</v>
      </c>
    </row>
    <row r="81" spans="1:71" x14ac:dyDescent="0.25">
      <c r="A81" s="50">
        <f t="shared" si="70"/>
        <v>46174</v>
      </c>
      <c r="B81">
        <v>39.08</v>
      </c>
      <c r="C81" s="18">
        <v>100000</v>
      </c>
      <c r="D81" s="19">
        <v>6.0000000000000001E-3</v>
      </c>
      <c r="E81" s="20">
        <v>6.0000000000000001E-3</v>
      </c>
      <c r="F81" s="20">
        <v>4.1000000000000002E-2</v>
      </c>
      <c r="G81" s="21">
        <v>5.2859999999999996</v>
      </c>
      <c r="H81" s="21">
        <v>4.0000000000000001E-3</v>
      </c>
      <c r="I81" s="22">
        <v>3.8700000000000002E-3</v>
      </c>
      <c r="Z81" s="163">
        <v>1226340</v>
      </c>
      <c r="AA81" s="165">
        <v>100000</v>
      </c>
      <c r="AB81" s="81">
        <v>22500</v>
      </c>
      <c r="AF81" s="82">
        <v>7083.33</v>
      </c>
      <c r="AG81" s="133">
        <v>135</v>
      </c>
      <c r="AI81" s="159">
        <v>150</v>
      </c>
      <c r="AT81" s="166">
        <f>AF81+AL81+AH81+AG81+AM81+AQ81</f>
        <v>7218.33</v>
      </c>
      <c r="AX81" s="133">
        <v>2363.94</v>
      </c>
      <c r="AY81" s="134">
        <v>8863</v>
      </c>
      <c r="AZ81" s="159">
        <v>49204</v>
      </c>
      <c r="BA81" s="133">
        <v>46849.817999999999</v>
      </c>
      <c r="BB81" s="159">
        <v>196.816</v>
      </c>
      <c r="BC81" s="159">
        <v>184</v>
      </c>
      <c r="BF81" s="137">
        <f t="shared" si="81"/>
        <v>49410.574000000001</v>
      </c>
      <c r="BO81" s="128">
        <f t="shared" si="82"/>
        <v>1226340</v>
      </c>
      <c r="BP81" s="132" t="e">
        <f t="shared" ref="BP81" si="83">AT81
+(K81/AZ81*AX81)
+((T81-V81-W81-X81)/T81*BA81)
+(K81/AZ81*BB81)</f>
        <v>#DIV/0!</v>
      </c>
      <c r="BS81" s="175">
        <f t="shared" si="75"/>
        <v>0</v>
      </c>
    </row>
  </sheetData>
  <mergeCells count="15">
    <mergeCell ref="BO2:BR2"/>
    <mergeCell ref="BS2:BV2"/>
    <mergeCell ref="BW2:BW6"/>
    <mergeCell ref="Z2:AT2"/>
    <mergeCell ref="AU2:AW2"/>
    <mergeCell ref="AX2:BF2"/>
    <mergeCell ref="BG2:BG6"/>
    <mergeCell ref="BH2:BK2"/>
    <mergeCell ref="BN2:BN6"/>
    <mergeCell ref="Y2:Y6"/>
    <mergeCell ref="C2:F2"/>
    <mergeCell ref="G2:I2"/>
    <mergeCell ref="J2:N2"/>
    <mergeCell ref="O2:S2"/>
    <mergeCell ref="T2:X2"/>
  </mergeCells>
  <hyperlinks>
    <hyperlink ref="A1" r:id="rId1" xr:uid="{C5333946-C65D-4FC1-B555-BABD6354737E}"/>
  </hyperlinks>
  <pageMargins left="0.7" right="0.7" top="0.75" bottom="0.75" header="0.3" footer="0.3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CA21"/>
  <sheetViews>
    <sheetView showGridLines="0" workbookViewId="0">
      <selection activeCell="B25" sqref="B25"/>
    </sheetView>
  </sheetViews>
  <sheetFormatPr defaultColWidth="9.140625" defaultRowHeight="15.75" x14ac:dyDescent="0.25"/>
  <cols>
    <col min="1" max="1" width="26.28515625" style="190" bestFit="1" customWidth="1"/>
    <col min="2" max="2" width="22.42578125" bestFit="1" customWidth="1"/>
    <col min="3" max="14" width="13.85546875" customWidth="1"/>
    <col min="15" max="15" width="13.85546875" bestFit="1" customWidth="1"/>
    <col min="18" max="18" width="11.5703125" bestFit="1" customWidth="1"/>
  </cols>
  <sheetData>
    <row r="1" spans="1:18" x14ac:dyDescent="0.25">
      <c r="A1" s="191"/>
      <c r="B1" s="192" t="s">
        <v>38</v>
      </c>
      <c r="C1" s="193">
        <v>45658</v>
      </c>
      <c r="D1" s="193">
        <v>45689</v>
      </c>
      <c r="E1" s="193">
        <v>45717</v>
      </c>
      <c r="F1" s="193">
        <v>45748</v>
      </c>
      <c r="G1" s="193">
        <v>45778</v>
      </c>
      <c r="H1" s="193">
        <v>45809</v>
      </c>
      <c r="I1" s="193">
        <v>45839</v>
      </c>
      <c r="J1" s="193">
        <v>45870</v>
      </c>
      <c r="K1" s="193">
        <v>45901</v>
      </c>
      <c r="L1" s="193">
        <v>45931</v>
      </c>
      <c r="M1" s="193">
        <v>45962</v>
      </c>
      <c r="N1" s="193">
        <v>45992</v>
      </c>
      <c r="O1" s="193" t="s">
        <v>304</v>
      </c>
    </row>
    <row r="2" spans="1:18" ht="15" x14ac:dyDescent="0.25">
      <c r="A2" s="375" t="s">
        <v>60</v>
      </c>
      <c r="B2" s="192" t="s">
        <v>62</v>
      </c>
      <c r="C2" s="204">
        <v>1145727</v>
      </c>
      <c r="D2" s="204">
        <v>1151879</v>
      </c>
      <c r="E2" s="204">
        <v>1157485</v>
      </c>
      <c r="F2" s="204">
        <v>1165982</v>
      </c>
      <c r="G2" s="204">
        <v>1167724</v>
      </c>
      <c r="H2" s="204">
        <v>1171726</v>
      </c>
      <c r="I2" s="204">
        <v>1175936</v>
      </c>
      <c r="J2" s="204">
        <v>1180836</v>
      </c>
      <c r="K2" s="204">
        <v>1184298</v>
      </c>
      <c r="L2" s="204">
        <v>1190197</v>
      </c>
      <c r="M2" s="204">
        <v>1194759</v>
      </c>
      <c r="N2" s="204">
        <v>1200127</v>
      </c>
      <c r="O2" s="204"/>
    </row>
    <row r="3" spans="1:18" ht="15" x14ac:dyDescent="0.25">
      <c r="A3" s="376"/>
      <c r="B3" s="6" t="s">
        <v>95</v>
      </c>
      <c r="C3" s="195">
        <v>35508.474177880045</v>
      </c>
      <c r="D3" s="195">
        <v>35519.249642501687</v>
      </c>
      <c r="E3" s="195">
        <v>35225.5520529477</v>
      </c>
      <c r="F3" s="195">
        <v>35440.921699626437</v>
      </c>
      <c r="G3" s="195">
        <v>34672.066433822947</v>
      </c>
      <c r="H3" s="195">
        <v>34336.835654130118</v>
      </c>
      <c r="I3" s="195">
        <v>34334.573303362347</v>
      </c>
      <c r="J3" s="195">
        <v>34332.884870046364</v>
      </c>
      <c r="K3" s="195">
        <v>34329.203258371148</v>
      </c>
      <c r="L3" s="195">
        <v>34675.013773282917</v>
      </c>
      <c r="M3" s="195">
        <v>35625.206387237093</v>
      </c>
      <c r="N3" s="195">
        <v>35512.610600394153</v>
      </c>
      <c r="O3" s="195">
        <f>SUM(C3:N3)</f>
        <v>419512.59185360296</v>
      </c>
    </row>
    <row r="4" spans="1:18" ht="17.25" x14ac:dyDescent="0.4">
      <c r="A4" s="376"/>
      <c r="B4" s="194" t="s">
        <v>96</v>
      </c>
      <c r="C4" s="405">
        <v>21049.935822119955</v>
      </c>
      <c r="D4" s="405">
        <v>21039.276357498307</v>
      </c>
      <c r="E4" s="405">
        <v>21237.983947052293</v>
      </c>
      <c r="F4" s="405">
        <v>21316.854300373561</v>
      </c>
      <c r="G4" s="405">
        <v>21603.119566177058</v>
      </c>
      <c r="H4" s="405">
        <v>21768.374345869885</v>
      </c>
      <c r="I4" s="405">
        <v>21737.258696637651</v>
      </c>
      <c r="J4" s="405">
        <v>21737.671129953636</v>
      </c>
      <c r="K4" s="405">
        <v>21721.115741628848</v>
      </c>
      <c r="L4" s="405">
        <v>21393.654226717084</v>
      </c>
      <c r="M4" s="405">
        <v>20705.427612762909</v>
      </c>
      <c r="N4" s="405">
        <v>20972.496399605843</v>
      </c>
      <c r="O4" s="405">
        <f t="shared" ref="O4:O5" si="0">SUM(C4:N4)</f>
        <v>256283.16814639702</v>
      </c>
    </row>
    <row r="5" spans="1:18" ht="15" x14ac:dyDescent="0.25">
      <c r="A5" s="377"/>
      <c r="B5" s="197" t="s">
        <v>97</v>
      </c>
      <c r="C5" s="198">
        <f>SUM(C3:C4)</f>
        <v>56558.41</v>
      </c>
      <c r="D5" s="198">
        <f t="shared" ref="D5:N5" si="1">SUM(D3:D4)</f>
        <v>56558.525999999998</v>
      </c>
      <c r="E5" s="198">
        <f t="shared" si="1"/>
        <v>56463.535999999993</v>
      </c>
      <c r="F5" s="198">
        <f t="shared" si="1"/>
        <v>56757.775999999998</v>
      </c>
      <c r="G5" s="198">
        <f t="shared" si="1"/>
        <v>56275.186000000002</v>
      </c>
      <c r="H5" s="198">
        <f t="shared" si="1"/>
        <v>56105.210000000006</v>
      </c>
      <c r="I5" s="198">
        <f t="shared" si="1"/>
        <v>56071.831999999995</v>
      </c>
      <c r="J5" s="198">
        <f t="shared" si="1"/>
        <v>56070.555999999997</v>
      </c>
      <c r="K5" s="198">
        <f t="shared" si="1"/>
        <v>56050.318999999996</v>
      </c>
      <c r="L5" s="198">
        <f t="shared" si="1"/>
        <v>56068.668000000005</v>
      </c>
      <c r="M5" s="198">
        <f t="shared" si="1"/>
        <v>56330.634000000005</v>
      </c>
      <c r="N5" s="198">
        <f t="shared" si="1"/>
        <v>56485.106999999996</v>
      </c>
      <c r="O5" s="198">
        <f t="shared" si="0"/>
        <v>675795.76</v>
      </c>
      <c r="R5" s="201"/>
    </row>
    <row r="6" spans="1:18" x14ac:dyDescent="0.25">
      <c r="A6" s="188"/>
    </row>
    <row r="7" spans="1:18" ht="15" x14ac:dyDescent="0.25">
      <c r="A7" s="375" t="s">
        <v>13</v>
      </c>
      <c r="B7" s="192" t="s">
        <v>62</v>
      </c>
      <c r="C7" s="205" t="s">
        <v>181</v>
      </c>
      <c r="D7" s="205" t="s">
        <v>305</v>
      </c>
      <c r="E7" s="205" t="s">
        <v>306</v>
      </c>
      <c r="F7" s="205" t="s">
        <v>307</v>
      </c>
      <c r="G7" s="205" t="s">
        <v>308</v>
      </c>
      <c r="H7" s="205" t="s">
        <v>310</v>
      </c>
      <c r="I7" s="205" t="s">
        <v>311</v>
      </c>
      <c r="J7" s="205" t="s">
        <v>313</v>
      </c>
      <c r="K7" s="205" t="s">
        <v>314</v>
      </c>
      <c r="L7" s="205" t="s">
        <v>316</v>
      </c>
      <c r="M7" s="205" t="s">
        <v>317</v>
      </c>
      <c r="N7" s="205" t="s">
        <v>318</v>
      </c>
      <c r="O7" s="204"/>
    </row>
    <row r="8" spans="1:18" ht="15" x14ac:dyDescent="0.25">
      <c r="A8" s="376"/>
      <c r="B8" s="6" t="s">
        <v>95</v>
      </c>
      <c r="C8" s="196">
        <v>6993.5980302464013</v>
      </c>
      <c r="D8" s="196">
        <v>6457.9080890847999</v>
      </c>
      <c r="E8" s="196">
        <v>5779.1584744816</v>
      </c>
      <c r="F8" s="196">
        <v>5099.4610521176</v>
      </c>
      <c r="G8" s="196">
        <v>4385.7440847135995</v>
      </c>
      <c r="H8" s="196">
        <v>3876.6543999999999</v>
      </c>
      <c r="I8" s="196">
        <v>3975.0763999999999</v>
      </c>
      <c r="J8" s="196">
        <v>4140.71</v>
      </c>
      <c r="K8" s="196">
        <v>3954.3107999999997</v>
      </c>
      <c r="L8" s="196">
        <v>4868.6038064976001</v>
      </c>
      <c r="M8" s="196">
        <v>7753.9503036015985</v>
      </c>
      <c r="N8" s="196">
        <v>-1917.3192571695995</v>
      </c>
      <c r="O8" s="195">
        <f>SUM(C8:N8)</f>
        <v>55367.856183573596</v>
      </c>
    </row>
    <row r="9" spans="1:18" ht="17.25" x14ac:dyDescent="0.4">
      <c r="A9" s="376"/>
      <c r="B9" s="194" t="s">
        <v>96</v>
      </c>
      <c r="C9" s="406">
        <v>3223.2601287551997</v>
      </c>
      <c r="D9" s="406">
        <v>2866.4319109152002</v>
      </c>
      <c r="E9" s="406">
        <v>3031.1015255184002</v>
      </c>
      <c r="F9" s="406">
        <v>2695.6389478823999</v>
      </c>
      <c r="G9" s="406">
        <v>2521.5559152864002</v>
      </c>
      <c r="H9" s="406">
        <v>1801.9656</v>
      </c>
      <c r="I9" s="406">
        <v>2010.2235999999998</v>
      </c>
      <c r="J9" s="406">
        <v>1959.96</v>
      </c>
      <c r="K9" s="406">
        <v>2218.3992000000003</v>
      </c>
      <c r="L9" s="406">
        <v>2504.1861935023999</v>
      </c>
      <c r="M9" s="406">
        <v>2751.7596963984006</v>
      </c>
      <c r="N9" s="406">
        <v>3604.2392571695996</v>
      </c>
      <c r="O9" s="405">
        <f t="shared" ref="O9:O10" si="2">SUM(C9:N9)</f>
        <v>31188.721975427998</v>
      </c>
    </row>
    <row r="10" spans="1:18" ht="15" x14ac:dyDescent="0.25">
      <c r="A10" s="377"/>
      <c r="B10" s="197" t="s">
        <v>97</v>
      </c>
      <c r="C10" s="198">
        <f>SUM(C8:C9)</f>
        <v>10216.8581590016</v>
      </c>
      <c r="D10" s="198">
        <f t="shared" ref="D10:N10" si="3">SUM(D8:D9)</f>
        <v>9324.34</v>
      </c>
      <c r="E10" s="198">
        <f t="shared" si="3"/>
        <v>8810.26</v>
      </c>
      <c r="F10" s="198">
        <f t="shared" si="3"/>
        <v>7795.1</v>
      </c>
      <c r="G10" s="198">
        <f t="shared" si="3"/>
        <v>6907.2999999999993</v>
      </c>
      <c r="H10" s="198">
        <f t="shared" si="3"/>
        <v>5678.62</v>
      </c>
      <c r="I10" s="198">
        <f t="shared" si="3"/>
        <v>5985.2999999999993</v>
      </c>
      <c r="J10" s="198">
        <f t="shared" si="3"/>
        <v>6100.67</v>
      </c>
      <c r="K10" s="198">
        <f t="shared" si="3"/>
        <v>6172.71</v>
      </c>
      <c r="L10" s="198">
        <f t="shared" si="3"/>
        <v>7372.79</v>
      </c>
      <c r="M10" s="198">
        <f t="shared" si="3"/>
        <v>10505.71</v>
      </c>
      <c r="N10" s="198">
        <f t="shared" si="3"/>
        <v>1686.92</v>
      </c>
      <c r="O10" s="198">
        <f t="shared" si="2"/>
        <v>86556.578159001583</v>
      </c>
    </row>
    <row r="13" spans="1:18" x14ac:dyDescent="0.25">
      <c r="A13" s="409"/>
      <c r="B13" s="192" t="s">
        <v>38</v>
      </c>
      <c r="C13" s="193">
        <f>C1</f>
        <v>45658</v>
      </c>
      <c r="D13" s="193">
        <f t="shared" ref="D13:N13" si="4">D1</f>
        <v>45689</v>
      </c>
      <c r="E13" s="193">
        <f t="shared" si="4"/>
        <v>45717</v>
      </c>
      <c r="F13" s="193">
        <f t="shared" si="4"/>
        <v>45748</v>
      </c>
      <c r="G13" s="193">
        <f t="shared" si="4"/>
        <v>45778</v>
      </c>
      <c r="H13" s="193">
        <f t="shared" si="4"/>
        <v>45809</v>
      </c>
      <c r="I13" s="193">
        <f t="shared" si="4"/>
        <v>45839</v>
      </c>
      <c r="J13" s="193">
        <f t="shared" si="4"/>
        <v>45870</v>
      </c>
      <c r="K13" s="193">
        <f t="shared" si="4"/>
        <v>45901</v>
      </c>
      <c r="L13" s="193">
        <f t="shared" si="4"/>
        <v>45931</v>
      </c>
      <c r="M13" s="193">
        <f t="shared" si="4"/>
        <v>45962</v>
      </c>
      <c r="N13" s="193">
        <f t="shared" si="4"/>
        <v>45992</v>
      </c>
      <c r="O13" s="193" t="str">
        <f>O1</f>
        <v>2025 Total</v>
      </c>
    </row>
    <row r="14" spans="1:18" ht="15" customHeight="1" x14ac:dyDescent="0.25">
      <c r="A14" s="375" t="s">
        <v>60</v>
      </c>
      <c r="B14" s="202" t="s">
        <v>182</v>
      </c>
      <c r="C14" s="403">
        <f t="shared" ref="C14:N14" si="5">C3/C5</f>
        <v>0.62781952636009464</v>
      </c>
      <c r="D14" s="199">
        <f t="shared" si="5"/>
        <v>0.62800875755675967</v>
      </c>
      <c r="E14" s="199">
        <f t="shared" si="5"/>
        <v>0.62386372778615395</v>
      </c>
      <c r="F14" s="199">
        <f t="shared" si="5"/>
        <v>0.62442407362167318</v>
      </c>
      <c r="G14" s="199">
        <f t="shared" si="5"/>
        <v>0.61611642534283129</v>
      </c>
      <c r="H14" s="199">
        <f t="shared" si="5"/>
        <v>0.61200796956521708</v>
      </c>
      <c r="I14" s="199">
        <f t="shared" si="5"/>
        <v>0.61233193349848725</v>
      </c>
      <c r="J14" s="199">
        <f t="shared" si="5"/>
        <v>0.61231575570690555</v>
      </c>
      <c r="K14" s="199">
        <f t="shared" si="5"/>
        <v>0.61247114861863949</v>
      </c>
      <c r="L14" s="199">
        <f t="shared" si="5"/>
        <v>0.61843833659973724</v>
      </c>
      <c r="M14" s="199">
        <f t="shared" si="5"/>
        <v>0.63243041765226871</v>
      </c>
      <c r="N14" s="199">
        <f t="shared" si="5"/>
        <v>0.62870750338481529</v>
      </c>
      <c r="O14" s="199">
        <f>O3/O5</f>
        <v>0.62076831001958777</v>
      </c>
    </row>
    <row r="15" spans="1:18" ht="15" customHeight="1" x14ac:dyDescent="0.25">
      <c r="A15" s="376"/>
      <c r="B15" t="s">
        <v>32</v>
      </c>
      <c r="C15" s="407">
        <f t="shared" ref="C15:N15" si="6">1-C14</f>
        <v>0.37218047363990536</v>
      </c>
      <c r="D15" s="408">
        <f t="shared" si="6"/>
        <v>0.37199124244324033</v>
      </c>
      <c r="E15" s="408">
        <f t="shared" si="6"/>
        <v>0.37613627221384605</v>
      </c>
      <c r="F15" s="408">
        <f t="shared" si="6"/>
        <v>0.37557592637832682</v>
      </c>
      <c r="G15" s="408">
        <f t="shared" si="6"/>
        <v>0.38388357465716871</v>
      </c>
      <c r="H15" s="408">
        <f t="shared" si="6"/>
        <v>0.38799203043478292</v>
      </c>
      <c r="I15" s="408">
        <f t="shared" si="6"/>
        <v>0.38766806650151275</v>
      </c>
      <c r="J15" s="408">
        <f t="shared" si="6"/>
        <v>0.38768424429309445</v>
      </c>
      <c r="K15" s="408">
        <f t="shared" si="6"/>
        <v>0.38752885138136051</v>
      </c>
      <c r="L15" s="408">
        <f t="shared" si="6"/>
        <v>0.38156166340026276</v>
      </c>
      <c r="M15" s="408">
        <f t="shared" si="6"/>
        <v>0.36756958234773129</v>
      </c>
      <c r="N15" s="408">
        <f t="shared" si="6"/>
        <v>0.37129249661518471</v>
      </c>
      <c r="O15" s="408">
        <f>1-O14</f>
        <v>0.37923168998041223</v>
      </c>
    </row>
    <row r="16" spans="1:18" ht="15" customHeight="1" x14ac:dyDescent="0.25">
      <c r="A16" s="377"/>
      <c r="B16" s="117" t="s">
        <v>183</v>
      </c>
      <c r="C16" s="404">
        <f t="shared" ref="C16:N16" si="7">SUM(C14:C15)</f>
        <v>1</v>
      </c>
      <c r="D16" s="203">
        <f t="shared" si="7"/>
        <v>1</v>
      </c>
      <c r="E16" s="203">
        <f t="shared" si="7"/>
        <v>1</v>
      </c>
      <c r="F16" s="203">
        <f t="shared" si="7"/>
        <v>1</v>
      </c>
      <c r="G16" s="203">
        <f t="shared" si="7"/>
        <v>1</v>
      </c>
      <c r="H16" s="203">
        <f t="shared" si="7"/>
        <v>1</v>
      </c>
      <c r="I16" s="203">
        <f t="shared" si="7"/>
        <v>1</v>
      </c>
      <c r="J16" s="203">
        <f t="shared" si="7"/>
        <v>1</v>
      </c>
      <c r="K16" s="203">
        <f t="shared" si="7"/>
        <v>1</v>
      </c>
      <c r="L16" s="203">
        <f t="shared" si="7"/>
        <v>1</v>
      </c>
      <c r="M16" s="203">
        <f t="shared" si="7"/>
        <v>1</v>
      </c>
      <c r="N16" s="203">
        <f t="shared" si="7"/>
        <v>1</v>
      </c>
      <c r="O16" s="203">
        <f>SUM(O14:O15)</f>
        <v>1</v>
      </c>
    </row>
    <row r="17" spans="1:15" x14ac:dyDescent="0.25">
      <c r="A17" s="188"/>
    </row>
    <row r="18" spans="1:15" ht="15" customHeight="1" x14ac:dyDescent="0.25">
      <c r="A18" s="375" t="s">
        <v>13</v>
      </c>
      <c r="B18" s="202" t="s">
        <v>182</v>
      </c>
      <c r="C18" s="403">
        <f t="shared" ref="C18:N18" si="8">C8/C10</f>
        <v>0.68451552536086313</v>
      </c>
      <c r="D18" s="199">
        <f t="shared" si="8"/>
        <v>0.692586079989018</v>
      </c>
      <c r="E18" s="199">
        <f t="shared" si="8"/>
        <v>0.65595776679480511</v>
      </c>
      <c r="F18" s="199">
        <f t="shared" si="8"/>
        <v>0.65418802223417272</v>
      </c>
      <c r="G18" s="199">
        <f t="shared" si="8"/>
        <v>0.63494333309883744</v>
      </c>
      <c r="H18" s="199">
        <f t="shared" si="8"/>
        <v>0.68267543875096415</v>
      </c>
      <c r="I18" s="199">
        <f t="shared" si="8"/>
        <v>0.66413987602960589</v>
      </c>
      <c r="J18" s="199">
        <f t="shared" si="8"/>
        <v>0.67873036895947492</v>
      </c>
      <c r="K18" s="199">
        <f t="shared" si="8"/>
        <v>0.64061178963534648</v>
      </c>
      <c r="L18" s="199">
        <f t="shared" si="8"/>
        <v>0.66034754909574256</v>
      </c>
      <c r="M18" s="199">
        <f t="shared" si="8"/>
        <v>0.73807008794280438</v>
      </c>
      <c r="N18" s="199">
        <f t="shared" si="8"/>
        <v>-1.1365798361330706</v>
      </c>
      <c r="O18" s="199">
        <f>O8/O10</f>
        <v>0.6396724242248194</v>
      </c>
    </row>
    <row r="19" spans="1:15" ht="15" customHeight="1" x14ac:dyDescent="0.25">
      <c r="A19" s="376"/>
      <c r="B19" t="s">
        <v>32</v>
      </c>
      <c r="C19" s="407">
        <f t="shared" ref="C19:N19" si="9">1-C18</f>
        <v>0.31548447463913687</v>
      </c>
      <c r="D19" s="408">
        <f t="shared" si="9"/>
        <v>0.307413920010982</v>
      </c>
      <c r="E19" s="408">
        <f t="shared" si="9"/>
        <v>0.34404223320519489</v>
      </c>
      <c r="F19" s="408">
        <f t="shared" si="9"/>
        <v>0.34581197776582728</v>
      </c>
      <c r="G19" s="408">
        <f t="shared" si="9"/>
        <v>0.36505666690116256</v>
      </c>
      <c r="H19" s="408">
        <f t="shared" si="9"/>
        <v>0.31732456124903585</v>
      </c>
      <c r="I19" s="408">
        <f t="shared" si="9"/>
        <v>0.33586012397039411</v>
      </c>
      <c r="J19" s="408">
        <f t="shared" si="9"/>
        <v>0.32126963104052508</v>
      </c>
      <c r="K19" s="408">
        <f t="shared" si="9"/>
        <v>0.35938821036465352</v>
      </c>
      <c r="L19" s="408">
        <f t="shared" si="9"/>
        <v>0.33965245090425744</v>
      </c>
      <c r="M19" s="408">
        <f t="shared" si="9"/>
        <v>0.26192991205719562</v>
      </c>
      <c r="N19" s="408">
        <f t="shared" si="9"/>
        <v>2.1365798361330706</v>
      </c>
      <c r="O19" s="408">
        <f>1-O18</f>
        <v>0.3603275757751806</v>
      </c>
    </row>
    <row r="20" spans="1:15" ht="15" customHeight="1" x14ac:dyDescent="0.25">
      <c r="A20" s="377"/>
      <c r="B20" s="117" t="s">
        <v>183</v>
      </c>
      <c r="C20" s="404">
        <f t="shared" ref="C20:N20" si="10">SUM(C18:C19)</f>
        <v>1</v>
      </c>
      <c r="D20" s="203">
        <f t="shared" si="10"/>
        <v>1</v>
      </c>
      <c r="E20" s="203">
        <f t="shared" si="10"/>
        <v>1</v>
      </c>
      <c r="F20" s="203">
        <f t="shared" si="10"/>
        <v>1</v>
      </c>
      <c r="G20" s="203">
        <f t="shared" si="10"/>
        <v>1</v>
      </c>
      <c r="H20" s="203">
        <f t="shared" si="10"/>
        <v>1</v>
      </c>
      <c r="I20" s="203">
        <f t="shared" si="10"/>
        <v>1</v>
      </c>
      <c r="J20" s="203">
        <f t="shared" si="10"/>
        <v>1</v>
      </c>
      <c r="K20" s="203">
        <f t="shared" si="10"/>
        <v>1</v>
      </c>
      <c r="L20" s="203">
        <f t="shared" si="10"/>
        <v>1</v>
      </c>
      <c r="M20" s="203">
        <f t="shared" si="10"/>
        <v>1</v>
      </c>
      <c r="N20" s="203">
        <f t="shared" si="10"/>
        <v>1</v>
      </c>
      <c r="O20" s="203">
        <f>SUM(O18:O19)</f>
        <v>1</v>
      </c>
    </row>
    <row r="21" spans="1:15" ht="15" customHeight="1" x14ac:dyDescent="0.25">
      <c r="A21" s="200"/>
    </row>
  </sheetData>
  <sheetProtection sheet="1" objects="1" scenarios="1"/>
  <mergeCells count="4">
    <mergeCell ref="A2:A5"/>
    <mergeCell ref="A7:A10"/>
    <mergeCell ref="A14:A16"/>
    <mergeCell ref="A18:A20"/>
  </mergeCells>
  <pageMargins left="0.7" right="0.7" top="0.75" bottom="0.75" header="0.3" footer="0.3"/>
  <pageSetup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F0D27-3E7A-4443-A26E-700B67CF03DC}">
  <sheetPr>
    <pageSetUpPr fitToPage="1"/>
  </sheetPr>
  <dimension ref="A1:BZ16"/>
  <sheetViews>
    <sheetView showGridLines="0" workbookViewId="0">
      <selection activeCell="E25" sqref="E25"/>
    </sheetView>
  </sheetViews>
  <sheetFormatPr defaultRowHeight="15" x14ac:dyDescent="0.25"/>
  <cols>
    <col min="1" max="1" width="23.85546875" style="380" bestFit="1" customWidth="1"/>
    <col min="2" max="13" width="10.140625" style="380" customWidth="1"/>
    <col min="14" max="16384" width="9.140625" style="380"/>
  </cols>
  <sheetData>
    <row r="1" spans="1:14" ht="18.75" x14ac:dyDescent="0.3">
      <c r="A1" s="386" t="s">
        <v>340</v>
      </c>
    </row>
    <row r="2" spans="1:14" x14ac:dyDescent="0.25">
      <c r="A2" s="387"/>
      <c r="B2" s="388">
        <v>2025</v>
      </c>
      <c r="C2" s="388">
        <v>2025</v>
      </c>
      <c r="D2" s="388">
        <v>2025</v>
      </c>
      <c r="E2" s="388">
        <v>2025</v>
      </c>
      <c r="F2" s="388">
        <v>2025</v>
      </c>
      <c r="G2" s="388">
        <v>2025</v>
      </c>
      <c r="H2" s="388">
        <v>2025</v>
      </c>
      <c r="I2" s="388">
        <v>2025</v>
      </c>
      <c r="J2" s="388">
        <v>2025</v>
      </c>
      <c r="K2" s="388">
        <v>2025</v>
      </c>
      <c r="L2" s="388">
        <v>2025</v>
      </c>
      <c r="M2" s="388">
        <v>2025</v>
      </c>
      <c r="N2" s="388">
        <v>2025</v>
      </c>
    </row>
    <row r="3" spans="1:14" x14ac:dyDescent="0.25">
      <c r="A3" s="389"/>
      <c r="B3" s="390" t="s">
        <v>250</v>
      </c>
      <c r="C3" s="390" t="s">
        <v>251</v>
      </c>
      <c r="D3" s="390" t="s">
        <v>252</v>
      </c>
      <c r="E3" s="390" t="s">
        <v>253</v>
      </c>
      <c r="F3" s="390" t="s">
        <v>254</v>
      </c>
      <c r="G3" s="390" t="s">
        <v>255</v>
      </c>
      <c r="H3" s="390" t="s">
        <v>256</v>
      </c>
      <c r="I3" s="390" t="s">
        <v>257</v>
      </c>
      <c r="J3" s="390" t="s">
        <v>258</v>
      </c>
      <c r="K3" s="390" t="s">
        <v>259</v>
      </c>
      <c r="L3" s="390" t="s">
        <v>260</v>
      </c>
      <c r="M3" s="390" t="s">
        <v>261</v>
      </c>
      <c r="N3" s="390" t="s">
        <v>183</v>
      </c>
    </row>
    <row r="4" spans="1:14" x14ac:dyDescent="0.25">
      <c r="A4" s="391" t="s">
        <v>321</v>
      </c>
      <c r="B4" s="392"/>
      <c r="C4" s="392"/>
      <c r="D4" s="392"/>
      <c r="E4" s="392"/>
      <c r="F4" s="392"/>
      <c r="G4" s="392"/>
      <c r="H4" s="392"/>
      <c r="I4" s="392"/>
      <c r="J4" s="392"/>
      <c r="K4" s="392"/>
      <c r="L4" s="392"/>
      <c r="M4" s="392"/>
      <c r="N4" s="392"/>
    </row>
    <row r="5" spans="1:14" x14ac:dyDescent="0.25">
      <c r="A5" s="391" t="s">
        <v>322</v>
      </c>
      <c r="B5" s="393">
        <v>744</v>
      </c>
      <c r="C5" s="393">
        <v>645</v>
      </c>
      <c r="D5" s="393">
        <v>480</v>
      </c>
      <c r="E5" s="393">
        <v>156</v>
      </c>
      <c r="F5" s="393">
        <v>82</v>
      </c>
      <c r="G5" s="393">
        <v>30</v>
      </c>
      <c r="H5" s="393">
        <v>39</v>
      </c>
      <c r="I5" s="393">
        <v>36</v>
      </c>
      <c r="J5" s="393">
        <v>34</v>
      </c>
      <c r="K5" s="393">
        <v>100</v>
      </c>
      <c r="L5" s="393">
        <v>950</v>
      </c>
      <c r="M5" s="393">
        <v>739</v>
      </c>
      <c r="N5" s="393">
        <f>SUM(B5:M5)</f>
        <v>4035</v>
      </c>
    </row>
    <row r="6" spans="1:14" x14ac:dyDescent="0.25">
      <c r="A6" s="394" t="s">
        <v>323</v>
      </c>
      <c r="B6" s="395">
        <v>693</v>
      </c>
      <c r="C6" s="395">
        <v>622</v>
      </c>
      <c r="D6" s="395">
        <v>646</v>
      </c>
      <c r="E6" s="395">
        <v>250</v>
      </c>
      <c r="F6" s="395">
        <v>239</v>
      </c>
      <c r="G6" s="395">
        <v>170</v>
      </c>
      <c r="H6" s="395">
        <v>214</v>
      </c>
      <c r="I6" s="395">
        <v>199</v>
      </c>
      <c r="J6" s="395">
        <v>215</v>
      </c>
      <c r="K6" s="395">
        <v>248</v>
      </c>
      <c r="L6" s="395">
        <v>593</v>
      </c>
      <c r="M6" s="395">
        <v>704</v>
      </c>
      <c r="N6" s="395">
        <f>SUM(B6:M6)</f>
        <v>4793</v>
      </c>
    </row>
    <row r="7" spans="1:14" x14ac:dyDescent="0.25">
      <c r="A7" s="396" t="s">
        <v>324</v>
      </c>
      <c r="B7" s="397">
        <f t="shared" ref="B7:N7" si="0">B5+B6</f>
        <v>1437</v>
      </c>
      <c r="C7" s="397">
        <f t="shared" si="0"/>
        <v>1267</v>
      </c>
      <c r="D7" s="397">
        <f t="shared" si="0"/>
        <v>1126</v>
      </c>
      <c r="E7" s="397">
        <f t="shared" si="0"/>
        <v>406</v>
      </c>
      <c r="F7" s="397">
        <f t="shared" si="0"/>
        <v>321</v>
      </c>
      <c r="G7" s="397">
        <f t="shared" si="0"/>
        <v>200</v>
      </c>
      <c r="H7" s="397">
        <f t="shared" si="0"/>
        <v>253</v>
      </c>
      <c r="I7" s="397">
        <f t="shared" si="0"/>
        <v>235</v>
      </c>
      <c r="J7" s="397">
        <f t="shared" si="0"/>
        <v>249</v>
      </c>
      <c r="K7" s="397">
        <f t="shared" si="0"/>
        <v>348</v>
      </c>
      <c r="L7" s="397">
        <f t="shared" si="0"/>
        <v>1543</v>
      </c>
      <c r="M7" s="397">
        <f t="shared" si="0"/>
        <v>1443</v>
      </c>
      <c r="N7" s="397">
        <f t="shared" si="0"/>
        <v>8828</v>
      </c>
    </row>
    <row r="8" spans="1:14" x14ac:dyDescent="0.25">
      <c r="A8" s="396"/>
      <c r="B8" s="397"/>
      <c r="C8" s="397"/>
      <c r="D8" s="397"/>
      <c r="E8" s="397"/>
      <c r="F8" s="397"/>
      <c r="G8" s="397"/>
      <c r="H8" s="397"/>
      <c r="I8" s="397"/>
      <c r="J8" s="397"/>
      <c r="K8" s="397"/>
      <c r="L8" s="397"/>
      <c r="M8" s="397"/>
      <c r="N8" s="397"/>
    </row>
    <row r="9" spans="1:14" x14ac:dyDescent="0.25">
      <c r="A9" s="396" t="s">
        <v>325</v>
      </c>
      <c r="B9" s="397"/>
      <c r="C9" s="397"/>
      <c r="D9" s="397"/>
      <c r="E9" s="397"/>
      <c r="F9" s="397"/>
      <c r="G9" s="397"/>
      <c r="H9" s="397"/>
      <c r="I9" s="397"/>
      <c r="J9" s="397"/>
      <c r="K9" s="397"/>
      <c r="L9" s="397"/>
      <c r="M9" s="397"/>
      <c r="N9" s="397"/>
    </row>
    <row r="10" spans="1:14" x14ac:dyDescent="0.25">
      <c r="A10" s="396" t="s">
        <v>326</v>
      </c>
      <c r="B10" s="398">
        <v>39.090000000000003</v>
      </c>
      <c r="C10" s="398">
        <v>39.090000000000003</v>
      </c>
      <c r="D10" s="398">
        <v>39.090000000000003</v>
      </c>
      <c r="E10" s="398">
        <v>39.020000000000003</v>
      </c>
      <c r="F10" s="398">
        <v>39.020000000000003</v>
      </c>
      <c r="G10" s="398">
        <v>39.020000000000003</v>
      </c>
      <c r="H10" s="398">
        <v>39.020000000000003</v>
      </c>
      <c r="I10" s="398">
        <v>39.020000000000003</v>
      </c>
      <c r="J10" s="398">
        <v>39.020000000000003</v>
      </c>
      <c r="K10" s="398">
        <v>39.020000000000003</v>
      </c>
      <c r="L10" s="398">
        <v>39.020000000000003</v>
      </c>
      <c r="M10" s="398">
        <v>39.020000000000003</v>
      </c>
      <c r="N10" s="398"/>
    </row>
    <row r="11" spans="1:14" x14ac:dyDescent="0.25">
      <c r="A11" s="396" t="s">
        <v>327</v>
      </c>
      <c r="B11" s="397">
        <f t="shared" ref="B11:M11" si="1">1/(B10/1000)*B5</f>
        <v>19033.000767459707</v>
      </c>
      <c r="C11" s="397">
        <f t="shared" si="1"/>
        <v>16500.38372985418</v>
      </c>
      <c r="D11" s="397">
        <f t="shared" si="1"/>
        <v>12279.355333844971</v>
      </c>
      <c r="E11" s="397">
        <f t="shared" si="1"/>
        <v>3997.9497693490507</v>
      </c>
      <c r="F11" s="397">
        <f t="shared" si="1"/>
        <v>2101.4864172219372</v>
      </c>
      <c r="G11" s="397">
        <f t="shared" si="1"/>
        <v>768.83649410558667</v>
      </c>
      <c r="H11" s="397">
        <f t="shared" si="1"/>
        <v>999.48744233726268</v>
      </c>
      <c r="I11" s="397">
        <f t="shared" si="1"/>
        <v>922.60379292670405</v>
      </c>
      <c r="J11" s="397">
        <f t="shared" si="1"/>
        <v>871.34802665299833</v>
      </c>
      <c r="K11" s="397">
        <f t="shared" si="1"/>
        <v>2562.7883136852893</v>
      </c>
      <c r="L11" s="397">
        <f t="shared" si="1"/>
        <v>24346.488980010246</v>
      </c>
      <c r="M11" s="397">
        <f t="shared" si="1"/>
        <v>18939.005638134287</v>
      </c>
      <c r="N11" s="397">
        <f>SUM(B11:M11)</f>
        <v>103322.73470558222</v>
      </c>
    </row>
    <row r="12" spans="1:14" x14ac:dyDescent="0.25">
      <c r="A12" s="396"/>
      <c r="B12" s="398"/>
      <c r="C12" s="398"/>
      <c r="D12" s="398"/>
      <c r="E12" s="398"/>
      <c r="F12" s="398"/>
      <c r="G12" s="398"/>
      <c r="H12" s="398"/>
      <c r="I12" s="398"/>
      <c r="J12" s="398"/>
      <c r="K12" s="398"/>
      <c r="L12" s="398"/>
      <c r="M12" s="398"/>
      <c r="N12" s="398"/>
    </row>
    <row r="13" spans="1:14" x14ac:dyDescent="0.25">
      <c r="A13" s="396" t="s">
        <v>328</v>
      </c>
      <c r="B13" s="398">
        <v>0.13619200000000001</v>
      </c>
      <c r="C13" s="398">
        <v>0.13619200000000001</v>
      </c>
      <c r="D13" s="398">
        <v>0.13619200000000001</v>
      </c>
      <c r="E13" s="398">
        <v>0.19994799999999999</v>
      </c>
      <c r="F13" s="398">
        <v>0.19994799999999999</v>
      </c>
      <c r="G13" s="398">
        <v>0.19994799999999999</v>
      </c>
      <c r="H13" s="398">
        <v>0.183505</v>
      </c>
      <c r="I13" s="398">
        <v>0.183505</v>
      </c>
      <c r="J13" s="398">
        <v>0.183505</v>
      </c>
      <c r="K13" s="398">
        <v>0.16463800000000001</v>
      </c>
      <c r="L13" s="398">
        <v>0.16463800000000001</v>
      </c>
      <c r="M13" s="398">
        <v>0.16463800000000001</v>
      </c>
      <c r="N13" s="398"/>
    </row>
    <row r="14" spans="1:14" x14ac:dyDescent="0.25">
      <c r="A14" s="389" t="s">
        <v>329</v>
      </c>
      <c r="B14" s="399">
        <f t="shared" ref="B14:M14" si="2">B11*B13</f>
        <v>2592.1424405218727</v>
      </c>
      <c r="C14" s="399">
        <f t="shared" si="2"/>
        <v>2247.2202609363007</v>
      </c>
      <c r="D14" s="399">
        <f t="shared" si="2"/>
        <v>1672.3499616270144</v>
      </c>
      <c r="E14" s="399">
        <f t="shared" si="2"/>
        <v>799.38206048180393</v>
      </c>
      <c r="F14" s="399">
        <f t="shared" si="2"/>
        <v>420.18800615069188</v>
      </c>
      <c r="G14" s="399">
        <f t="shared" si="2"/>
        <v>153.72731932342384</v>
      </c>
      <c r="H14" s="399">
        <f t="shared" si="2"/>
        <v>183.41094310609938</v>
      </c>
      <c r="I14" s="399">
        <f t="shared" si="2"/>
        <v>169.30240902101482</v>
      </c>
      <c r="J14" s="399">
        <f t="shared" si="2"/>
        <v>159.89671963095847</v>
      </c>
      <c r="K14" s="399">
        <f t="shared" si="2"/>
        <v>421.93234238851869</v>
      </c>
      <c r="L14" s="399">
        <f t="shared" si="2"/>
        <v>4008.357252690927</v>
      </c>
      <c r="M14" s="399">
        <f t="shared" si="2"/>
        <v>3118.080010251153</v>
      </c>
      <c r="N14" s="400">
        <f>SUM(B14:M14)</f>
        <v>15945.989726129779</v>
      </c>
    </row>
    <row r="15" spans="1:14" x14ac:dyDescent="0.25">
      <c r="A15" s="401"/>
    </row>
    <row r="16" spans="1:14" x14ac:dyDescent="0.25">
      <c r="A16" s="402" t="s">
        <v>330</v>
      </c>
    </row>
  </sheetData>
  <sheetProtection sheet="1" objects="1" scenarios="1"/>
  <pageMargins left="0.7" right="0.7" top="0.75" bottom="0.75" header="0.3" footer="0.3"/>
  <pageSetup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O140"/>
  <sheetViews>
    <sheetView showGridLines="0" workbookViewId="0">
      <selection activeCell="R130" sqref="R130"/>
    </sheetView>
  </sheetViews>
  <sheetFormatPr defaultRowHeight="15" x14ac:dyDescent="0.25"/>
  <cols>
    <col min="1" max="2" width="9.140625" customWidth="1"/>
    <col min="3" max="3" width="35.28515625" customWidth="1"/>
    <col min="4" max="4" width="10.7109375" customWidth="1"/>
    <col min="5" max="5" width="9.5703125" bestFit="1" customWidth="1"/>
    <col min="6" max="15" width="9.140625" customWidth="1"/>
    <col min="16" max="16" width="11.85546875" customWidth="1"/>
  </cols>
  <sheetData>
    <row r="1" spans="1:15" ht="18.75" x14ac:dyDescent="0.3">
      <c r="A1" s="211" t="s">
        <v>190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</row>
    <row r="3" spans="1:15" ht="15.75" x14ac:dyDescent="0.25">
      <c r="C3" s="2" t="s">
        <v>191</v>
      </c>
      <c r="D3" s="2"/>
    </row>
    <row r="6" spans="1:15" x14ac:dyDescent="0.25">
      <c r="B6" s="212"/>
      <c r="C6" s="213" t="s">
        <v>192</v>
      </c>
      <c r="D6" s="213"/>
      <c r="E6" s="214"/>
      <c r="F6" s="214"/>
      <c r="G6" s="214"/>
      <c r="H6" s="214"/>
      <c r="I6" s="213"/>
      <c r="J6" s="215"/>
      <c r="K6" s="215"/>
      <c r="L6" s="215"/>
      <c r="M6" s="214"/>
      <c r="N6" s="214"/>
    </row>
    <row r="7" spans="1:15" x14ac:dyDescent="0.25">
      <c r="B7" s="212"/>
      <c r="C7" s="216" t="s">
        <v>193</v>
      </c>
      <c r="D7" s="216"/>
      <c r="E7" s="214"/>
      <c r="F7" s="214"/>
      <c r="G7" s="214"/>
      <c r="H7" s="214"/>
      <c r="I7" s="213"/>
      <c r="J7" s="215"/>
      <c r="K7" s="215"/>
      <c r="L7" s="215"/>
      <c r="M7" s="214"/>
      <c r="N7" s="214"/>
    </row>
    <row r="8" spans="1:15" x14ac:dyDescent="0.25"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</row>
    <row r="9" spans="1:15" x14ac:dyDescent="0.25">
      <c r="B9" s="212"/>
      <c r="C9" s="212"/>
      <c r="D9" s="212"/>
      <c r="E9" s="217" t="s">
        <v>194</v>
      </c>
      <c r="F9" s="217" t="s">
        <v>195</v>
      </c>
      <c r="G9" s="217" t="s">
        <v>196</v>
      </c>
      <c r="H9" s="217" t="s">
        <v>197</v>
      </c>
      <c r="I9" s="217" t="s">
        <v>198</v>
      </c>
      <c r="J9" s="217" t="s">
        <v>199</v>
      </c>
      <c r="K9" s="217" t="s">
        <v>200</v>
      </c>
      <c r="L9" s="217" t="s">
        <v>201</v>
      </c>
      <c r="M9" s="217" t="s">
        <v>202</v>
      </c>
      <c r="N9" s="217" t="s">
        <v>203</v>
      </c>
    </row>
    <row r="10" spans="1:15" x14ac:dyDescent="0.25">
      <c r="B10" s="212"/>
      <c r="C10" s="212"/>
      <c r="D10" s="212"/>
      <c r="E10" s="217"/>
      <c r="F10" s="217"/>
      <c r="G10" s="217"/>
      <c r="H10" s="217"/>
      <c r="I10" s="217"/>
      <c r="J10" s="217"/>
      <c r="K10" s="217"/>
      <c r="L10" s="217"/>
      <c r="M10" s="217"/>
      <c r="N10" s="217"/>
    </row>
    <row r="11" spans="1:15" x14ac:dyDescent="0.25">
      <c r="B11" s="212"/>
      <c r="C11" s="218" t="s">
        <v>204</v>
      </c>
      <c r="D11" s="218"/>
      <c r="E11" s="219">
        <v>2019</v>
      </c>
      <c r="F11" s="219">
        <v>2020</v>
      </c>
      <c r="G11" s="219">
        <v>2021</v>
      </c>
      <c r="H11" s="219">
        <v>2022</v>
      </c>
      <c r="I11" s="219">
        <v>2023</v>
      </c>
      <c r="J11" s="219">
        <v>2024</v>
      </c>
      <c r="K11" s="219">
        <v>2025</v>
      </c>
      <c r="L11" s="219">
        <v>2026</v>
      </c>
      <c r="M11" s="219">
        <v>2027</v>
      </c>
      <c r="N11" s="219">
        <v>2028</v>
      </c>
    </row>
    <row r="12" spans="1:15" x14ac:dyDescent="0.25">
      <c r="B12" s="212" t="s">
        <v>205</v>
      </c>
      <c r="C12" s="220"/>
      <c r="D12" s="220"/>
      <c r="E12" s="221"/>
      <c r="F12" s="221"/>
      <c r="G12" s="221"/>
      <c r="H12" s="221"/>
      <c r="I12" s="221"/>
      <c r="J12" s="221"/>
      <c r="K12" s="221"/>
      <c r="L12" s="221"/>
      <c r="M12" s="221"/>
      <c r="N12" s="221"/>
    </row>
    <row r="13" spans="1:15" x14ac:dyDescent="0.25">
      <c r="B13" s="212" t="s">
        <v>206</v>
      </c>
      <c r="C13" s="222" t="s">
        <v>207</v>
      </c>
      <c r="D13" s="222"/>
      <c r="E13" s="221"/>
      <c r="F13" s="221"/>
      <c r="G13" s="221"/>
      <c r="H13" s="221"/>
      <c r="I13" s="221"/>
      <c r="J13" s="221"/>
      <c r="K13" s="221"/>
      <c r="L13" s="221"/>
      <c r="M13" s="221"/>
      <c r="N13" s="221"/>
    </row>
    <row r="14" spans="1:15" x14ac:dyDescent="0.25">
      <c r="B14" s="212" t="s">
        <v>208</v>
      </c>
      <c r="C14" s="220" t="s">
        <v>19</v>
      </c>
      <c r="D14" s="220"/>
      <c r="E14" s="221">
        <v>0</v>
      </c>
      <c r="F14" s="221">
        <v>2363.1339494987365</v>
      </c>
      <c r="G14" s="221">
        <v>2363.1339494987365</v>
      </c>
      <c r="H14" s="221">
        <v>2363.1339494987365</v>
      </c>
      <c r="I14" s="221">
        <v>2363.1339494987365</v>
      </c>
      <c r="J14" s="221">
        <v>2363.1339494987365</v>
      </c>
      <c r="K14" s="221">
        <v>2363.1339494987365</v>
      </c>
      <c r="L14" s="221">
        <v>2363.1339494987365</v>
      </c>
      <c r="M14" s="221">
        <v>2363.1339494987365</v>
      </c>
      <c r="N14" s="221">
        <v>2363.1339494987365</v>
      </c>
    </row>
    <row r="15" spans="1:15" x14ac:dyDescent="0.25">
      <c r="B15" s="212" t="s">
        <v>209</v>
      </c>
      <c r="C15" s="220" t="s">
        <v>210</v>
      </c>
      <c r="D15" s="220"/>
      <c r="E15" s="221">
        <v>2363.1339494987365</v>
      </c>
      <c r="F15" s="221">
        <v>0</v>
      </c>
      <c r="G15" s="221">
        <v>0</v>
      </c>
      <c r="H15" s="221">
        <v>0</v>
      </c>
      <c r="I15" s="221">
        <v>0</v>
      </c>
      <c r="J15" s="221">
        <v>0</v>
      </c>
      <c r="K15" s="221">
        <v>0</v>
      </c>
      <c r="L15" s="221">
        <v>0</v>
      </c>
      <c r="M15" s="221">
        <v>0</v>
      </c>
      <c r="N15" s="221">
        <v>0</v>
      </c>
    </row>
    <row r="16" spans="1:15" x14ac:dyDescent="0.25">
      <c r="B16" s="212" t="s">
        <v>211</v>
      </c>
      <c r="C16" s="220" t="s">
        <v>212</v>
      </c>
      <c r="D16" s="220"/>
      <c r="E16" s="221">
        <v>0</v>
      </c>
      <c r="F16" s="221">
        <v>0</v>
      </c>
      <c r="G16" s="221">
        <v>0</v>
      </c>
      <c r="H16" s="221">
        <v>0</v>
      </c>
      <c r="I16" s="221">
        <v>0</v>
      </c>
      <c r="J16" s="221">
        <v>0</v>
      </c>
      <c r="K16" s="221">
        <v>0</v>
      </c>
      <c r="L16" s="221">
        <v>0</v>
      </c>
      <c r="M16" s="221">
        <v>0</v>
      </c>
      <c r="N16" s="221">
        <v>0</v>
      </c>
    </row>
    <row r="17" spans="2:14" x14ac:dyDescent="0.25">
      <c r="B17" s="212" t="s">
        <v>213</v>
      </c>
      <c r="C17" s="220" t="s">
        <v>214</v>
      </c>
      <c r="D17" s="220"/>
      <c r="E17" s="221">
        <v>0</v>
      </c>
      <c r="F17" s="221">
        <v>0</v>
      </c>
      <c r="G17" s="221">
        <v>0</v>
      </c>
      <c r="H17" s="221">
        <v>0</v>
      </c>
      <c r="I17" s="221">
        <v>0</v>
      </c>
      <c r="J17" s="221">
        <v>0</v>
      </c>
      <c r="K17" s="221">
        <v>0</v>
      </c>
      <c r="L17" s="221">
        <v>0</v>
      </c>
      <c r="M17" s="221">
        <v>0</v>
      </c>
      <c r="N17" s="221">
        <v>0</v>
      </c>
    </row>
    <row r="18" spans="2:14" x14ac:dyDescent="0.25">
      <c r="B18" s="212" t="s">
        <v>215</v>
      </c>
      <c r="C18" s="220" t="s">
        <v>216</v>
      </c>
      <c r="D18" s="220"/>
      <c r="E18" s="221">
        <v>0</v>
      </c>
      <c r="F18" s="221">
        <v>0</v>
      </c>
      <c r="G18" s="221">
        <v>0</v>
      </c>
      <c r="H18" s="221">
        <v>0</v>
      </c>
      <c r="I18" s="221">
        <v>0</v>
      </c>
      <c r="J18" s="221">
        <v>0</v>
      </c>
      <c r="K18" s="221">
        <v>0</v>
      </c>
      <c r="L18" s="221">
        <v>0</v>
      </c>
      <c r="M18" s="221">
        <v>0</v>
      </c>
      <c r="N18" s="221">
        <v>0</v>
      </c>
    </row>
    <row r="19" spans="2:14" x14ac:dyDescent="0.25">
      <c r="B19" s="212" t="s">
        <v>217</v>
      </c>
      <c r="C19" s="220" t="s">
        <v>218</v>
      </c>
      <c r="D19" s="220"/>
      <c r="E19" s="221">
        <v>0</v>
      </c>
      <c r="F19" s="221">
        <v>0</v>
      </c>
      <c r="G19" s="221">
        <v>0</v>
      </c>
      <c r="H19" s="221">
        <v>0</v>
      </c>
      <c r="I19" s="221">
        <v>0</v>
      </c>
      <c r="J19" s="221">
        <v>0</v>
      </c>
      <c r="K19" s="221">
        <v>0</v>
      </c>
      <c r="L19" s="221">
        <v>0</v>
      </c>
      <c r="M19" s="221">
        <v>0</v>
      </c>
      <c r="N19" s="221">
        <v>0</v>
      </c>
    </row>
    <row r="20" spans="2:14" x14ac:dyDescent="0.25">
      <c r="B20" s="212" t="s">
        <v>219</v>
      </c>
      <c r="C20" s="220" t="s">
        <v>21</v>
      </c>
      <c r="D20" s="220"/>
      <c r="E20" s="223">
        <v>2363.1339494987365</v>
      </c>
      <c r="F20" s="223">
        <v>2363.1339494987365</v>
      </c>
      <c r="G20" s="223">
        <v>2363.1339494987365</v>
      </c>
      <c r="H20" s="223">
        <v>2363.1339494987365</v>
      </c>
      <c r="I20" s="223">
        <v>2363.1339494987365</v>
      </c>
      <c r="J20" s="223">
        <v>2363.1339494987365</v>
      </c>
      <c r="K20" s="223">
        <v>2363.1339494987365</v>
      </c>
      <c r="L20" s="223">
        <v>2363.1339494987365</v>
      </c>
      <c r="M20" s="223">
        <v>2363.1339494987365</v>
      </c>
      <c r="N20" s="223">
        <v>2363.1339494987365</v>
      </c>
    </row>
    <row r="21" spans="2:14" x14ac:dyDescent="0.25">
      <c r="B21" s="212" t="s">
        <v>220</v>
      </c>
      <c r="C21" s="220"/>
      <c r="D21" s="220"/>
      <c r="E21" s="221"/>
      <c r="F21" s="221"/>
      <c r="G21" s="221"/>
      <c r="H21" s="221"/>
      <c r="I21" s="221"/>
      <c r="J21" s="221"/>
      <c r="K21" s="221"/>
      <c r="L21" s="221"/>
      <c r="M21" s="221"/>
      <c r="N21" s="221"/>
    </row>
    <row r="22" spans="2:14" x14ac:dyDescent="0.25">
      <c r="B22" s="212" t="s">
        <v>221</v>
      </c>
      <c r="C22" s="222" t="s">
        <v>222</v>
      </c>
      <c r="D22" s="222"/>
      <c r="E22" s="221"/>
      <c r="F22" s="221"/>
      <c r="G22" s="221"/>
      <c r="H22" s="221"/>
      <c r="I22" s="221"/>
      <c r="J22" s="221"/>
      <c r="K22" s="221"/>
      <c r="L22" s="221"/>
      <c r="M22" s="221"/>
      <c r="N22" s="221"/>
    </row>
    <row r="23" spans="2:14" x14ac:dyDescent="0.25">
      <c r="B23" s="212" t="s">
        <v>223</v>
      </c>
      <c r="C23" s="220" t="s">
        <v>19</v>
      </c>
      <c r="D23" s="220"/>
      <c r="E23" s="221">
        <v>0</v>
      </c>
      <c r="F23" s="221">
        <v>-23.167979897046436</v>
      </c>
      <c r="G23" s="221">
        <v>-69.503939691139308</v>
      </c>
      <c r="H23" s="221">
        <v>-115.83989948523218</v>
      </c>
      <c r="I23" s="221">
        <v>-162.17585927932504</v>
      </c>
      <c r="J23" s="221">
        <v>-208.51181907341791</v>
      </c>
      <c r="K23" s="221">
        <v>-254.84777886751078</v>
      </c>
      <c r="L23" s="221">
        <v>-301.18373866160368</v>
      </c>
      <c r="M23" s="221">
        <v>-347.51969845569658</v>
      </c>
      <c r="N23" s="221">
        <v>-393.85565824978949</v>
      </c>
    </row>
    <row r="24" spans="2:14" x14ac:dyDescent="0.25">
      <c r="B24" s="212" t="s">
        <v>224</v>
      </c>
      <c r="C24" s="220" t="s">
        <v>225</v>
      </c>
      <c r="D24" s="220"/>
      <c r="E24" s="221">
        <v>-23.167979897046436</v>
      </c>
      <c r="F24" s="221">
        <v>-46.335959794092872</v>
      </c>
      <c r="G24" s="221">
        <v>-46.335959794092872</v>
      </c>
      <c r="H24" s="221">
        <v>-46.335959794092872</v>
      </c>
      <c r="I24" s="221">
        <v>-46.335959794092872</v>
      </c>
      <c r="J24" s="221">
        <v>-46.335959794092872</v>
      </c>
      <c r="K24" s="221">
        <v>-46.335959794092872</v>
      </c>
      <c r="L24" s="221">
        <v>-46.335959794092872</v>
      </c>
      <c r="M24" s="221">
        <v>-46.335959794092872</v>
      </c>
      <c r="N24" s="221">
        <v>-46.335959794092872</v>
      </c>
    </row>
    <row r="25" spans="2:14" x14ac:dyDescent="0.25">
      <c r="B25" s="212" t="s">
        <v>226</v>
      </c>
      <c r="C25" s="220" t="s">
        <v>218</v>
      </c>
      <c r="D25" s="220"/>
      <c r="E25" s="221">
        <v>0</v>
      </c>
      <c r="F25" s="221">
        <v>0</v>
      </c>
      <c r="G25" s="221">
        <v>0</v>
      </c>
      <c r="H25" s="221">
        <v>0</v>
      </c>
      <c r="I25" s="221">
        <v>0</v>
      </c>
      <c r="J25" s="221">
        <v>0</v>
      </c>
      <c r="K25" s="221">
        <v>0</v>
      </c>
      <c r="L25" s="221">
        <v>0</v>
      </c>
      <c r="M25" s="221">
        <v>0</v>
      </c>
      <c r="N25" s="221">
        <v>0</v>
      </c>
    </row>
    <row r="26" spans="2:14" x14ac:dyDescent="0.25">
      <c r="B26" s="212" t="s">
        <v>227</v>
      </c>
      <c r="C26" s="220" t="s">
        <v>21</v>
      </c>
      <c r="D26" s="220"/>
      <c r="E26" s="223">
        <v>-23.167979897046436</v>
      </c>
      <c r="F26" s="223">
        <v>-69.503939691139308</v>
      </c>
      <c r="G26" s="223">
        <v>-115.83989948523218</v>
      </c>
      <c r="H26" s="223">
        <v>-162.17585927932504</v>
      </c>
      <c r="I26" s="223">
        <v>-208.51181907341791</v>
      </c>
      <c r="J26" s="223">
        <v>-254.84777886751078</v>
      </c>
      <c r="K26" s="223">
        <v>-301.18373866160368</v>
      </c>
      <c r="L26" s="223">
        <v>-347.51969845569658</v>
      </c>
      <c r="M26" s="223">
        <v>-393.85565824978949</v>
      </c>
      <c r="N26" s="223">
        <v>-440.19161804388239</v>
      </c>
    </row>
    <row r="27" spans="2:14" x14ac:dyDescent="0.25">
      <c r="B27" s="212" t="s">
        <v>228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</row>
    <row r="28" spans="2:14" ht="15.75" thickBot="1" x14ac:dyDescent="0.3">
      <c r="B28" s="212" t="s">
        <v>229</v>
      </c>
      <c r="C28" s="212" t="s">
        <v>230</v>
      </c>
      <c r="D28" s="212"/>
      <c r="E28" s="224">
        <v>2339.9659696016902</v>
      </c>
      <c r="F28" s="224">
        <v>2293.6300098075972</v>
      </c>
      <c r="G28" s="224">
        <v>2247.2940500135041</v>
      </c>
      <c r="H28" s="224">
        <v>2200.9580902194116</v>
      </c>
      <c r="I28" s="224">
        <v>2154.6221304253186</v>
      </c>
      <c r="J28" s="224">
        <v>2108.2861706312256</v>
      </c>
      <c r="K28" s="224">
        <v>2061.9502108371325</v>
      </c>
      <c r="L28" s="224">
        <v>2015.61425104304</v>
      </c>
      <c r="M28" s="224">
        <v>1969.278291248947</v>
      </c>
      <c r="N28" s="224">
        <v>1922.942331454854</v>
      </c>
    </row>
    <row r="29" spans="2:14" ht="15.75" thickTop="1" x14ac:dyDescent="0.25">
      <c r="B29" s="212"/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</row>
    <row r="30" spans="2:14" x14ac:dyDescent="0.25"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</row>
    <row r="31" spans="2:14" x14ac:dyDescent="0.25"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</row>
    <row r="32" spans="2:14" x14ac:dyDescent="0.25">
      <c r="B32" s="212"/>
      <c r="C32" s="213" t="s">
        <v>231</v>
      </c>
      <c r="D32" s="213"/>
      <c r="E32" s="214"/>
      <c r="F32" s="214"/>
      <c r="G32" s="214"/>
      <c r="H32" s="214"/>
      <c r="I32" s="213"/>
      <c r="J32" s="215"/>
      <c r="K32" s="215"/>
      <c r="L32" s="215"/>
      <c r="M32" s="214"/>
      <c r="N32" s="214"/>
    </row>
    <row r="33" spans="2:14" x14ac:dyDescent="0.25">
      <c r="B33" s="212"/>
      <c r="C33" s="216" t="s">
        <v>193</v>
      </c>
      <c r="D33" s="216"/>
      <c r="E33" s="214"/>
      <c r="F33" s="214"/>
      <c r="G33" s="214"/>
      <c r="H33" s="214"/>
      <c r="I33" s="213"/>
      <c r="J33" s="215"/>
      <c r="K33" s="215"/>
      <c r="L33" s="215"/>
      <c r="M33" s="214"/>
      <c r="N33" s="214"/>
    </row>
    <row r="34" spans="2:14" x14ac:dyDescent="0.25"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</row>
    <row r="35" spans="2:14" x14ac:dyDescent="0.25">
      <c r="B35" s="212"/>
      <c r="C35" s="212"/>
      <c r="D35" s="212"/>
      <c r="E35" s="217" t="s">
        <v>194</v>
      </c>
      <c r="F35" s="217" t="s">
        <v>195</v>
      </c>
      <c r="G35" s="217" t="s">
        <v>196</v>
      </c>
      <c r="H35" s="217" t="s">
        <v>197</v>
      </c>
      <c r="I35" s="217" t="s">
        <v>198</v>
      </c>
      <c r="J35" s="217" t="s">
        <v>199</v>
      </c>
      <c r="K35" s="217" t="s">
        <v>200</v>
      </c>
      <c r="L35" s="217" t="s">
        <v>201</v>
      </c>
      <c r="M35" s="217" t="s">
        <v>202</v>
      </c>
      <c r="N35" s="217" t="s">
        <v>203</v>
      </c>
    </row>
    <row r="36" spans="2:14" x14ac:dyDescent="0.25">
      <c r="B36" s="212"/>
      <c r="C36" s="212"/>
      <c r="D36" s="212"/>
      <c r="E36" s="217"/>
      <c r="F36" s="217"/>
      <c r="G36" s="217"/>
      <c r="H36" s="217"/>
      <c r="I36" s="217"/>
      <c r="J36" s="217"/>
      <c r="K36" s="217"/>
      <c r="L36" s="217"/>
      <c r="M36" s="217"/>
      <c r="N36" s="217"/>
    </row>
    <row r="37" spans="2:14" x14ac:dyDescent="0.25">
      <c r="B37" s="212"/>
      <c r="C37" s="218" t="s">
        <v>204</v>
      </c>
      <c r="D37" s="218"/>
      <c r="E37" s="219">
        <v>2019</v>
      </c>
      <c r="F37" s="219">
        <v>2020</v>
      </c>
      <c r="G37" s="219">
        <v>2021</v>
      </c>
      <c r="H37" s="219">
        <v>2022</v>
      </c>
      <c r="I37" s="219">
        <v>2023</v>
      </c>
      <c r="J37" s="219">
        <v>2024</v>
      </c>
      <c r="K37" s="219">
        <v>2025</v>
      </c>
      <c r="L37" s="219">
        <v>2026</v>
      </c>
      <c r="M37" s="219">
        <v>2027</v>
      </c>
      <c r="N37" s="219">
        <v>2028</v>
      </c>
    </row>
    <row r="38" spans="2:14" x14ac:dyDescent="0.25">
      <c r="B38" s="212" t="s">
        <v>205</v>
      </c>
      <c r="C38" s="220"/>
      <c r="D38" s="220"/>
      <c r="E38" s="221"/>
      <c r="F38" s="221"/>
      <c r="G38" s="221"/>
      <c r="H38" s="221"/>
      <c r="I38" s="221"/>
      <c r="J38" s="221"/>
      <c r="K38" s="221"/>
      <c r="L38" s="221"/>
      <c r="M38" s="221"/>
      <c r="N38" s="221"/>
    </row>
    <row r="39" spans="2:14" x14ac:dyDescent="0.25">
      <c r="B39" s="212" t="s">
        <v>206</v>
      </c>
      <c r="C39" s="222" t="s">
        <v>207</v>
      </c>
      <c r="D39" s="222"/>
      <c r="E39" s="221"/>
      <c r="F39" s="221"/>
      <c r="G39" s="221"/>
      <c r="H39" s="221"/>
      <c r="I39" s="221"/>
      <c r="J39" s="221"/>
      <c r="K39" s="221"/>
      <c r="L39" s="221"/>
      <c r="M39" s="221"/>
      <c r="N39" s="221"/>
    </row>
    <row r="40" spans="2:14" x14ac:dyDescent="0.25">
      <c r="B40" s="212" t="s">
        <v>208</v>
      </c>
      <c r="C40" s="220" t="s">
        <v>19</v>
      </c>
      <c r="D40" s="220"/>
      <c r="E40" s="221">
        <v>0</v>
      </c>
      <c r="F40" s="221">
        <v>2934.5720549261687</v>
      </c>
      <c r="G40" s="221">
        <v>2934.5720549261687</v>
      </c>
      <c r="H40" s="221">
        <v>2934.5720549261687</v>
      </c>
      <c r="I40" s="221">
        <v>2934.5720549261687</v>
      </c>
      <c r="J40" s="221">
        <v>2934.5720549261687</v>
      </c>
      <c r="K40" s="221">
        <v>2934.5720549261687</v>
      </c>
      <c r="L40" s="221">
        <v>2934.5720549261687</v>
      </c>
      <c r="M40" s="221">
        <v>2934.5720549261687</v>
      </c>
      <c r="N40" s="221">
        <v>2934.5720549261687</v>
      </c>
    </row>
    <row r="41" spans="2:14" x14ac:dyDescent="0.25">
      <c r="B41" s="212" t="s">
        <v>209</v>
      </c>
      <c r="C41" s="220" t="s">
        <v>210</v>
      </c>
      <c r="D41" s="220"/>
      <c r="E41" s="221">
        <v>2934.5720549261687</v>
      </c>
      <c r="F41" s="221">
        <v>0</v>
      </c>
      <c r="G41" s="221">
        <v>0</v>
      </c>
      <c r="H41" s="221">
        <v>0</v>
      </c>
      <c r="I41" s="221">
        <v>0</v>
      </c>
      <c r="J41" s="221">
        <v>0</v>
      </c>
      <c r="K41" s="221">
        <v>0</v>
      </c>
      <c r="L41" s="221">
        <v>0</v>
      </c>
      <c r="M41" s="221">
        <v>0</v>
      </c>
      <c r="N41" s="221">
        <v>0</v>
      </c>
    </row>
    <row r="42" spans="2:14" x14ac:dyDescent="0.25">
      <c r="B42" s="212" t="s">
        <v>211</v>
      </c>
      <c r="C42" s="220" t="s">
        <v>212</v>
      </c>
      <c r="D42" s="220"/>
      <c r="E42" s="221">
        <v>0</v>
      </c>
      <c r="F42" s="221">
        <v>0</v>
      </c>
      <c r="G42" s="221">
        <v>0</v>
      </c>
      <c r="H42" s="221">
        <v>0</v>
      </c>
      <c r="I42" s="221">
        <v>0</v>
      </c>
      <c r="J42" s="221">
        <v>0</v>
      </c>
      <c r="K42" s="221">
        <v>0</v>
      </c>
      <c r="L42" s="221">
        <v>0</v>
      </c>
      <c r="M42" s="221">
        <v>0</v>
      </c>
      <c r="N42" s="221">
        <v>0</v>
      </c>
    </row>
    <row r="43" spans="2:14" x14ac:dyDescent="0.25">
      <c r="B43" s="212" t="s">
        <v>213</v>
      </c>
      <c r="C43" s="220" t="s">
        <v>214</v>
      </c>
      <c r="D43" s="220"/>
      <c r="E43" s="221">
        <v>0</v>
      </c>
      <c r="F43" s="221">
        <v>0</v>
      </c>
      <c r="G43" s="221">
        <v>0</v>
      </c>
      <c r="H43" s="221">
        <v>0</v>
      </c>
      <c r="I43" s="221">
        <v>0</v>
      </c>
      <c r="J43" s="221">
        <v>0</v>
      </c>
      <c r="K43" s="221">
        <v>0</v>
      </c>
      <c r="L43" s="221">
        <v>0</v>
      </c>
      <c r="M43" s="221">
        <v>0</v>
      </c>
      <c r="N43" s="221">
        <v>0</v>
      </c>
    </row>
    <row r="44" spans="2:14" x14ac:dyDescent="0.25">
      <c r="B44" s="212" t="s">
        <v>215</v>
      </c>
      <c r="C44" s="220" t="s">
        <v>216</v>
      </c>
      <c r="D44" s="220"/>
      <c r="E44" s="221">
        <v>0</v>
      </c>
      <c r="F44" s="221">
        <v>0</v>
      </c>
      <c r="G44" s="221">
        <v>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0</v>
      </c>
      <c r="N44" s="221">
        <v>0</v>
      </c>
    </row>
    <row r="45" spans="2:14" x14ac:dyDescent="0.25">
      <c r="B45" s="212" t="s">
        <v>217</v>
      </c>
      <c r="C45" s="220" t="s">
        <v>218</v>
      </c>
      <c r="D45" s="220"/>
      <c r="E45" s="221">
        <v>0</v>
      </c>
      <c r="F45" s="221">
        <v>0</v>
      </c>
      <c r="G45" s="221">
        <v>0</v>
      </c>
      <c r="H45" s="221">
        <v>0</v>
      </c>
      <c r="I45" s="221">
        <v>0</v>
      </c>
      <c r="J45" s="221">
        <v>0</v>
      </c>
      <c r="K45" s="221">
        <v>0</v>
      </c>
      <c r="L45" s="221">
        <v>0</v>
      </c>
      <c r="M45" s="221">
        <v>0</v>
      </c>
      <c r="N45" s="221">
        <v>0</v>
      </c>
    </row>
    <row r="46" spans="2:14" x14ac:dyDescent="0.25">
      <c r="B46" s="212" t="s">
        <v>219</v>
      </c>
      <c r="C46" s="220" t="s">
        <v>21</v>
      </c>
      <c r="D46" s="220"/>
      <c r="E46" s="223">
        <v>2934.5720549261687</v>
      </c>
      <c r="F46" s="223">
        <v>2934.5720549261687</v>
      </c>
      <c r="G46" s="223">
        <v>2934.5720549261687</v>
      </c>
      <c r="H46" s="223">
        <v>2934.5720549261687</v>
      </c>
      <c r="I46" s="223">
        <v>2934.5720549261687</v>
      </c>
      <c r="J46" s="223">
        <v>2934.5720549261687</v>
      </c>
      <c r="K46" s="223">
        <v>2934.5720549261687</v>
      </c>
      <c r="L46" s="223">
        <v>2934.5720549261687</v>
      </c>
      <c r="M46" s="223">
        <v>2934.5720549261687</v>
      </c>
      <c r="N46" s="223">
        <v>2934.5720549261687</v>
      </c>
    </row>
    <row r="47" spans="2:14" x14ac:dyDescent="0.25">
      <c r="B47" s="212" t="s">
        <v>220</v>
      </c>
      <c r="C47" s="220"/>
      <c r="D47" s="220"/>
      <c r="E47" s="221"/>
      <c r="F47" s="221"/>
      <c r="G47" s="221"/>
      <c r="H47" s="221"/>
      <c r="I47" s="221"/>
      <c r="J47" s="221"/>
      <c r="K47" s="221"/>
      <c r="L47" s="221"/>
      <c r="M47" s="221"/>
      <c r="N47" s="221"/>
    </row>
    <row r="48" spans="2:14" x14ac:dyDescent="0.25">
      <c r="B48" s="212" t="s">
        <v>221</v>
      </c>
      <c r="C48" s="222" t="s">
        <v>222</v>
      </c>
      <c r="D48" s="222"/>
      <c r="E48" s="221"/>
      <c r="F48" s="221"/>
      <c r="G48" s="221"/>
      <c r="H48" s="221"/>
      <c r="I48" s="221"/>
      <c r="J48" s="221"/>
      <c r="K48" s="221"/>
      <c r="L48" s="221"/>
      <c r="M48" s="221"/>
      <c r="N48" s="221"/>
    </row>
    <row r="49" spans="2:14" x14ac:dyDescent="0.25">
      <c r="B49" s="212" t="s">
        <v>223</v>
      </c>
      <c r="C49" s="220" t="s">
        <v>19</v>
      </c>
      <c r="D49" s="220"/>
      <c r="E49" s="221">
        <v>0</v>
      </c>
      <c r="F49" s="221">
        <v>-38.612790196396958</v>
      </c>
      <c r="G49" s="221">
        <v>-115.83837058919087</v>
      </c>
      <c r="H49" s="221">
        <v>-193.06395098198479</v>
      </c>
      <c r="I49" s="221">
        <v>-270.28953137477868</v>
      </c>
      <c r="J49" s="221">
        <v>-347.51511176757259</v>
      </c>
      <c r="K49" s="221">
        <v>-424.74069216036651</v>
      </c>
      <c r="L49" s="221">
        <v>-501.96627255316042</v>
      </c>
      <c r="M49" s="221">
        <v>-579.19185294595434</v>
      </c>
      <c r="N49" s="221">
        <v>-656.4174333387482</v>
      </c>
    </row>
    <row r="50" spans="2:14" x14ac:dyDescent="0.25">
      <c r="B50" s="212" t="s">
        <v>224</v>
      </c>
      <c r="C50" s="220" t="s">
        <v>225</v>
      </c>
      <c r="D50" s="220"/>
      <c r="E50" s="221">
        <v>-38.612790196396958</v>
      </c>
      <c r="F50" s="221">
        <v>-77.225580392793916</v>
      </c>
      <c r="G50" s="221">
        <v>-77.225580392793916</v>
      </c>
      <c r="H50" s="221">
        <v>-77.225580392793916</v>
      </c>
      <c r="I50" s="221">
        <v>-77.225580392793916</v>
      </c>
      <c r="J50" s="221">
        <v>-77.225580392793916</v>
      </c>
      <c r="K50" s="221">
        <v>-77.225580392793916</v>
      </c>
      <c r="L50" s="221">
        <v>-77.225580392793916</v>
      </c>
      <c r="M50" s="221">
        <v>-77.225580392793916</v>
      </c>
      <c r="N50" s="221">
        <v>-77.225580392793916</v>
      </c>
    </row>
    <row r="51" spans="2:14" x14ac:dyDescent="0.25">
      <c r="B51" s="212" t="s">
        <v>226</v>
      </c>
      <c r="C51" s="220" t="s">
        <v>218</v>
      </c>
      <c r="D51" s="220"/>
      <c r="E51" s="221">
        <v>0</v>
      </c>
      <c r="F51" s="221">
        <v>0</v>
      </c>
      <c r="G51" s="221">
        <v>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0</v>
      </c>
      <c r="N51" s="221">
        <v>0</v>
      </c>
    </row>
    <row r="52" spans="2:14" x14ac:dyDescent="0.25">
      <c r="B52" s="212" t="s">
        <v>227</v>
      </c>
      <c r="C52" s="220" t="s">
        <v>21</v>
      </c>
      <c r="D52" s="220"/>
      <c r="E52" s="223">
        <v>-38.612790196396958</v>
      </c>
      <c r="F52" s="223">
        <v>-115.83837058919087</v>
      </c>
      <c r="G52" s="223">
        <v>-193.06395098198479</v>
      </c>
      <c r="H52" s="223">
        <v>-270.28953137477868</v>
      </c>
      <c r="I52" s="223">
        <v>-347.51511176757259</v>
      </c>
      <c r="J52" s="223">
        <v>-424.74069216036651</v>
      </c>
      <c r="K52" s="223">
        <v>-501.96627255316042</v>
      </c>
      <c r="L52" s="223">
        <v>-579.19185294595434</v>
      </c>
      <c r="M52" s="223">
        <v>-656.4174333387482</v>
      </c>
      <c r="N52" s="223">
        <v>-733.64301373154217</v>
      </c>
    </row>
    <row r="53" spans="2:14" x14ac:dyDescent="0.25">
      <c r="B53" s="212" t="s">
        <v>228</v>
      </c>
      <c r="C53" s="212"/>
      <c r="D53" s="212"/>
      <c r="E53" s="212"/>
      <c r="F53" s="212"/>
      <c r="G53" s="212"/>
      <c r="H53" s="212"/>
      <c r="I53" s="212"/>
      <c r="J53" s="212"/>
      <c r="K53" s="212"/>
      <c r="L53" s="212"/>
      <c r="M53" s="212"/>
      <c r="N53" s="212"/>
    </row>
    <row r="54" spans="2:14" ht="15.75" thickBot="1" x14ac:dyDescent="0.3">
      <c r="B54" s="212" t="s">
        <v>229</v>
      </c>
      <c r="C54" s="212" t="s">
        <v>230</v>
      </c>
      <c r="D54" s="212"/>
      <c r="E54" s="224">
        <v>2895.9592647297718</v>
      </c>
      <c r="F54" s="224">
        <v>2818.7336843369776</v>
      </c>
      <c r="G54" s="224">
        <v>2741.5081039441839</v>
      </c>
      <c r="H54" s="224">
        <v>2664.2825235513901</v>
      </c>
      <c r="I54" s="224">
        <v>2587.0569431585959</v>
      </c>
      <c r="J54" s="224">
        <v>2509.8313627658022</v>
      </c>
      <c r="K54" s="224">
        <v>2432.6057823730084</v>
      </c>
      <c r="L54" s="224">
        <v>2355.3802019802142</v>
      </c>
      <c r="M54" s="224">
        <v>2278.1546215874205</v>
      </c>
      <c r="N54" s="224">
        <v>2200.9290411946267</v>
      </c>
    </row>
    <row r="55" spans="2:14" ht="15.75" thickTop="1" x14ac:dyDescent="0.25"/>
    <row r="56" spans="2:14" ht="15.75" x14ac:dyDescent="0.25">
      <c r="C56" s="2" t="s">
        <v>232</v>
      </c>
      <c r="D56" s="2"/>
    </row>
    <row r="58" spans="2:14" x14ac:dyDescent="0.25">
      <c r="B58" s="225"/>
      <c r="C58" s="226" t="s">
        <v>192</v>
      </c>
      <c r="D58" s="226"/>
      <c r="E58" s="227"/>
      <c r="F58" s="227"/>
      <c r="G58" s="227"/>
      <c r="H58" s="227"/>
      <c r="I58" s="226"/>
      <c r="J58" s="228"/>
      <c r="K58" s="228"/>
      <c r="L58" s="228"/>
      <c r="M58" s="227"/>
      <c r="N58" s="227"/>
    </row>
    <row r="59" spans="2:14" x14ac:dyDescent="0.25">
      <c r="B59" s="225"/>
      <c r="C59" s="229" t="s">
        <v>193</v>
      </c>
      <c r="D59" s="229"/>
      <c r="E59" s="227"/>
      <c r="F59" s="227"/>
      <c r="G59" s="227"/>
      <c r="H59" s="227"/>
      <c r="I59" s="226"/>
      <c r="J59" s="228"/>
      <c r="K59" s="228"/>
      <c r="L59" s="228"/>
      <c r="M59" s="227"/>
      <c r="N59" s="227"/>
    </row>
    <row r="60" spans="2:14" x14ac:dyDescent="0.25">
      <c r="B60" s="225"/>
      <c r="C60" s="225"/>
      <c r="D60" s="225"/>
      <c r="E60" s="225"/>
      <c r="F60" s="225"/>
      <c r="G60" s="225"/>
      <c r="H60" s="225"/>
      <c r="I60" s="225"/>
      <c r="J60" s="225"/>
      <c r="K60" s="225"/>
      <c r="L60" s="225"/>
      <c r="M60" s="225"/>
      <c r="N60" s="225"/>
    </row>
    <row r="61" spans="2:14" x14ac:dyDescent="0.25">
      <c r="C61" t="s">
        <v>233</v>
      </c>
      <c r="D61" s="230" t="s">
        <v>234</v>
      </c>
      <c r="E61" s="231">
        <v>-5191</v>
      </c>
    </row>
    <row r="62" spans="2:14" x14ac:dyDescent="0.25">
      <c r="C62" t="s">
        <v>235</v>
      </c>
      <c r="D62" s="230"/>
      <c r="E62" s="232">
        <v>2020</v>
      </c>
    </row>
    <row r="63" spans="2:14" x14ac:dyDescent="0.25">
      <c r="C63" t="s">
        <v>236</v>
      </c>
      <c r="D63" s="230" t="s">
        <v>237</v>
      </c>
      <c r="E63" s="232">
        <v>51</v>
      </c>
    </row>
    <row r="65" spans="2:14" x14ac:dyDescent="0.25">
      <c r="B65" s="225"/>
      <c r="C65" s="225"/>
      <c r="D65" s="225"/>
      <c r="E65" s="233" t="s">
        <v>194</v>
      </c>
      <c r="F65" s="233" t="s">
        <v>195</v>
      </c>
      <c r="G65" s="233" t="s">
        <v>196</v>
      </c>
      <c r="H65" s="233" t="s">
        <v>197</v>
      </c>
      <c r="I65" s="233" t="s">
        <v>198</v>
      </c>
      <c r="J65" s="233" t="s">
        <v>199</v>
      </c>
      <c r="K65" s="233" t="s">
        <v>200</v>
      </c>
      <c r="L65" s="233" t="s">
        <v>201</v>
      </c>
      <c r="M65" s="233" t="s">
        <v>202</v>
      </c>
      <c r="N65" s="233" t="s">
        <v>203</v>
      </c>
    </row>
    <row r="66" spans="2:14" x14ac:dyDescent="0.25">
      <c r="B66" s="225"/>
      <c r="C66" s="225"/>
      <c r="D66" s="225"/>
      <c r="E66" s="233"/>
      <c r="F66" s="233"/>
      <c r="G66" s="233"/>
      <c r="H66" s="233"/>
      <c r="I66" s="233"/>
      <c r="J66" s="233"/>
      <c r="K66" s="233"/>
      <c r="L66" s="233"/>
      <c r="M66" s="233"/>
      <c r="N66" s="233"/>
    </row>
    <row r="67" spans="2:14" x14ac:dyDescent="0.25">
      <c r="B67" s="225"/>
      <c r="C67" s="234" t="s">
        <v>204</v>
      </c>
      <c r="D67" s="234"/>
      <c r="E67" s="235">
        <v>2019</v>
      </c>
      <c r="F67" s="235">
        <v>2020</v>
      </c>
      <c r="G67" s="235">
        <v>2021</v>
      </c>
      <c r="H67" s="235">
        <v>2022</v>
      </c>
      <c r="I67" s="235">
        <v>2023</v>
      </c>
      <c r="J67" s="235">
        <v>2024</v>
      </c>
      <c r="K67" s="235">
        <v>2025</v>
      </c>
      <c r="L67" s="235">
        <v>2026</v>
      </c>
      <c r="M67" s="235">
        <v>2027</v>
      </c>
      <c r="N67" s="235">
        <v>2028</v>
      </c>
    </row>
    <row r="68" spans="2:14" x14ac:dyDescent="0.25">
      <c r="B68" s="225" t="s">
        <v>205</v>
      </c>
      <c r="C68" s="236"/>
      <c r="D68" s="236"/>
      <c r="E68" s="237"/>
      <c r="F68" s="237"/>
      <c r="G68" s="237"/>
      <c r="H68" s="237"/>
      <c r="I68" s="237"/>
      <c r="J68" s="237"/>
      <c r="K68" s="237"/>
      <c r="L68" s="237"/>
      <c r="M68" s="237"/>
      <c r="N68" s="237"/>
    </row>
    <row r="69" spans="2:14" x14ac:dyDescent="0.25">
      <c r="B69" s="225" t="s">
        <v>206</v>
      </c>
      <c r="C69" s="238" t="s">
        <v>207</v>
      </c>
      <c r="D69" s="238"/>
      <c r="E69" s="237"/>
      <c r="F69" s="237"/>
      <c r="G69" s="237"/>
      <c r="H69" s="237"/>
      <c r="I69" s="237"/>
      <c r="J69" s="237"/>
      <c r="K69" s="237"/>
      <c r="L69" s="237"/>
      <c r="M69" s="237"/>
      <c r="N69" s="237"/>
    </row>
    <row r="70" spans="2:14" x14ac:dyDescent="0.25">
      <c r="B70" s="225" t="s">
        <v>208</v>
      </c>
      <c r="C70" s="236" t="s">
        <v>19</v>
      </c>
      <c r="D70" s="236"/>
      <c r="E70" s="239">
        <v>0</v>
      </c>
      <c r="F70" s="237">
        <f t="shared" ref="F70:N70" si="0">E76</f>
        <v>0</v>
      </c>
      <c r="G70" s="237">
        <f t="shared" si="0"/>
        <v>5191</v>
      </c>
      <c r="H70" s="237">
        <f t="shared" si="0"/>
        <v>5191</v>
      </c>
      <c r="I70" s="237">
        <f t="shared" si="0"/>
        <v>5191</v>
      </c>
      <c r="J70" s="237">
        <f t="shared" si="0"/>
        <v>5191</v>
      </c>
      <c r="K70" s="237">
        <f t="shared" si="0"/>
        <v>5191</v>
      </c>
      <c r="L70" s="237">
        <f t="shared" si="0"/>
        <v>5191</v>
      </c>
      <c r="M70" s="237">
        <f t="shared" si="0"/>
        <v>5191</v>
      </c>
      <c r="N70" s="237">
        <f t="shared" si="0"/>
        <v>5191</v>
      </c>
    </row>
    <row r="71" spans="2:14" x14ac:dyDescent="0.25">
      <c r="B71" s="225" t="s">
        <v>209</v>
      </c>
      <c r="C71" s="236" t="s">
        <v>210</v>
      </c>
      <c r="D71" s="236"/>
      <c r="E71" s="237">
        <f t="shared" ref="E71:N71" si="1">IF(E67=$E62,-$E61,0)</f>
        <v>0</v>
      </c>
      <c r="F71" s="237">
        <f t="shared" si="1"/>
        <v>5191</v>
      </c>
      <c r="G71" s="237">
        <f t="shared" si="1"/>
        <v>0</v>
      </c>
      <c r="H71" s="237">
        <f t="shared" si="1"/>
        <v>0</v>
      </c>
      <c r="I71" s="237">
        <f t="shared" si="1"/>
        <v>0</v>
      </c>
      <c r="J71" s="237">
        <f t="shared" si="1"/>
        <v>0</v>
      </c>
      <c r="K71" s="237">
        <f t="shared" si="1"/>
        <v>0</v>
      </c>
      <c r="L71" s="237">
        <f t="shared" si="1"/>
        <v>0</v>
      </c>
      <c r="M71" s="237">
        <f t="shared" si="1"/>
        <v>0</v>
      </c>
      <c r="N71" s="237">
        <f t="shared" si="1"/>
        <v>0</v>
      </c>
    </row>
    <row r="72" spans="2:14" x14ac:dyDescent="0.25">
      <c r="B72" s="225" t="s">
        <v>211</v>
      </c>
      <c r="C72" s="236" t="s">
        <v>212</v>
      </c>
      <c r="D72" s="236"/>
      <c r="E72" s="240"/>
      <c r="F72" s="240"/>
      <c r="G72" s="240"/>
      <c r="H72" s="240"/>
      <c r="I72" s="240"/>
      <c r="J72" s="240"/>
      <c r="K72" s="240"/>
      <c r="L72" s="240"/>
      <c r="M72" s="240"/>
      <c r="N72" s="240"/>
    </row>
    <row r="73" spans="2:14" x14ac:dyDescent="0.25">
      <c r="B73" s="225" t="s">
        <v>213</v>
      </c>
      <c r="C73" s="236" t="s">
        <v>214</v>
      </c>
      <c r="D73" s="236"/>
      <c r="E73" s="240"/>
      <c r="F73" s="240"/>
      <c r="G73" s="240"/>
      <c r="H73" s="240"/>
      <c r="I73" s="240"/>
      <c r="J73" s="240"/>
      <c r="K73" s="240"/>
      <c r="L73" s="240"/>
      <c r="M73" s="240"/>
      <c r="N73" s="240"/>
    </row>
    <row r="74" spans="2:14" x14ac:dyDescent="0.25">
      <c r="B74" s="225" t="s">
        <v>215</v>
      </c>
      <c r="C74" s="236" t="s">
        <v>216</v>
      </c>
      <c r="D74" s="236"/>
      <c r="E74" s="240"/>
      <c r="F74" s="240"/>
      <c r="G74" s="240"/>
      <c r="H74" s="240"/>
      <c r="I74" s="240"/>
      <c r="J74" s="240"/>
      <c r="K74" s="240"/>
      <c r="L74" s="240"/>
      <c r="M74" s="240"/>
      <c r="N74" s="240"/>
    </row>
    <row r="75" spans="2:14" x14ac:dyDescent="0.25">
      <c r="B75" s="225" t="s">
        <v>217</v>
      </c>
      <c r="C75" s="236" t="s">
        <v>218</v>
      </c>
      <c r="D75" s="236"/>
      <c r="E75" s="240"/>
      <c r="F75" s="240"/>
      <c r="G75" s="240"/>
      <c r="H75" s="240"/>
      <c r="I75" s="240"/>
      <c r="J75" s="240"/>
      <c r="K75" s="240"/>
      <c r="L75" s="240"/>
      <c r="M75" s="240"/>
      <c r="N75" s="240"/>
    </row>
    <row r="76" spans="2:14" x14ac:dyDescent="0.25">
      <c r="B76" s="225" t="s">
        <v>219</v>
      </c>
      <c r="C76" s="236" t="s">
        <v>21</v>
      </c>
      <c r="D76" s="236"/>
      <c r="E76" s="241">
        <f t="shared" ref="E76:N76" si="2">SUM(E70:E75)</f>
        <v>0</v>
      </c>
      <c r="F76" s="241">
        <f t="shared" si="2"/>
        <v>5191</v>
      </c>
      <c r="G76" s="241">
        <f t="shared" si="2"/>
        <v>5191</v>
      </c>
      <c r="H76" s="241">
        <f t="shared" si="2"/>
        <v>5191</v>
      </c>
      <c r="I76" s="241">
        <f t="shared" si="2"/>
        <v>5191</v>
      </c>
      <c r="J76" s="241">
        <f t="shared" si="2"/>
        <v>5191</v>
      </c>
      <c r="K76" s="241">
        <f t="shared" si="2"/>
        <v>5191</v>
      </c>
      <c r="L76" s="241">
        <f t="shared" si="2"/>
        <v>5191</v>
      </c>
      <c r="M76" s="241">
        <f t="shared" si="2"/>
        <v>5191</v>
      </c>
      <c r="N76" s="241">
        <f t="shared" si="2"/>
        <v>5191</v>
      </c>
    </row>
    <row r="77" spans="2:14" x14ac:dyDescent="0.25">
      <c r="B77" s="225" t="s">
        <v>220</v>
      </c>
      <c r="C77" s="236"/>
      <c r="D77" s="236"/>
      <c r="E77" s="237"/>
      <c r="F77" s="237"/>
      <c r="G77" s="237"/>
      <c r="H77" s="237"/>
      <c r="I77" s="237"/>
      <c r="J77" s="237"/>
      <c r="K77" s="237"/>
      <c r="L77" s="237"/>
      <c r="M77" s="237"/>
      <c r="N77" s="237"/>
    </row>
    <row r="78" spans="2:14" x14ac:dyDescent="0.25">
      <c r="B78" s="225" t="s">
        <v>221</v>
      </c>
      <c r="C78" s="238" t="s">
        <v>222</v>
      </c>
      <c r="D78" s="238"/>
      <c r="E78" s="237"/>
      <c r="F78" s="237"/>
      <c r="G78" s="237"/>
      <c r="H78" s="237"/>
      <c r="I78" s="237"/>
      <c r="J78" s="237"/>
      <c r="K78" s="237"/>
      <c r="L78" s="237"/>
      <c r="M78" s="237"/>
      <c r="N78" s="237"/>
    </row>
    <row r="79" spans="2:14" x14ac:dyDescent="0.25">
      <c r="B79" s="225" t="s">
        <v>223</v>
      </c>
      <c r="C79" s="236" t="s">
        <v>19</v>
      </c>
      <c r="D79" s="236"/>
      <c r="E79" s="237">
        <v>0</v>
      </c>
      <c r="F79" s="237">
        <f t="shared" ref="F79:N79" si="3">E82</f>
        <v>0</v>
      </c>
      <c r="G79" s="237">
        <f t="shared" si="3"/>
        <v>-50.892156862745097</v>
      </c>
      <c r="H79" s="237">
        <f t="shared" si="3"/>
        <v>-152.6764705882353</v>
      </c>
      <c r="I79" s="237">
        <f t="shared" si="3"/>
        <v>-254.4607843137255</v>
      </c>
      <c r="J79" s="237">
        <f t="shared" si="3"/>
        <v>-356.24509803921569</v>
      </c>
      <c r="K79" s="237">
        <f t="shared" si="3"/>
        <v>-458.02941176470586</v>
      </c>
      <c r="L79" s="237">
        <f t="shared" si="3"/>
        <v>-559.81372549019602</v>
      </c>
      <c r="M79" s="237">
        <f t="shared" si="3"/>
        <v>-661.59803921568619</v>
      </c>
      <c r="N79" s="237">
        <f t="shared" si="3"/>
        <v>-763.38235294117635</v>
      </c>
    </row>
    <row r="80" spans="2:14" x14ac:dyDescent="0.25">
      <c r="B80" s="225" t="s">
        <v>224</v>
      </c>
      <c r="C80" s="236" t="s">
        <v>225</v>
      </c>
      <c r="D80" s="236"/>
      <c r="E80" s="237">
        <f t="shared" ref="E80:N80" si="4">-(E70+0.5*E71)/$E63</f>
        <v>0</v>
      </c>
      <c r="F80" s="237">
        <f t="shared" si="4"/>
        <v>-50.892156862745097</v>
      </c>
      <c r="G80" s="237">
        <f t="shared" si="4"/>
        <v>-101.78431372549019</v>
      </c>
      <c r="H80" s="237">
        <f t="shared" si="4"/>
        <v>-101.78431372549019</v>
      </c>
      <c r="I80" s="237">
        <f t="shared" si="4"/>
        <v>-101.78431372549019</v>
      </c>
      <c r="J80" s="237">
        <f t="shared" si="4"/>
        <v>-101.78431372549019</v>
      </c>
      <c r="K80" s="237">
        <f t="shared" si="4"/>
        <v>-101.78431372549019</v>
      </c>
      <c r="L80" s="237">
        <f t="shared" si="4"/>
        <v>-101.78431372549019</v>
      </c>
      <c r="M80" s="237">
        <f t="shared" si="4"/>
        <v>-101.78431372549019</v>
      </c>
      <c r="N80" s="237">
        <f t="shared" si="4"/>
        <v>-101.78431372549019</v>
      </c>
    </row>
    <row r="81" spans="2:14" x14ac:dyDescent="0.25">
      <c r="B81" s="225" t="s">
        <v>226</v>
      </c>
      <c r="C81" s="236" t="s">
        <v>218</v>
      </c>
      <c r="D81" s="236"/>
      <c r="E81" s="240"/>
      <c r="F81" s="240"/>
      <c r="G81" s="240"/>
      <c r="H81" s="240"/>
      <c r="I81" s="240"/>
      <c r="J81" s="240"/>
      <c r="K81" s="240"/>
      <c r="L81" s="240"/>
      <c r="M81" s="240"/>
      <c r="N81" s="240"/>
    </row>
    <row r="82" spans="2:14" x14ac:dyDescent="0.25">
      <c r="B82" s="225" t="s">
        <v>227</v>
      </c>
      <c r="C82" s="236" t="s">
        <v>21</v>
      </c>
      <c r="D82" s="236"/>
      <c r="E82" s="241">
        <f t="shared" ref="E82:N82" si="5">SUM(E79:E81)</f>
        <v>0</v>
      </c>
      <c r="F82" s="241">
        <f t="shared" si="5"/>
        <v>-50.892156862745097</v>
      </c>
      <c r="G82" s="241">
        <f t="shared" si="5"/>
        <v>-152.6764705882353</v>
      </c>
      <c r="H82" s="241">
        <f t="shared" si="5"/>
        <v>-254.4607843137255</v>
      </c>
      <c r="I82" s="241">
        <f t="shared" si="5"/>
        <v>-356.24509803921569</v>
      </c>
      <c r="J82" s="241">
        <f t="shared" si="5"/>
        <v>-458.02941176470586</v>
      </c>
      <c r="K82" s="241">
        <f t="shared" si="5"/>
        <v>-559.81372549019602</v>
      </c>
      <c r="L82" s="241">
        <f t="shared" si="5"/>
        <v>-661.59803921568619</v>
      </c>
      <c r="M82" s="241">
        <f t="shared" si="5"/>
        <v>-763.38235294117635</v>
      </c>
      <c r="N82" s="241">
        <f t="shared" si="5"/>
        <v>-865.16666666666652</v>
      </c>
    </row>
    <row r="83" spans="2:14" x14ac:dyDescent="0.25">
      <c r="B83" s="225" t="s">
        <v>228</v>
      </c>
      <c r="C83" s="225"/>
      <c r="D83" s="225"/>
      <c r="E83" s="225"/>
      <c r="F83" s="225"/>
      <c r="G83" s="225"/>
      <c r="H83" s="225"/>
      <c r="I83" s="225"/>
      <c r="J83" s="225"/>
      <c r="K83" s="225"/>
      <c r="L83" s="225"/>
      <c r="M83" s="225"/>
      <c r="N83" s="225"/>
    </row>
    <row r="84" spans="2:14" ht="15.75" thickBot="1" x14ac:dyDescent="0.3">
      <c r="B84" s="225" t="s">
        <v>229</v>
      </c>
      <c r="C84" s="225" t="s">
        <v>230</v>
      </c>
      <c r="D84" s="225"/>
      <c r="E84" s="242">
        <f t="shared" ref="E84:N84" si="6">E76+E82</f>
        <v>0</v>
      </c>
      <c r="F84" s="242">
        <f t="shared" si="6"/>
        <v>5140.1078431372553</v>
      </c>
      <c r="G84" s="242">
        <f t="shared" si="6"/>
        <v>5038.3235294117649</v>
      </c>
      <c r="H84" s="242">
        <f t="shared" si="6"/>
        <v>4936.5392156862745</v>
      </c>
      <c r="I84" s="242">
        <f t="shared" si="6"/>
        <v>4834.7549019607841</v>
      </c>
      <c r="J84" s="242">
        <f t="shared" si="6"/>
        <v>4732.9705882352937</v>
      </c>
      <c r="K84" s="242">
        <f t="shared" si="6"/>
        <v>4631.1862745098042</v>
      </c>
      <c r="L84" s="242">
        <f t="shared" si="6"/>
        <v>4529.4019607843138</v>
      </c>
      <c r="M84" s="242">
        <f t="shared" si="6"/>
        <v>4427.6176470588234</v>
      </c>
      <c r="N84" s="242">
        <f t="shared" si="6"/>
        <v>4325.8333333333339</v>
      </c>
    </row>
    <row r="85" spans="2:14" ht="15.75" thickTop="1" x14ac:dyDescent="0.25">
      <c r="B85" s="225"/>
      <c r="C85" s="225"/>
      <c r="D85" s="225"/>
      <c r="E85" s="225"/>
      <c r="F85" s="225"/>
      <c r="G85" s="225"/>
      <c r="H85" s="225"/>
      <c r="I85" s="225"/>
      <c r="J85" s="225"/>
      <c r="K85" s="225"/>
      <c r="L85" s="225"/>
      <c r="M85" s="225"/>
      <c r="N85" s="225"/>
    </row>
    <row r="86" spans="2:14" x14ac:dyDescent="0.25">
      <c r="B86" s="225"/>
      <c r="C86" s="225"/>
      <c r="D86" s="225"/>
      <c r="E86" s="225"/>
      <c r="F86" s="225"/>
      <c r="G86" s="225"/>
      <c r="H86" s="225"/>
      <c r="I86" s="225"/>
      <c r="J86" s="225"/>
      <c r="K86" s="225"/>
      <c r="L86" s="225"/>
      <c r="M86" s="225"/>
      <c r="N86" s="225"/>
    </row>
    <row r="87" spans="2:14" x14ac:dyDescent="0.25">
      <c r="B87" s="225"/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</row>
    <row r="88" spans="2:14" x14ac:dyDescent="0.25">
      <c r="B88" s="225"/>
      <c r="C88" s="226" t="s">
        <v>231</v>
      </c>
      <c r="D88" s="226"/>
      <c r="E88" s="227"/>
      <c r="F88" s="227"/>
      <c r="G88" s="227"/>
      <c r="H88" s="227"/>
      <c r="I88" s="226"/>
      <c r="J88" s="228"/>
      <c r="K88" s="228"/>
      <c r="L88" s="228"/>
      <c r="M88" s="227"/>
      <c r="N88" s="227"/>
    </row>
    <row r="89" spans="2:14" x14ac:dyDescent="0.25">
      <c r="B89" s="225"/>
      <c r="C89" s="229" t="s">
        <v>193</v>
      </c>
      <c r="D89" s="229"/>
      <c r="E89" s="227"/>
      <c r="F89" s="227"/>
      <c r="G89" s="227"/>
      <c r="H89" s="227"/>
      <c r="I89" s="226"/>
      <c r="J89" s="228"/>
      <c r="K89" s="228"/>
      <c r="L89" s="228"/>
      <c r="M89" s="227"/>
      <c r="N89" s="227"/>
    </row>
    <row r="90" spans="2:14" x14ac:dyDescent="0.25">
      <c r="B90" s="225"/>
      <c r="C90" s="225"/>
      <c r="D90" s="225"/>
      <c r="E90" s="225"/>
      <c r="F90" s="225"/>
      <c r="G90" s="225"/>
      <c r="H90" s="225"/>
      <c r="I90" s="225"/>
      <c r="J90" s="225"/>
      <c r="K90" s="225"/>
      <c r="L90" s="225"/>
      <c r="M90" s="225"/>
      <c r="N90" s="225"/>
    </row>
    <row r="91" spans="2:14" x14ac:dyDescent="0.25">
      <c r="C91" t="s">
        <v>233</v>
      </c>
      <c r="D91" s="230" t="s">
        <v>234</v>
      </c>
      <c r="E91" s="231">
        <v>-4023</v>
      </c>
    </row>
    <row r="92" spans="2:14" x14ac:dyDescent="0.25">
      <c r="C92" t="s">
        <v>235</v>
      </c>
      <c r="D92" s="230"/>
      <c r="E92" s="232">
        <v>2019</v>
      </c>
    </row>
    <row r="93" spans="2:14" x14ac:dyDescent="0.25">
      <c r="C93" t="s">
        <v>236</v>
      </c>
      <c r="D93" s="230" t="s">
        <v>237</v>
      </c>
      <c r="E93" s="232">
        <v>38</v>
      </c>
    </row>
    <row r="95" spans="2:14" x14ac:dyDescent="0.25">
      <c r="B95" s="225"/>
      <c r="C95" s="225"/>
      <c r="D95" s="225"/>
      <c r="E95" s="233" t="s">
        <v>194</v>
      </c>
      <c r="F95" s="233" t="s">
        <v>195</v>
      </c>
      <c r="G95" s="233" t="s">
        <v>196</v>
      </c>
      <c r="H95" s="233" t="s">
        <v>197</v>
      </c>
      <c r="I95" s="233" t="s">
        <v>198</v>
      </c>
      <c r="J95" s="233" t="s">
        <v>199</v>
      </c>
      <c r="K95" s="233" t="s">
        <v>200</v>
      </c>
      <c r="L95" s="233" t="s">
        <v>201</v>
      </c>
      <c r="M95" s="233" t="s">
        <v>202</v>
      </c>
      <c r="N95" s="233" t="s">
        <v>203</v>
      </c>
    </row>
    <row r="96" spans="2:14" x14ac:dyDescent="0.25">
      <c r="B96" s="225"/>
      <c r="C96" s="225"/>
      <c r="D96" s="225"/>
      <c r="E96" s="233"/>
      <c r="F96" s="233"/>
      <c r="G96" s="233"/>
      <c r="H96" s="233"/>
      <c r="I96" s="233"/>
      <c r="J96" s="233"/>
      <c r="K96" s="233"/>
      <c r="L96" s="233"/>
      <c r="M96" s="233"/>
      <c r="N96" s="233"/>
    </row>
    <row r="97" spans="2:14" x14ac:dyDescent="0.25">
      <c r="B97" s="225"/>
      <c r="C97" s="234" t="s">
        <v>204</v>
      </c>
      <c r="D97" s="234"/>
      <c r="E97" s="235">
        <v>2019</v>
      </c>
      <c r="F97" s="235">
        <v>2020</v>
      </c>
      <c r="G97" s="235">
        <v>2021</v>
      </c>
      <c r="H97" s="235">
        <v>2022</v>
      </c>
      <c r="I97" s="235">
        <v>2023</v>
      </c>
      <c r="J97" s="235">
        <v>2024</v>
      </c>
      <c r="K97" s="235">
        <v>2025</v>
      </c>
      <c r="L97" s="235">
        <v>2026</v>
      </c>
      <c r="M97" s="235">
        <v>2027</v>
      </c>
      <c r="N97" s="235">
        <v>2028</v>
      </c>
    </row>
    <row r="98" spans="2:14" x14ac:dyDescent="0.25">
      <c r="B98" s="225" t="s">
        <v>205</v>
      </c>
      <c r="C98" s="236"/>
      <c r="D98" s="236"/>
      <c r="E98" s="237"/>
      <c r="F98" s="237"/>
      <c r="G98" s="237"/>
      <c r="H98" s="237"/>
      <c r="I98" s="237"/>
      <c r="J98" s="237"/>
      <c r="K98" s="237"/>
      <c r="L98" s="237"/>
      <c r="M98" s="237"/>
      <c r="N98" s="237"/>
    </row>
    <row r="99" spans="2:14" x14ac:dyDescent="0.25">
      <c r="B99" s="225" t="s">
        <v>206</v>
      </c>
      <c r="C99" s="238" t="s">
        <v>207</v>
      </c>
      <c r="D99" s="238"/>
      <c r="E99" s="237"/>
      <c r="F99" s="237"/>
      <c r="G99" s="237"/>
      <c r="H99" s="237"/>
      <c r="I99" s="237"/>
      <c r="J99" s="237"/>
      <c r="K99" s="237"/>
      <c r="L99" s="237"/>
      <c r="M99" s="237"/>
      <c r="N99" s="237"/>
    </row>
    <row r="100" spans="2:14" x14ac:dyDescent="0.25">
      <c r="B100" s="225" t="s">
        <v>208</v>
      </c>
      <c r="C100" s="236" t="s">
        <v>19</v>
      </c>
      <c r="D100" s="236"/>
      <c r="E100" s="239">
        <v>0</v>
      </c>
      <c r="F100" s="237">
        <f t="shared" ref="F100:N100" si="7">E106</f>
        <v>4023</v>
      </c>
      <c r="G100" s="237">
        <f t="shared" si="7"/>
        <v>4023</v>
      </c>
      <c r="H100" s="237">
        <f t="shared" si="7"/>
        <v>4276</v>
      </c>
      <c r="I100" s="237">
        <f t="shared" si="7"/>
        <v>4276</v>
      </c>
      <c r="J100" s="237">
        <f t="shared" si="7"/>
        <v>4276</v>
      </c>
      <c r="K100" s="237">
        <f t="shared" si="7"/>
        <v>4276</v>
      </c>
      <c r="L100" s="237">
        <f t="shared" si="7"/>
        <v>4276</v>
      </c>
      <c r="M100" s="237">
        <f t="shared" si="7"/>
        <v>4276</v>
      </c>
      <c r="N100" s="237">
        <f t="shared" si="7"/>
        <v>4276</v>
      </c>
    </row>
    <row r="101" spans="2:14" x14ac:dyDescent="0.25">
      <c r="B101" s="225" t="s">
        <v>209</v>
      </c>
      <c r="C101" s="236" t="s">
        <v>210</v>
      </c>
      <c r="D101" s="236"/>
      <c r="E101" s="237">
        <f>IF(E97=$E92,-$E91,0)</f>
        <v>4023</v>
      </c>
      <c r="F101" s="237">
        <f>IF(F97=$E92,-$E91,0)</f>
        <v>0</v>
      </c>
      <c r="G101" s="237">
        <v>253</v>
      </c>
      <c r="H101" s="237">
        <f t="shared" ref="H101:N101" si="8">IF(H97=$E92,-$E91,0)</f>
        <v>0</v>
      </c>
      <c r="I101" s="237">
        <f t="shared" si="8"/>
        <v>0</v>
      </c>
      <c r="J101" s="237">
        <f t="shared" si="8"/>
        <v>0</v>
      </c>
      <c r="K101" s="237">
        <f t="shared" si="8"/>
        <v>0</v>
      </c>
      <c r="L101" s="237">
        <f t="shared" si="8"/>
        <v>0</v>
      </c>
      <c r="M101" s="237">
        <f t="shared" si="8"/>
        <v>0</v>
      </c>
      <c r="N101" s="237">
        <f t="shared" si="8"/>
        <v>0</v>
      </c>
    </row>
    <row r="102" spans="2:14" x14ac:dyDescent="0.25">
      <c r="B102" s="225" t="s">
        <v>211</v>
      </c>
      <c r="C102" s="236" t="s">
        <v>212</v>
      </c>
      <c r="D102" s="236"/>
      <c r="E102" s="240"/>
      <c r="F102" s="240"/>
      <c r="G102" s="240"/>
      <c r="H102" s="240"/>
      <c r="I102" s="240"/>
      <c r="J102" s="240"/>
      <c r="K102" s="240"/>
      <c r="L102" s="240"/>
      <c r="M102" s="240"/>
      <c r="N102" s="240"/>
    </row>
    <row r="103" spans="2:14" x14ac:dyDescent="0.25">
      <c r="B103" s="225" t="s">
        <v>213</v>
      </c>
      <c r="C103" s="236" t="s">
        <v>214</v>
      </c>
      <c r="D103" s="236"/>
      <c r="E103" s="240"/>
      <c r="F103" s="240"/>
      <c r="G103" s="240"/>
      <c r="H103" s="240"/>
      <c r="I103" s="240"/>
      <c r="J103" s="240"/>
      <c r="K103" s="240"/>
      <c r="L103" s="240"/>
      <c r="M103" s="240"/>
      <c r="N103" s="240"/>
    </row>
    <row r="104" spans="2:14" x14ac:dyDescent="0.25">
      <c r="B104" s="225" t="s">
        <v>215</v>
      </c>
      <c r="C104" s="236" t="s">
        <v>216</v>
      </c>
      <c r="D104" s="236"/>
      <c r="E104" s="240"/>
      <c r="F104" s="240"/>
      <c r="G104" s="240"/>
      <c r="H104" s="240"/>
      <c r="I104" s="240"/>
      <c r="J104" s="240"/>
      <c r="K104" s="240"/>
      <c r="L104" s="240"/>
      <c r="M104" s="240"/>
      <c r="N104" s="240"/>
    </row>
    <row r="105" spans="2:14" x14ac:dyDescent="0.25">
      <c r="B105" s="225" t="s">
        <v>217</v>
      </c>
      <c r="C105" s="236" t="s">
        <v>218</v>
      </c>
      <c r="D105" s="236"/>
      <c r="E105" s="240"/>
      <c r="F105" s="240"/>
      <c r="G105" s="240"/>
      <c r="H105" s="240"/>
      <c r="I105" s="240"/>
      <c r="J105" s="240"/>
      <c r="K105" s="240"/>
      <c r="L105" s="240"/>
      <c r="M105" s="240"/>
      <c r="N105" s="240"/>
    </row>
    <row r="106" spans="2:14" x14ac:dyDescent="0.25">
      <c r="B106" s="225" t="s">
        <v>219</v>
      </c>
      <c r="C106" s="236" t="s">
        <v>21</v>
      </c>
      <c r="D106" s="236"/>
      <c r="E106" s="241">
        <f t="shared" ref="E106:N106" si="9">SUM(E100:E105)</f>
        <v>4023</v>
      </c>
      <c r="F106" s="241">
        <f t="shared" si="9"/>
        <v>4023</v>
      </c>
      <c r="G106" s="241">
        <f t="shared" si="9"/>
        <v>4276</v>
      </c>
      <c r="H106" s="241">
        <f t="shared" si="9"/>
        <v>4276</v>
      </c>
      <c r="I106" s="241">
        <f t="shared" si="9"/>
        <v>4276</v>
      </c>
      <c r="J106" s="241">
        <f t="shared" si="9"/>
        <v>4276</v>
      </c>
      <c r="K106" s="241">
        <f t="shared" si="9"/>
        <v>4276</v>
      </c>
      <c r="L106" s="241">
        <f t="shared" si="9"/>
        <v>4276</v>
      </c>
      <c r="M106" s="241">
        <f t="shared" si="9"/>
        <v>4276</v>
      </c>
      <c r="N106" s="241">
        <f t="shared" si="9"/>
        <v>4276</v>
      </c>
    </row>
    <row r="107" spans="2:14" x14ac:dyDescent="0.25">
      <c r="B107" s="225" t="s">
        <v>220</v>
      </c>
      <c r="C107" s="236"/>
      <c r="D107" s="236"/>
      <c r="E107" s="237"/>
      <c r="F107" s="237"/>
      <c r="G107" s="237"/>
      <c r="H107" s="237"/>
      <c r="I107" s="237"/>
      <c r="J107" s="237"/>
      <c r="K107" s="237"/>
      <c r="L107" s="237"/>
      <c r="M107" s="237"/>
      <c r="N107" s="237"/>
    </row>
    <row r="108" spans="2:14" x14ac:dyDescent="0.25">
      <c r="B108" s="225" t="s">
        <v>221</v>
      </c>
      <c r="C108" s="238" t="s">
        <v>222</v>
      </c>
      <c r="D108" s="238"/>
      <c r="E108" s="237"/>
      <c r="F108" s="237"/>
      <c r="G108" s="237"/>
      <c r="H108" s="237"/>
      <c r="I108" s="237"/>
      <c r="J108" s="237"/>
      <c r="K108" s="237"/>
      <c r="L108" s="237"/>
      <c r="M108" s="237"/>
      <c r="N108" s="237"/>
    </row>
    <row r="109" spans="2:14" x14ac:dyDescent="0.25">
      <c r="B109" s="225" t="s">
        <v>223</v>
      </c>
      <c r="C109" s="236" t="s">
        <v>19</v>
      </c>
      <c r="D109" s="236"/>
      <c r="E109" s="239">
        <v>0</v>
      </c>
      <c r="F109" s="237">
        <f t="shared" ref="F109:N109" si="10">E112</f>
        <v>-52.934210526315788</v>
      </c>
      <c r="G109" s="237">
        <f t="shared" si="10"/>
        <v>-158.80263157894737</v>
      </c>
      <c r="H109" s="237">
        <f t="shared" si="10"/>
        <v>-268</v>
      </c>
      <c r="I109" s="237">
        <f t="shared" si="10"/>
        <v>-380.5263157894737</v>
      </c>
      <c r="J109" s="237">
        <f t="shared" si="10"/>
        <v>-493.0526315789474</v>
      </c>
      <c r="K109" s="237">
        <f t="shared" si="10"/>
        <v>-605.57894736842104</v>
      </c>
      <c r="L109" s="237">
        <f t="shared" si="10"/>
        <v>-718.10526315789468</v>
      </c>
      <c r="M109" s="237">
        <f t="shared" si="10"/>
        <v>-830.63157894736833</v>
      </c>
      <c r="N109" s="237">
        <f t="shared" si="10"/>
        <v>-943.15789473684197</v>
      </c>
    </row>
    <row r="110" spans="2:14" x14ac:dyDescent="0.25">
      <c r="B110" s="225" t="s">
        <v>224</v>
      </c>
      <c r="C110" s="236" t="s">
        <v>225</v>
      </c>
      <c r="D110" s="236"/>
      <c r="E110" s="237">
        <f t="shared" ref="E110:N110" si="11">-(E100+0.5*E101)/$E93</f>
        <v>-52.934210526315788</v>
      </c>
      <c r="F110" s="237">
        <f t="shared" si="11"/>
        <v>-105.86842105263158</v>
      </c>
      <c r="G110" s="237">
        <f t="shared" si="11"/>
        <v>-109.19736842105263</v>
      </c>
      <c r="H110" s="237">
        <f t="shared" si="11"/>
        <v>-112.52631578947368</v>
      </c>
      <c r="I110" s="237">
        <f t="shared" si="11"/>
        <v>-112.52631578947368</v>
      </c>
      <c r="J110" s="237">
        <f t="shared" si="11"/>
        <v>-112.52631578947368</v>
      </c>
      <c r="K110" s="237">
        <f t="shared" si="11"/>
        <v>-112.52631578947368</v>
      </c>
      <c r="L110" s="237">
        <f t="shared" si="11"/>
        <v>-112.52631578947368</v>
      </c>
      <c r="M110" s="237">
        <f t="shared" si="11"/>
        <v>-112.52631578947368</v>
      </c>
      <c r="N110" s="237">
        <f t="shared" si="11"/>
        <v>-112.52631578947368</v>
      </c>
    </row>
    <row r="111" spans="2:14" x14ac:dyDescent="0.25">
      <c r="B111" s="225" t="s">
        <v>226</v>
      </c>
      <c r="C111" s="236" t="s">
        <v>218</v>
      </c>
      <c r="D111" s="236"/>
      <c r="E111" s="240"/>
      <c r="F111" s="240"/>
      <c r="G111" s="240"/>
      <c r="H111" s="240"/>
      <c r="I111" s="240"/>
      <c r="J111" s="240"/>
      <c r="K111" s="240"/>
      <c r="L111" s="240"/>
      <c r="M111" s="240"/>
      <c r="N111" s="240"/>
    </row>
    <row r="112" spans="2:14" x14ac:dyDescent="0.25">
      <c r="B112" s="225" t="s">
        <v>227</v>
      </c>
      <c r="C112" s="236" t="s">
        <v>21</v>
      </c>
      <c r="D112" s="236"/>
      <c r="E112" s="241">
        <f t="shared" ref="E112:N112" si="12">SUM(E109:E111)</f>
        <v>-52.934210526315788</v>
      </c>
      <c r="F112" s="241">
        <f t="shared" si="12"/>
        <v>-158.80263157894737</v>
      </c>
      <c r="G112" s="241">
        <f t="shared" si="12"/>
        <v>-268</v>
      </c>
      <c r="H112" s="241">
        <f t="shared" si="12"/>
        <v>-380.5263157894737</v>
      </c>
      <c r="I112" s="241">
        <f t="shared" si="12"/>
        <v>-493.0526315789474</v>
      </c>
      <c r="J112" s="241">
        <f t="shared" si="12"/>
        <v>-605.57894736842104</v>
      </c>
      <c r="K112" s="241">
        <f t="shared" si="12"/>
        <v>-718.10526315789468</v>
      </c>
      <c r="L112" s="241">
        <f t="shared" si="12"/>
        <v>-830.63157894736833</v>
      </c>
      <c r="M112" s="241">
        <f t="shared" si="12"/>
        <v>-943.15789473684197</v>
      </c>
      <c r="N112" s="241">
        <f t="shared" si="12"/>
        <v>-1055.6842105263156</v>
      </c>
    </row>
    <row r="113" spans="2:14" x14ac:dyDescent="0.25">
      <c r="B113" s="225" t="s">
        <v>228</v>
      </c>
      <c r="C113" s="225"/>
      <c r="D113" s="225"/>
      <c r="E113" s="225"/>
      <c r="F113" s="225"/>
      <c r="G113" s="225"/>
      <c r="H113" s="225"/>
      <c r="I113" s="225"/>
      <c r="J113" s="225"/>
      <c r="K113" s="225"/>
      <c r="L113" s="225"/>
      <c r="M113" s="225"/>
      <c r="N113" s="225"/>
    </row>
    <row r="114" spans="2:14" ht="15.75" thickBot="1" x14ac:dyDescent="0.3">
      <c r="B114" s="225" t="s">
        <v>229</v>
      </c>
      <c r="C114" s="225" t="s">
        <v>230</v>
      </c>
      <c r="D114" s="225"/>
      <c r="E114" s="242">
        <f t="shared" ref="E114:N114" si="13">E106+E112</f>
        <v>3970.0657894736842</v>
      </c>
      <c r="F114" s="242">
        <f t="shared" si="13"/>
        <v>3864.1973684210525</v>
      </c>
      <c r="G114" s="242">
        <f t="shared" si="13"/>
        <v>4008</v>
      </c>
      <c r="H114" s="242">
        <f t="shared" si="13"/>
        <v>3895.4736842105262</v>
      </c>
      <c r="I114" s="242">
        <f t="shared" si="13"/>
        <v>3782.9473684210525</v>
      </c>
      <c r="J114" s="242">
        <f t="shared" si="13"/>
        <v>3670.4210526315792</v>
      </c>
      <c r="K114" s="242">
        <f t="shared" si="13"/>
        <v>3557.8947368421054</v>
      </c>
      <c r="L114" s="242">
        <f t="shared" si="13"/>
        <v>3445.3684210526317</v>
      </c>
      <c r="M114" s="242">
        <f t="shared" si="13"/>
        <v>3332.8421052631579</v>
      </c>
      <c r="N114" s="242">
        <f t="shared" si="13"/>
        <v>3220.3157894736842</v>
      </c>
    </row>
    <row r="115" spans="2:14" ht="15.75" thickTop="1" x14ac:dyDescent="0.25"/>
    <row r="116" spans="2:14" ht="15.75" x14ac:dyDescent="0.25">
      <c r="C116" s="2" t="s">
        <v>238</v>
      </c>
      <c r="D116" s="2"/>
    </row>
    <row r="117" spans="2:14" x14ac:dyDescent="0.25">
      <c r="E117">
        <v>2019</v>
      </c>
      <c r="F117">
        <v>2020</v>
      </c>
      <c r="G117">
        <v>2021</v>
      </c>
      <c r="H117">
        <v>2022</v>
      </c>
      <c r="I117">
        <v>2023</v>
      </c>
      <c r="J117">
        <v>2024</v>
      </c>
      <c r="K117">
        <v>2025</v>
      </c>
      <c r="L117">
        <v>2026</v>
      </c>
      <c r="M117">
        <v>2027</v>
      </c>
      <c r="N117">
        <v>2028</v>
      </c>
    </row>
    <row r="118" spans="2:14" x14ac:dyDescent="0.25">
      <c r="C118" t="s">
        <v>239</v>
      </c>
      <c r="D118" s="230" t="s">
        <v>240</v>
      </c>
      <c r="E118" s="243">
        <v>5.4631999999999993E-2</v>
      </c>
      <c r="F118" s="243">
        <v>5.4631999999999993E-2</v>
      </c>
      <c r="G118" s="243">
        <v>5.4631999999999993E-2</v>
      </c>
      <c r="H118" s="243">
        <v>5.4631999999999993E-2</v>
      </c>
      <c r="I118" s="243">
        <v>5.4631999999999993E-2</v>
      </c>
      <c r="J118" s="243">
        <v>5.4631999999999993E-2</v>
      </c>
      <c r="K118" s="243">
        <v>5.4631999999999993E-2</v>
      </c>
      <c r="L118" s="243">
        <v>5.4631999999999993E-2</v>
      </c>
      <c r="M118" s="243">
        <v>5.4631999999999993E-2</v>
      </c>
      <c r="N118" s="243">
        <v>5.4631999999999993E-2</v>
      </c>
    </row>
    <row r="120" spans="2:14" x14ac:dyDescent="0.25">
      <c r="C120" s="189" t="s">
        <v>241</v>
      </c>
    </row>
    <row r="122" spans="2:14" x14ac:dyDescent="0.25">
      <c r="C122" t="s">
        <v>242</v>
      </c>
      <c r="D122" s="230" t="s">
        <v>234</v>
      </c>
      <c r="E122" s="244">
        <f t="shared" ref="E122:N122" si="14">E28+E54</f>
        <v>5235.925234331462</v>
      </c>
      <c r="F122" s="244">
        <f t="shared" si="14"/>
        <v>5112.3636941445748</v>
      </c>
      <c r="G122" s="244">
        <f t="shared" si="14"/>
        <v>4988.8021539576876</v>
      </c>
      <c r="H122" s="244">
        <f t="shared" si="14"/>
        <v>4865.2406137708022</v>
      </c>
      <c r="I122" s="244">
        <f t="shared" si="14"/>
        <v>4741.6790735839149</v>
      </c>
      <c r="J122" s="244">
        <f t="shared" si="14"/>
        <v>4618.1175333970277</v>
      </c>
      <c r="K122" s="244">
        <f t="shared" si="14"/>
        <v>4494.5559932101405</v>
      </c>
      <c r="L122" s="244">
        <f t="shared" si="14"/>
        <v>4370.9944530232542</v>
      </c>
      <c r="M122" s="244">
        <f t="shared" si="14"/>
        <v>4247.4329128363679</v>
      </c>
      <c r="N122" s="244">
        <f t="shared" si="14"/>
        <v>4123.8713726494807</v>
      </c>
    </row>
    <row r="123" spans="2:14" x14ac:dyDescent="0.25">
      <c r="C123" t="s">
        <v>243</v>
      </c>
      <c r="D123" s="230" t="s">
        <v>234</v>
      </c>
      <c r="E123" s="245">
        <f>E122*0.5</f>
        <v>2617.962617165731</v>
      </c>
      <c r="F123" s="244">
        <f t="shared" ref="F123:N123" si="15">AVERAGE(E122:F122)</f>
        <v>5174.1444642380184</v>
      </c>
      <c r="G123" s="244">
        <f t="shared" si="15"/>
        <v>5050.5829240511312</v>
      </c>
      <c r="H123" s="244">
        <f t="shared" si="15"/>
        <v>4927.0213838642449</v>
      </c>
      <c r="I123" s="244">
        <f t="shared" si="15"/>
        <v>4803.4598436773585</v>
      </c>
      <c r="J123" s="244">
        <f t="shared" si="15"/>
        <v>4679.8983034904713</v>
      </c>
      <c r="K123" s="244">
        <f t="shared" si="15"/>
        <v>4556.3367633035841</v>
      </c>
      <c r="L123" s="244">
        <f t="shared" si="15"/>
        <v>4432.7752231166978</v>
      </c>
      <c r="M123" s="244">
        <f t="shared" si="15"/>
        <v>4309.2136829298106</v>
      </c>
      <c r="N123" s="244">
        <f t="shared" si="15"/>
        <v>4185.6521427429243</v>
      </c>
    </row>
    <row r="126" spans="2:14" x14ac:dyDescent="0.25">
      <c r="C126" t="s">
        <v>225</v>
      </c>
      <c r="D126" s="230" t="s">
        <v>234</v>
      </c>
      <c r="E126" s="244">
        <f t="shared" ref="E126:N126" si="16">-(E24+E50)</f>
        <v>61.780770093443394</v>
      </c>
      <c r="F126" s="244">
        <f t="shared" si="16"/>
        <v>123.56154018688679</v>
      </c>
      <c r="G126" s="244">
        <f t="shared" si="16"/>
        <v>123.56154018688679</v>
      </c>
      <c r="H126" s="244">
        <f t="shared" si="16"/>
        <v>123.56154018688679</v>
      </c>
      <c r="I126" s="244">
        <f t="shared" si="16"/>
        <v>123.56154018688679</v>
      </c>
      <c r="J126" s="244">
        <f t="shared" si="16"/>
        <v>123.56154018688679</v>
      </c>
      <c r="K126" s="244">
        <f t="shared" si="16"/>
        <v>123.56154018688679</v>
      </c>
      <c r="L126" s="244">
        <f t="shared" si="16"/>
        <v>123.56154018688679</v>
      </c>
      <c r="M126" s="244">
        <f t="shared" si="16"/>
        <v>123.56154018688679</v>
      </c>
      <c r="N126" s="244">
        <f t="shared" si="16"/>
        <v>123.56154018688679</v>
      </c>
    </row>
    <row r="127" spans="2:14" x14ac:dyDescent="0.25">
      <c r="C127" t="s">
        <v>244</v>
      </c>
      <c r="D127" s="230" t="s">
        <v>234</v>
      </c>
      <c r="E127" s="246">
        <f t="shared" ref="E127:N127" si="17">E118*E123</f>
        <v>143.02453370099821</v>
      </c>
      <c r="F127" s="246">
        <f t="shared" si="17"/>
        <v>282.67386037025136</v>
      </c>
      <c r="G127" s="246">
        <f t="shared" si="17"/>
        <v>275.92344630676138</v>
      </c>
      <c r="H127" s="246">
        <f t="shared" si="17"/>
        <v>269.17303224327139</v>
      </c>
      <c r="I127" s="246">
        <f t="shared" si="17"/>
        <v>262.42261817978141</v>
      </c>
      <c r="J127" s="246">
        <f t="shared" si="17"/>
        <v>255.6722041162914</v>
      </c>
      <c r="K127" s="246">
        <f t="shared" si="17"/>
        <v>248.92179005280138</v>
      </c>
      <c r="L127" s="246">
        <f t="shared" si="17"/>
        <v>242.1713759893114</v>
      </c>
      <c r="M127" s="246">
        <f t="shared" si="17"/>
        <v>235.42096192582139</v>
      </c>
      <c r="N127" s="246">
        <f t="shared" si="17"/>
        <v>228.6705478623314</v>
      </c>
    </row>
    <row r="128" spans="2:14" ht="15.75" thickBot="1" x14ac:dyDescent="0.3">
      <c r="C128" t="s">
        <v>28</v>
      </c>
      <c r="D128" s="230" t="s">
        <v>234</v>
      </c>
      <c r="E128" s="242">
        <f t="shared" ref="E128:N128" si="18">SUM(E126:E127)</f>
        <v>204.80530379444161</v>
      </c>
      <c r="F128" s="242">
        <f t="shared" si="18"/>
        <v>406.23540055713818</v>
      </c>
      <c r="G128" s="242">
        <f t="shared" si="18"/>
        <v>399.48498649364819</v>
      </c>
      <c r="H128" s="242">
        <f t="shared" si="18"/>
        <v>392.73457243015821</v>
      </c>
      <c r="I128" s="242">
        <f t="shared" si="18"/>
        <v>385.98415836666823</v>
      </c>
      <c r="J128" s="242">
        <f t="shared" si="18"/>
        <v>379.23374430317818</v>
      </c>
      <c r="K128" s="272">
        <f t="shared" si="18"/>
        <v>372.48333023968814</v>
      </c>
      <c r="L128" s="242">
        <f t="shared" si="18"/>
        <v>365.73291617619816</v>
      </c>
      <c r="M128" s="242">
        <f t="shared" si="18"/>
        <v>358.98250211270818</v>
      </c>
      <c r="N128" s="242">
        <f t="shared" si="18"/>
        <v>352.23208804921819</v>
      </c>
    </row>
    <row r="129" spans="3:14" ht="15.75" thickTop="1" x14ac:dyDescent="0.25"/>
    <row r="130" spans="3:14" x14ac:dyDescent="0.25">
      <c r="C130" s="189" t="s">
        <v>245</v>
      </c>
    </row>
    <row r="132" spans="3:14" x14ac:dyDescent="0.25">
      <c r="C132" t="s">
        <v>242</v>
      </c>
      <c r="D132" s="230" t="s">
        <v>234</v>
      </c>
      <c r="E132" s="244">
        <f t="shared" ref="E132:N132" si="19">E84+E114</f>
        <v>3970.0657894736842</v>
      </c>
      <c r="F132" s="244">
        <f t="shared" si="19"/>
        <v>9004.3052115583087</v>
      </c>
      <c r="G132" s="244">
        <f t="shared" si="19"/>
        <v>9046.3235294117658</v>
      </c>
      <c r="H132" s="244">
        <f t="shared" si="19"/>
        <v>8832.0128998968012</v>
      </c>
      <c r="I132" s="244">
        <f t="shared" si="19"/>
        <v>8617.7022703818366</v>
      </c>
      <c r="J132" s="244">
        <f t="shared" si="19"/>
        <v>8403.3916408668738</v>
      </c>
      <c r="K132" s="244">
        <f t="shared" si="19"/>
        <v>8189.0810113519092</v>
      </c>
      <c r="L132" s="244">
        <f t="shared" si="19"/>
        <v>7974.7703818369455</v>
      </c>
      <c r="M132" s="244">
        <f t="shared" si="19"/>
        <v>7760.4597523219818</v>
      </c>
      <c r="N132" s="244">
        <f t="shared" si="19"/>
        <v>7546.1491228070181</v>
      </c>
    </row>
    <row r="133" spans="3:14" x14ac:dyDescent="0.25">
      <c r="C133" t="s">
        <v>243</v>
      </c>
      <c r="D133" s="230" t="s">
        <v>234</v>
      </c>
      <c r="E133" s="245">
        <f>E132*0.5</f>
        <v>1985.0328947368421</v>
      </c>
      <c r="F133" s="244">
        <f t="shared" ref="F133:N133" si="20">AVERAGE(E132:F132)</f>
        <v>6487.185500515996</v>
      </c>
      <c r="G133" s="244">
        <f t="shared" si="20"/>
        <v>9025.3143704850372</v>
      </c>
      <c r="H133" s="244">
        <f t="shared" si="20"/>
        <v>8939.1682146542844</v>
      </c>
      <c r="I133" s="244">
        <f t="shared" si="20"/>
        <v>8724.857585139318</v>
      </c>
      <c r="J133" s="244">
        <f t="shared" si="20"/>
        <v>8510.5469556243552</v>
      </c>
      <c r="K133" s="244">
        <f t="shared" si="20"/>
        <v>8296.2363261093924</v>
      </c>
      <c r="L133" s="244">
        <f t="shared" si="20"/>
        <v>8081.9256965944278</v>
      </c>
      <c r="M133" s="244">
        <f t="shared" si="20"/>
        <v>7867.6150670794632</v>
      </c>
      <c r="N133" s="244">
        <f t="shared" si="20"/>
        <v>7653.3044375645004</v>
      </c>
    </row>
    <row r="136" spans="3:14" x14ac:dyDescent="0.25">
      <c r="C136" t="s">
        <v>225</v>
      </c>
      <c r="D136" s="230" t="s">
        <v>234</v>
      </c>
      <c r="E136" s="244">
        <f t="shared" ref="E136:N136" si="21">-(E80+E110)</f>
        <v>52.934210526315788</v>
      </c>
      <c r="F136" s="244">
        <f t="shared" si="21"/>
        <v>156.76057791537667</v>
      </c>
      <c r="G136" s="244">
        <f t="shared" si="21"/>
        <v>210.98168214654282</v>
      </c>
      <c r="H136" s="244">
        <f t="shared" si="21"/>
        <v>214.31062951496386</v>
      </c>
      <c r="I136" s="244">
        <f t="shared" si="21"/>
        <v>214.31062951496386</v>
      </c>
      <c r="J136" s="244">
        <f t="shared" si="21"/>
        <v>214.31062951496386</v>
      </c>
      <c r="K136" s="244">
        <f t="shared" si="21"/>
        <v>214.31062951496386</v>
      </c>
      <c r="L136" s="244">
        <f t="shared" si="21"/>
        <v>214.31062951496386</v>
      </c>
      <c r="M136" s="244">
        <f t="shared" si="21"/>
        <v>214.31062951496386</v>
      </c>
      <c r="N136" s="244">
        <f t="shared" si="21"/>
        <v>214.31062951496386</v>
      </c>
    </row>
    <row r="137" spans="3:14" x14ac:dyDescent="0.25">
      <c r="C137" t="s">
        <v>244</v>
      </c>
      <c r="D137" s="230" t="s">
        <v>234</v>
      </c>
      <c r="E137" s="246">
        <f t="shared" ref="E137:N137" si="22">E118*E133</f>
        <v>108.44631710526315</v>
      </c>
      <c r="F137" s="246">
        <f t="shared" si="22"/>
        <v>354.40791826418985</v>
      </c>
      <c r="G137" s="246">
        <f t="shared" si="22"/>
        <v>493.07097468833848</v>
      </c>
      <c r="H137" s="246">
        <f t="shared" si="22"/>
        <v>488.3646379029928</v>
      </c>
      <c r="I137" s="246">
        <f t="shared" si="22"/>
        <v>476.65641959133114</v>
      </c>
      <c r="J137" s="246">
        <f t="shared" si="22"/>
        <v>464.94820127966972</v>
      </c>
      <c r="K137" s="246">
        <f t="shared" si="22"/>
        <v>453.23998296800829</v>
      </c>
      <c r="L137" s="246">
        <f t="shared" si="22"/>
        <v>441.5317646563467</v>
      </c>
      <c r="M137" s="246">
        <f t="shared" si="22"/>
        <v>429.82354634468516</v>
      </c>
      <c r="N137" s="246">
        <f t="shared" si="22"/>
        <v>418.11532803302373</v>
      </c>
    </row>
    <row r="138" spans="3:14" ht="15.75" thickBot="1" x14ac:dyDescent="0.3">
      <c r="C138" t="s">
        <v>28</v>
      </c>
      <c r="D138" s="230" t="s">
        <v>234</v>
      </c>
      <c r="E138" s="242">
        <f t="shared" ref="E138:N138" si="23">SUM(E136:E137)</f>
        <v>161.38052763157893</v>
      </c>
      <c r="F138" s="242">
        <f t="shared" si="23"/>
        <v>511.16849617956655</v>
      </c>
      <c r="G138" s="242">
        <f t="shared" si="23"/>
        <v>704.0526568348813</v>
      </c>
      <c r="H138" s="242">
        <f t="shared" si="23"/>
        <v>702.67526741795666</v>
      </c>
      <c r="I138" s="242">
        <f t="shared" si="23"/>
        <v>690.96704910629501</v>
      </c>
      <c r="J138" s="242">
        <f t="shared" si="23"/>
        <v>679.25883079463358</v>
      </c>
      <c r="K138" s="242">
        <f t="shared" si="23"/>
        <v>667.55061248297216</v>
      </c>
      <c r="L138" s="242">
        <f t="shared" si="23"/>
        <v>655.84239417131062</v>
      </c>
      <c r="M138" s="242">
        <f t="shared" si="23"/>
        <v>644.13417585964908</v>
      </c>
      <c r="N138" s="242">
        <f t="shared" si="23"/>
        <v>632.42595754798754</v>
      </c>
    </row>
    <row r="139" spans="3:14" ht="15.75" thickTop="1" x14ac:dyDescent="0.25"/>
    <row r="140" spans="3:14" x14ac:dyDescent="0.25">
      <c r="C140" t="s">
        <v>246</v>
      </c>
      <c r="D140" s="230" t="s">
        <v>234</v>
      </c>
      <c r="E140" s="244">
        <f t="shared" ref="E140:N140" si="24">E138-E128</f>
        <v>-43.424776162862685</v>
      </c>
      <c r="F140" s="244">
        <f t="shared" si="24"/>
        <v>104.93309562242837</v>
      </c>
      <c r="G140" s="244">
        <f t="shared" si="24"/>
        <v>304.56767034123311</v>
      </c>
      <c r="H140" s="244">
        <f t="shared" si="24"/>
        <v>309.94069498779845</v>
      </c>
      <c r="I140" s="244">
        <f t="shared" si="24"/>
        <v>304.98289073962678</v>
      </c>
      <c r="J140" s="244">
        <f t="shared" si="24"/>
        <v>300.0250864914554</v>
      </c>
      <c r="K140" s="244">
        <f t="shared" si="24"/>
        <v>295.06728224328401</v>
      </c>
      <c r="L140" s="244">
        <f t="shared" si="24"/>
        <v>290.10947799511246</v>
      </c>
      <c r="M140" s="244">
        <f t="shared" si="24"/>
        <v>285.1516737469409</v>
      </c>
      <c r="N140" s="244">
        <f t="shared" si="24"/>
        <v>280.19386949876935</v>
      </c>
    </row>
  </sheetData>
  <sheetProtection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S47"/>
  <sheetViews>
    <sheetView showGridLines="0" topLeftCell="A24" workbookViewId="0">
      <selection activeCell="C50" sqref="C50"/>
    </sheetView>
  </sheetViews>
  <sheetFormatPr defaultRowHeight="15" x14ac:dyDescent="0.25"/>
  <cols>
    <col min="1" max="1" width="43.28515625" bestFit="1" customWidth="1"/>
    <col min="2" max="2" width="34.85546875" bestFit="1" customWidth="1"/>
    <col min="3" max="3" width="24.5703125" bestFit="1" customWidth="1"/>
    <col min="4" max="4" width="14.42578125" customWidth="1"/>
    <col min="5" max="5" width="13.7109375" customWidth="1"/>
    <col min="6" max="6" width="12" customWidth="1"/>
    <col min="9" max="9" width="16.5703125" customWidth="1"/>
    <col min="11" max="11" width="11.7109375" bestFit="1" customWidth="1"/>
    <col min="12" max="14" width="10.7109375" bestFit="1" customWidth="1"/>
    <col min="15" max="15" width="11.7109375" bestFit="1" customWidth="1"/>
  </cols>
  <sheetData>
    <row r="1" spans="1:19" s="275" customFormat="1" ht="15.75" hidden="1" x14ac:dyDescent="0.25">
      <c r="A1" s="273" t="s">
        <v>284</v>
      </c>
      <c r="B1" s="274"/>
    </row>
    <row r="2" spans="1:19" s="275" customFormat="1" ht="14.25" hidden="1" x14ac:dyDescent="0.2">
      <c r="B2" s="274"/>
    </row>
    <row r="3" spans="1:19" s="275" customFormat="1" hidden="1" x14ac:dyDescent="0.25">
      <c r="A3" s="276" t="s">
        <v>29</v>
      </c>
      <c r="B3" s="274"/>
    </row>
    <row r="4" spans="1:19" s="275" customFormat="1" ht="14.25" hidden="1" x14ac:dyDescent="0.2">
      <c r="A4" s="3" t="s">
        <v>24</v>
      </c>
      <c r="B4" s="274" t="s">
        <v>20</v>
      </c>
      <c r="F4" s="282">
        <f>G4/$G$8</f>
        <v>0.38892904229851188</v>
      </c>
      <c r="G4" s="277">
        <v>1407.6521553052212</v>
      </c>
      <c r="H4" s="278"/>
      <c r="I4" s="275">
        <v>16.200097363516576</v>
      </c>
      <c r="J4" s="275">
        <v>59.025417647798413</v>
      </c>
      <c r="K4" s="275">
        <v>103.80288260217046</v>
      </c>
      <c r="L4" s="275">
        <v>133.33814425195217</v>
      </c>
      <c r="M4" s="275">
        <v>154.36132609752789</v>
      </c>
      <c r="N4" s="275">
        <v>194.22535665862594</v>
      </c>
      <c r="O4" s="275">
        <v>192.00019259744485</v>
      </c>
      <c r="P4" s="275">
        <v>188.43756110006109</v>
      </c>
      <c r="Q4" s="275">
        <v>184.89613567020672</v>
      </c>
      <c r="R4" s="275">
        <v>181.36504131591713</v>
      </c>
    </row>
    <row r="5" spans="1:19" s="275" customFormat="1" ht="14.25" hidden="1" x14ac:dyDescent="0.2">
      <c r="A5" s="3" t="s">
        <v>25</v>
      </c>
      <c r="B5" s="274" t="s">
        <v>20</v>
      </c>
      <c r="F5" s="282">
        <f t="shared" ref="F5:F8" si="0">G5/$G$8</f>
        <v>0.22789878829235519</v>
      </c>
      <c r="G5" s="277">
        <v>824.8348301152555</v>
      </c>
      <c r="H5" s="278"/>
      <c r="I5" s="275">
        <v>7.2299474622083819</v>
      </c>
      <c r="J5" s="275">
        <v>25.846193380540857</v>
      </c>
      <c r="K5" s="275">
        <v>51.197523747832108</v>
      </c>
      <c r="L5" s="275">
        <v>77.210144600136204</v>
      </c>
      <c r="M5" s="275">
        <v>93.498377343310949</v>
      </c>
      <c r="N5" s="275">
        <v>117.63376355612058</v>
      </c>
      <c r="O5" s="275">
        <v>116.27935515672048</v>
      </c>
      <c r="P5" s="275">
        <v>114.12220101738055</v>
      </c>
      <c r="Q5" s="275">
        <v>111.97777472464783</v>
      </c>
      <c r="R5" s="275">
        <v>109.83954912635754</v>
      </c>
    </row>
    <row r="6" spans="1:19" s="275" customFormat="1" ht="14.25" hidden="1" x14ac:dyDescent="0.2">
      <c r="A6" s="3" t="s">
        <v>26</v>
      </c>
      <c r="B6" s="274" t="s">
        <v>20</v>
      </c>
      <c r="F6" s="282">
        <f t="shared" si="0"/>
        <v>5.6088869871510644E-4</v>
      </c>
      <c r="G6" s="277">
        <v>2.0300263023985581</v>
      </c>
      <c r="H6" s="278"/>
      <c r="I6" s="275">
        <v>5.9432492415483422E-2</v>
      </c>
      <c r="J6" s="275">
        <v>0.11886498483096684</v>
      </c>
      <c r="K6" s="275">
        <v>0.26150296662812705</v>
      </c>
      <c r="L6" s="275">
        <v>0.43980044387457734</v>
      </c>
      <c r="M6" s="275">
        <v>0.47545993932386738</v>
      </c>
      <c r="N6" s="275">
        <v>0.13754099346787968</v>
      </c>
      <c r="O6" s="275">
        <v>0.13840363944880901</v>
      </c>
      <c r="P6" s="275">
        <v>0.13567217340174692</v>
      </c>
      <c r="Q6" s="275">
        <v>0.13299769340182965</v>
      </c>
      <c r="R6" s="275">
        <v>0.13035097560527087</v>
      </c>
    </row>
    <row r="7" spans="1:19" s="275" customFormat="1" ht="14.25" hidden="1" x14ac:dyDescent="0.2">
      <c r="A7" s="3" t="s">
        <v>27</v>
      </c>
      <c r="B7" s="274" t="s">
        <v>20</v>
      </c>
      <c r="F7" s="282">
        <f t="shared" si="0"/>
        <v>0.382611280710418</v>
      </c>
      <c r="G7" s="277">
        <v>1384.7862601187178</v>
      </c>
      <c r="H7" s="278"/>
      <c r="I7" s="279">
        <v>25.495914664018663</v>
      </c>
      <c r="J7" s="279">
        <v>152.97548798411196</v>
      </c>
      <c r="K7" s="279">
        <v>152.97548798411196</v>
      </c>
      <c r="L7" s="279">
        <v>152.97548798411196</v>
      </c>
      <c r="M7" s="279">
        <v>152.97548798411196</v>
      </c>
      <c r="N7" s="279">
        <v>154.93693597643926</v>
      </c>
      <c r="O7" s="279">
        <v>152.26671375182494</v>
      </c>
      <c r="P7" s="279">
        <v>149.49748084091033</v>
      </c>
      <c r="Q7" s="279">
        <v>146.72824792999569</v>
      </c>
      <c r="R7" s="279">
        <v>143.95901501908105</v>
      </c>
    </row>
    <row r="8" spans="1:19" s="275" customFormat="1" ht="14.25" hidden="1" x14ac:dyDescent="0.2">
      <c r="A8" s="275" t="s">
        <v>28</v>
      </c>
      <c r="B8" s="274" t="s">
        <v>20</v>
      </c>
      <c r="F8" s="282">
        <f t="shared" si="0"/>
        <v>1</v>
      </c>
      <c r="G8" s="277">
        <v>3619.3032718415925</v>
      </c>
      <c r="H8" s="278"/>
      <c r="I8" s="280">
        <v>48.985391982159101</v>
      </c>
      <c r="J8" s="280">
        <v>237.96596399728219</v>
      </c>
      <c r="K8" s="280">
        <v>308.2373973007426</v>
      </c>
      <c r="L8" s="280">
        <v>363.9635772800749</v>
      </c>
      <c r="M8" s="280">
        <v>401.31065136427469</v>
      </c>
      <c r="N8" s="280">
        <v>466.93359718465371</v>
      </c>
      <c r="O8" s="280">
        <v>460.68466514543911</v>
      </c>
      <c r="P8" s="280">
        <v>452.19291513175375</v>
      </c>
      <c r="Q8" s="280">
        <v>443.73515601825204</v>
      </c>
      <c r="R8" s="280">
        <v>435.29395643696097</v>
      </c>
    </row>
    <row r="9" spans="1:19" s="275" customFormat="1" ht="14.25" hidden="1" x14ac:dyDescent="0.2">
      <c r="B9" s="274"/>
    </row>
    <row r="10" spans="1:19" s="275" customFormat="1" hidden="1" x14ac:dyDescent="0.25">
      <c r="A10" s="276" t="s">
        <v>22</v>
      </c>
      <c r="B10" s="274"/>
    </row>
    <row r="11" spans="1:19" s="275" customFormat="1" ht="14.25" hidden="1" x14ac:dyDescent="0.2">
      <c r="A11" s="3" t="s">
        <v>24</v>
      </c>
      <c r="B11" s="274" t="s">
        <v>20</v>
      </c>
      <c r="F11" s="282">
        <f>G11/$G$15</f>
        <v>0.41834800557556145</v>
      </c>
      <c r="G11" s="277">
        <v>2621.5129981134169</v>
      </c>
      <c r="H11" s="278"/>
      <c r="I11" s="275">
        <v>29.655514630733837</v>
      </c>
      <c r="J11" s="275">
        <v>109.42277363510787</v>
      </c>
      <c r="K11" s="275">
        <v>194.87623223134878</v>
      </c>
      <c r="L11" s="275">
        <v>253.50391849888723</v>
      </c>
      <c r="M11" s="275">
        <v>297.20053106944192</v>
      </c>
      <c r="N11" s="275">
        <v>327.86557046535154</v>
      </c>
      <c r="O11" s="275">
        <v>341.90599007545052</v>
      </c>
      <c r="P11" s="275">
        <v>349.16408829461733</v>
      </c>
      <c r="Q11" s="275">
        <v>355.99772294601428</v>
      </c>
      <c r="R11" s="275">
        <v>361.92065626646348</v>
      </c>
    </row>
    <row r="12" spans="1:19" s="275" customFormat="1" ht="14.25" hidden="1" x14ac:dyDescent="0.2">
      <c r="A12" s="3" t="s">
        <v>25</v>
      </c>
      <c r="B12" s="274" t="s">
        <v>20</v>
      </c>
      <c r="F12" s="282">
        <f t="shared" ref="F12:F14" si="1">G12/$G$15</f>
        <v>0.25522261433544813</v>
      </c>
      <c r="G12" s="277">
        <v>1599.3129929527502</v>
      </c>
      <c r="H12" s="278"/>
      <c r="I12" s="275">
        <v>13.967776759951935</v>
      </c>
      <c r="J12" s="275">
        <v>50.56727412712641</v>
      </c>
      <c r="K12" s="275">
        <v>101.4384769723586</v>
      </c>
      <c r="L12" s="275">
        <v>154.92051770809371</v>
      </c>
      <c r="M12" s="275">
        <v>189.98506316820558</v>
      </c>
      <c r="N12" s="275">
        <v>207.27542061678724</v>
      </c>
      <c r="O12" s="275">
        <v>216.13723020778124</v>
      </c>
      <c r="P12" s="275">
        <v>218.88217303142005</v>
      </c>
      <c r="Q12" s="275">
        <v>221.66197662891904</v>
      </c>
      <c r="R12" s="275">
        <v>224.47708373210631</v>
      </c>
      <c r="S12" s="281"/>
    </row>
    <row r="13" spans="1:19" s="275" customFormat="1" ht="14.25" hidden="1" x14ac:dyDescent="0.2">
      <c r="A13" s="3" t="s">
        <v>26</v>
      </c>
      <c r="B13" s="274" t="s">
        <v>20</v>
      </c>
      <c r="F13" s="282">
        <f t="shared" si="1"/>
        <v>3.2944506842216524E-2</v>
      </c>
      <c r="G13" s="277">
        <v>206.44165085593551</v>
      </c>
      <c r="H13" s="278"/>
      <c r="I13" s="275">
        <v>3.0657089052990747</v>
      </c>
      <c r="J13" s="275">
        <v>6.2092868167927451</v>
      </c>
      <c r="K13" s="275">
        <v>13.833918470605228</v>
      </c>
      <c r="L13" s="275">
        <v>23.561615531896852</v>
      </c>
      <c r="M13" s="275">
        <v>25.79551140448859</v>
      </c>
      <c r="N13" s="275">
        <v>26.123114399325591</v>
      </c>
      <c r="O13" s="275">
        <v>26.454877952197023</v>
      </c>
      <c r="P13" s="275">
        <v>26.790854902189928</v>
      </c>
      <c r="Q13" s="275">
        <v>27.131098759447738</v>
      </c>
      <c r="R13" s="275">
        <v>27.475663713692722</v>
      </c>
    </row>
    <row r="14" spans="1:19" s="275" customFormat="1" ht="14.25" hidden="1" x14ac:dyDescent="0.2">
      <c r="A14" s="3" t="s">
        <v>27</v>
      </c>
      <c r="B14" s="274" t="s">
        <v>20</v>
      </c>
      <c r="F14" s="282">
        <f t="shared" si="1"/>
        <v>0.29348487324677397</v>
      </c>
      <c r="G14" s="277">
        <v>1839.0775137258859</v>
      </c>
      <c r="H14" s="278"/>
      <c r="I14" s="279">
        <v>32.835808250671377</v>
      </c>
      <c r="J14" s="279">
        <v>203.10353677316959</v>
      </c>
      <c r="K14" s="279">
        <v>199.41612042059307</v>
      </c>
      <c r="L14" s="279">
        <v>194.45758071105931</v>
      </c>
      <c r="M14" s="279">
        <v>195.283182528955</v>
      </c>
      <c r="N14" s="279">
        <v>197.79801431755834</v>
      </c>
      <c r="O14" s="279">
        <v>200.4188908574084</v>
      </c>
      <c r="P14" s="279">
        <v>202.68267661955463</v>
      </c>
      <c r="Q14" s="279">
        <v>205.23386415553293</v>
      </c>
      <c r="R14" s="279">
        <v>207.84783909138309</v>
      </c>
    </row>
    <row r="15" spans="1:19" s="275" customFormat="1" ht="14.25" hidden="1" x14ac:dyDescent="0.2">
      <c r="A15" s="275" t="s">
        <v>28</v>
      </c>
      <c r="B15" s="274" t="s">
        <v>20</v>
      </c>
      <c r="F15" s="282">
        <f>G15/$G$15</f>
        <v>1</v>
      </c>
      <c r="G15" s="277">
        <v>6266.3451556479877</v>
      </c>
      <c r="H15" s="278"/>
      <c r="I15" s="280">
        <v>79.524808546656232</v>
      </c>
      <c r="J15" s="280">
        <v>369.30287135219658</v>
      </c>
      <c r="K15" s="280">
        <v>509.56474809490567</v>
      </c>
      <c r="L15" s="280">
        <v>626.44363244993713</v>
      </c>
      <c r="M15" s="280">
        <v>708.26428817109104</v>
      </c>
      <c r="N15" s="280">
        <v>759.06211979902264</v>
      </c>
      <c r="O15" s="280">
        <v>784.9169890928373</v>
      </c>
      <c r="P15" s="280">
        <v>797.51979284778201</v>
      </c>
      <c r="Q15" s="280">
        <v>810.02466248991391</v>
      </c>
      <c r="R15" s="280">
        <v>821.72124280364562</v>
      </c>
    </row>
    <row r="16" spans="1:19" hidden="1" x14ac:dyDescent="0.25"/>
    <row r="17" spans="1:18" s="275" customFormat="1" ht="14.25" hidden="1" customHeight="1" x14ac:dyDescent="0.25">
      <c r="A17" s="283" t="s">
        <v>30</v>
      </c>
    </row>
    <row r="18" spans="1:18" s="275" customFormat="1" ht="14.25" hidden="1" customHeight="1" x14ac:dyDescent="0.2">
      <c r="A18" s="3" t="s">
        <v>24</v>
      </c>
      <c r="B18" s="274" t="s">
        <v>20</v>
      </c>
      <c r="F18" s="282">
        <f>G18/$G$15</f>
        <v>0.26804186996779833</v>
      </c>
      <c r="G18" s="277">
        <f>SUM(I18:R18)</f>
        <v>1679.642873383541</v>
      </c>
      <c r="H18" s="284"/>
      <c r="I18" s="275">
        <v>77.963533616728228</v>
      </c>
      <c r="J18" s="275">
        <v>158.84029754558989</v>
      </c>
      <c r="K18" s="275">
        <v>164.44077666479265</v>
      </c>
      <c r="L18" s="275">
        <v>168.20400929644654</v>
      </c>
      <c r="M18" s="275">
        <v>169.1661430528963</v>
      </c>
      <c r="N18" s="275">
        <v>194.27930188970126</v>
      </c>
      <c r="O18" s="275">
        <v>192.01186685403519</v>
      </c>
      <c r="P18" s="275">
        <v>188.45008187989112</v>
      </c>
      <c r="Q18" s="275">
        <v>184.90900516918146</v>
      </c>
      <c r="R18" s="275">
        <v>181.37785741427831</v>
      </c>
    </row>
    <row r="19" spans="1:18" s="275" customFormat="1" ht="14.25" hidden="1" customHeight="1" x14ac:dyDescent="0.2">
      <c r="A19" s="3" t="s">
        <v>25</v>
      </c>
      <c r="B19" s="274" t="s">
        <v>20</v>
      </c>
      <c r="F19" s="282">
        <f t="shared" ref="F19:F21" si="2">G19/$G$15</f>
        <v>0.16247213459220672</v>
      </c>
      <c r="G19" s="277">
        <f t="shared" ref="G19:G22" si="3">SUM(I19:R19)</f>
        <v>1018.1064735296625</v>
      </c>
      <c r="H19" s="284"/>
      <c r="I19" s="275">
        <v>47.365767934220251</v>
      </c>
      <c r="J19" s="275">
        <v>96.468955048407878</v>
      </c>
      <c r="K19" s="275">
        <v>99.808249427733614</v>
      </c>
      <c r="L19" s="275">
        <v>102.04556113723092</v>
      </c>
      <c r="M19" s="275">
        <v>102.60277034667175</v>
      </c>
      <c r="N19" s="275">
        <v>117.64579366843097</v>
      </c>
      <c r="O19" s="275">
        <v>116.26590360238026</v>
      </c>
      <c r="P19" s="275">
        <v>114.10966087458124</v>
      </c>
      <c r="Q19" s="275">
        <v>111.965838988287</v>
      </c>
      <c r="R19" s="275">
        <v>109.82797250171859</v>
      </c>
    </row>
    <row r="20" spans="1:18" s="275" customFormat="1" ht="14.25" hidden="1" customHeight="1" x14ac:dyDescent="0.2">
      <c r="A20" s="3" t="s">
        <v>26</v>
      </c>
      <c r="B20" s="274" t="s">
        <v>20</v>
      </c>
      <c r="F20" s="282">
        <f t="shared" si="2"/>
        <v>1.4232761762991947E-4</v>
      </c>
      <c r="G20" s="277">
        <f t="shared" si="3"/>
        <v>0.89187397725016493</v>
      </c>
      <c r="H20" s="284"/>
      <c r="I20" s="275">
        <v>2.0196464211572479E-3</v>
      </c>
      <c r="J20" s="275">
        <v>1.5891858717750243E-2</v>
      </c>
      <c r="K20" s="275">
        <v>3.8957177687977081E-2</v>
      </c>
      <c r="L20" s="275">
        <v>5.6820771040901961E-2</v>
      </c>
      <c r="M20" s="275">
        <v>6.675372042499049E-2</v>
      </c>
      <c r="N20" s="275">
        <v>0.14506454218274678</v>
      </c>
      <c r="O20" s="275">
        <v>0.14585373713179473</v>
      </c>
      <c r="P20" s="275">
        <v>0.14297828867106416</v>
      </c>
      <c r="Q20" s="275">
        <v>0.14016147072351029</v>
      </c>
      <c r="R20" s="275">
        <v>0.13737276424827197</v>
      </c>
    </row>
    <row r="21" spans="1:18" s="275" customFormat="1" ht="14.25" hidden="1" customHeight="1" x14ac:dyDescent="0.2">
      <c r="A21" s="3" t="s">
        <v>27</v>
      </c>
      <c r="B21" s="274" t="s">
        <v>20</v>
      </c>
      <c r="F21" s="282">
        <f t="shared" si="2"/>
        <v>0.23278067061063376</v>
      </c>
      <c r="G21" s="277">
        <f t="shared" si="3"/>
        <v>1458.6840276094347</v>
      </c>
      <c r="H21" s="284"/>
      <c r="I21" s="275">
        <v>80.617201161966065</v>
      </c>
      <c r="J21" s="275">
        <v>160.92866942432707</v>
      </c>
      <c r="K21" s="275">
        <v>159.42782085709848</v>
      </c>
      <c r="L21" s="275">
        <v>157.00967373850094</v>
      </c>
      <c r="M21" s="275">
        <v>154.51863330014706</v>
      </c>
      <c r="N21" s="275">
        <v>154.72730231147619</v>
      </c>
      <c r="O21" s="275">
        <v>152.00988457143717</v>
      </c>
      <c r="P21" s="275">
        <v>149.24574932646559</v>
      </c>
      <c r="Q21" s="275">
        <v>146.48161408149394</v>
      </c>
      <c r="R21" s="275">
        <v>143.71747883652233</v>
      </c>
    </row>
    <row r="22" spans="1:18" s="275" customFormat="1" ht="14.25" hidden="1" customHeight="1" x14ac:dyDescent="0.2">
      <c r="A22" s="275" t="s">
        <v>28</v>
      </c>
      <c r="B22" s="274" t="s">
        <v>20</v>
      </c>
      <c r="F22" s="282">
        <f>G22/$G$15</f>
        <v>0.66343700278826878</v>
      </c>
      <c r="G22" s="277">
        <f t="shared" si="3"/>
        <v>4157.3252484998884</v>
      </c>
      <c r="H22" s="284"/>
      <c r="I22" s="280">
        <v>205.9485223593357</v>
      </c>
      <c r="J22" s="280">
        <v>416.2538138770426</v>
      </c>
      <c r="K22" s="280">
        <v>423.71580412731271</v>
      </c>
      <c r="L22" s="280">
        <v>427.31606494321932</v>
      </c>
      <c r="M22" s="280">
        <v>426.35430042014013</v>
      </c>
      <c r="N22" s="280">
        <v>466.79746241179117</v>
      </c>
      <c r="O22" s="280">
        <v>460.43350876498442</v>
      </c>
      <c r="P22" s="280">
        <v>451.94847036960903</v>
      </c>
      <c r="Q22" s="280">
        <v>443.49661970968594</v>
      </c>
      <c r="R22" s="280">
        <v>435.06068151676749</v>
      </c>
    </row>
    <row r="23" spans="1:18" hidden="1" x14ac:dyDescent="0.25"/>
    <row r="25" spans="1:18" x14ac:dyDescent="0.25">
      <c r="A25" s="286" t="s">
        <v>287</v>
      </c>
      <c r="B25" s="287"/>
      <c r="C25" s="287"/>
      <c r="D25" s="287"/>
      <c r="E25" s="287"/>
      <c r="F25" s="287"/>
    </row>
    <row r="26" spans="1:18" x14ac:dyDescent="0.25">
      <c r="A26" s="288" t="s">
        <v>193</v>
      </c>
      <c r="B26" s="287"/>
      <c r="C26" s="287"/>
      <c r="D26" s="287"/>
      <c r="E26" s="287"/>
      <c r="F26" s="287"/>
    </row>
    <row r="27" spans="1:18" x14ac:dyDescent="0.25">
      <c r="A27" s="285"/>
      <c r="B27" s="285"/>
      <c r="C27" s="285"/>
      <c r="D27" s="285"/>
      <c r="E27" s="285"/>
      <c r="F27" s="285"/>
    </row>
    <row r="28" spans="1:18" x14ac:dyDescent="0.25">
      <c r="A28" s="285"/>
      <c r="B28" s="289" t="s">
        <v>194</v>
      </c>
      <c r="C28" s="289" t="s">
        <v>195</v>
      </c>
      <c r="D28" s="289" t="s">
        <v>196</v>
      </c>
      <c r="E28" s="289" t="s">
        <v>197</v>
      </c>
      <c r="F28" s="289" t="s">
        <v>198</v>
      </c>
    </row>
    <row r="29" spans="1:18" x14ac:dyDescent="0.25">
      <c r="A29" s="285"/>
      <c r="B29" s="289"/>
      <c r="C29" s="289"/>
      <c r="D29" s="289"/>
      <c r="E29" s="289"/>
      <c r="F29" s="289"/>
    </row>
    <row r="30" spans="1:18" ht="71.25" x14ac:dyDescent="0.25">
      <c r="A30" s="290" t="s">
        <v>286</v>
      </c>
      <c r="B30" s="290" t="s">
        <v>183</v>
      </c>
      <c r="C30" s="290" t="s">
        <v>24</v>
      </c>
      <c r="D30" s="290" t="s">
        <v>25</v>
      </c>
      <c r="E30" s="290" t="s">
        <v>26</v>
      </c>
      <c r="F30" s="290" t="s">
        <v>27</v>
      </c>
    </row>
    <row r="31" spans="1:18" x14ac:dyDescent="0.25">
      <c r="A31" s="291" t="s">
        <v>288</v>
      </c>
      <c r="B31" s="292">
        <v>203.18777558706185</v>
      </c>
      <c r="C31" s="292">
        <v>144.16455413060487</v>
      </c>
      <c r="D31" s="292">
        <v>42.767388711033831</v>
      </c>
      <c r="E31" s="292">
        <v>16.255832745423167</v>
      </c>
      <c r="F31" s="292">
        <v>0</v>
      </c>
      <c r="I31" s="257"/>
      <c r="J31" s="258" t="s">
        <v>270</v>
      </c>
      <c r="K31" s="258" t="s">
        <v>28</v>
      </c>
      <c r="L31" s="258" t="s">
        <v>271</v>
      </c>
      <c r="M31" s="258" t="s">
        <v>272</v>
      </c>
      <c r="N31" s="258" t="s">
        <v>273</v>
      </c>
      <c r="O31" s="258" t="s">
        <v>274</v>
      </c>
      <c r="Q31" s="265" t="s">
        <v>18</v>
      </c>
      <c r="R31" s="258" t="s">
        <v>276</v>
      </c>
    </row>
    <row r="32" spans="1:18" x14ac:dyDescent="0.25">
      <c r="A32" s="291" t="s">
        <v>289</v>
      </c>
      <c r="B32" s="292">
        <v>31.29217637414585</v>
      </c>
      <c r="C32" s="292">
        <v>19.465042918515458</v>
      </c>
      <c r="D32" s="292">
        <v>11.827133455630388</v>
      </c>
      <c r="E32" s="292">
        <v>0</v>
      </c>
      <c r="F32" s="292">
        <v>0</v>
      </c>
      <c r="I32" s="257" t="s">
        <v>302</v>
      </c>
      <c r="J32" s="259" t="s">
        <v>275</v>
      </c>
      <c r="K32" s="260">
        <f>SUM(L32:O32)</f>
        <v>4185.6521427429243</v>
      </c>
      <c r="L32" s="261">
        <f>C35</f>
        <v>1578.7796557271608</v>
      </c>
      <c r="M32" s="261">
        <f t="shared" ref="M32:O32" si="4">D35</f>
        <v>959.28058127001668</v>
      </c>
      <c r="N32" s="297">
        <f t="shared" si="4"/>
        <v>0</v>
      </c>
      <c r="O32" s="261">
        <f t="shared" si="4"/>
        <v>1647.5919057457468</v>
      </c>
      <c r="Q32" s="266">
        <f>1-R32</f>
        <v>0.60637151641893161</v>
      </c>
      <c r="R32" s="267">
        <f>O33</f>
        <v>0.39362848358106833</v>
      </c>
    </row>
    <row r="33" spans="1:15" x14ac:dyDescent="0.25">
      <c r="A33" s="291" t="s">
        <v>290</v>
      </c>
      <c r="B33" s="292">
        <v>7.1632882923069774</v>
      </c>
      <c r="C33" s="292">
        <v>4.0987316703162824</v>
      </c>
      <c r="D33" s="292">
        <v>2.9372195581902294</v>
      </c>
      <c r="E33" s="292">
        <v>0.12733706380046583</v>
      </c>
      <c r="F33" s="292">
        <v>0</v>
      </c>
      <c r="I33" s="257" t="s">
        <v>189</v>
      </c>
      <c r="J33" s="259" t="s">
        <v>240</v>
      </c>
      <c r="K33" s="262">
        <f>K32/$K$32</f>
        <v>1</v>
      </c>
      <c r="L33" s="262">
        <f>L32/$K$32</f>
        <v>0.37718845281121749</v>
      </c>
      <c r="M33" s="262">
        <f>M32/$K$32</f>
        <v>0.22918306360771415</v>
      </c>
      <c r="N33" s="262">
        <f>N32/$K$32</f>
        <v>0</v>
      </c>
      <c r="O33" s="262">
        <f>O32/$K$32</f>
        <v>0.39362848358106833</v>
      </c>
    </row>
    <row r="34" spans="1:15" x14ac:dyDescent="0.25">
      <c r="A34" s="291" t="s">
        <v>291</v>
      </c>
      <c r="B34" s="292">
        <v>10.744932438460465</v>
      </c>
      <c r="C34" s="292">
        <v>6.327719961932373</v>
      </c>
      <c r="D34" s="292">
        <v>4.1342546002134277</v>
      </c>
      <c r="E34" s="292">
        <v>0.28295787631466357</v>
      </c>
      <c r="F34" s="292">
        <v>0</v>
      </c>
      <c r="I34" s="263" t="s">
        <v>285</v>
      </c>
      <c r="J34" s="264"/>
      <c r="K34" s="264"/>
      <c r="L34" s="264"/>
      <c r="M34" s="264"/>
      <c r="N34" s="264"/>
      <c r="O34" s="264"/>
    </row>
    <row r="35" spans="1:15" x14ac:dyDescent="0.25">
      <c r="A35" s="295" t="s">
        <v>292</v>
      </c>
      <c r="B35" s="296">
        <v>4185.6521427429243</v>
      </c>
      <c r="C35" s="296">
        <v>1578.7796557271608</v>
      </c>
      <c r="D35" s="296">
        <v>959.28058127001668</v>
      </c>
      <c r="E35" s="296">
        <v>0</v>
      </c>
      <c r="F35" s="296">
        <v>1647.5919057457468</v>
      </c>
    </row>
    <row r="36" spans="1:15" x14ac:dyDescent="0.25">
      <c r="A36" s="291" t="s">
        <v>23</v>
      </c>
      <c r="B36" s="292">
        <v>123.45576775438929</v>
      </c>
      <c r="C36" s="292">
        <v>0</v>
      </c>
      <c r="D36" s="292">
        <v>0</v>
      </c>
      <c r="E36" s="292">
        <v>0</v>
      </c>
      <c r="F36" s="292">
        <v>123.45576775438929</v>
      </c>
    </row>
    <row r="37" spans="1:15" x14ac:dyDescent="0.25">
      <c r="A37" s="291" t="s">
        <v>293</v>
      </c>
      <c r="B37" s="292">
        <v>566.70604756203238</v>
      </c>
      <c r="C37" s="292">
        <v>168.84313293370872</v>
      </c>
      <c r="D37" s="292">
        <v>50.088455799078623</v>
      </c>
      <c r="E37" s="292">
        <v>19.03856149478387</v>
      </c>
      <c r="F37" s="292">
        <v>328.73589733446119</v>
      </c>
    </row>
    <row r="38" spans="1:15" x14ac:dyDescent="0.25">
      <c r="A38" s="291" t="s">
        <v>294</v>
      </c>
      <c r="B38" s="292">
        <v>19478.576618020721</v>
      </c>
      <c r="C38" s="292">
        <v>7412.2837573826964</v>
      </c>
      <c r="D38" s="292">
        <v>4503.7696334169004</v>
      </c>
      <c r="E38" s="292">
        <v>530.38368977246864</v>
      </c>
      <c r="F38" s="292">
        <v>7032.1395374486547</v>
      </c>
    </row>
    <row r="39" spans="1:15" x14ac:dyDescent="0.25">
      <c r="A39" s="291" t="s">
        <v>295</v>
      </c>
      <c r="B39" s="292">
        <v>12949.336177082221</v>
      </c>
      <c r="C39" s="292">
        <v>7711.7775627612</v>
      </c>
      <c r="D39" s="292">
        <v>4685.7447372054876</v>
      </c>
      <c r="E39" s="292">
        <v>551.813877115531</v>
      </c>
      <c r="F39" s="292">
        <v>0</v>
      </c>
    </row>
    <row r="40" spans="1:15" x14ac:dyDescent="0.25">
      <c r="A40" s="291" t="s">
        <v>296</v>
      </c>
      <c r="B40" s="292">
        <v>70.63706141460969</v>
      </c>
      <c r="C40" s="292">
        <v>69.324378752500706</v>
      </c>
      <c r="D40" s="292">
        <v>1.218919614815489</v>
      </c>
      <c r="E40" s="292">
        <v>6.6973605209642253E-2</v>
      </c>
      <c r="F40" s="292">
        <v>2.6789442083856904E-2</v>
      </c>
    </row>
    <row r="41" spans="1:15" x14ac:dyDescent="0.25">
      <c r="A41" s="291" t="s">
        <v>297</v>
      </c>
      <c r="B41" s="292">
        <v>8406.5309015976964</v>
      </c>
      <c r="C41" s="292">
        <v>7559.3781046336335</v>
      </c>
      <c r="D41" s="292">
        <v>620.27164559322762</v>
      </c>
      <c r="E41" s="292">
        <v>131.45474435649251</v>
      </c>
      <c r="F41" s="292">
        <v>95.426407014342715</v>
      </c>
    </row>
    <row r="42" spans="1:15" x14ac:dyDescent="0.25">
      <c r="A42" s="291" t="s">
        <v>298</v>
      </c>
      <c r="B42" s="292">
        <v>2535.9886203725341</v>
      </c>
      <c r="C42" s="292">
        <v>2179.4928340748693</v>
      </c>
      <c r="D42" s="292">
        <v>255.10660711757282</v>
      </c>
      <c r="E42" s="292">
        <v>68.017355249505158</v>
      </c>
      <c r="F42" s="292">
        <v>33.371823930586956</v>
      </c>
    </row>
    <row r="43" spans="1:15" x14ac:dyDescent="0.25">
      <c r="A43" s="291" t="s">
        <v>299</v>
      </c>
      <c r="B43" s="292">
        <v>54.631071915264293</v>
      </c>
      <c r="C43" s="292">
        <v>53.223156504622125</v>
      </c>
      <c r="D43" s="292">
        <v>0.93581436420067887</v>
      </c>
      <c r="E43" s="292">
        <v>0.33849308811214845</v>
      </c>
      <c r="F43" s="292">
        <v>0.13360795832933628</v>
      </c>
    </row>
    <row r="44" spans="1:15" x14ac:dyDescent="0.25">
      <c r="A44" s="291" t="s">
        <v>300</v>
      </c>
      <c r="B44" s="292">
        <v>6314.7145379107051</v>
      </c>
      <c r="C44" s="292">
        <v>5743.5584940611325</v>
      </c>
      <c r="D44" s="292">
        <v>471.27772011940118</v>
      </c>
      <c r="E44" s="292">
        <v>99.87832373017136</v>
      </c>
      <c r="F44" s="292">
        <v>0</v>
      </c>
    </row>
    <row r="45" spans="1:15" x14ac:dyDescent="0.25">
      <c r="A45" s="291" t="s">
        <v>301</v>
      </c>
      <c r="B45" s="292">
        <v>7.4163689571926668</v>
      </c>
      <c r="C45" s="292">
        <v>6.2084436040298971</v>
      </c>
      <c r="D45" s="292">
        <v>1.2079253531627694</v>
      </c>
      <c r="E45" s="292">
        <v>0</v>
      </c>
      <c r="F45" s="292">
        <v>0</v>
      </c>
    </row>
    <row r="46" spans="1:15" x14ac:dyDescent="0.25">
      <c r="A46" s="293" t="s">
        <v>183</v>
      </c>
      <c r="B46" s="294">
        <v>54946.033488022258</v>
      </c>
      <c r="C46" s="294">
        <v>32656.925569116924</v>
      </c>
      <c r="D46" s="294">
        <v>11610.568036178929</v>
      </c>
      <c r="E46" s="294">
        <v>1417.6581460978123</v>
      </c>
      <c r="F46" s="294">
        <v>9260.8817366285948</v>
      </c>
    </row>
    <row r="47" spans="1:15" x14ac:dyDescent="0.25">
      <c r="A47" s="291"/>
      <c r="B47" s="291"/>
      <c r="C47" s="291"/>
      <c r="D47" s="291"/>
      <c r="E47" s="285"/>
      <c r="F47" s="285"/>
    </row>
  </sheetData>
  <sheetProtection sheet="1" objects="1" scenarios="1"/>
  <pageMargins left="0.7" right="0.7" top="0.75" bottom="0.75" header="0.3" footer="0.3"/>
  <pageSetup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D137378F81F4FB318B1B24AB80438" ma:contentTypeVersion="5" ma:contentTypeDescription="Create a new document." ma:contentTypeScope="" ma:versionID="1d97a38f63711f9c256529cd2c45c12f">
  <xsd:schema xmlns:xsd="http://www.w3.org/2001/XMLSchema" xmlns:xs="http://www.w3.org/2001/XMLSchema" xmlns:p="http://schemas.microsoft.com/office/2006/metadata/properties" xmlns:ns2="2bc3004b-9ad1-483e-becf-bfd5ad8c6084" xmlns:ns3="5439dcb1-57cb-40ed-87e6-3a760137f3f8" xmlns:ns4="814aaabf-6b27-4e48-84b7-c1ad3678f127" targetNamespace="http://schemas.microsoft.com/office/2006/metadata/properties" ma:root="true" ma:fieldsID="99829ed334b0f3165ded5174156f74c2" ns2:_="" ns3:_="" ns4:_="">
    <xsd:import namespace="2bc3004b-9ad1-483e-becf-bfd5ad8c6084"/>
    <xsd:import namespace="5439dcb1-57cb-40ed-87e6-3a760137f3f8"/>
    <xsd:import namespace="814aaabf-6b27-4e48-84b7-c1ad3678f12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nm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004b-9ad1-483e-becf-bfd5ad8c6084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9dcb1-57cb-40ed-87e6-3a760137f3f8" elementFormDefault="qualified">
    <xsd:import namespace="http://schemas.microsoft.com/office/2006/documentManagement/types"/>
    <xsd:import namespace="http://schemas.microsoft.com/office/infopath/2007/PartnerControls"/>
    <xsd:element name="snms" ma:index="11" nillable="true" ma:displayName="Description" ma:internalName="snm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aaabf-6b27-4e48-84b7-c1ad3678f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nms xmlns="5439dcb1-57cb-40ed-87e6-3a760137f3f8" xsi:nil="true"/>
    <_dlc_DocId xmlns="2bc3004b-9ad1-483e-becf-bfd5ad8c6084">6YNFE3WTN53P-2032442789-2098</_dlc_DocId>
    <_dlc_DocIdUrl xmlns="2bc3004b-9ad1-483e-becf-bfd5ad8c6084">
      <Url>https://epcorweb/en-ca/departments/natgas/sites/ON/ONReg/_layouts/15/DocIdRedir.aspx?ID=6YNFE3WTN53P-2032442789-2098</Url>
      <Description>6YNFE3WTN53P-2032442789-2098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E7C959-AC91-4261-B3CC-0C3A700082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004b-9ad1-483e-becf-bfd5ad8c6084"/>
    <ds:schemaRef ds:uri="5439dcb1-57cb-40ed-87e6-3a760137f3f8"/>
    <ds:schemaRef ds:uri="814aaabf-6b27-4e48-84b7-c1ad3678f1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9B89B5-4327-4BBC-A28A-B01D279B868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02D51A8-EA96-4914-9F8B-D43DD84875CE}">
  <ds:schemaRefs>
    <ds:schemaRef ds:uri="http://purl.org/dc/dcmitype/"/>
    <ds:schemaRef ds:uri="http://schemas.microsoft.com/office/2006/metadata/properties"/>
    <ds:schemaRef ds:uri="2bc3004b-9ad1-483e-becf-bfd5ad8c6084"/>
    <ds:schemaRef ds:uri="http://schemas.microsoft.com/office/2006/documentManagement/types"/>
    <ds:schemaRef ds:uri="5439dcb1-57cb-40ed-87e6-3a760137f3f8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4aaabf-6b27-4e48-84b7-c1ad3678f127"/>
  </ds:schemaRefs>
</ds:datastoreItem>
</file>

<file path=customXml/itemProps4.xml><?xml version="1.0" encoding="utf-8"?>
<ds:datastoreItem xmlns:ds="http://schemas.openxmlformats.org/officeDocument/2006/customXml" ds:itemID="{C05DE33C-7ED1-4C34-821D-537BC0EF3E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TVA - Continuity</vt:lpstr>
      <vt:lpstr>S&amp;TVA - Continuity</vt:lpstr>
      <vt:lpstr>Invoice Breakdown</vt:lpstr>
      <vt:lpstr>Allocation</vt:lpstr>
      <vt:lpstr>Fuel Costs</vt:lpstr>
      <vt:lpstr>Upstream Recovery</vt:lpstr>
      <vt:lpstr>Upstream Allocation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Lamers, Nakita</dc:creator>
  <cp:lastModifiedBy>Hesselink, Tim</cp:lastModifiedBy>
  <cp:lastPrinted>2026-07-29T19:44:16Z</cp:lastPrinted>
  <dcterms:created xsi:type="dcterms:W3CDTF">2019-01-29T22:03:55Z</dcterms:created>
  <dcterms:modified xsi:type="dcterms:W3CDTF">2026-07-29T19:50:15Z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0x0101002BAD137378F81F4FB318B1B24AB80438</vt:lpwstr>
  </property>
  <property fmtid="{D5CDD505-2E9C-101B-9397-08002B2CF9AE}" pid="3" name="_dlc_DocIdItemGuid">
    <vt:lpwstr>e5cd3911-12bb-4075-92c7-f53ab35eee08</vt:lpwstr>
  </property>
</Properties>
</file>