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1\departments\Regulatory\ACTIVE APPLICATIONS\CNPI_2027 _COS\2. Interrogatories\IRR Attachments\"/>
    </mc:Choice>
  </mc:AlternateContent>
  <xr:revisionPtr revIDLastSave="0" documentId="13_ncr:1_{F36D5BE3-53DF-4759-93B1-7B8936D48C0E}" xr6:coauthVersionLast="47" xr6:coauthVersionMax="47" xr10:uidLastSave="{00000000-0000-0000-0000-000000000000}"/>
  <bookViews>
    <workbookView xWindow="-28920" yWindow="-120" windowWidth="29040" windowHeight="15720" xr2:uid="{22685B42-3C59-4B9A-B191-D865A5997255}"/>
  </bookViews>
  <sheets>
    <sheet name="A. TestYr Rev at BrdgYr Rates" sheetId="1" r:id="rId1"/>
    <sheet name="B. Test Year Rate Design" sheetId="2" r:id="rId2"/>
    <sheet name="Cost Allocation Study" sheetId="4" r:id="rId3"/>
  </sheets>
  <definedNames>
    <definedName name="__________cow97">#REF!</definedName>
    <definedName name="__________crp03">#REF!</definedName>
    <definedName name="__________CRP0398">#REF!</definedName>
    <definedName name="__________KWH97">#REF!</definedName>
    <definedName name="_________cow97">#REF!</definedName>
    <definedName name="_________crp03">#REF!</definedName>
    <definedName name="_________CRP0398">#REF!</definedName>
    <definedName name="_________KWH97">#REF!</definedName>
    <definedName name="________cow97">#REF!</definedName>
    <definedName name="________crp03">#REF!</definedName>
    <definedName name="________CRP0398">#REF!</definedName>
    <definedName name="________KWH97">#REF!</definedName>
    <definedName name="_______cow97">#REF!</definedName>
    <definedName name="_______crp03">#REF!</definedName>
    <definedName name="_______CRP0398">#REF!</definedName>
    <definedName name="_______KWH97">#REF!</definedName>
    <definedName name="______cow97">#REF!</definedName>
    <definedName name="______crp03">#REF!</definedName>
    <definedName name="______CRP0398">#REF!</definedName>
    <definedName name="______KWH97">#REF!</definedName>
    <definedName name="_____cow97">#REF!</definedName>
    <definedName name="_____crp03">#REF!</definedName>
    <definedName name="_____CRP0398">#REF!</definedName>
    <definedName name="_____KWH97">#REF!</definedName>
    <definedName name="____cow97">#REF!</definedName>
    <definedName name="____crp03">#REF!</definedName>
    <definedName name="____CRP0398">#REF!</definedName>
    <definedName name="____KWH97">#REF!</definedName>
    <definedName name="____xlnm.Print_Area">#REF!</definedName>
    <definedName name="____xlnm.Print_Area_1">#REF!</definedName>
    <definedName name="___cow97">#REF!</definedName>
    <definedName name="___crp03">#REF!</definedName>
    <definedName name="___CRP0398">#REF!</definedName>
    <definedName name="___INDEX_SHEET___ASAP_Utilities">#REF!</definedName>
    <definedName name="___KWH97">#REF!</definedName>
    <definedName name="___xlnm.Print_Area">#REF!</definedName>
    <definedName name="___xlnm.Print_Area_1">#REF!</definedName>
    <definedName name="___xlnm.Print_Area_10">#REF!</definedName>
    <definedName name="___xlnm.Print_Area_11">#REF!</definedName>
    <definedName name="___xlnm.Print_Area_12">#REF!</definedName>
    <definedName name="___xlnm.Print_Area_13">#REF!</definedName>
    <definedName name="___xlnm.Print_Area_14">#REF!</definedName>
    <definedName name="___xlnm.Print_Area_15">#REF!</definedName>
    <definedName name="___xlnm.Print_Area_16">#REF!</definedName>
    <definedName name="___xlnm.Print_Area_17">#REF!</definedName>
    <definedName name="___xlnm.Print_Area_18">#REF!</definedName>
    <definedName name="___xlnm.Print_Area_19">#REF!</definedName>
    <definedName name="___xlnm.Print_Area_2">#REF!</definedName>
    <definedName name="___xlnm.Print_Area_20">#REF!</definedName>
    <definedName name="___xlnm.Print_Area_21">#REF!</definedName>
    <definedName name="___xlnm.Print_Area_22">#REF!</definedName>
    <definedName name="___xlnm.Print_Area_23">#REF!</definedName>
    <definedName name="___xlnm.Print_Area_24">#REF!</definedName>
    <definedName name="___xlnm.Print_Area_25">#REF!</definedName>
    <definedName name="___xlnm.Print_Area_26">#REF!</definedName>
    <definedName name="___xlnm.Print_Area_27">#REF!</definedName>
    <definedName name="___xlnm.Print_Area_28">#REF!</definedName>
    <definedName name="___xlnm.Print_Area_29">#REF!</definedName>
    <definedName name="___xlnm.Print_Area_3">#REF!</definedName>
    <definedName name="___xlnm.Print_Area_30">#REF!</definedName>
    <definedName name="___xlnm.Print_Area_31">#REF!</definedName>
    <definedName name="___xlnm.Print_Area_32">#REF!</definedName>
    <definedName name="___xlnm.Print_Area_33">#REF!</definedName>
    <definedName name="___xlnm.Print_Area_34">#REF!</definedName>
    <definedName name="___xlnm.Print_Area_35">#REF!</definedName>
    <definedName name="___xlnm.Print_Area_36">#REF!</definedName>
    <definedName name="___xlnm.Print_Area_37">#REF!</definedName>
    <definedName name="___xlnm.Print_Area_38">#REF!</definedName>
    <definedName name="___xlnm.Print_Area_39">#REF!</definedName>
    <definedName name="___xlnm.Print_Area_4">#REF!</definedName>
    <definedName name="___xlnm.Print_Area_40">#REF!</definedName>
    <definedName name="___xlnm.Print_Area_41">#REF!</definedName>
    <definedName name="___xlnm.Print_Area_42">#REF!</definedName>
    <definedName name="___xlnm.Print_Area_43">#REF!</definedName>
    <definedName name="___xlnm.Print_Area_44">#REF!</definedName>
    <definedName name="___xlnm.Print_Area_45">#REF!</definedName>
    <definedName name="___xlnm.Print_Area_46">#REF!</definedName>
    <definedName name="___xlnm.Print_Area_47">#REF!</definedName>
    <definedName name="___xlnm.Print_Area_48">#REF!</definedName>
    <definedName name="___xlnm.Print_Area_49">#REF!</definedName>
    <definedName name="___xlnm.Print_Area_5">#REF!</definedName>
    <definedName name="___xlnm.Print_Area_6">#REF!</definedName>
    <definedName name="___xlnm.Print_Area_7">#REF!</definedName>
    <definedName name="___xlnm.Print_Area_8">#REF!</definedName>
    <definedName name="___xlnm.Print_Area_9">#REF!</definedName>
    <definedName name="__cow97">#REF!</definedName>
    <definedName name="__crp03">#REF!</definedName>
    <definedName name="__CRP0398">#REF!</definedName>
    <definedName name="__KWH97">#REF!</definedName>
    <definedName name="__xlnm._FilterDatabase">#REF!</definedName>
    <definedName name="__xlnm._FilterDatabase_1">#REF!</definedName>
    <definedName name="__xlnm.Extract">"#N/A"</definedName>
    <definedName name="__xlnm.Print_Area">#REF!</definedName>
    <definedName name="__xlnm.Print_Area_1">#N/A</definedName>
    <definedName name="__xlnm.Print_Area_1_1">#N/A</definedName>
    <definedName name="__xlnm.Print_Area_1_2">#N/A</definedName>
    <definedName name="__xlnm.Print_Area_1_3">#N/A</definedName>
    <definedName name="__xlnm.Print_Area_1_4">#N/A</definedName>
    <definedName name="__xlnm.Print_Area_1_5">#N/A</definedName>
    <definedName name="__xlnm.Print_Area_10">#REF!</definedName>
    <definedName name="__xlnm.Print_Area_11">#REF!</definedName>
    <definedName name="__xlnm.Print_Area_12">#REF!</definedName>
    <definedName name="__xlnm.Print_Area_13">#REF!</definedName>
    <definedName name="__xlnm.Print_Area_14">#REF!</definedName>
    <definedName name="__xlnm.Print_Area_15">#REF!</definedName>
    <definedName name="__xlnm.Print_Area_16">#REF!</definedName>
    <definedName name="__xlnm.Print_Area_17">#REF!</definedName>
    <definedName name="__xlnm.Print_Area_18">#REF!</definedName>
    <definedName name="__xlnm.Print_Area_19">#REF!</definedName>
    <definedName name="__xlnm.Print_Area_2">#REF!</definedName>
    <definedName name="__xlnm.Print_Area_2_1">#REF!</definedName>
    <definedName name="__xlnm.Print_Area_2_2">#REF!</definedName>
    <definedName name="__xlnm.Print_Area_2_3">#REF!</definedName>
    <definedName name="__xlnm.Print_Area_2_4">#REF!</definedName>
    <definedName name="__xlnm.Print_Area_2_5">#REF!</definedName>
    <definedName name="__xlnm.Print_Area_2_6">#REF!</definedName>
    <definedName name="__xlnm.Print_Area_20">#REF!</definedName>
    <definedName name="__xlnm.Print_Area_21">#REF!</definedName>
    <definedName name="__xlnm.Print_Area_21_1">#REF!</definedName>
    <definedName name="__xlnm.Print_Area_21_2">#REF!</definedName>
    <definedName name="__xlnm.Print_Area_21_3">#REF!</definedName>
    <definedName name="__xlnm.Print_Area_22">#REF!</definedName>
    <definedName name="__xlnm.Print_Area_23">#REF!</definedName>
    <definedName name="__xlnm.Print_Area_24">#REF!</definedName>
    <definedName name="__xlnm.Print_Area_24_1">#REF!</definedName>
    <definedName name="__xlnm.Print_Area_24_2">#REF!</definedName>
    <definedName name="__xlnm.Print_Area_25">#REF!</definedName>
    <definedName name="__xlnm.Print_Area_26">#REF!</definedName>
    <definedName name="__xlnm.Print_Area_27">#REF!</definedName>
    <definedName name="__xlnm.Print_Area_28">#REF!</definedName>
    <definedName name="__xlnm.Print_Area_29">#REF!</definedName>
    <definedName name="__xlnm.Print_Area_3">#REF!</definedName>
    <definedName name="__xlnm.Print_Area_30">#REF!</definedName>
    <definedName name="__xlnm.Print_Area_31">#REF!</definedName>
    <definedName name="__xlnm.Print_Area_32">#REF!</definedName>
    <definedName name="__xlnm.Print_Area_33">#REF!</definedName>
    <definedName name="__xlnm.Print_Area_34">#REF!</definedName>
    <definedName name="__xlnm.Print_Area_35">#REF!</definedName>
    <definedName name="__xlnm.Print_Area_36">#REF!</definedName>
    <definedName name="__xlnm.Print_Area_37">#REF!</definedName>
    <definedName name="__xlnm.Print_Area_38">#REF!</definedName>
    <definedName name="__xlnm.Print_Area_39">#REF!</definedName>
    <definedName name="__xlnm.Print_Area_4">#REF!</definedName>
    <definedName name="__xlnm.Print_Area_41">#REF!</definedName>
    <definedName name="__xlnm.Print_Area_42">#REF!</definedName>
    <definedName name="__xlnm.Print_Area_43">#REF!</definedName>
    <definedName name="__xlnm.Print_Area_44">#REF!</definedName>
    <definedName name="__xlnm.Print_Area_45">#REF!</definedName>
    <definedName name="__xlnm.Print_Area_46">#REF!</definedName>
    <definedName name="__xlnm.Print_Area_46_1">#REF!</definedName>
    <definedName name="__xlnm.Print_Area_46_2">#REF!</definedName>
    <definedName name="__xlnm.Print_Area_46_3">#REF!</definedName>
    <definedName name="__xlnm.Print_Area_46_4">#REF!</definedName>
    <definedName name="__xlnm.Print_Area_46_5">#REF!</definedName>
    <definedName name="__xlnm.Print_Area_46_6">#REF!</definedName>
    <definedName name="__xlnm.Print_Area_46_7">#REF!</definedName>
    <definedName name="__xlnm.Print_Area_46_8">#REF!</definedName>
    <definedName name="__xlnm.Print_Area_46_9">#REF!</definedName>
    <definedName name="__xlnm.Print_Area_47">"#REF!"</definedName>
    <definedName name="__xlnm.Print_Area_49">#REF!</definedName>
    <definedName name="__xlnm.Print_Area_5">#REF!</definedName>
    <definedName name="__xlnm.Print_Area_51">#REF!</definedName>
    <definedName name="__xlnm.Print_Area_52">#REF!</definedName>
    <definedName name="__xlnm.Print_Area_53">#REF!</definedName>
    <definedName name="__xlnm.Print_Area_54">#REF!</definedName>
    <definedName name="__xlnm.Print_Area_55">#REF!</definedName>
    <definedName name="__xlnm.Print_Area_56">#REF!</definedName>
    <definedName name="__xlnm.Print_Area_57">#REF!</definedName>
    <definedName name="__xlnm.Print_Area_58">#REF!</definedName>
    <definedName name="__xlnm.Print_Area_59">#REF!</definedName>
    <definedName name="__xlnm.Print_Area_6">#REF!</definedName>
    <definedName name="__xlnm.Print_Area_60">#REF!</definedName>
    <definedName name="__xlnm.Print_Area_61">#REF!</definedName>
    <definedName name="__xlnm.Print_Area_62">#REF!</definedName>
    <definedName name="__xlnm.Print_Area_63">#REF!</definedName>
    <definedName name="__xlnm.Print_Area_64">#REF!</definedName>
    <definedName name="__xlnm.Print_Area_65">#REF!</definedName>
    <definedName name="__xlnm.Print_Area_66">#REF!</definedName>
    <definedName name="__xlnm.Print_Area_67">#REF!</definedName>
    <definedName name="__xlnm.Print_Area_68">#REF!</definedName>
    <definedName name="__xlnm.Print_Area_69">#REF!</definedName>
    <definedName name="__xlnm.Print_Area_7">#REF!</definedName>
    <definedName name="__xlnm.Print_Area_71">#REF!</definedName>
    <definedName name="__xlnm.Print_Area_72">#REF!</definedName>
    <definedName name="__xlnm.Print_Area_73">#REF!</definedName>
    <definedName name="__xlnm.Print_Area_74">#REF!</definedName>
    <definedName name="__xlnm.Print_Area_76">#REF!</definedName>
    <definedName name="__xlnm.Print_Area_77">#N/A</definedName>
    <definedName name="__xlnm.Print_Area_78">#REF!</definedName>
    <definedName name="__xlnm.Print_Area_79">#REF!</definedName>
    <definedName name="__xlnm.Print_Area_8">#REF!</definedName>
    <definedName name="__xlnm.Print_Area_80">#REF!</definedName>
    <definedName name="__xlnm.Print_Area_81">#REF!</definedName>
    <definedName name="__xlnm.Print_Area_9">#REF!</definedName>
    <definedName name="__xlnm.Print_Titles">#REF!</definedName>
    <definedName name="__xlnm.Print_Titles_1">#REF!</definedName>
    <definedName name="__xlnm.Print_Titles_2">#REF!</definedName>
    <definedName name="_16.">#REF!</definedName>
    <definedName name="_2.">#REF!</definedName>
    <definedName name="_2007.09.06________________________________________________________________________________________CNP_Summary_of_Capital_Expenditures___Budget_Approval_Report_______________________________________________________________________________________________1">#REF!</definedName>
    <definedName name="_3.">#REF!</definedName>
    <definedName name="_CAP2009">#REF!</definedName>
    <definedName name="_cow97">#REF!</definedName>
    <definedName name="_crp03">#REF!</definedName>
    <definedName name="_CRP0398">#REF!</definedName>
    <definedName name="_F">#REF!</definedName>
    <definedName name="_ftn1">"#N/A"</definedName>
    <definedName name="_ftnref1">"#N/A"</definedName>
    <definedName name="_KWH97">#REF!</definedName>
    <definedName name="_Parse_Out" hidden="1">#REF!</definedName>
    <definedName name="_SCH1">#REF!</definedName>
    <definedName name="_sch2">#REF!</definedName>
    <definedName name="_SCH3">#REF!</definedName>
    <definedName name="A43Other">#REF!</definedName>
    <definedName name="A44ajkldfalkjfd">#REF!</definedName>
    <definedName name="Alloc_Cur_Yr">#REF!</definedName>
    <definedName name="Alloc_Prv_Yr">#REF!</definedName>
    <definedName name="annual2005cap">#REF!</definedName>
    <definedName name="API_BS">#REF!</definedName>
    <definedName name="API_Earnings">#REF!</definedName>
    <definedName name="API_Monthly_Budget">#REF!</definedName>
    <definedName name="API_PL">#REF!</definedName>
    <definedName name="API_SCFP">#REF!</definedName>
    <definedName name="API_YTD_Budget">#REF!</definedName>
    <definedName name="ApprovedYr">#REF!</definedName>
    <definedName name="area">#REF!</definedName>
    <definedName name="area1">#REF!</definedName>
    <definedName name="AS2DocOpenMode" hidden="1">"AS2DocumentEdit"</definedName>
    <definedName name="BALSHEET2000">#REF!</definedName>
    <definedName name="BALSHEET2001">#REF!</definedName>
    <definedName name="BALSHEET96">#REF!</definedName>
    <definedName name="BALSHEET97">#REF!</definedName>
    <definedName name="BANKJUNE">#REF!</definedName>
    <definedName name="BANKMAY">#REF!</definedName>
    <definedName name="banksept">#REF!</definedName>
    <definedName name="BI_LDCLIST">#REF!</definedName>
    <definedName name="Bridge_Year">#REF!</definedName>
    <definedName name="BridgeYear">#REF!</definedName>
    <definedName name="BridgeYear2">#REF!</definedName>
    <definedName name="bsmay">#REF!</definedName>
    <definedName name="bud">#REF!</definedName>
    <definedName name="budg97">#REF!</definedName>
    <definedName name="budget2006">#REF!</definedName>
    <definedName name="budget97">#REF!</definedName>
    <definedName name="cap_act">#REF!</definedName>
    <definedName name="Cap_Ord_Act">#REF!</definedName>
    <definedName name="Cap_Ord_Plan">#REF!</definedName>
    <definedName name="capex">#REF!</definedName>
    <definedName name="capital">#REF!</definedName>
    <definedName name="Capital_priorYTD">#REF!</definedName>
    <definedName name="capital_YTD">#REF!</definedName>
    <definedName name="capital1">#REF!</definedName>
    <definedName name="CASHFL2000">#REF!</definedName>
    <definedName name="CASHFL2001">#REF!</definedName>
    <definedName name="CASHFL96">#REF!</definedName>
    <definedName name="CASHFL97">#REF!</definedName>
    <definedName name="CC__2999">#REF!</definedName>
    <definedName name="cc_budget">#REF!</definedName>
    <definedName name="cc_other">#REF!</definedName>
    <definedName name="cc_plan">#REF!</definedName>
    <definedName name="ccar">#REF!</definedName>
    <definedName name="CDH_pl">#REF!</definedName>
    <definedName name="CE">#REF!</definedName>
    <definedName name="CE_actuals">#REF!</definedName>
    <definedName name="CE_BS">#REF!</definedName>
    <definedName name="CE_CC_7300">#REF!</definedName>
    <definedName name="CE_EARNINGS">#REF!</definedName>
    <definedName name="CE_Monthly_Budget">#REF!</definedName>
    <definedName name="CE_PL">#REF!</definedName>
    <definedName name="CE_SCFP">#REF!</definedName>
    <definedName name="CE_YTD_Budget">#REF!</definedName>
    <definedName name="cert">#REF!</definedName>
    <definedName name="CHANGES2000">#REF!</definedName>
    <definedName name="CHANGES2001">#REF!</definedName>
    <definedName name="CHANGES96">#REF!</definedName>
    <definedName name="CHANGES97">#REF!</definedName>
    <definedName name="cne">#REF!</definedName>
    <definedName name="CNE_operexp">#REF!</definedName>
    <definedName name="CNP_BS">#REF!</definedName>
    <definedName name="CNP_Cons._Budget2000">#REF!</definedName>
    <definedName name="CNP_Cons_Monthly_Budget">#REF!</definedName>
    <definedName name="CNP_Cons_YTD_Budget">#REF!</definedName>
    <definedName name="CNP_Inc._Budget2000">#REF!</definedName>
    <definedName name="CNP_Inc_Monthly_Budget">#REF!</definedName>
    <definedName name="CNP_Inc_PL">#REF!</definedName>
    <definedName name="CNP_Ltd._Budget2000">#REF!</definedName>
    <definedName name="CNP_Ltd_Budget_YTD">#REF!</definedName>
    <definedName name="CNP_Ltd_Monthly_Budget">#REF!</definedName>
    <definedName name="CNP_PL">#REF!</definedName>
    <definedName name="CNP_PL_Non_Cons">#REF!</definedName>
    <definedName name="CNP_Sales">#REF!</definedName>
    <definedName name="CNP_SCFP">#REF!</definedName>
    <definedName name="CNPI">#REF!</definedName>
    <definedName name="CNPI_2004">#REF!</definedName>
    <definedName name="CNPI_BS">#REF!</definedName>
    <definedName name="CNPI_SCFP">#REF!</definedName>
    <definedName name="cnwp">#REF!</definedName>
    <definedName name="CNWP0398">#REF!</definedName>
    <definedName name="cnwpci">#REF!</definedName>
    <definedName name="contactf">#REF!</definedName>
    <definedName name="cost_center">#REF!</definedName>
    <definedName name="Cost_Centers">#REF!</definedName>
    <definedName name="Cost_elements">#REF!</definedName>
    <definedName name="CRLF">#REF!</definedName>
    <definedName name="crp">#REF!</definedName>
    <definedName name="CustomerAdministration">#REF!</definedName>
    <definedName name="Dec_00">#REF!</definedName>
    <definedName name="Dec_01">#REF!</definedName>
    <definedName name="Dec_02">#REF!</definedName>
    <definedName name="Dec_99">#REF!</definedName>
    <definedName name="detailincstate">#REF!</definedName>
    <definedName name="EBCaseNumber">"#N/A"</definedName>
    <definedName name="EBNUMBER">#REF!</definedName>
    <definedName name="emeployees" hidden="1">{"assumptions",#N/A,TRUE,"NETINPUT";"monthly",#N/A,TRUE,"NETINPUT";"detailed monthly",#N/A,TRUE,"NETINPUT"}</definedName>
    <definedName name="EOP_CC_2700">#REF!</definedName>
    <definedName name="export_orders">#REF!</definedName>
    <definedName name="FE_2002_Rev">#REF!</definedName>
    <definedName name="FE_2002_RevYTD">#REF!</definedName>
    <definedName name="FE_CC_2300">#REF!</definedName>
    <definedName name="FE_Month">#REF!</definedName>
    <definedName name="FE_Monthly">#REF!</definedName>
    <definedName name="FE_Y.T.D.">#REF!</definedName>
    <definedName name="FE_YTD">#REF!</definedName>
    <definedName name="Feb_00">#REF!</definedName>
    <definedName name="Feb_01">#REF!</definedName>
    <definedName name="Feb_02">#REF!</definedName>
    <definedName name="fin">#REF!</definedName>
    <definedName name="Fixed_Charges">#REF!</definedName>
    <definedName name="FO">#REF!</definedName>
    <definedName name="FO_BS">#REF!</definedName>
    <definedName name="FO_pl">#REF!</definedName>
    <definedName name="FO_SCFP">#REF!</definedName>
    <definedName name="FOG">#REF!</definedName>
    <definedName name="FOG_BS">#REF!</definedName>
    <definedName name="FOG_Earnings">#REF!</definedName>
    <definedName name="FOG_Month_Bud">#REF!</definedName>
    <definedName name="FOG_SCFP">#REF!</definedName>
    <definedName name="FOG_YTD_Bud">#REF!</definedName>
    <definedName name="FON_Cons_BS">#REF!</definedName>
    <definedName name="FON_Cons_PL_with_API">#REF!</definedName>
    <definedName name="FON_Cons_SCF">#REF!</definedName>
    <definedName name="Forecast">#REF!</definedName>
    <definedName name="fort_erie">#REF!</definedName>
    <definedName name="FU">#REF!</definedName>
    <definedName name="GL_Listing">#REF!</definedName>
    <definedName name="HEAD">#REF!</definedName>
    <definedName name="histdate">#REF!</definedName>
    <definedName name="holidays">#N/A</definedName>
    <definedName name="huh">#N/A</definedName>
    <definedName name="imp">#REF!</definedName>
    <definedName name="import">#REF!</definedName>
    <definedName name="import1">#REF!</definedName>
    <definedName name="INCOME_TAXES">#REF!</definedName>
    <definedName name="Incr2000">#REF!</definedName>
    <definedName name="INCSTMT2000">#REF!</definedName>
    <definedName name="INCSTMT2001">#REF!</definedName>
    <definedName name="INCSTMT2014">#REF!</definedName>
    <definedName name="INCSTMT96">#REF!</definedName>
    <definedName name="INCSTMT97">#REF!</definedName>
    <definedName name="Index_Sheet_Kutools">#REF!</definedName>
    <definedName name="infra">"#REF!"</definedName>
    <definedName name="IRMWG">"#N/A"</definedName>
    <definedName name="IRMWG_1">"#N/A"</definedName>
    <definedName name="Jan_00">#REF!</definedName>
    <definedName name="Jan_01">#REF!</definedName>
    <definedName name="Jan_02">#REF!</definedName>
    <definedName name="Jul_00">#REF!</definedName>
    <definedName name="Jul_01">#REF!</definedName>
    <definedName name="Jul_02">#REF!</definedName>
    <definedName name="Jun_00">#REF!</definedName>
    <definedName name="Jun_01">#REF!</definedName>
    <definedName name="Jun_02">#REF!</definedName>
    <definedName name="KWH97YTD">#REF!</definedName>
    <definedName name="Lakeland_SA">#REF!</definedName>
    <definedName name="Last_Rebasing_Year">#REF!</definedName>
    <definedName name="LDC_LIST">#REF!</definedName>
    <definedName name="LDC_LIST_1">#REF!</definedName>
    <definedName name="LDC_LIST_2">#REF!</definedName>
    <definedName name="LDCLIST">"#REF!"</definedName>
    <definedName name="LDCLIST_1">"#REF!"</definedName>
    <definedName name="LDCLIST_10">"#N/A"</definedName>
    <definedName name="LDCLIST_2">"#REF!"</definedName>
    <definedName name="LDCLIST_3">"#REF!"</definedName>
    <definedName name="LDCLIST_4">"#REF!"</definedName>
    <definedName name="LDCLIST_5">"#REF!"</definedName>
    <definedName name="LDCLIST_6">"#N/A"</definedName>
    <definedName name="LDCLIST_7">"#REF!"</definedName>
    <definedName name="LDCLIST_8">"#REF!"</definedName>
    <definedName name="LDCLIST_9">"#REF!"</definedName>
    <definedName name="LDCNAMES">#REF!</definedName>
    <definedName name="LIMIT">#REF!</definedName>
    <definedName name="LossFactors">#REF!</definedName>
    <definedName name="main_orders">#REF!</definedName>
    <definedName name="maint_orders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r_00">#REF!</definedName>
    <definedName name="Mar_01">#REF!</definedName>
    <definedName name="Mar_02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Y">#REF!</definedName>
    <definedName name="May_00">#REF!</definedName>
    <definedName name="May_01">#REF!</definedName>
    <definedName name="May_02">#REF!</definedName>
    <definedName name="MidPeak">#REF!</definedName>
    <definedName name="MidPeakPer">#REF!</definedName>
    <definedName name="MW_2000">#REF!</definedName>
    <definedName name="MW_2002">#REF!</definedName>
    <definedName name="MW_2002_Monthly">#REF!</definedName>
    <definedName name="MW2001_Monthly">#REF!</definedName>
    <definedName name="MWH">#REF!</definedName>
    <definedName name="MWH_2003_Monthly">#REF!</definedName>
    <definedName name="MWH_2003_YTD">#REF!</definedName>
    <definedName name="newcom">#REF!</definedName>
    <definedName name="NonPayment">#REF!</definedName>
    <definedName name="Nov_00">#REF!</definedName>
    <definedName name="Nov_01">#REF!</definedName>
    <definedName name="Nov_02">#REF!</definedName>
    <definedName name="Oct_00">#REF!</definedName>
    <definedName name="Oct_01">#REF!</definedName>
    <definedName name="Oct_02">#REF!</definedName>
    <definedName name="oeb">#REF!</definedName>
    <definedName name="OER">#REF!</definedName>
    <definedName name="OffPeak">#REF!</definedName>
    <definedName name="OffPeakPer">#REF!</definedName>
    <definedName name="OLE_LINK1">"#REF!"</definedName>
    <definedName name="OLE_LINK7">"#REF!"</definedName>
    <definedName name="OnPeak">#REF!</definedName>
    <definedName name="OnPeakPer">#REF!</definedName>
    <definedName name="Operating_Activities">#REF!</definedName>
    <definedName name="Operating_Income">#REF!</definedName>
    <definedName name="orders">#REF!</definedName>
    <definedName name="orders_gl">#REF!</definedName>
    <definedName name="Orders_labour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_REVENUE">#REF!</definedName>
    <definedName name="OTHERBUD">#REF!</definedName>
    <definedName name="othNYbud">#REF!</definedName>
    <definedName name="othPYACT">#REF!</definedName>
    <definedName name="OTHSTART">#REF!</definedName>
    <definedName name="PC_2002_Rev">#REF!</definedName>
    <definedName name="PC_2002_RevYTD">#REF!</definedName>
    <definedName name="PC_CC_2600">#REF!</definedName>
    <definedName name="PC_Month">#REF!</definedName>
    <definedName name="PC_Monthly">#REF!</definedName>
    <definedName name="PC_pl">#REF!</definedName>
    <definedName name="PC_Y.T.D.">#REF!</definedName>
    <definedName name="PC_YTD">#REF!</definedName>
    <definedName name="pl_cdh">#REF!</definedName>
    <definedName name="Pl_CE">#REF!</definedName>
    <definedName name="PL_cne">#REF!</definedName>
    <definedName name="PL_EOP">#REF!</definedName>
    <definedName name="pl_fe">#REF!</definedName>
    <definedName name="pl_GG">#REF!</definedName>
    <definedName name="pl_ltd">#REF!</definedName>
    <definedName name="Pl_PC">#REF!</definedName>
    <definedName name="pl_reg">#REF!</definedName>
    <definedName name="pl_reg2">#REF!</definedName>
    <definedName name="pl_rideau">#REF!</definedName>
    <definedName name="pl_tr">#REF!</definedName>
    <definedName name="plall">#REF!</definedName>
    <definedName name="planning">#REF!</definedName>
    <definedName name="Print_Area_MI">#REF!</definedName>
    <definedName name="print_end">#REF!</definedName>
    <definedName name="_xlnm.Print_Titles" localSheetId="0">'A. TestYr Rev at BrdgYr Rates'!$1:$2</definedName>
    <definedName name="_xlnm.Print_Titles" localSheetId="1">'B. Test Year Rate Design'!$1:$2</definedName>
    <definedName name="range">#REF!</definedName>
    <definedName name="range2">#REF!</definedName>
    <definedName name="range3">#REF!</definedName>
    <definedName name="Rate_Class">#REF!</definedName>
    <definedName name="RATE_CLASSES">#REF!</definedName>
    <definedName name="ratedescription">#REF!</definedName>
    <definedName name="RateRiderName">OFFSET(#REF!,1,0,COUNTA(#REF!)-1,1)</definedName>
    <definedName name="RATIO">#REF!</definedName>
    <definedName name="RATIO2">#REF!</definedName>
    <definedName name="ratio97">#REF!</definedName>
    <definedName name="RebaseYear">#REF!</definedName>
    <definedName name="RebaseYear_1">#REF!</definedName>
    <definedName name="res">#N/A</definedName>
    <definedName name="resize">#N/A</definedName>
    <definedName name="Revenue_2002">#REF!</definedName>
    <definedName name="Revenue_2003_Monthly">#REF!</definedName>
    <definedName name="Revenue_2003_YTD">#REF!</definedName>
    <definedName name="Revenue2001_Monthly">#REF!</definedName>
    <definedName name="Revenue2002_Monthly">#REF!</definedName>
    <definedName name="RMpilsVer">#REF!</definedName>
    <definedName name="RMversion">#REF!</definedName>
    <definedName name="Run_Date">#REF!</definedName>
    <definedName name="salaries" hidden="1">{"bal_sheet",#N/A,FALSE,"NBTIOUT";"cash",#N/A,FALSE,"NBTIOUT";"depreciation",#N/A,FALSE,"NBTIOUT";"income",#N/A,FALSE,"NBTIOUT";"ivr",#N/A,FALSE,"NBTIOUT";"nets",#N/A,FALSE,"NBTIOUT";"out_summary",#N/A,FALSE,"NBTIOUT"}</definedName>
    <definedName name="salariesa" hidden="1">{"bal_sheet",#N/A,FALSE,"NBTIOUT";"cash",#N/A,FALSE,"NBTIOUT";"depreciation",#N/A,FALSE,"NBTIOUT";"income",#N/A,FALSE,"NBTIOUT";"ivr",#N/A,FALSE,"NBTIOUT";"nets",#N/A,FALSE,"NBTIOUT";"out_summary",#N/A,FALSE,"NBTIOUT"}</definedName>
    <definedName name="SALBENF">#REF!</definedName>
    <definedName name="salreg">#REF!</definedName>
    <definedName name="SALREGF">#REF!</definedName>
    <definedName name="sdfvgsdfsf">#REF!</definedName>
    <definedName name="Sep_00">#REF!</definedName>
    <definedName name="Sep_01">#REF!</definedName>
    <definedName name="Sep_02">#REF!</definedName>
    <definedName name="SME">#REF!</definedName>
    <definedName name="Start_12">#REF!</definedName>
    <definedName name="Start_5">#REF!</definedName>
    <definedName name="summary">#REF!</definedName>
    <definedName name="TEMPA">#REF!</definedName>
    <definedName name="Test_Year">#REF!</definedName>
    <definedName name="TestYear">#REF!</definedName>
    <definedName name="TestYear2">#REF!</definedName>
    <definedName name="TestYear3">#REF!</definedName>
    <definedName name="TestYr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8">#REF!</definedName>
    <definedName name="TextRefCopy9">#REF!</definedName>
    <definedName name="TextRefCopyRangeCount" hidden="1">13</definedName>
    <definedName name="This_Quarter">#REF!</definedName>
    <definedName name="This_Quarter_Last_Yr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_pl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">#REF!</definedName>
    <definedName name="Units1">#REF!</definedName>
    <definedName name="Units2">#REF!</definedName>
    <definedName name="Utility">#REF!</definedName>
    <definedName name="utitliy1">#REF!</definedName>
    <definedName name="valuevx">42.314159</definedName>
    <definedName name="WAGBENF">#REF!</definedName>
    <definedName name="wagdob">#REF!</definedName>
    <definedName name="wagdobf">#REF!</definedName>
    <definedName name="wagreg">#REF!</definedName>
    <definedName name="wagregf">#REF!</definedName>
    <definedName name="wrn.Aging._.and._.Trend._.Analysis." hidden="1">{#N/A,#N/A,FALSE,"Aging Summary";#N/A,#N/A,FALSE,"Ratio Analysis";#N/A,#N/A,FALSE,"Test 120 Day Accts";#N/A,#N/A,FALSE,"Tickmarks"}</definedName>
    <definedName name="wrn.all." hidden="1">{"assumptions",#N/A,TRUE,"NETINPUT";"monthly",#N/A,TRUE,"NETINPUT";"detailed monthly",#N/A,TRUE,"NETINPUT"}</definedName>
    <definedName name="wrn.statements." hidden="1">{"bal_sheet",#N/A,FALSE,"NBTIOUT";"cash",#N/A,FALSE,"NBTIOUT";"depreciation",#N/A,FALSE,"NBTIOUT";"income",#N/A,FALSE,"NBTIOUT";"ivr",#N/A,FALSE,"NBTIOUT";"nets",#N/A,FALSE,"NBTIOUT";"out_summary",#N/A,FALSE,"NBTIOUT"}</definedName>
    <definedName name="xxxxx">#REF!</definedName>
    <definedName name="Z_258F368B_AF27_44ED_A772_A0C4A2AFB945_.wvu.Cols">#REF!</definedName>
    <definedName name="Z_258F368B_AF27_44ED_A772_A0C4A2AFB945_.wvu.Cols_1">#REF!</definedName>
    <definedName name="Z_258F368B_AF27_44ED_A772_A0C4A2AFB945_.wvu.Cols_2">#N/A</definedName>
    <definedName name="Z_258F368B_AF27_44ED_A772_A0C4A2AFB945_.wvu.FilterData">#REF!</definedName>
    <definedName name="Z_258F368B_AF27_44ED_A772_A0C4A2AFB945_.wvu.PrintArea">#REF!</definedName>
    <definedName name="Z_258F368B_AF27_44ED_A772_A0C4A2AFB945_.wvu.PrintArea_1">#N/A</definedName>
    <definedName name="Z_258F368B_AF27_44ED_A772_A0C4A2AFB945_.wvu.PrintArea_1_1">#N/A</definedName>
    <definedName name="Z_258F368B_AF27_44ED_A772_A0C4A2AFB945_.wvu.PrintArea_1_2">#N/A</definedName>
    <definedName name="Z_258F368B_AF27_44ED_A772_A0C4A2AFB945_.wvu.PrintArea_1_3">#N/A</definedName>
    <definedName name="Z_258F368B_AF27_44ED_A772_A0C4A2AFB945_.wvu.PrintArea_1_4">#N/A</definedName>
    <definedName name="Z_258F368B_AF27_44ED_A772_A0C4A2AFB945_.wvu.PrintArea_1_5">#N/A</definedName>
    <definedName name="Z_258F368B_AF27_44ED_A772_A0C4A2AFB945_.wvu.PrintArea_10">#REF!</definedName>
    <definedName name="Z_258F368B_AF27_44ED_A772_A0C4A2AFB945_.wvu.PrintArea_11">#REF!</definedName>
    <definedName name="Z_258F368B_AF27_44ED_A772_A0C4A2AFB945_.wvu.PrintArea_12">#REF!</definedName>
    <definedName name="Z_258F368B_AF27_44ED_A772_A0C4A2AFB945_.wvu.PrintArea_13">#REF!</definedName>
    <definedName name="Z_258F368B_AF27_44ED_A772_A0C4A2AFB945_.wvu.PrintArea_14">#REF!</definedName>
    <definedName name="Z_258F368B_AF27_44ED_A772_A0C4A2AFB945_.wvu.PrintArea_15">#REF!</definedName>
    <definedName name="Z_258F368B_AF27_44ED_A772_A0C4A2AFB945_.wvu.PrintArea_16">#REF!</definedName>
    <definedName name="Z_258F368B_AF27_44ED_A772_A0C4A2AFB945_.wvu.PrintArea_17">#REF!</definedName>
    <definedName name="Z_258F368B_AF27_44ED_A772_A0C4A2AFB945_.wvu.PrintArea_18">#REF!</definedName>
    <definedName name="Z_258F368B_AF27_44ED_A772_A0C4A2AFB945_.wvu.PrintArea_19">#REF!</definedName>
    <definedName name="Z_258F368B_AF27_44ED_A772_A0C4A2AFB945_.wvu.PrintArea_2">#REF!</definedName>
    <definedName name="Z_258F368B_AF27_44ED_A772_A0C4A2AFB945_.wvu.PrintArea_2_1">#REF!</definedName>
    <definedName name="Z_258F368B_AF27_44ED_A772_A0C4A2AFB945_.wvu.PrintArea_2_2">#REF!</definedName>
    <definedName name="Z_258F368B_AF27_44ED_A772_A0C4A2AFB945_.wvu.PrintArea_2_3">#REF!</definedName>
    <definedName name="Z_258F368B_AF27_44ED_A772_A0C4A2AFB945_.wvu.PrintArea_2_4">#REF!</definedName>
    <definedName name="Z_258F368B_AF27_44ED_A772_A0C4A2AFB945_.wvu.PrintArea_2_5">#REF!</definedName>
    <definedName name="Z_258F368B_AF27_44ED_A772_A0C4A2AFB945_.wvu.PrintArea_2_6">#REF!</definedName>
    <definedName name="Z_258F368B_AF27_44ED_A772_A0C4A2AFB945_.wvu.PrintArea_20">#REF!</definedName>
    <definedName name="Z_258F368B_AF27_44ED_A772_A0C4A2AFB945_.wvu.PrintArea_21">#REF!</definedName>
    <definedName name="Z_258F368B_AF27_44ED_A772_A0C4A2AFB945_.wvu.PrintArea_21_1">#REF!</definedName>
    <definedName name="Z_258F368B_AF27_44ED_A772_A0C4A2AFB945_.wvu.PrintArea_21_2">#REF!</definedName>
    <definedName name="Z_258F368B_AF27_44ED_A772_A0C4A2AFB945_.wvu.PrintArea_21_3">#REF!</definedName>
    <definedName name="Z_258F368B_AF27_44ED_A772_A0C4A2AFB945_.wvu.PrintArea_22">#REF!</definedName>
    <definedName name="Z_258F368B_AF27_44ED_A772_A0C4A2AFB945_.wvu.PrintArea_23">#REF!</definedName>
    <definedName name="Z_258F368B_AF27_44ED_A772_A0C4A2AFB945_.wvu.PrintArea_24">#REF!</definedName>
    <definedName name="Z_258F368B_AF27_44ED_A772_A0C4A2AFB945_.wvu.PrintArea_24_1">#REF!</definedName>
    <definedName name="Z_258F368B_AF27_44ED_A772_A0C4A2AFB945_.wvu.PrintArea_24_2">#REF!</definedName>
    <definedName name="Z_258F368B_AF27_44ED_A772_A0C4A2AFB945_.wvu.PrintArea_25">#REF!</definedName>
    <definedName name="Z_258F368B_AF27_44ED_A772_A0C4A2AFB945_.wvu.PrintArea_26">#REF!</definedName>
    <definedName name="Z_258F368B_AF27_44ED_A772_A0C4A2AFB945_.wvu.PrintArea_27">#REF!</definedName>
    <definedName name="Z_258F368B_AF27_44ED_A772_A0C4A2AFB945_.wvu.PrintArea_28">#REF!</definedName>
    <definedName name="Z_258F368B_AF27_44ED_A772_A0C4A2AFB945_.wvu.PrintArea_29">#REF!</definedName>
    <definedName name="Z_258F368B_AF27_44ED_A772_A0C4A2AFB945_.wvu.PrintArea_3">#REF!</definedName>
    <definedName name="Z_258F368B_AF27_44ED_A772_A0C4A2AFB945_.wvu.PrintArea_30">#REF!</definedName>
    <definedName name="Z_258F368B_AF27_44ED_A772_A0C4A2AFB945_.wvu.PrintArea_31">#REF!</definedName>
    <definedName name="Z_258F368B_AF27_44ED_A772_A0C4A2AFB945_.wvu.PrintArea_32">#REF!</definedName>
    <definedName name="Z_258F368B_AF27_44ED_A772_A0C4A2AFB945_.wvu.PrintArea_33">#REF!</definedName>
    <definedName name="Z_258F368B_AF27_44ED_A772_A0C4A2AFB945_.wvu.PrintArea_34">#REF!</definedName>
    <definedName name="Z_258F368B_AF27_44ED_A772_A0C4A2AFB945_.wvu.PrintArea_35">#REF!</definedName>
    <definedName name="Z_258F368B_AF27_44ED_A772_A0C4A2AFB945_.wvu.PrintArea_36">#REF!</definedName>
    <definedName name="Z_258F368B_AF27_44ED_A772_A0C4A2AFB945_.wvu.PrintArea_37">#REF!</definedName>
    <definedName name="Z_258F368B_AF27_44ED_A772_A0C4A2AFB945_.wvu.PrintArea_38">#REF!</definedName>
    <definedName name="Z_258F368B_AF27_44ED_A772_A0C4A2AFB945_.wvu.PrintArea_39">#REF!</definedName>
    <definedName name="Z_258F368B_AF27_44ED_A772_A0C4A2AFB945_.wvu.PrintArea_4">#REF!</definedName>
    <definedName name="Z_258F368B_AF27_44ED_A772_A0C4A2AFB945_.wvu.PrintArea_41">#REF!</definedName>
    <definedName name="Z_258F368B_AF27_44ED_A772_A0C4A2AFB945_.wvu.PrintArea_42">#REF!</definedName>
    <definedName name="Z_258F368B_AF27_44ED_A772_A0C4A2AFB945_.wvu.PrintArea_43">#REF!</definedName>
    <definedName name="Z_258F368B_AF27_44ED_A772_A0C4A2AFB945_.wvu.PrintArea_44">#REF!</definedName>
    <definedName name="Z_258F368B_AF27_44ED_A772_A0C4A2AFB945_.wvu.PrintArea_45">#REF!</definedName>
    <definedName name="Z_258F368B_AF27_44ED_A772_A0C4A2AFB945_.wvu.PrintArea_46">#REF!</definedName>
    <definedName name="Z_258F368B_AF27_44ED_A772_A0C4A2AFB945_.wvu.PrintArea_46_1">#REF!</definedName>
    <definedName name="Z_258F368B_AF27_44ED_A772_A0C4A2AFB945_.wvu.PrintArea_46_2">#REF!</definedName>
    <definedName name="Z_258F368B_AF27_44ED_A772_A0C4A2AFB945_.wvu.PrintArea_46_3">#REF!</definedName>
    <definedName name="Z_258F368B_AF27_44ED_A772_A0C4A2AFB945_.wvu.PrintArea_46_4">#REF!</definedName>
    <definedName name="Z_258F368B_AF27_44ED_A772_A0C4A2AFB945_.wvu.PrintArea_46_5">#REF!</definedName>
    <definedName name="Z_258F368B_AF27_44ED_A772_A0C4A2AFB945_.wvu.PrintArea_46_6">#REF!</definedName>
    <definedName name="Z_258F368B_AF27_44ED_A772_A0C4A2AFB945_.wvu.PrintArea_46_7">#REF!</definedName>
    <definedName name="Z_258F368B_AF27_44ED_A772_A0C4A2AFB945_.wvu.PrintArea_46_8">#REF!</definedName>
    <definedName name="Z_258F368B_AF27_44ED_A772_A0C4A2AFB945_.wvu.PrintArea_46_9">#REF!</definedName>
    <definedName name="Z_258F368B_AF27_44ED_A772_A0C4A2AFB945_.wvu.PrintArea_47">"#REF!"</definedName>
    <definedName name="Z_258F368B_AF27_44ED_A772_A0C4A2AFB945_.wvu.PrintArea_49">#REF!</definedName>
    <definedName name="Z_258F368B_AF27_44ED_A772_A0C4A2AFB945_.wvu.PrintArea_5">#REF!</definedName>
    <definedName name="Z_258F368B_AF27_44ED_A772_A0C4A2AFB945_.wvu.PrintArea_6">#REF!</definedName>
    <definedName name="Z_258F368B_AF27_44ED_A772_A0C4A2AFB945_.wvu.PrintArea_7">#REF!</definedName>
    <definedName name="Z_258F368B_AF27_44ED_A772_A0C4A2AFB945_.wvu.PrintArea_8">#REF!</definedName>
    <definedName name="Z_258F368B_AF27_44ED_A772_A0C4A2AFB945_.wvu.PrintArea_9">#REF!</definedName>
    <definedName name="Z_258F368B_AF27_44ED_A772_A0C4A2AFB945_.wvu.Row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15" i="4" l="1"/>
  <c r="AA13" i="4"/>
  <c r="AA12" i="4"/>
  <c r="AA11" i="4"/>
  <c r="AA10" i="4"/>
  <c r="AA9" i="4"/>
  <c r="AA8" i="4"/>
  <c r="AA7" i="4"/>
  <c r="E21" i="2"/>
  <c r="L25" i="4"/>
  <c r="L22" i="4"/>
  <c r="L21" i="4"/>
  <c r="L20" i="4"/>
  <c r="L23" i="4" s="1"/>
  <c r="V9" i="4"/>
  <c r="V15" i="4"/>
  <c r="R15" i="4"/>
  <c r="K14" i="4"/>
  <c r="X14" i="4" s="1"/>
  <c r="K13" i="4"/>
  <c r="X13" i="4" s="1"/>
  <c r="K12" i="4"/>
  <c r="X12" i="4" s="1"/>
  <c r="K11" i="4"/>
  <c r="X11" i="4" s="1"/>
  <c r="K10" i="4"/>
  <c r="X10" i="4" s="1"/>
  <c r="K9" i="4"/>
  <c r="X9" i="4" s="1"/>
  <c r="K8" i="4"/>
  <c r="X8" i="4" s="1"/>
  <c r="K7" i="4"/>
  <c r="X7" i="4" s="1"/>
  <c r="K15" i="4" l="1"/>
  <c r="X15" i="4" s="1"/>
  <c r="G10" i="4"/>
  <c r="G7" i="4"/>
  <c r="G13" i="4"/>
  <c r="G12" i="4"/>
  <c r="G14" i="4"/>
  <c r="G11" i="4"/>
  <c r="G9" i="4"/>
  <c r="G8" i="4"/>
  <c r="F15" i="4"/>
  <c r="C15" i="4"/>
  <c r="G15" i="4" l="1"/>
  <c r="D13" i="2" l="1"/>
  <c r="E13" i="2"/>
  <c r="F13" i="2"/>
  <c r="G13" i="2"/>
  <c r="H13" i="2"/>
  <c r="I13" i="2"/>
  <c r="C13" i="2"/>
  <c r="D14" i="2"/>
  <c r="E14" i="2"/>
  <c r="F14" i="2"/>
  <c r="G14" i="2"/>
  <c r="H14" i="2"/>
  <c r="I14" i="2"/>
  <c r="C14" i="2"/>
  <c r="F104" i="2"/>
  <c r="B11" i="1"/>
  <c r="D117" i="2" l="1"/>
  <c r="C115" i="2"/>
  <c r="C113" i="2"/>
  <c r="C112" i="2"/>
  <c r="C110" i="2"/>
  <c r="F117" i="2"/>
  <c r="H117" i="2" s="1"/>
  <c r="E104" i="2"/>
  <c r="D104" i="2"/>
  <c r="C104" i="2"/>
  <c r="C117" i="2" s="1"/>
  <c r="C103" i="2"/>
  <c r="C116" i="2" s="1"/>
  <c r="C102" i="2"/>
  <c r="C101" i="2"/>
  <c r="C114" i="2" s="1"/>
  <c r="C100" i="2"/>
  <c r="C99" i="2"/>
  <c r="C98" i="2"/>
  <c r="C111" i="2" s="1"/>
  <c r="B98" i="2"/>
  <c r="B111" i="2" s="1"/>
  <c r="E97" i="2"/>
  <c r="C97" i="2"/>
  <c r="C90" i="2"/>
  <c r="B73" i="2"/>
  <c r="B85" i="2" s="1"/>
  <c r="F59" i="2"/>
  <c r="B51" i="2"/>
  <c r="B76" i="2" s="1"/>
  <c r="B88" i="2" s="1"/>
  <c r="B50" i="2"/>
  <c r="B75" i="2" s="1"/>
  <c r="B87" i="2" s="1"/>
  <c r="E49" i="2"/>
  <c r="D113" i="2" s="1"/>
  <c r="E45" i="2"/>
  <c r="E52" i="2"/>
  <c r="D116" i="2" s="1"/>
  <c r="B27" i="2"/>
  <c r="B52" i="2" s="1"/>
  <c r="B77" i="2" s="1"/>
  <c r="B89" i="2" s="1"/>
  <c r="E51" i="2"/>
  <c r="D115" i="2" s="1"/>
  <c r="B26" i="2"/>
  <c r="E50" i="2"/>
  <c r="D114" i="2" s="1"/>
  <c r="B25" i="2"/>
  <c r="B24" i="2"/>
  <c r="B49" i="2" s="1"/>
  <c r="B74" i="2" s="1"/>
  <c r="B86" i="2" s="1"/>
  <c r="E48" i="2"/>
  <c r="D112" i="2" s="1"/>
  <c r="B23" i="2"/>
  <c r="B48" i="2" s="1"/>
  <c r="E47" i="2"/>
  <c r="D111" i="2" s="1"/>
  <c r="B22" i="2"/>
  <c r="B47" i="2" s="1"/>
  <c r="B72" i="2" s="1"/>
  <c r="B84" i="2" s="1"/>
  <c r="B60" i="2" s="1"/>
  <c r="E46" i="2"/>
  <c r="D110" i="2" s="1"/>
  <c r="B21" i="2"/>
  <c r="B46" i="2" s="1"/>
  <c r="B71" i="2" s="1"/>
  <c r="B83" i="2" s="1"/>
  <c r="B45" i="1"/>
  <c r="B44" i="1"/>
  <c r="B43" i="1"/>
  <c r="B42" i="1"/>
  <c r="B28" i="1"/>
  <c r="B27" i="1"/>
  <c r="B26" i="1"/>
  <c r="B25" i="1"/>
  <c r="B24" i="1"/>
  <c r="B41" i="1" s="1"/>
  <c r="B23" i="1"/>
  <c r="B40" i="1" s="1"/>
  <c r="B22" i="1"/>
  <c r="B39" i="1" s="1"/>
  <c r="E78" i="2"/>
  <c r="F24" i="1"/>
  <c r="E77" i="2"/>
  <c r="E116" i="2" s="1"/>
  <c r="E76" i="2"/>
  <c r="E115" i="2" s="1"/>
  <c r="E102" i="2"/>
  <c r="D102" i="2"/>
  <c r="E75" i="2"/>
  <c r="E101" i="2"/>
  <c r="E74" i="2"/>
  <c r="E100" i="2"/>
  <c r="C37" i="2"/>
  <c r="C24" i="2" s="1"/>
  <c r="E99" i="2"/>
  <c r="D99" i="2"/>
  <c r="E72" i="2"/>
  <c r="E98" i="2"/>
  <c r="E71" i="2"/>
  <c r="D97" i="2"/>
  <c r="D28" i="1" l="1"/>
  <c r="C27" i="1"/>
  <c r="E73" i="2"/>
  <c r="E112" i="2" s="1"/>
  <c r="C28" i="1"/>
  <c r="E28" i="1" s="1"/>
  <c r="G28" i="1" s="1"/>
  <c r="D13" i="4" s="1"/>
  <c r="D25" i="1"/>
  <c r="D22" i="1"/>
  <c r="D100" i="2"/>
  <c r="C39" i="2"/>
  <c r="C26" i="2" s="1"/>
  <c r="C40" i="2"/>
  <c r="C27" i="2" s="1"/>
  <c r="C25" i="1"/>
  <c r="E25" i="1" s="1"/>
  <c r="G25" i="1" s="1"/>
  <c r="C22" i="1"/>
  <c r="E22" i="1" s="1"/>
  <c r="C24" i="1"/>
  <c r="C32" i="1" s="1"/>
  <c r="D29" i="1"/>
  <c r="E29" i="1" s="1"/>
  <c r="G29" i="1" s="1"/>
  <c r="C34" i="2"/>
  <c r="C21" i="2" s="1"/>
  <c r="D103" i="2"/>
  <c r="B102" i="2"/>
  <c r="B115" i="2" s="1"/>
  <c r="B64" i="2"/>
  <c r="E111" i="2"/>
  <c r="B61" i="2"/>
  <c r="B99" i="2"/>
  <c r="B112" i="2" s="1"/>
  <c r="D45" i="1"/>
  <c r="D65" i="2" s="1"/>
  <c r="B97" i="2"/>
  <c r="B110" i="2" s="1"/>
  <c r="B59" i="2"/>
  <c r="B65" i="2"/>
  <c r="B103" i="2"/>
  <c r="B116" i="2" s="1"/>
  <c r="F30" i="1"/>
  <c r="D73" i="2"/>
  <c r="I120" i="2" s="1"/>
  <c r="J120" i="2" s="1"/>
  <c r="F32" i="1"/>
  <c r="E114" i="2"/>
  <c r="B63" i="2"/>
  <c r="B101" i="2"/>
  <c r="B114" i="2" s="1"/>
  <c r="C45" i="1"/>
  <c r="E113" i="2"/>
  <c r="C23" i="1"/>
  <c r="D98" i="2"/>
  <c r="C35" i="2"/>
  <c r="C22" i="2" s="1"/>
  <c r="B62" i="2"/>
  <c r="B100" i="2"/>
  <c r="B113" i="2" s="1"/>
  <c r="F71" i="2"/>
  <c r="G97" i="2" s="1"/>
  <c r="G110" i="2" s="1"/>
  <c r="E110" i="2"/>
  <c r="C38" i="2"/>
  <c r="C25" i="2" s="1"/>
  <c r="D101" i="2"/>
  <c r="C26" i="1"/>
  <c r="E117" i="2"/>
  <c r="D26" i="1"/>
  <c r="D23" i="1"/>
  <c r="D24" i="1"/>
  <c r="C36" i="2"/>
  <c r="C23" i="2" s="1"/>
  <c r="E103" i="2"/>
  <c r="D27" i="1"/>
  <c r="E27" i="1"/>
  <c r="G27" i="1" s="1"/>
  <c r="D12" i="4" s="1"/>
  <c r="H12" i="4" l="1"/>
  <c r="E12" i="4"/>
  <c r="H13" i="4"/>
  <c r="E13" i="4"/>
  <c r="D42" i="1"/>
  <c r="D62" i="2" s="1"/>
  <c r="D10" i="4"/>
  <c r="C46" i="1"/>
  <c r="D14" i="4"/>
  <c r="E24" i="1"/>
  <c r="G24" i="1" s="1"/>
  <c r="D46" i="1"/>
  <c r="C42" i="1"/>
  <c r="I110" i="2"/>
  <c r="D30" i="1"/>
  <c r="G22" i="1"/>
  <c r="D7" i="4" s="1"/>
  <c r="D24" i="2"/>
  <c r="C62" i="2"/>
  <c r="E23" i="1"/>
  <c r="G23" i="1" s="1"/>
  <c r="D8" i="4" s="1"/>
  <c r="E26" i="1"/>
  <c r="G26" i="1" s="1"/>
  <c r="D44" i="1"/>
  <c r="D64" i="2" s="1"/>
  <c r="C30" i="1"/>
  <c r="D32" i="1"/>
  <c r="C65" i="2"/>
  <c r="D27" i="2"/>
  <c r="C44" i="1"/>
  <c r="D41" i="1" l="1"/>
  <c r="D61" i="2" s="1"/>
  <c r="D9" i="4"/>
  <c r="C43" i="1"/>
  <c r="D11" i="4"/>
  <c r="D40" i="1"/>
  <c r="D60" i="2" s="1"/>
  <c r="E8" i="4"/>
  <c r="H8" i="4"/>
  <c r="E30" i="1"/>
  <c r="E14" i="4"/>
  <c r="H14" i="4"/>
  <c r="C40" i="1"/>
  <c r="C60" i="2" s="1"/>
  <c r="D43" i="1"/>
  <c r="D63" i="2" s="1"/>
  <c r="H10" i="4"/>
  <c r="E10" i="4"/>
  <c r="H7" i="4"/>
  <c r="E7" i="4"/>
  <c r="D15" i="4"/>
  <c r="E32" i="1"/>
  <c r="C63" i="2"/>
  <c r="D25" i="2"/>
  <c r="G30" i="1"/>
  <c r="H24" i="1" s="1"/>
  <c r="H22" i="1"/>
  <c r="C39" i="1"/>
  <c r="D39" i="1"/>
  <c r="D59" i="2" s="1"/>
  <c r="D22" i="2"/>
  <c r="D26" i="2"/>
  <c r="C64" i="2"/>
  <c r="G32" i="1"/>
  <c r="D49" i="1" s="1"/>
  <c r="C41" i="1"/>
  <c r="C61" i="2" s="1"/>
  <c r="H11" i="4" l="1"/>
  <c r="E11" i="4"/>
  <c r="H9" i="4"/>
  <c r="H15" i="4" s="1"/>
  <c r="E9" i="4"/>
  <c r="E15" i="4" s="1"/>
  <c r="H26" i="1"/>
  <c r="H28" i="1"/>
  <c r="H25" i="1"/>
  <c r="H29" i="1"/>
  <c r="D47" i="1"/>
  <c r="H27" i="1"/>
  <c r="H32" i="1"/>
  <c r="C49" i="1"/>
  <c r="D23" i="2" s="1"/>
  <c r="D21" i="2"/>
  <c r="C59" i="2"/>
  <c r="C47" i="1"/>
  <c r="H23" i="1"/>
  <c r="I13" i="4" l="1"/>
  <c r="J13" i="4" s="1"/>
  <c r="L13" i="4" s="1"/>
  <c r="I9" i="4"/>
  <c r="J9" i="4" s="1"/>
  <c r="L9" i="4" s="1"/>
  <c r="I8" i="4"/>
  <c r="J8" i="4" s="1"/>
  <c r="L8" i="4" s="1"/>
  <c r="I12" i="4"/>
  <c r="J12" i="4" s="1"/>
  <c r="L12" i="4" s="1"/>
  <c r="I11" i="4"/>
  <c r="J11" i="4" s="1"/>
  <c r="L11" i="4" s="1"/>
  <c r="I10" i="4"/>
  <c r="J10" i="4" s="1"/>
  <c r="L10" i="4" s="1"/>
  <c r="I14" i="4"/>
  <c r="J14" i="4" s="1"/>
  <c r="L14" i="4" s="1"/>
  <c r="I7" i="4"/>
  <c r="J7" i="4" s="1"/>
  <c r="H30" i="1"/>
  <c r="M12" i="4" l="1"/>
  <c r="N12" i="4" s="1"/>
  <c r="O12" i="4" s="1"/>
  <c r="P12" i="4" s="1"/>
  <c r="Q12" i="4" s="1"/>
  <c r="S12" i="4" s="1"/>
  <c r="T12" i="4" s="1"/>
  <c r="U12" i="4" s="1"/>
  <c r="W12" i="4" s="1"/>
  <c r="Y12" i="4" s="1"/>
  <c r="E26" i="2" s="1"/>
  <c r="O14" i="4"/>
  <c r="P14" i="4"/>
  <c r="Q14" i="4" s="1"/>
  <c r="S14" i="4" s="1"/>
  <c r="T14" i="4" s="1"/>
  <c r="U14" i="4" s="1"/>
  <c r="W14" i="4" s="1"/>
  <c r="Y14" i="4" s="1"/>
  <c r="E28" i="2" s="1"/>
  <c r="M11" i="4"/>
  <c r="N11" i="4" s="1"/>
  <c r="O11" i="4" s="1"/>
  <c r="P11" i="4" s="1"/>
  <c r="Q11" i="4" s="1"/>
  <c r="S11" i="4" s="1"/>
  <c r="T11" i="4" s="1"/>
  <c r="U11" i="4" s="1"/>
  <c r="W11" i="4" s="1"/>
  <c r="Y11" i="4" s="1"/>
  <c r="E25" i="2" s="1"/>
  <c r="L7" i="4"/>
  <c r="J15" i="4"/>
  <c r="M10" i="4"/>
  <c r="N10" i="4" s="1"/>
  <c r="O10" i="4" s="1"/>
  <c r="P10" i="4" s="1"/>
  <c r="Q10" i="4" s="1"/>
  <c r="S10" i="4" s="1"/>
  <c r="T10" i="4" s="1"/>
  <c r="U10" i="4" s="1"/>
  <c r="W10" i="4" s="1"/>
  <c r="Y10" i="4" s="1"/>
  <c r="E24" i="2" s="1"/>
  <c r="M8" i="4"/>
  <c r="N8" i="4" s="1"/>
  <c r="O8" i="4" s="1"/>
  <c r="P8" i="4"/>
  <c r="Q8" i="4" s="1"/>
  <c r="S8" i="4" s="1"/>
  <c r="T8" i="4" s="1"/>
  <c r="U8" i="4" s="1"/>
  <c r="W8" i="4" s="1"/>
  <c r="Y8" i="4" s="1"/>
  <c r="E22" i="2" s="1"/>
  <c r="M9" i="4"/>
  <c r="N9" i="4" s="1"/>
  <c r="O9" i="4" s="1"/>
  <c r="P9" i="4" s="1"/>
  <c r="Q9" i="4" s="1"/>
  <c r="S9" i="4" s="1"/>
  <c r="T9" i="4" s="1"/>
  <c r="U9" i="4" s="1"/>
  <c r="M13" i="4"/>
  <c r="N13" i="4" s="1"/>
  <c r="O13" i="4" s="1"/>
  <c r="P13" i="4" s="1"/>
  <c r="Q13" i="4" s="1"/>
  <c r="S13" i="4" s="1"/>
  <c r="T13" i="4" s="1"/>
  <c r="U13" i="4" s="1"/>
  <c r="W13" i="4" s="1"/>
  <c r="Y13" i="4" s="1"/>
  <c r="E27" i="2" s="1"/>
  <c r="F86" i="2" l="1"/>
  <c r="F24" i="2"/>
  <c r="H24" i="2" s="1"/>
  <c r="D37" i="2" s="1"/>
  <c r="F89" i="2"/>
  <c r="F27" i="2"/>
  <c r="H27" i="2" s="1"/>
  <c r="D40" i="2" s="1"/>
  <c r="F87" i="2"/>
  <c r="F25" i="2"/>
  <c r="H25" i="2" s="1"/>
  <c r="D38" i="2" s="1"/>
  <c r="F88" i="2"/>
  <c r="F26" i="2"/>
  <c r="H26" i="2" s="1"/>
  <c r="D39" i="2" s="1"/>
  <c r="F84" i="2"/>
  <c r="F22" i="2"/>
  <c r="H22" i="2" s="1"/>
  <c r="D35" i="2" s="1"/>
  <c r="C78" i="2"/>
  <c r="F78" i="2" s="1"/>
  <c r="F28" i="2"/>
  <c r="F90" i="2"/>
  <c r="M7" i="4"/>
  <c r="N7" i="4" s="1"/>
  <c r="O7" i="4" s="1"/>
  <c r="P7" i="4" s="1"/>
  <c r="P15" i="4" s="1"/>
  <c r="Q7" i="4" s="1"/>
  <c r="L15" i="4"/>
  <c r="S7" i="4" l="1"/>
  <c r="Q15" i="4"/>
  <c r="Q16" i="4" s="1"/>
  <c r="G104" i="2"/>
  <c r="G117" i="2" s="1"/>
  <c r="I117" i="2" s="1"/>
  <c r="J117" i="2" s="1"/>
  <c r="D90" i="2"/>
  <c r="E90" i="2" s="1"/>
  <c r="G90" i="2" s="1"/>
  <c r="T7" i="4" l="1"/>
  <c r="U7" i="4" s="1"/>
  <c r="S15" i="4"/>
  <c r="T15" i="4" s="1"/>
  <c r="E37" i="2"/>
  <c r="E39" i="2"/>
  <c r="U15" i="4" l="1"/>
  <c r="W7" i="4"/>
  <c r="F39" i="2"/>
  <c r="D51" i="2" s="1"/>
  <c r="F102" i="2" s="1"/>
  <c r="F37" i="2"/>
  <c r="C49" i="2" s="1"/>
  <c r="F40" i="2"/>
  <c r="E40" i="2"/>
  <c r="E38" i="2"/>
  <c r="F38" i="2"/>
  <c r="F35" i="2"/>
  <c r="D47" i="2" s="1"/>
  <c r="F98" i="2" s="1"/>
  <c r="E35" i="2"/>
  <c r="F36" i="2"/>
  <c r="E36" i="2"/>
  <c r="Y7" i="4" l="1"/>
  <c r="W9" i="4"/>
  <c r="Y9" i="4" s="1"/>
  <c r="E23" i="2" s="1"/>
  <c r="C47" i="2"/>
  <c r="D49" i="2"/>
  <c r="F51" i="2"/>
  <c r="F115" i="2"/>
  <c r="H115" i="2" s="1"/>
  <c r="D50" i="2"/>
  <c r="F101" i="2" s="1"/>
  <c r="C50" i="2"/>
  <c r="C51" i="2"/>
  <c r="D52" i="2"/>
  <c r="F103" i="2" s="1"/>
  <c r="C52" i="2"/>
  <c r="F111" i="2"/>
  <c r="H111" i="2" s="1"/>
  <c r="F47" i="2"/>
  <c r="W15" i="4" l="1"/>
  <c r="Y15" i="4" s="1"/>
  <c r="F85" i="2"/>
  <c r="F23" i="2"/>
  <c r="H23" i="2" s="1"/>
  <c r="F83" i="2"/>
  <c r="F91" i="2" s="1"/>
  <c r="J123" i="2" s="1"/>
  <c r="E29" i="2"/>
  <c r="F21" i="2"/>
  <c r="H21" i="2" s="1"/>
  <c r="F49" i="2"/>
  <c r="C74" i="2" s="1"/>
  <c r="F74" i="2" s="1"/>
  <c r="F100" i="2"/>
  <c r="F113" i="2" s="1"/>
  <c r="H113" i="2" s="1"/>
  <c r="F114" i="2"/>
  <c r="H114" i="2" s="1"/>
  <c r="F50" i="2"/>
  <c r="C75" i="2" s="1"/>
  <c r="F116" i="2"/>
  <c r="H116" i="2" s="1"/>
  <c r="F52" i="2"/>
  <c r="E64" i="2"/>
  <c r="F64" i="2" s="1"/>
  <c r="C88" i="2"/>
  <c r="C76" i="2"/>
  <c r="F76" i="2" s="1"/>
  <c r="E60" i="2"/>
  <c r="F60" i="2" s="1"/>
  <c r="C84" i="2"/>
  <c r="C72" i="2"/>
  <c r="F72" i="2" s="1"/>
  <c r="D46" i="2" l="1"/>
  <c r="D34" i="2"/>
  <c r="D36" i="2"/>
  <c r="D48" i="2"/>
  <c r="C48" i="2"/>
  <c r="E62" i="2"/>
  <c r="F62" i="2" s="1"/>
  <c r="C86" i="2"/>
  <c r="E34" i="2"/>
  <c r="F34" i="2"/>
  <c r="E65" i="2"/>
  <c r="F65" i="2" s="1"/>
  <c r="C77" i="2"/>
  <c r="F77" i="2" s="1"/>
  <c r="C89" i="2"/>
  <c r="D84" i="2"/>
  <c r="E84" i="2" s="1"/>
  <c r="G98" i="2"/>
  <c r="G111" i="2" s="1"/>
  <c r="I111" i="2" s="1"/>
  <c r="G100" i="2"/>
  <c r="G113" i="2" s="1"/>
  <c r="I113" i="2" s="1"/>
  <c r="J113" i="2" s="1"/>
  <c r="D86" i="2"/>
  <c r="G102" i="2"/>
  <c r="G115" i="2" s="1"/>
  <c r="I115" i="2" s="1"/>
  <c r="J115" i="2" s="1"/>
  <c r="D88" i="2"/>
  <c r="E88" i="2" s="1"/>
  <c r="G88" i="2" s="1"/>
  <c r="F75" i="2"/>
  <c r="C87" i="2"/>
  <c r="E63" i="2"/>
  <c r="F63" i="2" s="1"/>
  <c r="F99" i="2" l="1"/>
  <c r="F112" i="2" s="1"/>
  <c r="H112" i="2" s="1"/>
  <c r="F48" i="2"/>
  <c r="F97" i="2"/>
  <c r="F110" i="2" s="1"/>
  <c r="H110" i="2" s="1"/>
  <c r="F46" i="2"/>
  <c r="C83" i="2" s="1"/>
  <c r="E83" i="2" s="1"/>
  <c r="G83" i="2" s="1"/>
  <c r="E86" i="2"/>
  <c r="G86" i="2" s="1"/>
  <c r="G101" i="2"/>
  <c r="G114" i="2" s="1"/>
  <c r="I114" i="2" s="1"/>
  <c r="J114" i="2" s="1"/>
  <c r="D87" i="2"/>
  <c r="E87" i="2" s="1"/>
  <c r="G87" i="2" s="1"/>
  <c r="J111" i="2"/>
  <c r="G84" i="2"/>
  <c r="D89" i="2"/>
  <c r="E89" i="2" s="1"/>
  <c r="G89" i="2" s="1"/>
  <c r="G103" i="2"/>
  <c r="G116" i="2" s="1"/>
  <c r="I116" i="2" s="1"/>
  <c r="J116" i="2" s="1"/>
  <c r="J110" i="2" l="1"/>
  <c r="H119" i="2"/>
  <c r="H121" i="2" s="1"/>
  <c r="E61" i="2"/>
  <c r="F61" i="2" s="1"/>
  <c r="C73" i="2"/>
  <c r="F73" i="2" s="1"/>
  <c r="C85" i="2"/>
  <c r="C91" i="2" s="1"/>
  <c r="G99" i="2" l="1"/>
  <c r="G112" i="2" s="1"/>
  <c r="I112" i="2" s="1"/>
  <c r="I119" i="2" s="1"/>
  <c r="I121" i="2" s="1"/>
  <c r="D85" i="2"/>
  <c r="J112" i="2" l="1"/>
  <c r="J119" i="2"/>
  <c r="J121" i="2" s="1"/>
  <c r="J125" i="2" s="1"/>
  <c r="J126" i="2" s="1"/>
  <c r="E85" i="2"/>
  <c r="D91" i="2"/>
  <c r="G85" i="2" l="1"/>
  <c r="G91" i="2" s="1"/>
  <c r="E91" i="2"/>
</calcChain>
</file>

<file path=xl/sharedStrings.xml><?xml version="1.0" encoding="utf-8"?>
<sst xmlns="http://schemas.openxmlformats.org/spreadsheetml/2006/main" count="195" uniqueCount="108">
  <si>
    <t>CNPI Rate Design Model - Sheet A - Test Year Revenue at Bridge Year Rates</t>
  </si>
  <si>
    <t>Existing Distribution Rates and 2027 Test Year Load Forecast</t>
  </si>
  <si>
    <t>2021 Bridge Year Rates</t>
  </si>
  <si>
    <t>2027 Test Year Forecast</t>
  </si>
  <si>
    <t>Customer Class</t>
  </si>
  <si>
    <t>Fixed Charge</t>
  </si>
  <si>
    <t>Volumetric Charge</t>
  </si>
  <si>
    <t>Unit</t>
  </si>
  <si>
    <t>Customer
/Device Count</t>
  </si>
  <si>
    <t>Forecast kWh</t>
  </si>
  <si>
    <t>Forecast kW</t>
  </si>
  <si>
    <t>Residential</t>
  </si>
  <si>
    <t>kWh</t>
  </si>
  <si>
    <t>GS &lt; 50</t>
  </si>
  <si>
    <t>kW</t>
  </si>
  <si>
    <t>Embedded Distributor</t>
  </si>
  <si>
    <t>Street Light</t>
  </si>
  <si>
    <t>Sentinel Light</t>
  </si>
  <si>
    <t>USL</t>
  </si>
  <si>
    <t>Transformer Allowance</t>
  </si>
  <si>
    <t>Standby</t>
  </si>
  <si>
    <t>RC kW</t>
  </si>
  <si>
    <t>2027 Revenue from Existing Rates at Forecasted Loads</t>
  </si>
  <si>
    <t>Fixed</t>
  </si>
  <si>
    <t>Variable</t>
  </si>
  <si>
    <t>Total Distribution</t>
  </si>
  <si>
    <t>Net Distribution Revenue</t>
  </si>
  <si>
    <t>Class % of Total</t>
  </si>
  <si>
    <t>Total</t>
  </si>
  <si>
    <t>General Service &gt;50kW (incl. SBY)</t>
  </si>
  <si>
    <t xml:space="preserve"> 2027 Fixed and Variable Proportions at Existing Rates</t>
  </si>
  <si>
    <t>Fixed %</t>
  </si>
  <si>
    <t>Variable %</t>
  </si>
  <si>
    <t>CNPI Rate Design Model - Sheet B - Test Year Rate Design</t>
  </si>
  <si>
    <t>Results from CA Model (Note: Street/Sentinal Light and USL values are multiplied by the connection/device ratios or device/account to align with billing basis)</t>
  </si>
  <si>
    <t>GS 50 to 4,999 kW</t>
  </si>
  <si>
    <t>Customer Unit Cost per month - Avoided Cost</t>
  </si>
  <si>
    <t xml:space="preserve">Customer Unit Cost per month - Directly Related </t>
  </si>
  <si>
    <t xml:space="preserve">Customer Unit Cost per month - Minimum System with PLCC Adjustment </t>
  </si>
  <si>
    <t>Existing Approved Fixed Charge</t>
  </si>
  <si>
    <t>Minimum Fixed Charge</t>
  </si>
  <si>
    <t>Maximum Fixed Charge</t>
  </si>
  <si>
    <t>Test Year Monthly Service Charges at Status-Quo Fixed/Variable Proportions</t>
  </si>
  <si>
    <t>Existing Rates</t>
  </si>
  <si>
    <t>Status Quo F/V Split for Test Year</t>
  </si>
  <si>
    <t>Fixed Revenue Ratio</t>
  </si>
  <si>
    <t>Allocated Revenue</t>
  </si>
  <si>
    <t>Fixed Revenue</t>
  </si>
  <si>
    <t># of Customers/ Devices</t>
  </si>
  <si>
    <t>Resulting Fixed Charge</t>
  </si>
  <si>
    <t xml:space="preserve"> Monthly Service Charges Compared to Cost Allocation Study</t>
  </si>
  <si>
    <t>Bridge Year Approved</t>
  </si>
  <si>
    <t>Test Year
Status Quo</t>
  </si>
  <si>
    <t>Minimum</t>
  </si>
  <si>
    <t>Maximum</t>
  </si>
  <si>
    <t>Proposed 2027 Fixed Charges and Class Revenues</t>
  </si>
  <si>
    <t>Fixed Rate Setting</t>
  </si>
  <si>
    <t>100% Fixed</t>
  </si>
  <si>
    <t xml:space="preserve"> Fixed/Variable Proportion Comparison</t>
  </si>
  <si>
    <t>From Table 8-5</t>
  </si>
  <si>
    <t>Test Year Proposed</t>
  </si>
  <si>
    <t xml:space="preserve"> Proposed 2027 Variable Distribution Rates and Class Revenues</t>
  </si>
  <si>
    <t>Variable Revenue</t>
  </si>
  <si>
    <t>kWh/kW</t>
  </si>
  <si>
    <t>Variable Rate</t>
  </si>
  <si>
    <t>Determinant</t>
  </si>
  <si>
    <t xml:space="preserve"> Revenue Reconciliation Summary</t>
  </si>
  <si>
    <t>Revenue Less Transformer Allowance</t>
  </si>
  <si>
    <t>Allocated Base Revenue Requirement</t>
  </si>
  <si>
    <t>Difference (Due to Rounding)</t>
  </si>
  <si>
    <t>Comparison of Current and Proposed Rates</t>
  </si>
  <si>
    <t xml:space="preserve"> Reconciliation of Distribution Rate Revenue to Base Revenue Requirement</t>
  </si>
  <si>
    <t>Test Year Load Forecast</t>
  </si>
  <si>
    <t>Proposed Rates</t>
  </si>
  <si>
    <t>Test Year Revenue</t>
  </si>
  <si>
    <t>Customers/
Devices</t>
  </si>
  <si>
    <t>Volume</t>
  </si>
  <si>
    <t>Total:</t>
  </si>
  <si>
    <t>Less Transformer Allowance:</t>
  </si>
  <si>
    <t>Base Revenue Requirement:</t>
  </si>
  <si>
    <t>Difference ($):</t>
  </si>
  <si>
    <t>Difference (%):</t>
  </si>
  <si>
    <t xml:space="preserve">2027  REVENUE TO COST RATIO DETERMINATION </t>
  </si>
  <si>
    <t>COSS</t>
  </si>
  <si>
    <t>Rate Design Revenue Requirement</t>
  </si>
  <si>
    <t xml:space="preserve">Outside Range </t>
  </si>
  <si>
    <t>Bill Impact Mitigations *</t>
  </si>
  <si>
    <t>Include Standy to SB</t>
  </si>
  <si>
    <t>Proposed Revenue before Miscl Revenue</t>
  </si>
  <si>
    <t xml:space="preserve">Miscellaneous Revenue </t>
  </si>
  <si>
    <t>Proposed Base Revenue</t>
  </si>
  <si>
    <t>Miscellaneous Revenue (mi)</t>
  </si>
  <si>
    <t>Revenue Requirement</t>
  </si>
  <si>
    <t>Revenue Deficiency From Distribution Revenue</t>
  </si>
  <si>
    <t>Across the Board Increases Factor</t>
  </si>
  <si>
    <t>Distribution Revenue</t>
  </si>
  <si>
    <t>Status Quo (uncolored cells designate ratios  outside of 80/120)</t>
  </si>
  <si>
    <t>Outside the Range</t>
  </si>
  <si>
    <t>Within the Policy Revenue</t>
  </si>
  <si>
    <t>Variance</t>
  </si>
  <si>
    <t>Net Revenue</t>
  </si>
  <si>
    <t>R/C</t>
  </si>
  <si>
    <t>Final R/C ratio</t>
  </si>
  <si>
    <t>Reduce Embedded amount to align to R/C range Policy</t>
  </si>
  <si>
    <t>The  Street Lighting was 12.7 %, before adjustments to the revenue to cost ratios to reduce</t>
  </si>
  <si>
    <t>Keep Standby rate at existing rate</t>
  </si>
  <si>
    <t>Incremental to Residential Class with Lower RC</t>
  </si>
  <si>
    <t>Include Standby Revenue to General Service &gt;50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</si>
</sst>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6" formatCode="&quot;$&quot;#,##0;[Red]\-&quot;$&quot;#,##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&quot;$&quot;#,##0.00"/>
    <numFmt numFmtId="166" formatCode="&quot;$&quot;#,##0.0000"/>
    <numFmt numFmtId="167" formatCode="&quot;$&quot;#,##0"/>
    <numFmt numFmtId="168" formatCode="0.0%"/>
    <numFmt numFmtId="169" formatCode="#,##0.0000"/>
    <numFmt numFmtId="170" formatCode="0.0000"/>
    <numFmt numFmtId="171" formatCode="0.000%"/>
    <numFmt numFmtId="172" formatCode="_-&quot;$&quot;* #,##0_-;\-&quot;$&quot;* #,##0_-;_-&quot;$&quot;* &quot;-&quot;??_-;_-@_-"/>
    <numFmt numFmtId="173" formatCode="_-&quot;$&quot;* #,##0.000_-;\-&quot;$&quot;* #,##0.000_-;_-&quot;$&quot;* &quot;-&quot;??_-;_-@_-"/>
    <numFmt numFmtId="174" formatCode="_-&quot;$&quot;* #,##0.0000_-;\-&quot;$&quot;* #,##0.0000_-;_-&quot;$&quot;* &quot;-&quot;??_-;_-@_-"/>
    <numFmt numFmtId="175" formatCode="_-&quot;$&quot;* #,##0.00000_-;\-&quot;$&quot;* #,##0.00000_-;_-&quot;$&quot;* &quot;-&quot;??_-;_-@_-"/>
    <numFmt numFmtId="176" formatCode="#,##0.0"/>
    <numFmt numFmtId="177" formatCode="_-&quot;$&quot;* #,##0.0000000_-;\-&quot;$&quot;* #,##0.0000000_-;_-&quot;$&quot;* &quot;-&quot;??_-;_-@_-"/>
    <numFmt numFmtId="178" formatCode="#,##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5">
    <xf numFmtId="0" fontId="0" fillId="0" borderId="0" xfId="0"/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10" fontId="3" fillId="0" borderId="1" xfId="2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170" fontId="3" fillId="0" borderId="1" xfId="0" applyNumberFormat="1" applyFont="1" applyBorder="1" applyAlignment="1">
      <alignment horizontal="center" vertical="center"/>
    </xf>
    <xf numFmtId="6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71" fontId="6" fillId="0" borderId="0" xfId="2" applyNumberFormat="1" applyFont="1" applyFill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37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right" vertical="center" wrapText="1"/>
    </xf>
    <xf numFmtId="39" fontId="8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167" fontId="3" fillId="0" borderId="1" xfId="0" applyNumberFormat="1" applyFont="1" applyBorder="1" applyAlignment="1">
      <alignment horizontal="right" vertical="center"/>
    </xf>
    <xf numFmtId="168" fontId="3" fillId="0" borderId="1" xfId="2" applyNumberFormat="1" applyFont="1" applyFill="1" applyBorder="1" applyAlignment="1">
      <alignment horizontal="center" vertical="center"/>
    </xf>
    <xf numFmtId="168" fontId="3" fillId="0" borderId="0" xfId="0" applyNumberFormat="1" applyFont="1"/>
    <xf numFmtId="167" fontId="2" fillId="0" borderId="1" xfId="0" applyNumberFormat="1" applyFont="1" applyBorder="1" applyAlignment="1">
      <alignment horizontal="right" vertical="center"/>
    </xf>
    <xf numFmtId="168" fontId="2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167" fontId="2" fillId="0" borderId="1" xfId="0" applyNumberFormat="1" applyFont="1" applyBorder="1" applyAlignment="1">
      <alignment horizontal="center" vertical="center"/>
    </xf>
    <xf numFmtId="168" fontId="2" fillId="0" borderId="1" xfId="2" applyNumberFormat="1" applyFont="1" applyFill="1" applyBorder="1" applyAlignment="1">
      <alignment horizontal="center" vertical="center"/>
    </xf>
    <xf numFmtId="172" fontId="3" fillId="0" borderId="1" xfId="1" applyNumberFormat="1" applyFont="1" applyFill="1" applyBorder="1" applyAlignment="1">
      <alignment horizontal="center" vertical="center"/>
    </xf>
    <xf numFmtId="44" fontId="3" fillId="0" borderId="1" xfId="1" applyFont="1" applyFill="1" applyBorder="1" applyAlignment="1">
      <alignment horizontal="center" vertical="center"/>
    </xf>
    <xf numFmtId="44" fontId="3" fillId="0" borderId="1" xfId="1" applyFont="1" applyFill="1" applyBorder="1" applyAlignment="1">
      <alignment horizontal="left" vertical="center"/>
    </xf>
    <xf numFmtId="173" fontId="3" fillId="0" borderId="1" xfId="1" applyNumberFormat="1" applyFont="1" applyFill="1" applyBorder="1" applyAlignment="1">
      <alignment horizontal="left" vertical="center"/>
    </xf>
    <xf numFmtId="174" fontId="3" fillId="0" borderId="1" xfId="1" applyNumberFormat="1" applyFont="1" applyFill="1" applyBorder="1" applyAlignment="1">
      <alignment horizontal="left" vertical="center"/>
    </xf>
    <xf numFmtId="175" fontId="3" fillId="0" borderId="1" xfId="1" applyNumberFormat="1" applyFont="1" applyFill="1" applyBorder="1" applyAlignment="1">
      <alignment horizontal="left" vertical="center"/>
    </xf>
    <xf numFmtId="42" fontId="3" fillId="0" borderId="1" xfId="1" applyNumberFormat="1" applyFont="1" applyFill="1" applyBorder="1" applyAlignment="1">
      <alignment horizontal="left" vertical="center"/>
    </xf>
    <xf numFmtId="172" fontId="3" fillId="0" borderId="0" xfId="0" applyNumberFormat="1" applyFont="1" applyAlignment="1">
      <alignment vertical="center"/>
    </xf>
    <xf numFmtId="42" fontId="3" fillId="0" borderId="0" xfId="0" applyNumberFormat="1" applyFont="1" applyAlignment="1">
      <alignment vertical="center"/>
    </xf>
    <xf numFmtId="44" fontId="3" fillId="0" borderId="0" xfId="0" applyNumberFormat="1" applyFont="1" applyAlignment="1">
      <alignment vertical="center"/>
    </xf>
    <xf numFmtId="176" fontId="3" fillId="0" borderId="1" xfId="0" applyNumberFormat="1" applyFont="1" applyBorder="1" applyAlignment="1">
      <alignment horizontal="center" vertical="center"/>
    </xf>
    <xf numFmtId="6" fontId="3" fillId="0" borderId="0" xfId="0" applyNumberFormat="1" applyFont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177" fontId="3" fillId="0" borderId="1" xfId="1" applyNumberFormat="1" applyFont="1" applyFill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170" fontId="3" fillId="3" borderId="1" xfId="0" applyNumberFormat="1" applyFont="1" applyFill="1" applyBorder="1" applyAlignment="1">
      <alignment horizontal="center" vertical="center"/>
    </xf>
    <xf numFmtId="0" fontId="0" fillId="0" borderId="25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0" borderId="18" xfId="0" applyFont="1" applyBorder="1" applyAlignment="1">
      <alignment vertical="center"/>
    </xf>
    <xf numFmtId="10" fontId="3" fillId="0" borderId="0" xfId="2" applyNumberFormat="1" applyFont="1" applyBorder="1" applyAlignment="1">
      <alignment horizontal="center" vertical="center"/>
    </xf>
    <xf numFmtId="10" fontId="3" fillId="0" borderId="24" xfId="2" applyNumberFormat="1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10" fillId="0" borderId="19" xfId="0" applyFont="1" applyBorder="1"/>
    <xf numFmtId="42" fontId="3" fillId="0" borderId="0" xfId="0" applyNumberFormat="1" applyFont="1" applyAlignment="1">
      <alignment horizontal="center" vertical="center"/>
    </xf>
    <xf numFmtId="42" fontId="0" fillId="0" borderId="0" xfId="0" applyNumberFormat="1"/>
    <xf numFmtId="42" fontId="0" fillId="0" borderId="20" xfId="0" applyNumberFormat="1" applyBorder="1"/>
    <xf numFmtId="42" fontId="10" fillId="0" borderId="20" xfId="0" applyNumberFormat="1" applyFont="1" applyBorder="1"/>
    <xf numFmtId="0" fontId="0" fillId="0" borderId="9" xfId="0" applyBorder="1"/>
    <xf numFmtId="42" fontId="3" fillId="0" borderId="18" xfId="0" applyNumberFormat="1" applyFont="1" applyBorder="1" applyAlignment="1">
      <alignment horizontal="center" vertical="center"/>
    </xf>
    <xf numFmtId="42" fontId="10" fillId="0" borderId="21" xfId="0" applyNumberFormat="1" applyFont="1" applyBorder="1"/>
    <xf numFmtId="42" fontId="3" fillId="0" borderId="22" xfId="0" applyNumberFormat="1" applyFont="1" applyBorder="1" applyAlignment="1">
      <alignment horizontal="center" vertical="center"/>
    </xf>
    <xf numFmtId="42" fontId="10" fillId="0" borderId="28" xfId="0" applyNumberFormat="1" applyFont="1" applyBorder="1"/>
    <xf numFmtId="0" fontId="2" fillId="0" borderId="17" xfId="0" applyFont="1" applyBorder="1" applyAlignment="1">
      <alignment vertical="center"/>
    </xf>
    <xf numFmtId="42" fontId="0" fillId="0" borderId="18" xfId="0" applyNumberFormat="1" applyBorder="1"/>
    <xf numFmtId="0" fontId="0" fillId="0" borderId="22" xfId="0" applyBorder="1"/>
    <xf numFmtId="42" fontId="0" fillId="0" borderId="25" xfId="0" applyNumberFormat="1" applyBorder="1"/>
    <xf numFmtId="42" fontId="0" fillId="3" borderId="0" xfId="0" applyNumberFormat="1" applyFill="1"/>
    <xf numFmtId="42" fontId="3" fillId="0" borderId="25" xfId="0" applyNumberFormat="1" applyFont="1" applyBorder="1" applyAlignment="1">
      <alignment horizontal="center" vertical="center"/>
    </xf>
    <xf numFmtId="42" fontId="0" fillId="3" borderId="25" xfId="0" applyNumberFormat="1" applyFill="1" applyBorder="1"/>
    <xf numFmtId="42" fontId="0" fillId="0" borderId="21" xfId="0" applyNumberFormat="1" applyBorder="1"/>
    <xf numFmtId="43" fontId="3" fillId="0" borderId="0" xfId="3" applyFont="1" applyAlignment="1">
      <alignment vertical="center"/>
    </xf>
    <xf numFmtId="172" fontId="3" fillId="5" borderId="1" xfId="1" applyNumberFormat="1" applyFont="1" applyFill="1" applyBorder="1" applyAlignment="1">
      <alignment horizontal="center" vertical="center"/>
    </xf>
    <xf numFmtId="178" fontId="10" fillId="0" borderId="7" xfId="0" applyNumberFormat="1" applyFont="1" applyBorder="1" applyAlignment="1">
      <alignment wrapText="1"/>
    </xf>
    <xf numFmtId="0" fontId="2" fillId="0" borderId="32" xfId="0" applyFont="1" applyBorder="1" applyAlignment="1">
      <alignment horizontal="center" vertical="center"/>
    </xf>
    <xf numFmtId="42" fontId="3" fillId="0" borderId="23" xfId="0" applyNumberFormat="1" applyFont="1" applyBorder="1" applyAlignment="1">
      <alignment horizontal="center" vertical="center"/>
    </xf>
    <xf numFmtId="42" fontId="10" fillId="0" borderId="26" xfId="0" applyNumberFormat="1" applyFont="1" applyBorder="1"/>
    <xf numFmtId="42" fontId="3" fillId="0" borderId="24" xfId="0" applyNumberFormat="1" applyFont="1" applyBorder="1" applyAlignment="1">
      <alignment horizontal="center" vertical="center"/>
    </xf>
    <xf numFmtId="42" fontId="10" fillId="0" borderId="27" xfId="0" applyNumberFormat="1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42" fontId="10" fillId="0" borderId="27" xfId="0" applyNumberFormat="1" applyFont="1" applyBorder="1"/>
    <xf numFmtId="0" fontId="2" fillId="0" borderId="6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178" fontId="3" fillId="0" borderId="23" xfId="0" applyNumberFormat="1" applyFont="1" applyBorder="1" applyAlignment="1">
      <alignment horizontal="center" vertical="center"/>
    </xf>
    <xf numFmtId="178" fontId="10" fillId="0" borderId="26" xfId="0" applyNumberFormat="1" applyFont="1" applyBorder="1"/>
    <xf numFmtId="0" fontId="2" fillId="0" borderId="32" xfId="0" applyFont="1" applyBorder="1" applyAlignment="1">
      <alignment vertical="center"/>
    </xf>
    <xf numFmtId="178" fontId="10" fillId="0" borderId="31" xfId="0" applyNumberFormat="1" applyFont="1" applyBorder="1" applyAlignment="1">
      <alignment wrapText="1"/>
    </xf>
    <xf numFmtId="10" fontId="3" fillId="0" borderId="23" xfId="2" applyNumberFormat="1" applyFont="1" applyBorder="1" applyAlignment="1">
      <alignment horizontal="center" vertical="center"/>
    </xf>
    <xf numFmtId="0" fontId="0" fillId="0" borderId="26" xfId="0" applyBorder="1"/>
    <xf numFmtId="0" fontId="0" fillId="0" borderId="6" xfId="0" applyBorder="1"/>
    <xf numFmtId="0" fontId="11" fillId="4" borderId="31" xfId="0" applyFont="1" applyFill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0" fillId="0" borderId="29" xfId="0" applyFont="1" applyBorder="1" applyAlignment="1">
      <alignment wrapText="1"/>
    </xf>
    <xf numFmtId="0" fontId="10" fillId="0" borderId="35" xfId="0" applyFont="1" applyBorder="1"/>
    <xf numFmtId="0" fontId="10" fillId="0" borderId="7" xfId="0" applyFont="1" applyBorder="1"/>
    <xf numFmtId="0" fontId="10" fillId="0" borderId="7" xfId="0" applyFont="1" applyBorder="1" applyAlignment="1">
      <alignment wrapText="1"/>
    </xf>
    <xf numFmtId="0" fontId="10" fillId="0" borderId="0" xfId="0" applyFont="1"/>
    <xf numFmtId="0" fontId="10" fillId="0" borderId="29" xfId="0" applyFont="1" applyBorder="1"/>
    <xf numFmtId="42" fontId="0" fillId="0" borderId="35" xfId="0" applyNumberFormat="1" applyBorder="1"/>
    <xf numFmtId="42" fontId="0" fillId="0" borderId="7" xfId="0" applyNumberFormat="1" applyBorder="1"/>
    <xf numFmtId="10" fontId="0" fillId="0" borderId="7" xfId="2" applyNumberFormat="1" applyFont="1" applyBorder="1"/>
    <xf numFmtId="42" fontId="0" fillId="0" borderId="29" xfId="0" applyNumberFormat="1" applyBorder="1"/>
    <xf numFmtId="0" fontId="10" fillId="0" borderId="6" xfId="0" applyFont="1" applyBorder="1" applyAlignment="1">
      <alignment wrapText="1"/>
    </xf>
    <xf numFmtId="42" fontId="0" fillId="0" borderId="6" xfId="0" applyNumberFormat="1" applyBorder="1"/>
    <xf numFmtId="0" fontId="0" fillId="0" borderId="5" xfId="0" applyBorder="1" applyAlignment="1">
      <alignment wrapText="1"/>
    </xf>
    <xf numFmtId="42" fontId="0" fillId="0" borderId="27" xfId="0" applyNumberFormat="1" applyBorder="1"/>
    <xf numFmtId="3" fontId="0" fillId="0" borderId="24" xfId="0" applyNumberFormat="1" applyBorder="1"/>
    <xf numFmtId="3" fontId="0" fillId="0" borderId="27" xfId="0" applyNumberFormat="1" applyBorder="1"/>
    <xf numFmtId="0" fontId="0" fillId="0" borderId="37" xfId="0" applyBorder="1"/>
    <xf numFmtId="0" fontId="0" fillId="0" borderId="38" xfId="0" applyBorder="1"/>
    <xf numFmtId="0" fontId="10" fillId="0" borderId="38" xfId="0" applyFont="1" applyBorder="1"/>
    <xf numFmtId="10" fontId="10" fillId="0" borderId="38" xfId="0" applyNumberFormat="1" applyFont="1" applyBorder="1" applyAlignment="1">
      <alignment horizontal="center"/>
    </xf>
    <xf numFmtId="10" fontId="10" fillId="0" borderId="39" xfId="0" applyNumberFormat="1" applyFont="1" applyBorder="1" applyAlignment="1">
      <alignment horizontal="center"/>
    </xf>
    <xf numFmtId="42" fontId="0" fillId="0" borderId="8" xfId="0" applyNumberFormat="1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11" fillId="0" borderId="36" xfId="0" applyFont="1" applyBorder="1" applyAlignment="1">
      <alignment horizontal="center" wrapTex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</cellXfs>
  <cellStyles count="5">
    <cellStyle name="Comma" xfId="3" builtinId="3"/>
    <cellStyle name="Comma 3" xfId="4" xr:uid="{0BA823D8-D81F-47B8-B7AF-764CCC1D5ADF}"/>
    <cellStyle name="Currency" xfId="1" builtinId="4"/>
    <cellStyle name="Normal" xfId="0" builtinId="0"/>
    <cellStyle name="Percent" xfId="2" builtinId="5"/>
  </cellStyles>
  <dxfs count="2"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2AEAA-6143-420A-BED3-41E5B8BB4FA2}">
  <dimension ref="B2:L49"/>
  <sheetViews>
    <sheetView showGridLines="0" tabSelected="1" workbookViewId="0">
      <selection activeCell="G21" sqref="G21"/>
    </sheetView>
  </sheetViews>
  <sheetFormatPr defaultColWidth="9.140625" defaultRowHeight="12.75" x14ac:dyDescent="0.2"/>
  <cols>
    <col min="1" max="1" width="1.5703125" style="35" customWidth="1"/>
    <col min="2" max="2" width="27.85546875" style="35" customWidth="1"/>
    <col min="3" max="3" width="12" style="37" bestFit="1" customWidth="1"/>
    <col min="4" max="4" width="10.140625" style="37" customWidth="1"/>
    <col min="5" max="5" width="12.28515625" style="37" customWidth="1"/>
    <col min="6" max="6" width="11.5703125" style="37" customWidth="1"/>
    <col min="7" max="7" width="14.85546875" style="35" customWidth="1"/>
    <col min="8" max="8" width="9.140625" style="35"/>
    <col min="9" max="9" width="9.140625" style="35" customWidth="1"/>
    <col min="10" max="16384" width="9.140625" style="35"/>
  </cols>
  <sheetData>
    <row r="2" spans="2:8" ht="15" x14ac:dyDescent="0.25">
      <c r="B2" s="159" t="s">
        <v>0</v>
      </c>
      <c r="C2" s="159"/>
      <c r="D2" s="159"/>
      <c r="E2" s="159"/>
      <c r="F2" s="159"/>
      <c r="G2" s="159"/>
      <c r="H2" s="159"/>
    </row>
    <row r="3" spans="2:8" x14ac:dyDescent="0.2">
      <c r="B3" s="36"/>
    </row>
    <row r="5" spans="2:8" x14ac:dyDescent="0.2">
      <c r="B5" s="38" t="s">
        <v>1</v>
      </c>
    </row>
    <row r="7" spans="2:8" x14ac:dyDescent="0.2">
      <c r="B7" s="1"/>
      <c r="C7" s="148" t="s">
        <v>2</v>
      </c>
      <c r="D7" s="148"/>
      <c r="E7" s="148"/>
      <c r="F7" s="148" t="s">
        <v>3</v>
      </c>
      <c r="G7" s="148"/>
      <c r="H7" s="148"/>
    </row>
    <row r="8" spans="2:8" s="40" customFormat="1" ht="38.25" x14ac:dyDescent="0.2">
      <c r="B8" s="39" t="s">
        <v>4</v>
      </c>
      <c r="C8" s="14" t="s">
        <v>5</v>
      </c>
      <c r="D8" s="14" t="s">
        <v>6</v>
      </c>
      <c r="E8" s="14" t="s">
        <v>7</v>
      </c>
      <c r="F8" s="14" t="s">
        <v>8</v>
      </c>
      <c r="G8" s="14" t="s">
        <v>9</v>
      </c>
      <c r="H8" s="14" t="s">
        <v>10</v>
      </c>
    </row>
    <row r="9" spans="2:8" x14ac:dyDescent="0.2">
      <c r="B9" s="1" t="s">
        <v>11</v>
      </c>
      <c r="C9" s="41">
        <v>46.08</v>
      </c>
      <c r="D9" s="42">
        <v>0</v>
      </c>
      <c r="E9" s="5" t="s">
        <v>12</v>
      </c>
      <c r="F9" s="4">
        <v>28818.139220781319</v>
      </c>
      <c r="G9" s="43">
        <v>237403471.2198239</v>
      </c>
      <c r="H9" s="5"/>
    </row>
    <row r="10" spans="2:8" x14ac:dyDescent="0.2">
      <c r="B10" s="1" t="s">
        <v>13</v>
      </c>
      <c r="C10" s="41">
        <v>38.83</v>
      </c>
      <c r="D10" s="44">
        <v>3.15E-2</v>
      </c>
      <c r="E10" s="5" t="s">
        <v>12</v>
      </c>
      <c r="F10" s="4">
        <v>2555.7913538982712</v>
      </c>
      <c r="G10" s="43">
        <v>67709852.535780728</v>
      </c>
      <c r="H10" s="5"/>
    </row>
    <row r="11" spans="2:8" x14ac:dyDescent="0.2">
      <c r="B11" s="1" t="str">
        <f>'B. Test Year Rate Design'!B112</f>
        <v>General Service &gt;50kW (incl. SBY)</v>
      </c>
      <c r="C11" s="45">
        <v>194.73</v>
      </c>
      <c r="D11" s="44">
        <v>9.1941000000000006</v>
      </c>
      <c r="E11" s="5" t="s">
        <v>14</v>
      </c>
      <c r="F11" s="4">
        <v>200.84232710266656</v>
      </c>
      <c r="G11" s="43">
        <v>179251886.79055846</v>
      </c>
      <c r="H11" s="46">
        <v>561367.95406444289</v>
      </c>
    </row>
    <row r="12" spans="2:8" x14ac:dyDescent="0.2">
      <c r="B12" s="1" t="s">
        <v>15</v>
      </c>
      <c r="C12" s="45">
        <v>700.69</v>
      </c>
      <c r="D12" s="44">
        <v>10.587400000000001</v>
      </c>
      <c r="E12" s="5" t="s">
        <v>14</v>
      </c>
      <c r="F12" s="4">
        <v>1</v>
      </c>
      <c r="G12" s="43">
        <v>5636846.5921088494</v>
      </c>
      <c r="H12" s="43">
        <v>15117.837287728271</v>
      </c>
    </row>
    <row r="13" spans="2:8" x14ac:dyDescent="0.2">
      <c r="B13" s="1" t="s">
        <v>16</v>
      </c>
      <c r="C13" s="45">
        <v>4.6900000000000004</v>
      </c>
      <c r="D13" s="44">
        <v>9.3574000000000002</v>
      </c>
      <c r="E13" s="5" t="s">
        <v>14</v>
      </c>
      <c r="F13" s="43">
        <v>6256.5596782076891</v>
      </c>
      <c r="G13" s="43">
        <v>1461699.7120917588</v>
      </c>
      <c r="H13" s="43">
        <v>4448.1566374106551</v>
      </c>
    </row>
    <row r="14" spans="2:8" x14ac:dyDescent="0.2">
      <c r="B14" s="1" t="s">
        <v>17</v>
      </c>
      <c r="C14" s="45">
        <v>7.01</v>
      </c>
      <c r="D14" s="44">
        <v>8.1011000000000006</v>
      </c>
      <c r="E14" s="5" t="s">
        <v>14</v>
      </c>
      <c r="F14" s="4">
        <v>592.50562066782277</v>
      </c>
      <c r="G14" s="43">
        <v>409776.20548029832</v>
      </c>
      <c r="H14" s="4">
        <v>1338.908273976052</v>
      </c>
    </row>
    <row r="15" spans="2:8" x14ac:dyDescent="0.2">
      <c r="B15" s="1" t="s">
        <v>18</v>
      </c>
      <c r="C15" s="47">
        <v>61.23</v>
      </c>
      <c r="D15" s="44">
        <v>3.32E-2</v>
      </c>
      <c r="E15" s="5" t="s">
        <v>12</v>
      </c>
      <c r="F15" s="4">
        <v>44.731029858870748</v>
      </c>
      <c r="G15" s="43">
        <v>1347133.8778602926</v>
      </c>
      <c r="H15" s="5"/>
    </row>
    <row r="16" spans="2:8" x14ac:dyDescent="0.2">
      <c r="B16" s="1" t="s">
        <v>19</v>
      </c>
      <c r="C16" s="41"/>
      <c r="D16" s="41">
        <v>-0.6</v>
      </c>
      <c r="E16" s="5" t="s">
        <v>14</v>
      </c>
      <c r="F16" s="5"/>
      <c r="G16" s="5"/>
      <c r="H16" s="46">
        <v>323517.517857239</v>
      </c>
    </row>
    <row r="17" spans="2:12" x14ac:dyDescent="0.2">
      <c r="B17" s="1" t="s">
        <v>20</v>
      </c>
      <c r="C17" s="41"/>
      <c r="D17" s="42">
        <v>1.5104</v>
      </c>
      <c r="E17" s="5" t="s">
        <v>21</v>
      </c>
      <c r="F17" s="5"/>
      <c r="G17" s="5"/>
      <c r="H17" s="4">
        <v>78287.841524544681</v>
      </c>
    </row>
    <row r="18" spans="2:12" x14ac:dyDescent="0.2">
      <c r="B18" s="7"/>
      <c r="C18" s="20"/>
      <c r="D18" s="20"/>
      <c r="E18" s="20"/>
      <c r="F18" s="20"/>
      <c r="G18" s="7"/>
      <c r="H18" s="7"/>
    </row>
    <row r="19" spans="2:12" x14ac:dyDescent="0.2">
      <c r="B19" s="6" t="s">
        <v>22</v>
      </c>
      <c r="C19" s="20"/>
      <c r="D19" s="20"/>
      <c r="E19" s="20"/>
      <c r="F19" s="20"/>
      <c r="G19" s="7"/>
      <c r="H19" s="7"/>
    </row>
    <row r="20" spans="2:12" x14ac:dyDescent="0.2">
      <c r="B20" s="7"/>
      <c r="C20" s="20"/>
      <c r="D20" s="20"/>
      <c r="E20" s="20"/>
      <c r="F20" s="20"/>
      <c r="G20" s="7"/>
      <c r="H20" s="7"/>
    </row>
    <row r="21" spans="2:12" ht="25.5" x14ac:dyDescent="0.2">
      <c r="B21" s="39" t="s">
        <v>4</v>
      </c>
      <c r="C21" s="14" t="s">
        <v>23</v>
      </c>
      <c r="D21" s="14" t="s">
        <v>24</v>
      </c>
      <c r="E21" s="14" t="s">
        <v>25</v>
      </c>
      <c r="F21" s="14" t="s">
        <v>19</v>
      </c>
      <c r="G21" s="14" t="s">
        <v>26</v>
      </c>
      <c r="H21" s="14" t="s">
        <v>27</v>
      </c>
    </row>
    <row r="22" spans="2:12" x14ac:dyDescent="0.2">
      <c r="B22" s="1" t="str">
        <f t="shared" ref="B22:B28" si="0">B9</f>
        <v>Residential</v>
      </c>
      <c r="C22" s="48">
        <f t="shared" ref="C22:C28" si="1">C9*F9*12</f>
        <v>15935278.263523238</v>
      </c>
      <c r="D22" s="48">
        <f t="shared" ref="D22:D28" si="2">IF(E9="kWh",D9*G9,D9*H9)</f>
        <v>0</v>
      </c>
      <c r="E22" s="48">
        <f>C22+D22</f>
        <v>15935278.263523238</v>
      </c>
      <c r="F22" s="48"/>
      <c r="G22" s="48">
        <f>E22+F22</f>
        <v>15935278.263523238</v>
      </c>
      <c r="H22" s="49">
        <f t="shared" ref="H22:H29" si="3">G22/$G$30</f>
        <v>0.62456378173791471</v>
      </c>
      <c r="L22" s="50"/>
    </row>
    <row r="23" spans="2:12" x14ac:dyDescent="0.2">
      <c r="B23" s="1" t="str">
        <f t="shared" si="0"/>
        <v>GS &lt; 50</v>
      </c>
      <c r="C23" s="48">
        <f t="shared" si="1"/>
        <v>1190896.5392624384</v>
      </c>
      <c r="D23" s="48">
        <f t="shared" si="2"/>
        <v>2132860.3548770929</v>
      </c>
      <c r="E23" s="48">
        <f t="shared" ref="E23:E29" si="4">C23+D23</f>
        <v>3323756.8941395311</v>
      </c>
      <c r="F23" s="48"/>
      <c r="G23" s="48">
        <f t="shared" ref="G23:G29" si="5">E23+F23</f>
        <v>3323756.8941395311</v>
      </c>
      <c r="H23" s="49">
        <f t="shared" si="3"/>
        <v>0.13027059465494875</v>
      </c>
      <c r="L23" s="50"/>
    </row>
    <row r="24" spans="2:12" x14ac:dyDescent="0.2">
      <c r="B24" s="1" t="str">
        <f t="shared" si="0"/>
        <v>General Service &gt;50kW (incl. SBY)</v>
      </c>
      <c r="C24" s="48">
        <f t="shared" si="1"/>
        <v>469320.31628042704</v>
      </c>
      <c r="D24" s="48">
        <f t="shared" si="2"/>
        <v>5161273.1064638952</v>
      </c>
      <c r="E24" s="48">
        <f t="shared" si="4"/>
        <v>5630593.4227443226</v>
      </c>
      <c r="F24" s="48">
        <f>D16*H16</f>
        <v>-194110.5107143434</v>
      </c>
      <c r="G24" s="48">
        <f t="shared" si="5"/>
        <v>5436482.9120299788</v>
      </c>
      <c r="H24" s="49">
        <f t="shared" si="3"/>
        <v>0.21307631223882226</v>
      </c>
      <c r="L24" s="50"/>
    </row>
    <row r="25" spans="2:12" x14ac:dyDescent="0.2">
      <c r="B25" s="1" t="str">
        <f t="shared" si="0"/>
        <v>Embedded Distributor</v>
      </c>
      <c r="C25" s="48">
        <f t="shared" si="1"/>
        <v>8408.2800000000007</v>
      </c>
      <c r="D25" s="48">
        <f t="shared" si="2"/>
        <v>160058.59050009432</v>
      </c>
      <c r="E25" s="48">
        <f t="shared" si="4"/>
        <v>168466.87050009432</v>
      </c>
      <c r="F25" s="7"/>
      <c r="G25" s="48">
        <f t="shared" si="5"/>
        <v>168466.87050009432</v>
      </c>
      <c r="H25" s="49">
        <f t="shared" si="3"/>
        <v>6.6028533670441864E-3</v>
      </c>
      <c r="L25" s="50"/>
    </row>
    <row r="26" spans="2:12" x14ac:dyDescent="0.2">
      <c r="B26" s="1" t="str">
        <f t="shared" si="0"/>
        <v>Street Light</v>
      </c>
      <c r="C26" s="48">
        <f t="shared" si="1"/>
        <v>352119.17868952878</v>
      </c>
      <c r="D26" s="48">
        <f t="shared" si="2"/>
        <v>41623.180918906466</v>
      </c>
      <c r="E26" s="48">
        <f t="shared" si="4"/>
        <v>393742.35960843525</v>
      </c>
      <c r="F26" s="48"/>
      <c r="G26" s="48">
        <f t="shared" si="5"/>
        <v>393742.35960843525</v>
      </c>
      <c r="H26" s="49">
        <f t="shared" si="3"/>
        <v>1.5432251202689873E-2</v>
      </c>
      <c r="L26" s="50"/>
    </row>
    <row r="27" spans="2:12" x14ac:dyDescent="0.2">
      <c r="B27" s="1" t="str">
        <f t="shared" si="0"/>
        <v>Sentinel Light</v>
      </c>
      <c r="C27" s="48">
        <f t="shared" si="1"/>
        <v>49841.57281057725</v>
      </c>
      <c r="D27" s="48">
        <f t="shared" si="2"/>
        <v>10846.629818307396</v>
      </c>
      <c r="E27" s="48">
        <f t="shared" si="4"/>
        <v>60688.202628884646</v>
      </c>
      <c r="F27" s="48"/>
      <c r="G27" s="48">
        <f t="shared" si="5"/>
        <v>60688.202628884646</v>
      </c>
      <c r="H27" s="49">
        <f t="shared" si="3"/>
        <v>2.3786000290648627E-3</v>
      </c>
      <c r="L27" s="50"/>
    </row>
    <row r="28" spans="2:12" x14ac:dyDescent="0.2">
      <c r="B28" s="1" t="str">
        <f t="shared" si="0"/>
        <v>USL</v>
      </c>
      <c r="C28" s="48">
        <f t="shared" si="1"/>
        <v>32866.571499103869</v>
      </c>
      <c r="D28" s="48">
        <f t="shared" si="2"/>
        <v>44724.844744961716</v>
      </c>
      <c r="E28" s="48">
        <f t="shared" si="4"/>
        <v>77591.416244065593</v>
      </c>
      <c r="F28" s="48"/>
      <c r="G28" s="48">
        <f t="shared" si="5"/>
        <v>77591.416244065593</v>
      </c>
      <c r="H28" s="49">
        <f t="shared" si="3"/>
        <v>3.0411008554976906E-3</v>
      </c>
      <c r="L28" s="50"/>
    </row>
    <row r="29" spans="2:12" x14ac:dyDescent="0.2">
      <c r="B29" s="1" t="s">
        <v>20</v>
      </c>
      <c r="C29" s="48">
        <v>0</v>
      </c>
      <c r="D29" s="48">
        <f>D17*H17</f>
        <v>118245.95583867228</v>
      </c>
      <c r="E29" s="48">
        <f t="shared" si="4"/>
        <v>118245.95583867228</v>
      </c>
      <c r="F29" s="48"/>
      <c r="G29" s="48">
        <f t="shared" si="5"/>
        <v>118245.95583867228</v>
      </c>
      <c r="H29" s="49">
        <f t="shared" si="3"/>
        <v>4.6345059140176668E-3</v>
      </c>
      <c r="L29" s="50"/>
    </row>
    <row r="30" spans="2:12" x14ac:dyDescent="0.2">
      <c r="B30" s="23" t="s">
        <v>28</v>
      </c>
      <c r="C30" s="51">
        <f t="shared" ref="C30:F30" si="6">SUM(C22:C28)</f>
        <v>18038730.722065318</v>
      </c>
      <c r="D30" s="51">
        <f>SUM(D22:D29)</f>
        <v>7669632.6631619297</v>
      </c>
      <c r="E30" s="51">
        <f>SUM(E22:E29)</f>
        <v>25708363.385227244</v>
      </c>
      <c r="F30" s="51">
        <f t="shared" si="6"/>
        <v>-194110.5107143434</v>
      </c>
      <c r="G30" s="51">
        <f>SUM(G22:G29)</f>
        <v>25514252.8745129</v>
      </c>
      <c r="H30" s="52">
        <f>SUM(H22:H29)</f>
        <v>1</v>
      </c>
      <c r="L30" s="50"/>
    </row>
    <row r="31" spans="2:12" x14ac:dyDescent="0.2">
      <c r="B31" s="7"/>
      <c r="C31" s="20"/>
      <c r="D31" s="20"/>
      <c r="E31" s="20"/>
      <c r="F31" s="20"/>
      <c r="G31" s="7"/>
      <c r="H31" s="7"/>
    </row>
    <row r="32" spans="2:12" x14ac:dyDescent="0.2">
      <c r="B32" s="53" t="s">
        <v>29</v>
      </c>
      <c r="C32" s="54">
        <f>C24+C29</f>
        <v>469320.31628042704</v>
      </c>
      <c r="D32" s="54">
        <f t="shared" ref="D32:G32" si="7">D24+D29</f>
        <v>5279519.0623025671</v>
      </c>
      <c r="E32" s="54">
        <f t="shared" si="7"/>
        <v>5748839.3785829945</v>
      </c>
      <c r="F32" s="54">
        <f t="shared" si="7"/>
        <v>-194110.5107143434</v>
      </c>
      <c r="G32" s="54">
        <f t="shared" si="7"/>
        <v>5554728.8678686507</v>
      </c>
      <c r="H32" s="55">
        <f t="shared" ref="H32" si="8">G32/$G$30</f>
        <v>0.21771081815283991</v>
      </c>
    </row>
    <row r="33" spans="2:8" x14ac:dyDescent="0.2">
      <c r="B33" s="7"/>
      <c r="C33" s="20"/>
      <c r="D33" s="20"/>
      <c r="E33" s="20"/>
      <c r="F33" s="20"/>
      <c r="G33" s="7"/>
      <c r="H33" s="7"/>
    </row>
    <row r="34" spans="2:8" x14ac:dyDescent="0.2">
      <c r="B34" s="7"/>
      <c r="C34" s="20"/>
      <c r="D34" s="20"/>
      <c r="E34" s="20"/>
      <c r="F34" s="20"/>
      <c r="G34" s="7"/>
      <c r="H34" s="7"/>
    </row>
    <row r="35" spans="2:8" x14ac:dyDescent="0.2">
      <c r="B35" s="7"/>
      <c r="C35" s="20"/>
      <c r="D35" s="20"/>
      <c r="E35" s="20"/>
      <c r="F35" s="20"/>
      <c r="G35" s="19"/>
      <c r="H35" s="7"/>
    </row>
    <row r="36" spans="2:8" x14ac:dyDescent="0.2">
      <c r="B36" s="6" t="s">
        <v>30</v>
      </c>
      <c r="C36" s="20"/>
      <c r="D36" s="20"/>
      <c r="E36" s="20"/>
      <c r="F36" s="20"/>
      <c r="G36" s="7"/>
      <c r="H36" s="7"/>
    </row>
    <row r="37" spans="2:8" x14ac:dyDescent="0.2">
      <c r="B37" s="7"/>
      <c r="C37" s="20"/>
      <c r="D37" s="20"/>
      <c r="E37" s="20"/>
      <c r="F37" s="20"/>
      <c r="G37" s="7"/>
      <c r="H37" s="7"/>
    </row>
    <row r="38" spans="2:8" x14ac:dyDescent="0.2">
      <c r="B38" s="39" t="s">
        <v>4</v>
      </c>
      <c r="C38" s="14" t="s">
        <v>31</v>
      </c>
      <c r="D38" s="14" t="s">
        <v>32</v>
      </c>
      <c r="E38" s="20"/>
      <c r="F38" s="20"/>
      <c r="G38" s="7"/>
      <c r="H38" s="7"/>
    </row>
    <row r="39" spans="2:8" x14ac:dyDescent="0.2">
      <c r="B39" s="1" t="str">
        <f t="shared" ref="B39:B45" si="9">B22</f>
        <v>Residential</v>
      </c>
      <c r="C39" s="49">
        <f t="shared" ref="C39:C47" si="10">C22/G22</f>
        <v>1</v>
      </c>
      <c r="D39" s="49">
        <f t="shared" ref="D39:D47" si="11">(D22+F22)/G22</f>
        <v>0</v>
      </c>
      <c r="E39" s="20"/>
      <c r="F39" s="20"/>
      <c r="G39" s="7"/>
      <c r="H39" s="7"/>
    </row>
    <row r="40" spans="2:8" x14ac:dyDescent="0.2">
      <c r="B40" s="1" t="str">
        <f t="shared" si="9"/>
        <v>GS &lt; 50</v>
      </c>
      <c r="C40" s="49">
        <f t="shared" si="10"/>
        <v>0.35829832842535342</v>
      </c>
      <c r="D40" s="49">
        <f t="shared" si="11"/>
        <v>0.64170167157464664</v>
      </c>
      <c r="E40" s="20"/>
      <c r="F40" s="20"/>
      <c r="G40" s="7"/>
      <c r="H40" s="7"/>
    </row>
    <row r="41" spans="2:8" x14ac:dyDescent="0.2">
      <c r="B41" s="1" t="str">
        <f t="shared" si="9"/>
        <v>General Service &gt;50kW (incl. SBY)</v>
      </c>
      <c r="C41" s="49">
        <f t="shared" si="10"/>
        <v>8.6327930000829001E-2</v>
      </c>
      <c r="D41" s="49">
        <f t="shared" si="11"/>
        <v>0.91367206999917094</v>
      </c>
      <c r="E41" s="20"/>
      <c r="F41" s="20"/>
      <c r="G41" s="7"/>
      <c r="H41" s="7"/>
    </row>
    <row r="42" spans="2:8" x14ac:dyDescent="0.2">
      <c r="B42" s="1" t="str">
        <f t="shared" si="9"/>
        <v>Embedded Distributor</v>
      </c>
      <c r="C42" s="49">
        <f t="shared" si="10"/>
        <v>4.9910584645159024E-2</v>
      </c>
      <c r="D42" s="49">
        <f t="shared" si="11"/>
        <v>0.95008941535484104</v>
      </c>
      <c r="E42" s="20"/>
      <c r="F42" s="20"/>
      <c r="G42" s="7"/>
      <c r="H42" s="7"/>
    </row>
    <row r="43" spans="2:8" x14ac:dyDescent="0.2">
      <c r="B43" s="1" t="str">
        <f t="shared" si="9"/>
        <v>Street Light</v>
      </c>
      <c r="C43" s="49">
        <f t="shared" si="10"/>
        <v>0.89428828292617679</v>
      </c>
      <c r="D43" s="49">
        <f t="shared" si="11"/>
        <v>0.10571171707382322</v>
      </c>
      <c r="E43" s="20"/>
      <c r="F43" s="20"/>
      <c r="G43" s="7"/>
      <c r="H43" s="7"/>
    </row>
    <row r="44" spans="2:8" x14ac:dyDescent="0.2">
      <c r="B44" s="1" t="str">
        <f t="shared" si="9"/>
        <v>Sentinel Light</v>
      </c>
      <c r="C44" s="49">
        <f t="shared" si="10"/>
        <v>0.82127284466413042</v>
      </c>
      <c r="D44" s="49">
        <f t="shared" si="11"/>
        <v>0.17872715533586961</v>
      </c>
      <c r="E44" s="20"/>
      <c r="F44" s="20"/>
      <c r="G44" s="7"/>
      <c r="H44" s="7"/>
    </row>
    <row r="45" spans="2:8" x14ac:dyDescent="0.2">
      <c r="B45" s="1" t="str">
        <f t="shared" si="9"/>
        <v>USL</v>
      </c>
      <c r="C45" s="49">
        <f t="shared" si="10"/>
        <v>0.42358514755963866</v>
      </c>
      <c r="D45" s="49">
        <f t="shared" si="11"/>
        <v>0.57641485244036128</v>
      </c>
      <c r="E45" s="20"/>
      <c r="F45" s="20"/>
      <c r="G45" s="7"/>
      <c r="H45" s="7"/>
    </row>
    <row r="46" spans="2:8" x14ac:dyDescent="0.2">
      <c r="B46" s="1" t="s">
        <v>20</v>
      </c>
      <c r="C46" s="49">
        <f t="shared" si="10"/>
        <v>0</v>
      </c>
      <c r="D46" s="49">
        <f t="shared" si="11"/>
        <v>1</v>
      </c>
      <c r="E46" s="20"/>
      <c r="F46" s="20"/>
      <c r="G46" s="7"/>
      <c r="H46" s="7"/>
    </row>
    <row r="47" spans="2:8" x14ac:dyDescent="0.2">
      <c r="B47" s="23" t="s">
        <v>28</v>
      </c>
      <c r="C47" s="55">
        <f t="shared" si="10"/>
        <v>0.70700603348197011</v>
      </c>
      <c r="D47" s="55">
        <f t="shared" si="11"/>
        <v>0.29299396651803011</v>
      </c>
      <c r="E47" s="20"/>
      <c r="F47" s="20"/>
      <c r="G47" s="7"/>
      <c r="H47" s="7"/>
    </row>
    <row r="49" spans="2:4" s="37" customFormat="1" x14ac:dyDescent="0.2">
      <c r="B49" s="53" t="s">
        <v>29</v>
      </c>
      <c r="C49" s="55">
        <f t="shared" ref="C49" si="12">C32/G32</f>
        <v>8.4490229396291888E-2</v>
      </c>
      <c r="D49" s="55">
        <f t="shared" ref="D49" si="13">(D32+F32)/G32</f>
        <v>0.91550977060370808</v>
      </c>
    </row>
  </sheetData>
  <mergeCells count="3">
    <mergeCell ref="B2:H2"/>
    <mergeCell ref="C7:E7"/>
    <mergeCell ref="F7:H7"/>
  </mergeCells>
  <pageMargins left="0.7" right="0.7" top="0.75" bottom="0.75" header="0.3" footer="0.3"/>
  <pageSetup orientation="landscape" r:id="rId1"/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2A1B4-4AED-4DB6-ABCD-BD872A4F6AF6}">
  <dimension ref="B1:M126"/>
  <sheetViews>
    <sheetView showGridLines="0" topLeftCell="B19" workbookViewId="0">
      <selection activeCell="V24" sqref="V24"/>
    </sheetView>
  </sheetViews>
  <sheetFormatPr defaultColWidth="9.140625" defaultRowHeight="12.75" x14ac:dyDescent="0.25"/>
  <cols>
    <col min="1" max="1" width="1.5703125" style="7" customWidth="1"/>
    <col min="2" max="2" width="26.42578125" style="7" customWidth="1"/>
    <col min="3" max="9" width="13.7109375" style="7" customWidth="1"/>
    <col min="10" max="10" width="12.7109375" style="7" customWidth="1"/>
    <col min="11" max="11" width="12" style="7" customWidth="1"/>
    <col min="12" max="12" width="10.42578125" style="7" bestFit="1" customWidth="1"/>
    <col min="13" max="16384" width="9.140625" style="7"/>
  </cols>
  <sheetData>
    <row r="1" spans="2:10" x14ac:dyDescent="0.25">
      <c r="B1" s="6"/>
    </row>
    <row r="2" spans="2:10" ht="15" x14ac:dyDescent="0.25">
      <c r="B2" s="149" t="s">
        <v>33</v>
      </c>
      <c r="C2" s="149"/>
      <c r="D2" s="149"/>
      <c r="E2" s="149"/>
      <c r="F2" s="149"/>
      <c r="G2" s="149"/>
      <c r="H2" s="149"/>
      <c r="I2" s="149"/>
      <c r="J2" s="149"/>
    </row>
    <row r="5" spans="2:10" x14ac:dyDescent="0.25">
      <c r="B5" s="6" t="s">
        <v>34</v>
      </c>
    </row>
    <row r="7" spans="2:10" ht="25.5" x14ac:dyDescent="0.25">
      <c r="B7" s="1"/>
      <c r="C7" s="8" t="s">
        <v>11</v>
      </c>
      <c r="D7" s="8" t="s">
        <v>13</v>
      </c>
      <c r="E7" s="8" t="s">
        <v>35</v>
      </c>
      <c r="F7" s="8" t="s">
        <v>15</v>
      </c>
      <c r="G7" s="8" t="s">
        <v>16</v>
      </c>
      <c r="H7" s="8" t="s">
        <v>17</v>
      </c>
      <c r="I7" s="8" t="s">
        <v>18</v>
      </c>
    </row>
    <row r="8" spans="2:10" ht="25.5" x14ac:dyDescent="0.25">
      <c r="B8" s="9" t="s">
        <v>36</v>
      </c>
      <c r="C8" s="2">
        <v>5.9914461612725196</v>
      </c>
      <c r="D8" s="2">
        <v>8.9243150469612651</v>
      </c>
      <c r="E8" s="2">
        <v>11.407989451090971</v>
      </c>
      <c r="F8" s="2">
        <v>325.1499694607935</v>
      </c>
      <c r="G8" s="2">
        <v>-4.6176908211155729E-3</v>
      </c>
      <c r="H8" s="2">
        <v>0.14237509811926599</v>
      </c>
      <c r="I8" s="2">
        <v>1.1069228998397704</v>
      </c>
    </row>
    <row r="9" spans="2:10" ht="25.5" x14ac:dyDescent="0.25">
      <c r="B9" s="9" t="s">
        <v>37</v>
      </c>
      <c r="C9" s="2">
        <v>10.063284557672773</v>
      </c>
      <c r="D9" s="2">
        <v>14.472868257671557</v>
      </c>
      <c r="E9" s="2">
        <v>21.986725840031053</v>
      </c>
      <c r="F9" s="2">
        <v>508.37927319291475</v>
      </c>
      <c r="G9" s="2">
        <v>-4.3866072629127548E-3</v>
      </c>
      <c r="H9" s="2">
        <v>0.27258445630445738</v>
      </c>
      <c r="I9" s="2">
        <v>2.0463593217414933</v>
      </c>
    </row>
    <row r="10" spans="2:10" ht="38.25" x14ac:dyDescent="0.25">
      <c r="B10" s="9" t="s">
        <v>38</v>
      </c>
      <c r="C10" s="2">
        <v>34.082743219085579</v>
      </c>
      <c r="D10" s="2">
        <v>40.236635132484608</v>
      </c>
      <c r="E10" s="2">
        <v>62.206543224576954</v>
      </c>
      <c r="F10" s="2">
        <v>539.24485632715925</v>
      </c>
      <c r="G10" s="2">
        <v>6.5417344235419206</v>
      </c>
      <c r="H10" s="2">
        <v>-88.051539635882918</v>
      </c>
      <c r="I10" s="2">
        <v>22.796091124880004</v>
      </c>
    </row>
    <row r="11" spans="2:10" x14ac:dyDescent="0.25">
      <c r="B11" s="9" t="s">
        <v>39</v>
      </c>
      <c r="C11" s="2">
        <v>46.08</v>
      </c>
      <c r="D11" s="2">
        <v>38.83</v>
      </c>
      <c r="E11" s="2">
        <v>194.73</v>
      </c>
      <c r="F11" s="2">
        <v>700.69</v>
      </c>
      <c r="G11" s="2">
        <v>4.6900000000000004</v>
      </c>
      <c r="H11" s="2">
        <v>7.01</v>
      </c>
      <c r="I11" s="2">
        <v>61.23</v>
      </c>
    </row>
    <row r="12" spans="2:10" x14ac:dyDescent="0.25">
      <c r="B12" s="150"/>
      <c r="C12" s="151"/>
      <c r="D12" s="151"/>
      <c r="E12" s="151"/>
      <c r="F12" s="151"/>
      <c r="G12" s="151"/>
      <c r="H12" s="151"/>
      <c r="I12" s="152"/>
    </row>
    <row r="13" spans="2:10" x14ac:dyDescent="0.25">
      <c r="B13" s="9" t="s">
        <v>40</v>
      </c>
      <c r="C13" s="10">
        <f>ROUND(MIN(C8:C11),2)</f>
        <v>5.99</v>
      </c>
      <c r="D13" s="10">
        <f t="shared" ref="D13:I13" si="0">ROUND(MIN(D8:D11),2)</f>
        <v>8.92</v>
      </c>
      <c r="E13" s="10">
        <f t="shared" si="0"/>
        <v>11.41</v>
      </c>
      <c r="F13" s="10">
        <f t="shared" si="0"/>
        <v>325.14999999999998</v>
      </c>
      <c r="G13" s="10">
        <f t="shared" si="0"/>
        <v>0</v>
      </c>
      <c r="H13" s="10">
        <f t="shared" si="0"/>
        <v>-88.05</v>
      </c>
      <c r="I13" s="10">
        <f t="shared" si="0"/>
        <v>1.1100000000000001</v>
      </c>
    </row>
    <row r="14" spans="2:10" x14ac:dyDescent="0.25">
      <c r="B14" s="9" t="s">
        <v>41</v>
      </c>
      <c r="C14" s="10">
        <f>ROUND(MAX(C8:C11),2)</f>
        <v>46.08</v>
      </c>
      <c r="D14" s="10">
        <f t="shared" ref="D14:I14" si="1">ROUND(MAX(D8:D11),2)</f>
        <v>40.24</v>
      </c>
      <c r="E14" s="10">
        <f t="shared" si="1"/>
        <v>194.73</v>
      </c>
      <c r="F14" s="10">
        <f t="shared" si="1"/>
        <v>700.69</v>
      </c>
      <c r="G14" s="10">
        <f t="shared" si="1"/>
        <v>6.54</v>
      </c>
      <c r="H14" s="10">
        <f t="shared" si="1"/>
        <v>7.01</v>
      </c>
      <c r="I14" s="10">
        <f t="shared" si="1"/>
        <v>61.23</v>
      </c>
      <c r="J14" s="19"/>
    </row>
    <row r="15" spans="2:10" x14ac:dyDescent="0.25">
      <c r="B15" s="11"/>
      <c r="C15" s="12"/>
      <c r="D15" s="12"/>
      <c r="E15" s="12"/>
      <c r="F15" s="12"/>
      <c r="G15" s="12"/>
      <c r="H15" s="12"/>
      <c r="I15" s="12"/>
    </row>
    <row r="16" spans="2:10" x14ac:dyDescent="0.25">
      <c r="B16" s="11"/>
      <c r="C16" s="12"/>
      <c r="D16" s="12"/>
      <c r="E16" s="12"/>
      <c r="F16" s="12"/>
      <c r="G16" s="12"/>
      <c r="H16" s="12"/>
      <c r="I16" s="12"/>
    </row>
    <row r="17" spans="2:11" x14ac:dyDescent="0.25">
      <c r="B17" s="6" t="s">
        <v>42</v>
      </c>
    </row>
    <row r="19" spans="2:11" x14ac:dyDescent="0.25">
      <c r="B19" s="148" t="s">
        <v>4</v>
      </c>
      <c r="C19" s="153" t="s">
        <v>43</v>
      </c>
      <c r="D19" s="154"/>
      <c r="E19" s="148" t="s">
        <v>44</v>
      </c>
      <c r="F19" s="148"/>
      <c r="G19" s="148"/>
      <c r="H19" s="148"/>
    </row>
    <row r="20" spans="2:11" ht="25.5" x14ac:dyDescent="0.25">
      <c r="B20" s="148"/>
      <c r="C20" s="13" t="s">
        <v>5</v>
      </c>
      <c r="D20" s="14" t="s">
        <v>45</v>
      </c>
      <c r="E20" s="14" t="s">
        <v>46</v>
      </c>
      <c r="F20" s="14" t="s">
        <v>47</v>
      </c>
      <c r="G20" s="14" t="s">
        <v>48</v>
      </c>
      <c r="H20" s="14" t="s">
        <v>49</v>
      </c>
    </row>
    <row r="21" spans="2:11" x14ac:dyDescent="0.25">
      <c r="B21" s="1" t="str">
        <f t="shared" ref="B21:C27" si="2">B34</f>
        <v>Residential</v>
      </c>
      <c r="C21" s="2">
        <f t="shared" si="2"/>
        <v>46.08</v>
      </c>
      <c r="D21" s="3">
        <f>'A. TestYr Rev at BrdgYr Rates'!C39</f>
        <v>1</v>
      </c>
      <c r="E21" s="103">
        <f>'Cost Allocation Study'!Y7</f>
        <v>18139208.654687069</v>
      </c>
      <c r="F21" s="56">
        <f>D21*E21</f>
        <v>18139208.654687069</v>
      </c>
      <c r="G21" s="4">
        <v>28818.139220781319</v>
      </c>
      <c r="H21" s="57">
        <f>ROUND(F21/G21/12,2)</f>
        <v>52.45</v>
      </c>
      <c r="J21" s="64"/>
      <c r="K21" s="102"/>
    </row>
    <row r="22" spans="2:11" x14ac:dyDescent="0.25">
      <c r="B22" s="1" t="str">
        <f t="shared" si="2"/>
        <v>GS &lt; 50</v>
      </c>
      <c r="C22" s="2">
        <f t="shared" si="2"/>
        <v>38.83</v>
      </c>
      <c r="D22" s="3">
        <f>'A. TestYr Rev at BrdgYr Rates'!C40</f>
        <v>0.35829832842535342</v>
      </c>
      <c r="E22" s="103">
        <f>'Cost Allocation Study'!Y8</f>
        <v>3779651.7926884182</v>
      </c>
      <c r="F22" s="56">
        <f t="shared" ref="F22:F28" si="3">D22*E22</f>
        <v>1354242.9193501507</v>
      </c>
      <c r="G22" s="4">
        <v>2555.7913538982712</v>
      </c>
      <c r="H22" s="57">
        <f t="shared" ref="H22:H27" si="4">ROUND(F22/G22/12,2)</f>
        <v>44.16</v>
      </c>
      <c r="J22" s="64"/>
      <c r="K22" s="102"/>
    </row>
    <row r="23" spans="2:11" x14ac:dyDescent="0.25">
      <c r="B23" s="1" t="str">
        <f t="shared" si="2"/>
        <v>General Service &gt;50kW (incl. SBY)</v>
      </c>
      <c r="C23" s="2">
        <f t="shared" si="2"/>
        <v>194.73</v>
      </c>
      <c r="D23" s="3">
        <f>'A. TestYr Rev at BrdgYr Rates'!C49</f>
        <v>8.4490229396291888E-2</v>
      </c>
      <c r="E23" s="103">
        <f>'Cost Allocation Study'!Y9</f>
        <v>6316629.522561131</v>
      </c>
      <c r="F23" s="56">
        <f t="shared" si="3"/>
        <v>533693.47737257963</v>
      </c>
      <c r="G23" s="4">
        <v>200.84232710266656</v>
      </c>
      <c r="H23" s="57">
        <f t="shared" si="4"/>
        <v>221.44</v>
      </c>
      <c r="J23" s="64"/>
      <c r="K23" s="102"/>
    </row>
    <row r="24" spans="2:11" x14ac:dyDescent="0.25">
      <c r="B24" s="1" t="str">
        <f t="shared" si="2"/>
        <v>Embedded Distributor</v>
      </c>
      <c r="C24" s="2">
        <f t="shared" si="2"/>
        <v>700.69</v>
      </c>
      <c r="D24" s="3">
        <f>'A. TestYr Rev at BrdgYr Rates'!C42</f>
        <v>4.9910584645159024E-2</v>
      </c>
      <c r="E24" s="103">
        <f>'Cost Allocation Study'!Y10</f>
        <v>190571.95117406684</v>
      </c>
      <c r="F24" s="56">
        <f t="shared" si="3"/>
        <v>9511.5575000663757</v>
      </c>
      <c r="G24" s="4">
        <v>1</v>
      </c>
      <c r="H24" s="57">
        <f t="shared" si="4"/>
        <v>792.63</v>
      </c>
      <c r="J24" s="64"/>
      <c r="K24" s="102"/>
    </row>
    <row r="25" spans="2:11" x14ac:dyDescent="0.25">
      <c r="B25" s="1" t="str">
        <f t="shared" si="2"/>
        <v>Street Light</v>
      </c>
      <c r="C25" s="2">
        <f t="shared" si="2"/>
        <v>4.6900000000000004</v>
      </c>
      <c r="D25" s="3">
        <f>'A. TestYr Rev at BrdgYr Rates'!C43</f>
        <v>0.89428828292617679</v>
      </c>
      <c r="E25" s="103">
        <f>'Cost Allocation Study'!Y11</f>
        <v>430543.98048402218</v>
      </c>
      <c r="F25" s="56">
        <f t="shared" si="3"/>
        <v>385030.43703125755</v>
      </c>
      <c r="G25" s="4">
        <v>6256.5596782076891</v>
      </c>
      <c r="H25" s="57">
        <f>ROUND(F25/G25/12,5)</f>
        <v>5.1283599999999998</v>
      </c>
      <c r="J25" s="64"/>
      <c r="K25" s="102"/>
    </row>
    <row r="26" spans="2:11" x14ac:dyDescent="0.25">
      <c r="B26" s="1" t="str">
        <f t="shared" si="2"/>
        <v>Sentinel Light</v>
      </c>
      <c r="C26" s="2">
        <f t="shared" si="2"/>
        <v>7.01</v>
      </c>
      <c r="D26" s="3">
        <f>'A. TestYr Rev at BrdgYr Rates'!C44</f>
        <v>0.82127284466413042</v>
      </c>
      <c r="E26" s="103">
        <f>'Cost Allocation Study'!Y12</f>
        <v>69012.349930208962</v>
      </c>
      <c r="F26" s="56">
        <f t="shared" si="3"/>
        <v>56677.968944139117</v>
      </c>
      <c r="G26" s="4">
        <v>592.50562066782277</v>
      </c>
      <c r="H26" s="57">
        <f t="shared" si="4"/>
        <v>7.97</v>
      </c>
      <c r="J26" s="64"/>
      <c r="K26" s="102"/>
    </row>
    <row r="27" spans="2:11" x14ac:dyDescent="0.25">
      <c r="B27" s="1" t="str">
        <f t="shared" si="2"/>
        <v>USL</v>
      </c>
      <c r="C27" s="2">
        <f t="shared" si="2"/>
        <v>61.23</v>
      </c>
      <c r="D27" s="3">
        <f>'A. TestYr Rev at BrdgYr Rates'!C45</f>
        <v>0.42358514755963866</v>
      </c>
      <c r="E27" s="103">
        <f>'Cost Allocation Study'!Y13</f>
        <v>88234.051058670593</v>
      </c>
      <c r="F27" s="56">
        <f t="shared" si="3"/>
        <v>37374.633537471673</v>
      </c>
      <c r="G27" s="4">
        <v>44.731029858870748</v>
      </c>
      <c r="H27" s="57">
        <f t="shared" si="4"/>
        <v>69.63</v>
      </c>
      <c r="J27" s="64"/>
      <c r="K27" s="102"/>
    </row>
    <row r="28" spans="2:11" x14ac:dyDescent="0.25">
      <c r="B28" s="1" t="s">
        <v>20</v>
      </c>
      <c r="C28" s="2">
        <v>0</v>
      </c>
      <c r="D28" s="3">
        <v>0</v>
      </c>
      <c r="E28" s="103">
        <f>'Cost Allocation Study'!Y14</f>
        <v>0</v>
      </c>
      <c r="F28" s="56">
        <f t="shared" si="3"/>
        <v>0</v>
      </c>
      <c r="G28" s="4">
        <v>0</v>
      </c>
      <c r="H28" s="57">
        <v>0</v>
      </c>
      <c r="J28" s="64"/>
    </row>
    <row r="29" spans="2:11" x14ac:dyDescent="0.25">
      <c r="E29" s="63">
        <f>SUM(E21:E28)</f>
        <v>29013852.302583586</v>
      </c>
    </row>
    <row r="30" spans="2:11" x14ac:dyDescent="0.25">
      <c r="B30" s="6" t="s">
        <v>50</v>
      </c>
    </row>
    <row r="32" spans="2:11" x14ac:dyDescent="0.25">
      <c r="B32" s="148" t="s">
        <v>4</v>
      </c>
      <c r="C32" s="148" t="s">
        <v>5</v>
      </c>
      <c r="D32" s="148"/>
      <c r="E32" s="148"/>
      <c r="F32" s="148"/>
    </row>
    <row r="33" spans="2:10" ht="25.5" x14ac:dyDescent="0.25">
      <c r="B33" s="148"/>
      <c r="C33" s="14" t="s">
        <v>51</v>
      </c>
      <c r="D33" s="14" t="s">
        <v>52</v>
      </c>
      <c r="E33" s="13" t="s">
        <v>53</v>
      </c>
      <c r="F33" s="13" t="s">
        <v>54</v>
      </c>
    </row>
    <row r="34" spans="2:10" x14ac:dyDescent="0.25">
      <c r="B34" s="1" t="s">
        <v>11</v>
      </c>
      <c r="C34" s="2">
        <f>'A. TestYr Rev at BrdgYr Rates'!C9</f>
        <v>46.08</v>
      </c>
      <c r="D34" s="2">
        <f>H21</f>
        <v>52.45</v>
      </c>
      <c r="E34" s="2">
        <f>C13</f>
        <v>5.99</v>
      </c>
      <c r="F34" s="2">
        <f>C14</f>
        <v>46.08</v>
      </c>
      <c r="G34" s="15"/>
      <c r="H34" s="15"/>
      <c r="I34" s="15"/>
      <c r="J34" s="15"/>
    </row>
    <row r="35" spans="2:10" x14ac:dyDescent="0.25">
      <c r="B35" s="1" t="s">
        <v>13</v>
      </c>
      <c r="C35" s="2">
        <f>'A. TestYr Rev at BrdgYr Rates'!C10</f>
        <v>38.83</v>
      </c>
      <c r="D35" s="2">
        <f t="shared" ref="D35:D40" si="5">H22</f>
        <v>44.16</v>
      </c>
      <c r="E35" s="2">
        <f>D13</f>
        <v>8.92</v>
      </c>
      <c r="F35" s="2">
        <f>D14</f>
        <v>40.24</v>
      </c>
      <c r="G35" s="15"/>
      <c r="H35" s="15"/>
      <c r="I35" s="15"/>
      <c r="J35" s="15"/>
    </row>
    <row r="36" spans="2:10" x14ac:dyDescent="0.25">
      <c r="B36" s="1" t="s">
        <v>29</v>
      </c>
      <c r="C36" s="2">
        <f>'A. TestYr Rev at BrdgYr Rates'!C11</f>
        <v>194.73</v>
      </c>
      <c r="D36" s="2">
        <f t="shared" si="5"/>
        <v>221.44</v>
      </c>
      <c r="E36" s="2">
        <f>E13</f>
        <v>11.41</v>
      </c>
      <c r="F36" s="2">
        <f>E14</f>
        <v>194.73</v>
      </c>
    </row>
    <row r="37" spans="2:10" x14ac:dyDescent="0.25">
      <c r="B37" s="1" t="s">
        <v>15</v>
      </c>
      <c r="C37" s="2">
        <f>'A. TestYr Rev at BrdgYr Rates'!C12</f>
        <v>700.69</v>
      </c>
      <c r="D37" s="2">
        <f t="shared" si="5"/>
        <v>792.63</v>
      </c>
      <c r="E37" s="2">
        <f>F13</f>
        <v>325.14999999999998</v>
      </c>
      <c r="F37" s="2">
        <f>F14</f>
        <v>700.69</v>
      </c>
    </row>
    <row r="38" spans="2:10" x14ac:dyDescent="0.25">
      <c r="B38" s="1" t="s">
        <v>16</v>
      </c>
      <c r="C38" s="2">
        <f>'A. TestYr Rev at BrdgYr Rates'!C13</f>
        <v>4.6900000000000004</v>
      </c>
      <c r="D38" s="2">
        <f t="shared" si="5"/>
        <v>5.1283599999999998</v>
      </c>
      <c r="E38" s="2">
        <f>G13</f>
        <v>0</v>
      </c>
      <c r="F38" s="2">
        <f>G14</f>
        <v>6.54</v>
      </c>
    </row>
    <row r="39" spans="2:10" x14ac:dyDescent="0.25">
      <c r="B39" s="1" t="s">
        <v>17</v>
      </c>
      <c r="C39" s="2">
        <f>'A. TestYr Rev at BrdgYr Rates'!C14</f>
        <v>7.01</v>
      </c>
      <c r="D39" s="2">
        <f t="shared" si="5"/>
        <v>7.97</v>
      </c>
      <c r="E39" s="2">
        <f>H13</f>
        <v>-88.05</v>
      </c>
      <c r="F39" s="2">
        <f>H14</f>
        <v>7.01</v>
      </c>
    </row>
    <row r="40" spans="2:10" x14ac:dyDescent="0.25">
      <c r="B40" s="1" t="s">
        <v>18</v>
      </c>
      <c r="C40" s="2">
        <f>'A. TestYr Rev at BrdgYr Rates'!C15</f>
        <v>61.23</v>
      </c>
      <c r="D40" s="2">
        <f t="shared" si="5"/>
        <v>69.63</v>
      </c>
      <c r="E40" s="2">
        <f>I13</f>
        <v>1.1100000000000001</v>
      </c>
      <c r="F40" s="2">
        <f>I14</f>
        <v>61.23</v>
      </c>
    </row>
    <row r="43" spans="2:10" x14ac:dyDescent="0.25">
      <c r="B43" s="6" t="s">
        <v>55</v>
      </c>
    </row>
    <row r="45" spans="2:10" ht="25.5" x14ac:dyDescent="0.25">
      <c r="B45" s="13" t="s">
        <v>4</v>
      </c>
      <c r="C45" s="14" t="s">
        <v>56</v>
      </c>
      <c r="D45" s="14" t="s">
        <v>5</v>
      </c>
      <c r="E45" s="14" t="str">
        <f t="shared" ref="E45:E52" si="6">G20</f>
        <v># of Customers/ Devices</v>
      </c>
      <c r="F45" s="14" t="s">
        <v>47</v>
      </c>
      <c r="H45" s="6"/>
    </row>
    <row r="46" spans="2:10" x14ac:dyDescent="0.25">
      <c r="B46" s="1" t="str">
        <f t="shared" ref="B46:B52" si="7">B21</f>
        <v>Residential</v>
      </c>
      <c r="C46" s="5" t="s">
        <v>57</v>
      </c>
      <c r="D46" s="5">
        <f>H21</f>
        <v>52.45</v>
      </c>
      <c r="E46" s="16">
        <f t="shared" si="6"/>
        <v>28818.139220781319</v>
      </c>
      <c r="F46" s="4">
        <f>D46*E46*12</f>
        <v>18138136.825559765</v>
      </c>
    </row>
    <row r="47" spans="2:10" x14ac:dyDescent="0.25">
      <c r="B47" s="1" t="str">
        <f t="shared" si="7"/>
        <v>GS &lt; 50</v>
      </c>
      <c r="C47" s="5" t="str">
        <f t="shared" ref="C47:C52" si="8">IF(H22&lt;E35,"Increase to Min",IF(H22&gt;F35,"Maintain Rate","Maintain Ratio"))</f>
        <v>Maintain Rate</v>
      </c>
      <c r="D47" s="17">
        <f>F35</f>
        <v>40.24</v>
      </c>
      <c r="E47" s="16">
        <f t="shared" si="6"/>
        <v>2555.7913538982712</v>
      </c>
      <c r="F47" s="4">
        <f t="shared" ref="F47:F52" si="9">D47*E47*12</f>
        <v>1234140.5289703973</v>
      </c>
    </row>
    <row r="48" spans="2:10" x14ac:dyDescent="0.25">
      <c r="B48" s="1" t="str">
        <f t="shared" si="7"/>
        <v>General Service &gt;50kW (incl. SBY)</v>
      </c>
      <c r="C48" s="5" t="str">
        <f t="shared" si="8"/>
        <v>Maintain Rate</v>
      </c>
      <c r="D48" s="17">
        <f t="shared" ref="D48:D52" si="10">IF(H23&lt;E36,E36,IF(H23&gt;F36,C36,H23))</f>
        <v>194.73</v>
      </c>
      <c r="E48" s="16">
        <f t="shared" si="6"/>
        <v>200.84232710266656</v>
      </c>
      <c r="F48" s="4">
        <f t="shared" si="9"/>
        <v>469320.31628042704</v>
      </c>
    </row>
    <row r="49" spans="2:7" x14ac:dyDescent="0.25">
      <c r="B49" s="1" t="str">
        <f t="shared" si="7"/>
        <v>Embedded Distributor</v>
      </c>
      <c r="C49" s="5" t="str">
        <f t="shared" si="8"/>
        <v>Maintain Rate</v>
      </c>
      <c r="D49" s="17">
        <f t="shared" si="10"/>
        <v>700.69</v>
      </c>
      <c r="E49" s="16">
        <f t="shared" si="6"/>
        <v>1</v>
      </c>
      <c r="F49" s="4">
        <f t="shared" si="9"/>
        <v>8408.2800000000007</v>
      </c>
    </row>
    <row r="50" spans="2:7" x14ac:dyDescent="0.25">
      <c r="B50" s="1" t="str">
        <f t="shared" si="7"/>
        <v>Street Light</v>
      </c>
      <c r="C50" s="5" t="str">
        <f t="shared" si="8"/>
        <v>Maintain Ratio</v>
      </c>
      <c r="D50" s="25">
        <f t="shared" si="10"/>
        <v>5.1283599999999998</v>
      </c>
      <c r="E50" s="16">
        <f t="shared" si="6"/>
        <v>6256.5596782076891</v>
      </c>
      <c r="F50" s="4">
        <f t="shared" si="9"/>
        <v>385030.68469599821</v>
      </c>
    </row>
    <row r="51" spans="2:7" x14ac:dyDescent="0.25">
      <c r="B51" s="1" t="str">
        <f t="shared" si="7"/>
        <v>Sentinel Light</v>
      </c>
      <c r="C51" s="5" t="str">
        <f t="shared" si="8"/>
        <v>Maintain Rate</v>
      </c>
      <c r="D51" s="17">
        <f t="shared" si="10"/>
        <v>7.01</v>
      </c>
      <c r="E51" s="16">
        <f t="shared" si="6"/>
        <v>592.50562066782277</v>
      </c>
      <c r="F51" s="4">
        <f t="shared" si="9"/>
        <v>49841.57281057725</v>
      </c>
    </row>
    <row r="52" spans="2:7" x14ac:dyDescent="0.25">
      <c r="B52" s="1" t="str">
        <f t="shared" si="7"/>
        <v>USL</v>
      </c>
      <c r="C52" s="5" t="str">
        <f t="shared" si="8"/>
        <v>Maintain Rate</v>
      </c>
      <c r="D52" s="17">
        <f t="shared" si="10"/>
        <v>61.23</v>
      </c>
      <c r="E52" s="16">
        <f t="shared" si="6"/>
        <v>44.731029858870748</v>
      </c>
      <c r="F52" s="4">
        <f t="shared" si="9"/>
        <v>32866.571499103869</v>
      </c>
    </row>
    <row r="55" spans="2:7" x14ac:dyDescent="0.25">
      <c r="B55" s="6" t="s">
        <v>58</v>
      </c>
    </row>
    <row r="57" spans="2:7" x14ac:dyDescent="0.25">
      <c r="B57" s="148" t="s">
        <v>4</v>
      </c>
      <c r="C57" s="153" t="s">
        <v>59</v>
      </c>
      <c r="D57" s="154"/>
      <c r="E57" s="153" t="s">
        <v>60</v>
      </c>
      <c r="F57" s="154"/>
      <c r="G57" s="6"/>
    </row>
    <row r="58" spans="2:7" x14ac:dyDescent="0.25">
      <c r="B58" s="148"/>
      <c r="C58" s="14" t="s">
        <v>31</v>
      </c>
      <c r="D58" s="14" t="s">
        <v>32</v>
      </c>
      <c r="E58" s="14" t="s">
        <v>31</v>
      </c>
      <c r="F58" s="14" t="s">
        <v>32</v>
      </c>
      <c r="G58" s="18"/>
    </row>
    <row r="59" spans="2:7" x14ac:dyDescent="0.25">
      <c r="B59" s="1" t="str">
        <f t="shared" ref="B59:B65" si="11">B83</f>
        <v>Residential</v>
      </c>
      <c r="C59" s="3">
        <f>'A. TestYr Rev at BrdgYr Rates'!C39</f>
        <v>1</v>
      </c>
      <c r="D59" s="3">
        <f>'A. TestYr Rev at BrdgYr Rates'!D39</f>
        <v>0</v>
      </c>
      <c r="E59" s="3">
        <v>1</v>
      </c>
      <c r="F59" s="3">
        <f t="shared" ref="F59:F65" si="12">1-E59</f>
        <v>0</v>
      </c>
      <c r="G59" s="19"/>
    </row>
    <row r="60" spans="2:7" x14ac:dyDescent="0.25">
      <c r="B60" s="1" t="str">
        <f t="shared" si="11"/>
        <v>GS &lt; 50</v>
      </c>
      <c r="C60" s="3">
        <f>'A. TestYr Rev at BrdgYr Rates'!C40</f>
        <v>0.35829832842535342</v>
      </c>
      <c r="D60" s="3">
        <f>'A. TestYr Rev at BrdgYr Rates'!D40</f>
        <v>0.64170167157464664</v>
      </c>
      <c r="E60" s="3">
        <f t="shared" ref="E60:E65" si="13">F47/E22</f>
        <v>0.32652228212074763</v>
      </c>
      <c r="F60" s="3">
        <f t="shared" si="12"/>
        <v>0.67347771787925237</v>
      </c>
      <c r="G60" s="20"/>
    </row>
    <row r="61" spans="2:7" x14ac:dyDescent="0.25">
      <c r="B61" s="1" t="str">
        <f t="shared" si="11"/>
        <v>General Service &gt;50kW (incl. SBY)</v>
      </c>
      <c r="C61" s="3">
        <f>'A. TestYr Rev at BrdgYr Rates'!C41</f>
        <v>8.6327930000829001E-2</v>
      </c>
      <c r="D61" s="3">
        <f>'A. TestYr Rev at BrdgYr Rates'!D41</f>
        <v>0.91367206999917094</v>
      </c>
      <c r="E61" s="3">
        <f t="shared" si="13"/>
        <v>7.4299167713438599E-2</v>
      </c>
      <c r="F61" s="3">
        <f t="shared" si="12"/>
        <v>0.92570083228656141</v>
      </c>
      <c r="G61" s="20"/>
    </row>
    <row r="62" spans="2:7" x14ac:dyDescent="0.25">
      <c r="B62" s="1" t="str">
        <f t="shared" si="11"/>
        <v>Embedded Distributor</v>
      </c>
      <c r="C62" s="3">
        <f>'A. TestYr Rev at BrdgYr Rates'!C42</f>
        <v>4.9910584645159024E-2</v>
      </c>
      <c r="D62" s="3">
        <f>'A. TestYr Rev at BrdgYr Rates'!D42</f>
        <v>0.95008941535484104</v>
      </c>
      <c r="E62" s="3">
        <f t="shared" si="13"/>
        <v>4.4121288301865305E-2</v>
      </c>
      <c r="F62" s="3">
        <f t="shared" si="12"/>
        <v>0.95587871169813465</v>
      </c>
      <c r="G62" s="20"/>
    </row>
    <row r="63" spans="2:7" x14ac:dyDescent="0.25">
      <c r="B63" s="1" t="str">
        <f t="shared" si="11"/>
        <v>Street Light</v>
      </c>
      <c r="C63" s="3">
        <f>'A. TestYr Rev at BrdgYr Rates'!C43</f>
        <v>0.89428828292617679</v>
      </c>
      <c r="D63" s="3">
        <f>'A. TestYr Rev at BrdgYr Rates'!D43</f>
        <v>0.10571171707382322</v>
      </c>
      <c r="E63" s="3">
        <f t="shared" si="13"/>
        <v>0.89428885816297454</v>
      </c>
      <c r="F63" s="3">
        <f t="shared" si="12"/>
        <v>0.10571114183702546</v>
      </c>
      <c r="G63" s="20"/>
    </row>
    <row r="64" spans="2:7" x14ac:dyDescent="0.25">
      <c r="B64" s="1" t="str">
        <f t="shared" si="11"/>
        <v>Sentinel Light</v>
      </c>
      <c r="C64" s="3">
        <f>'A. TestYr Rev at BrdgYr Rates'!C44</f>
        <v>0.82127284466413042</v>
      </c>
      <c r="D64" s="3">
        <f>'A. TestYr Rev at BrdgYr Rates'!D44</f>
        <v>0.17872715533586961</v>
      </c>
      <c r="E64" s="3">
        <f t="shared" si="13"/>
        <v>0.72221237011898887</v>
      </c>
      <c r="F64" s="3">
        <f t="shared" si="12"/>
        <v>0.27778762988101113</v>
      </c>
      <c r="G64" s="20"/>
    </row>
    <row r="65" spans="2:7" x14ac:dyDescent="0.25">
      <c r="B65" s="1" t="str">
        <f t="shared" si="11"/>
        <v>USL</v>
      </c>
      <c r="C65" s="3">
        <f>'A. TestYr Rev at BrdgYr Rates'!C45</f>
        <v>0.42358514755963866</v>
      </c>
      <c r="D65" s="3">
        <f>'A. TestYr Rev at BrdgYr Rates'!D45</f>
        <v>0.57641485244036128</v>
      </c>
      <c r="E65" s="3">
        <f t="shared" si="13"/>
        <v>0.372493058006024</v>
      </c>
      <c r="F65" s="3">
        <f t="shared" si="12"/>
        <v>0.62750694199397605</v>
      </c>
      <c r="G65" s="20"/>
    </row>
    <row r="66" spans="2:7" x14ac:dyDescent="0.25">
      <c r="B66" s="1" t="s">
        <v>20</v>
      </c>
      <c r="C66" s="1"/>
      <c r="D66" s="1"/>
      <c r="E66" s="1"/>
      <c r="F66" s="1"/>
    </row>
    <row r="68" spans="2:7" x14ac:dyDescent="0.25">
      <c r="B68" s="6" t="s">
        <v>61</v>
      </c>
    </row>
    <row r="70" spans="2:7" ht="25.5" x14ac:dyDescent="0.25">
      <c r="B70" s="13" t="s">
        <v>4</v>
      </c>
      <c r="C70" s="14" t="s">
        <v>62</v>
      </c>
      <c r="D70" s="14" t="s">
        <v>19</v>
      </c>
      <c r="E70" s="14" t="s">
        <v>63</v>
      </c>
      <c r="F70" s="14" t="s">
        <v>64</v>
      </c>
      <c r="G70" s="13" t="s">
        <v>65</v>
      </c>
    </row>
    <row r="71" spans="2:7" x14ac:dyDescent="0.25">
      <c r="B71" s="1" t="str">
        <f>B46</f>
        <v>Residential</v>
      </c>
      <c r="C71" s="4">
        <v>0</v>
      </c>
      <c r="D71" s="21"/>
      <c r="E71" s="16">
        <f>IF(G71="kWh",'A. TestYr Rev at BrdgYr Rates'!G9,'A. TestYr Rev at BrdgYr Rates'!H9)</f>
        <v>237403471.2198239</v>
      </c>
      <c r="F71" s="22">
        <f t="shared" ref="F71:F78" si="14">ROUND((C71+D71)/E71,4)</f>
        <v>0</v>
      </c>
      <c r="G71" s="5" t="s">
        <v>12</v>
      </c>
    </row>
    <row r="72" spans="2:7" x14ac:dyDescent="0.25">
      <c r="B72" s="1" t="str">
        <f t="shared" ref="B72:B77" si="15">B47</f>
        <v>GS &lt; 50</v>
      </c>
      <c r="C72" s="4">
        <f t="shared" ref="C72:C78" si="16">E22-F47</f>
        <v>2545511.2637180211</v>
      </c>
      <c r="D72" s="4"/>
      <c r="E72" s="16">
        <f>IF(G72="kWh",'A. TestYr Rev at BrdgYr Rates'!G10,'A. TestYr Rev at BrdgYr Rates'!H10)</f>
        <v>67709852.535780728</v>
      </c>
      <c r="F72" s="22">
        <f t="shared" si="14"/>
        <v>3.7600000000000001E-2</v>
      </c>
      <c r="G72" s="5" t="s">
        <v>12</v>
      </c>
    </row>
    <row r="73" spans="2:7" x14ac:dyDescent="0.25">
      <c r="B73" s="1" t="str">
        <f t="shared" si="15"/>
        <v>General Service &gt;50kW (incl. SBY)</v>
      </c>
      <c r="C73" s="4">
        <f t="shared" si="16"/>
        <v>5847309.2062807037</v>
      </c>
      <c r="D73" s="66">
        <f>-'A. TestYr Rev at BrdgYr Rates'!F24</f>
        <v>194110.5107143434</v>
      </c>
      <c r="E73" s="68">
        <f>IF(G73="kWh",'A. TestYr Rev at BrdgYr Rates'!G11,'A. TestYr Rev at BrdgYr Rates'!H11)+IF(G78="kWh",'A. TestYr Rev at BrdgYr Rates'!G17,'A. TestYr Rev at BrdgYr Rates'!H17)</f>
        <v>639655.79558898753</v>
      </c>
      <c r="F73" s="22">
        <f t="shared" si="14"/>
        <v>9.4448000000000008</v>
      </c>
      <c r="G73" s="5" t="s">
        <v>14</v>
      </c>
    </row>
    <row r="74" spans="2:7" x14ac:dyDescent="0.25">
      <c r="B74" s="1" t="str">
        <f t="shared" si="15"/>
        <v>Embedded Distributor</v>
      </c>
      <c r="C74" s="4">
        <f t="shared" si="16"/>
        <v>182163.67117406684</v>
      </c>
      <c r="D74" s="4"/>
      <c r="E74" s="16">
        <f>IF(G74="kWh",'A. TestYr Rev at BrdgYr Rates'!G12,'A. TestYr Rev at BrdgYr Rates'!H12)</f>
        <v>15117.837287728271</v>
      </c>
      <c r="F74" s="22">
        <f t="shared" si="14"/>
        <v>12.0496</v>
      </c>
      <c r="G74" s="5" t="s">
        <v>14</v>
      </c>
    </row>
    <row r="75" spans="2:7" x14ac:dyDescent="0.25">
      <c r="B75" s="1" t="str">
        <f t="shared" si="15"/>
        <v>Street Light</v>
      </c>
      <c r="C75" s="4">
        <f>E25-F50</f>
        <v>45513.29578802397</v>
      </c>
      <c r="D75" s="4"/>
      <c r="E75" s="70">
        <f>IF(G75="kWh",'A. TestYr Rev at BrdgYr Rates'!G13,'A. TestYr Rev at BrdgYr Rates'!H13)</f>
        <v>4448.1566374106551</v>
      </c>
      <c r="F75" s="22">
        <f t="shared" si="14"/>
        <v>10.2319</v>
      </c>
      <c r="G75" s="5" t="s">
        <v>14</v>
      </c>
    </row>
    <row r="76" spans="2:7" x14ac:dyDescent="0.25">
      <c r="B76" s="1" t="str">
        <f t="shared" si="15"/>
        <v>Sentinel Light</v>
      </c>
      <c r="C76" s="4">
        <f t="shared" si="16"/>
        <v>19170.777119631712</v>
      </c>
      <c r="D76" s="4"/>
      <c r="E76" s="16">
        <f>IF(G76="kWh",'A. TestYr Rev at BrdgYr Rates'!G14,'A. TestYr Rev at BrdgYr Rates'!H14)</f>
        <v>1338.908273976052</v>
      </c>
      <c r="F76" s="22">
        <f t="shared" si="14"/>
        <v>14.318199999999999</v>
      </c>
      <c r="G76" s="5" t="s">
        <v>14</v>
      </c>
    </row>
    <row r="77" spans="2:7" x14ac:dyDescent="0.25">
      <c r="B77" s="1" t="str">
        <f t="shared" si="15"/>
        <v>USL</v>
      </c>
      <c r="C77" s="4">
        <f t="shared" si="16"/>
        <v>55367.479559566724</v>
      </c>
      <c r="D77" s="4"/>
      <c r="E77" s="16">
        <f>IF(G77="kWh",'A. TestYr Rev at BrdgYr Rates'!G15,'A. TestYr Rev at BrdgYr Rates'!H15)</f>
        <v>1347133.8778602926</v>
      </c>
      <c r="F77" s="22">
        <f t="shared" si="14"/>
        <v>4.1099999999999998E-2</v>
      </c>
      <c r="G77" s="5" t="s">
        <v>12</v>
      </c>
    </row>
    <row r="78" spans="2:7" x14ac:dyDescent="0.25">
      <c r="B78" s="1" t="s">
        <v>20</v>
      </c>
      <c r="C78" s="4">
        <f t="shared" si="16"/>
        <v>0</v>
      </c>
      <c r="D78" s="4"/>
      <c r="E78" s="16">
        <f>IF(G78="kWh",'A. TestYr Rev at BrdgYr Rates'!G17,'A. TestYr Rev at BrdgYr Rates'!H17)</f>
        <v>78287.841524544681</v>
      </c>
      <c r="F78" s="22">
        <f t="shared" si="14"/>
        <v>0</v>
      </c>
      <c r="G78" s="5" t="s">
        <v>14</v>
      </c>
    </row>
    <row r="80" spans="2:7" x14ac:dyDescent="0.25">
      <c r="B80" s="6" t="s">
        <v>66</v>
      </c>
    </row>
    <row r="82" spans="2:7" ht="38.25" x14ac:dyDescent="0.25">
      <c r="B82" s="13" t="s">
        <v>4</v>
      </c>
      <c r="C82" s="14" t="s">
        <v>47</v>
      </c>
      <c r="D82" s="14" t="s">
        <v>62</v>
      </c>
      <c r="E82" s="14" t="s">
        <v>67</v>
      </c>
      <c r="F82" s="14" t="s">
        <v>68</v>
      </c>
      <c r="G82" s="14" t="s">
        <v>69</v>
      </c>
    </row>
    <row r="83" spans="2:7" x14ac:dyDescent="0.25">
      <c r="B83" s="1" t="str">
        <f>B71</f>
        <v>Residential</v>
      </c>
      <c r="C83" s="4">
        <f t="shared" ref="C83:C90" si="17">F46</f>
        <v>18138136.825559765</v>
      </c>
      <c r="D83" s="4">
        <v>0</v>
      </c>
      <c r="E83" s="4">
        <f t="shared" ref="E83:E90" si="18">C83+D83-D71</f>
        <v>18138136.825559765</v>
      </c>
      <c r="F83" s="4">
        <f t="shared" ref="F83:F90" si="19">E21</f>
        <v>18139208.654687069</v>
      </c>
      <c r="G83" s="4">
        <f>E83-F83</f>
        <v>-1071.829127304256</v>
      </c>
    </row>
    <row r="84" spans="2:7" x14ac:dyDescent="0.25">
      <c r="B84" s="1" t="str">
        <f t="shared" ref="B84:B89" si="20">B72</f>
        <v>GS &lt; 50</v>
      </c>
      <c r="C84" s="4">
        <f t="shared" si="17"/>
        <v>1234140.5289703973</v>
      </c>
      <c r="D84" s="4">
        <f t="shared" ref="D84:D90" si="21">E72*F72</f>
        <v>2545890.4553453554</v>
      </c>
      <c r="E84" s="4">
        <f t="shared" si="18"/>
        <v>3780030.984315753</v>
      </c>
      <c r="F84" s="4">
        <f t="shared" si="19"/>
        <v>3779651.7926884182</v>
      </c>
      <c r="G84" s="4">
        <f t="shared" ref="G84:G90" si="22">E84-F84</f>
        <v>379.19162733480334</v>
      </c>
    </row>
    <row r="85" spans="2:7" x14ac:dyDescent="0.25">
      <c r="B85" s="1" t="str">
        <f t="shared" si="20"/>
        <v>General Service &gt;50kW (incl. SBY)</v>
      </c>
      <c r="C85" s="4">
        <f t="shared" si="17"/>
        <v>469320.31628042704</v>
      </c>
      <c r="D85" s="4">
        <f t="shared" si="21"/>
        <v>6041421.05817887</v>
      </c>
      <c r="E85" s="4">
        <f t="shared" si="18"/>
        <v>6316630.8637449536</v>
      </c>
      <c r="F85" s="4">
        <f t="shared" si="19"/>
        <v>6316629.522561131</v>
      </c>
      <c r="G85" s="4">
        <f t="shared" si="22"/>
        <v>1.3411838226020336</v>
      </c>
    </row>
    <row r="86" spans="2:7" x14ac:dyDescent="0.25">
      <c r="B86" s="1" t="str">
        <f t="shared" si="20"/>
        <v>Embedded Distributor</v>
      </c>
      <c r="C86" s="4">
        <f t="shared" si="17"/>
        <v>8408.2800000000007</v>
      </c>
      <c r="D86" s="4">
        <f t="shared" si="21"/>
        <v>182163.89218221058</v>
      </c>
      <c r="E86" s="4">
        <f t="shared" si="18"/>
        <v>190572.17218221058</v>
      </c>
      <c r="F86" s="4">
        <f t="shared" si="19"/>
        <v>190571.95117406684</v>
      </c>
      <c r="G86" s="4">
        <f t="shared" si="22"/>
        <v>0.22100814373698086</v>
      </c>
    </row>
    <row r="87" spans="2:7" x14ac:dyDescent="0.25">
      <c r="B87" s="1" t="str">
        <f t="shared" si="20"/>
        <v>Street Light</v>
      </c>
      <c r="C87" s="4">
        <f t="shared" si="17"/>
        <v>385030.68469599821</v>
      </c>
      <c r="D87" s="4">
        <f t="shared" si="21"/>
        <v>45513.093898322077</v>
      </c>
      <c r="E87" s="4">
        <f t="shared" si="18"/>
        <v>430543.77859432029</v>
      </c>
      <c r="F87" s="4">
        <f t="shared" si="19"/>
        <v>430543.98048402218</v>
      </c>
      <c r="G87" s="4">
        <f t="shared" si="22"/>
        <v>-0.20188970188610256</v>
      </c>
    </row>
    <row r="88" spans="2:7" x14ac:dyDescent="0.25">
      <c r="B88" s="1" t="str">
        <f t="shared" si="20"/>
        <v>Sentinel Light</v>
      </c>
      <c r="C88" s="4">
        <f t="shared" si="17"/>
        <v>49841.57281057725</v>
      </c>
      <c r="D88" s="4">
        <f t="shared" si="21"/>
        <v>19170.756448443906</v>
      </c>
      <c r="E88" s="4">
        <f t="shared" si="18"/>
        <v>69012.329259021149</v>
      </c>
      <c r="F88" s="4">
        <f t="shared" si="19"/>
        <v>69012.349930208962</v>
      </c>
      <c r="G88" s="4">
        <f t="shared" si="22"/>
        <v>-2.067118781269528E-2</v>
      </c>
    </row>
    <row r="89" spans="2:7" x14ac:dyDescent="0.25">
      <c r="B89" s="1" t="str">
        <f t="shared" si="20"/>
        <v>USL</v>
      </c>
      <c r="C89" s="4">
        <f t="shared" si="17"/>
        <v>32866.571499103869</v>
      </c>
      <c r="D89" s="4">
        <f t="shared" si="21"/>
        <v>55367.202380058021</v>
      </c>
      <c r="E89" s="4">
        <f t="shared" si="18"/>
        <v>88233.77387916189</v>
      </c>
      <c r="F89" s="4">
        <f t="shared" si="19"/>
        <v>88234.051058670593</v>
      </c>
      <c r="G89" s="4">
        <f t="shared" si="22"/>
        <v>-0.27717950870282948</v>
      </c>
    </row>
    <row r="90" spans="2:7" x14ac:dyDescent="0.25">
      <c r="B90" s="1" t="s">
        <v>20</v>
      </c>
      <c r="C90" s="4">
        <f t="shared" si="17"/>
        <v>0</v>
      </c>
      <c r="D90" s="4">
        <f t="shared" si="21"/>
        <v>0</v>
      </c>
      <c r="E90" s="4">
        <f t="shared" si="18"/>
        <v>0</v>
      </c>
      <c r="F90" s="4">
        <f t="shared" si="19"/>
        <v>0</v>
      </c>
      <c r="G90" s="4">
        <f t="shared" si="22"/>
        <v>0</v>
      </c>
    </row>
    <row r="91" spans="2:7" x14ac:dyDescent="0.25">
      <c r="B91" s="23" t="s">
        <v>28</v>
      </c>
      <c r="C91" s="24">
        <f>SUM(C83:C90)</f>
        <v>20317744.779816277</v>
      </c>
      <c r="D91" s="24">
        <f t="shared" ref="D91:G91" si="23">SUM(D83:D90)</f>
        <v>8889526.4584332593</v>
      </c>
      <c r="E91" s="24">
        <f t="shared" si="23"/>
        <v>29013160.727535181</v>
      </c>
      <c r="F91" s="24">
        <f t="shared" si="23"/>
        <v>29013852.302583586</v>
      </c>
      <c r="G91" s="24">
        <f t="shared" si="23"/>
        <v>-691.57504840151523</v>
      </c>
    </row>
    <row r="93" spans="2:7" x14ac:dyDescent="0.25">
      <c r="B93" s="6" t="s">
        <v>70</v>
      </c>
    </row>
    <row r="95" spans="2:7" x14ac:dyDescent="0.25">
      <c r="B95" s="148" t="s">
        <v>4</v>
      </c>
      <c r="C95" s="156" t="s">
        <v>65</v>
      </c>
      <c r="D95" s="153" t="s">
        <v>51</v>
      </c>
      <c r="E95" s="154"/>
      <c r="F95" s="153" t="s">
        <v>60</v>
      </c>
      <c r="G95" s="154"/>
    </row>
    <row r="96" spans="2:7" x14ac:dyDescent="0.25">
      <c r="B96" s="148"/>
      <c r="C96" s="157"/>
      <c r="D96" s="14" t="s">
        <v>5</v>
      </c>
      <c r="E96" s="14" t="s">
        <v>64</v>
      </c>
      <c r="F96" s="14" t="s">
        <v>5</v>
      </c>
      <c r="G96" s="14" t="s">
        <v>64</v>
      </c>
    </row>
    <row r="97" spans="2:13" x14ac:dyDescent="0.25">
      <c r="B97" s="1" t="str">
        <f>B83</f>
        <v>Residential</v>
      </c>
      <c r="C97" s="4" t="str">
        <f>G71</f>
        <v>kWh</v>
      </c>
      <c r="D97" s="17">
        <f>'A. TestYr Rev at BrdgYr Rates'!C9</f>
        <v>46.08</v>
      </c>
      <c r="E97" s="25">
        <f>'A. TestYr Rev at BrdgYr Rates'!D9</f>
        <v>0</v>
      </c>
      <c r="F97" s="17">
        <f>ROUND(D46,2)</f>
        <v>52.45</v>
      </c>
      <c r="G97" s="25">
        <f>F71</f>
        <v>0</v>
      </c>
    </row>
    <row r="98" spans="2:13" x14ac:dyDescent="0.25">
      <c r="B98" s="1" t="str">
        <f t="shared" ref="B98:B103" si="24">B84</f>
        <v>GS &lt; 50</v>
      </c>
      <c r="C98" s="4" t="str">
        <f t="shared" ref="C98:C104" si="25">G72</f>
        <v>kWh</v>
      </c>
      <c r="D98" s="17">
        <f>'A. TestYr Rev at BrdgYr Rates'!C10</f>
        <v>38.83</v>
      </c>
      <c r="E98" s="25">
        <f>'A. TestYr Rev at BrdgYr Rates'!D10</f>
        <v>3.15E-2</v>
      </c>
      <c r="F98" s="17">
        <f t="shared" ref="F98:F104" si="26">ROUND(D47,2)</f>
        <v>40.24</v>
      </c>
      <c r="G98" s="25">
        <f t="shared" ref="G98:G104" si="27">F72</f>
        <v>3.7600000000000001E-2</v>
      </c>
    </row>
    <row r="99" spans="2:13" x14ac:dyDescent="0.25">
      <c r="B99" s="1" t="str">
        <f t="shared" si="24"/>
        <v>General Service &gt;50kW (incl. SBY)</v>
      </c>
      <c r="C99" s="72" t="str">
        <f t="shared" si="25"/>
        <v>kW</v>
      </c>
      <c r="D99" s="73">
        <f>'A. TestYr Rev at BrdgYr Rates'!C11</f>
        <v>194.73</v>
      </c>
      <c r="E99" s="74">
        <f>'A. TestYr Rev at BrdgYr Rates'!D11</f>
        <v>9.1941000000000006</v>
      </c>
      <c r="F99" s="73">
        <f t="shared" si="26"/>
        <v>194.73</v>
      </c>
      <c r="G99" s="74">
        <f t="shared" si="27"/>
        <v>9.4448000000000008</v>
      </c>
    </row>
    <row r="100" spans="2:13" x14ac:dyDescent="0.25">
      <c r="B100" s="1" t="str">
        <f t="shared" si="24"/>
        <v>Embedded Distributor</v>
      </c>
      <c r="C100" s="4" t="str">
        <f t="shared" si="25"/>
        <v>kW</v>
      </c>
      <c r="D100" s="17">
        <f>'A. TestYr Rev at BrdgYr Rates'!C12</f>
        <v>700.69</v>
      </c>
      <c r="E100" s="25">
        <f>'A. TestYr Rev at BrdgYr Rates'!D12</f>
        <v>10.587400000000001</v>
      </c>
      <c r="F100" s="17">
        <f t="shared" si="26"/>
        <v>700.69</v>
      </c>
      <c r="G100" s="25">
        <f t="shared" si="27"/>
        <v>12.0496</v>
      </c>
    </row>
    <row r="101" spans="2:13" x14ac:dyDescent="0.25">
      <c r="B101" s="1" t="str">
        <f t="shared" si="24"/>
        <v>Street Light</v>
      </c>
      <c r="C101" s="4" t="str">
        <f t="shared" si="25"/>
        <v>kW</v>
      </c>
      <c r="D101" s="17">
        <f>'A. TestYr Rev at BrdgYr Rates'!C13</f>
        <v>4.6900000000000004</v>
      </c>
      <c r="E101" s="25">
        <f>'A. TestYr Rev at BrdgYr Rates'!D13</f>
        <v>9.3574000000000002</v>
      </c>
      <c r="F101" s="17">
        <f t="shared" si="26"/>
        <v>5.13</v>
      </c>
      <c r="G101" s="25">
        <f t="shared" si="27"/>
        <v>10.2319</v>
      </c>
    </row>
    <row r="102" spans="2:13" x14ac:dyDescent="0.25">
      <c r="B102" s="1" t="str">
        <f t="shared" si="24"/>
        <v>Sentinel Light</v>
      </c>
      <c r="C102" s="4" t="str">
        <f t="shared" si="25"/>
        <v>kW</v>
      </c>
      <c r="D102" s="17">
        <f>'A. TestYr Rev at BrdgYr Rates'!C14</f>
        <v>7.01</v>
      </c>
      <c r="E102" s="25">
        <f>'A. TestYr Rev at BrdgYr Rates'!D14</f>
        <v>8.1011000000000006</v>
      </c>
      <c r="F102" s="17">
        <f t="shared" si="26"/>
        <v>7.01</v>
      </c>
      <c r="G102" s="25">
        <f t="shared" si="27"/>
        <v>14.318199999999999</v>
      </c>
    </row>
    <row r="103" spans="2:13" x14ac:dyDescent="0.25">
      <c r="B103" s="1" t="str">
        <f t="shared" si="24"/>
        <v>USL</v>
      </c>
      <c r="C103" s="4" t="str">
        <f t="shared" si="25"/>
        <v>kWh</v>
      </c>
      <c r="D103" s="17">
        <f>'A. TestYr Rev at BrdgYr Rates'!C15</f>
        <v>61.23</v>
      </c>
      <c r="E103" s="25">
        <f>'A. TestYr Rev at BrdgYr Rates'!D15</f>
        <v>3.32E-2</v>
      </c>
      <c r="F103" s="17">
        <f t="shared" si="26"/>
        <v>61.23</v>
      </c>
      <c r="G103" s="25">
        <f t="shared" si="27"/>
        <v>4.1099999999999998E-2</v>
      </c>
    </row>
    <row r="104" spans="2:13" x14ac:dyDescent="0.25">
      <c r="B104" s="1" t="s">
        <v>20</v>
      </c>
      <c r="C104" s="4" t="str">
        <f t="shared" si="25"/>
        <v>kW</v>
      </c>
      <c r="D104" s="17">
        <f>'A. TestYr Rev at BrdgYr Rates'!C17</f>
        <v>0</v>
      </c>
      <c r="E104" s="25">
        <f>'A. TestYr Rev at BrdgYr Rates'!D17</f>
        <v>1.5104</v>
      </c>
      <c r="F104" s="17">
        <f t="shared" si="26"/>
        <v>0</v>
      </c>
      <c r="G104" s="25">
        <f t="shared" si="27"/>
        <v>0</v>
      </c>
    </row>
    <row r="106" spans="2:13" x14ac:dyDescent="0.25">
      <c r="B106" s="6" t="s">
        <v>71</v>
      </c>
    </row>
    <row r="108" spans="2:13" x14ac:dyDescent="0.25">
      <c r="B108" s="148" t="s">
        <v>4</v>
      </c>
      <c r="C108" s="156" t="s">
        <v>65</v>
      </c>
      <c r="D108" s="153" t="s">
        <v>72</v>
      </c>
      <c r="E108" s="154"/>
      <c r="F108" s="153" t="s">
        <v>73</v>
      </c>
      <c r="G108" s="154"/>
      <c r="H108" s="148" t="s">
        <v>74</v>
      </c>
      <c r="I108" s="148"/>
      <c r="J108" s="148"/>
    </row>
    <row r="109" spans="2:13" ht="25.5" x14ac:dyDescent="0.25">
      <c r="B109" s="148"/>
      <c r="C109" s="157"/>
      <c r="D109" s="14" t="s">
        <v>75</v>
      </c>
      <c r="E109" s="14" t="s">
        <v>76</v>
      </c>
      <c r="F109" s="14" t="s">
        <v>23</v>
      </c>
      <c r="G109" s="14" t="s">
        <v>24</v>
      </c>
      <c r="H109" s="14" t="s">
        <v>23</v>
      </c>
      <c r="I109" s="14" t="s">
        <v>24</v>
      </c>
      <c r="J109" s="13" t="s">
        <v>28</v>
      </c>
    </row>
    <row r="110" spans="2:13" x14ac:dyDescent="0.25">
      <c r="B110" s="1" t="str">
        <f>B97</f>
        <v>Residential</v>
      </c>
      <c r="C110" s="4" t="str">
        <f>C97</f>
        <v>kWh</v>
      </c>
      <c r="D110" s="4">
        <f>E46</f>
        <v>28818.139220781319</v>
      </c>
      <c r="E110" s="4">
        <f>E71</f>
        <v>237403471.2198239</v>
      </c>
      <c r="F110" s="61">
        <f t="shared" ref="F110:G117" si="28">F97</f>
        <v>52.45</v>
      </c>
      <c r="G110" s="60">
        <f t="shared" si="28"/>
        <v>0</v>
      </c>
      <c r="H110" s="62">
        <f>D110*F110*12</f>
        <v>18138136.825559765</v>
      </c>
      <c r="I110" s="62">
        <f>E110*G110</f>
        <v>0</v>
      </c>
      <c r="J110" s="62">
        <f>H110+I110</f>
        <v>18138136.825559765</v>
      </c>
      <c r="L110" s="26"/>
      <c r="M110" s="64"/>
    </row>
    <row r="111" spans="2:13" x14ac:dyDescent="0.25">
      <c r="B111" s="1" t="str">
        <f t="shared" ref="B111:C117" si="29">B98</f>
        <v>GS &lt; 50</v>
      </c>
      <c r="C111" s="4" t="str">
        <f t="shared" si="29"/>
        <v>kWh</v>
      </c>
      <c r="D111" s="4">
        <f t="shared" ref="D111:D117" si="30">E47</f>
        <v>2555.7913538982712</v>
      </c>
      <c r="E111" s="4">
        <f t="shared" ref="E111:E117" si="31">E72</f>
        <v>67709852.535780728</v>
      </c>
      <c r="F111" s="60">
        <f t="shared" si="28"/>
        <v>40.24</v>
      </c>
      <c r="G111" s="69">
        <f t="shared" si="28"/>
        <v>3.7600000000000001E-2</v>
      </c>
      <c r="H111" s="62">
        <f t="shared" ref="H111:H117" si="32">D111*F111*12</f>
        <v>1234140.5289703973</v>
      </c>
      <c r="I111" s="62">
        <f t="shared" ref="I111:I117" si="33">E111*G111</f>
        <v>2545890.4553453554</v>
      </c>
      <c r="J111" s="62">
        <f t="shared" ref="J111:J117" si="34">H111+I111</f>
        <v>3780030.984315753</v>
      </c>
      <c r="L111" s="26"/>
      <c r="M111" s="64"/>
    </row>
    <row r="112" spans="2:13" x14ac:dyDescent="0.25">
      <c r="B112" s="1" t="str">
        <f t="shared" si="29"/>
        <v>General Service &gt;50kW (incl. SBY)</v>
      </c>
      <c r="C112" s="4" t="str">
        <f t="shared" si="29"/>
        <v>kW</v>
      </c>
      <c r="D112" s="4">
        <f t="shared" si="30"/>
        <v>200.84232710266656</v>
      </c>
      <c r="E112" s="4">
        <f t="shared" si="31"/>
        <v>639655.79558898753</v>
      </c>
      <c r="F112" s="59">
        <f t="shared" si="28"/>
        <v>194.73</v>
      </c>
      <c r="G112" s="69">
        <f t="shared" si="28"/>
        <v>9.4448000000000008</v>
      </c>
      <c r="H112" s="62">
        <f t="shared" si="32"/>
        <v>469320.31628042704</v>
      </c>
      <c r="I112" s="62">
        <f>E112*G112</f>
        <v>6041421.05817887</v>
      </c>
      <c r="J112" s="62">
        <f t="shared" si="34"/>
        <v>6510741.3744592974</v>
      </c>
      <c r="L112" s="26"/>
      <c r="M112" s="64"/>
    </row>
    <row r="113" spans="2:13" x14ac:dyDescent="0.25">
      <c r="B113" s="1" t="str">
        <f t="shared" si="29"/>
        <v>Embedded Distributor</v>
      </c>
      <c r="C113" s="4" t="str">
        <f t="shared" si="29"/>
        <v>kW</v>
      </c>
      <c r="D113" s="4">
        <f t="shared" si="30"/>
        <v>1</v>
      </c>
      <c r="E113" s="4">
        <f t="shared" si="31"/>
        <v>15117.837287728271</v>
      </c>
      <c r="F113" s="58">
        <f t="shared" si="28"/>
        <v>700.69</v>
      </c>
      <c r="G113" s="69">
        <f t="shared" si="28"/>
        <v>12.0496</v>
      </c>
      <c r="H113" s="62">
        <f t="shared" si="32"/>
        <v>8408.2800000000007</v>
      </c>
      <c r="I113" s="62">
        <f t="shared" si="33"/>
        <v>182163.89218221058</v>
      </c>
      <c r="J113" s="62">
        <f t="shared" si="34"/>
        <v>190572.17218221058</v>
      </c>
      <c r="L113" s="26"/>
      <c r="M113" s="64"/>
    </row>
    <row r="114" spans="2:13" x14ac:dyDescent="0.25">
      <c r="B114" s="1" t="str">
        <f t="shared" si="29"/>
        <v>Street Light</v>
      </c>
      <c r="C114" s="4" t="str">
        <f t="shared" si="29"/>
        <v>kW</v>
      </c>
      <c r="D114" s="4">
        <f t="shared" si="30"/>
        <v>6256.5596782076891</v>
      </c>
      <c r="E114" s="4">
        <f t="shared" si="31"/>
        <v>4448.1566374106551</v>
      </c>
      <c r="F114" s="58">
        <f t="shared" si="28"/>
        <v>5.13</v>
      </c>
      <c r="G114" s="69">
        <f t="shared" si="28"/>
        <v>10.2319</v>
      </c>
      <c r="H114" s="62">
        <f t="shared" si="32"/>
        <v>385153.81379046536</v>
      </c>
      <c r="I114" s="62">
        <f t="shared" si="33"/>
        <v>45513.093898322077</v>
      </c>
      <c r="J114" s="62">
        <f t="shared" si="34"/>
        <v>430666.90768878744</v>
      </c>
      <c r="L114" s="26"/>
      <c r="M114" s="64"/>
    </row>
    <row r="115" spans="2:13" x14ac:dyDescent="0.25">
      <c r="B115" s="1" t="str">
        <f t="shared" si="29"/>
        <v>Sentinel Light</v>
      </c>
      <c r="C115" s="4" t="str">
        <f t="shared" si="29"/>
        <v>kW</v>
      </c>
      <c r="D115" s="4">
        <f t="shared" si="30"/>
        <v>592.50562066782277</v>
      </c>
      <c r="E115" s="4">
        <f t="shared" si="31"/>
        <v>1338.908273976052</v>
      </c>
      <c r="F115" s="58">
        <f t="shared" si="28"/>
        <v>7.01</v>
      </c>
      <c r="G115" s="69">
        <f t="shared" si="28"/>
        <v>14.318199999999999</v>
      </c>
      <c r="H115" s="62">
        <f t="shared" si="32"/>
        <v>49841.57281057725</v>
      </c>
      <c r="I115" s="62">
        <f t="shared" si="33"/>
        <v>19170.756448443906</v>
      </c>
      <c r="J115" s="62">
        <f t="shared" si="34"/>
        <v>69012.329259021149</v>
      </c>
      <c r="L115" s="26"/>
      <c r="M115" s="64"/>
    </row>
    <row r="116" spans="2:13" x14ac:dyDescent="0.25">
      <c r="B116" s="1" t="str">
        <f t="shared" si="29"/>
        <v>USL</v>
      </c>
      <c r="C116" s="4" t="str">
        <f t="shared" si="29"/>
        <v>kWh</v>
      </c>
      <c r="D116" s="4">
        <f t="shared" si="30"/>
        <v>44.731029858870748</v>
      </c>
      <c r="E116" s="4">
        <f t="shared" si="31"/>
        <v>1347133.8778602926</v>
      </c>
      <c r="F116" s="58">
        <f t="shared" si="28"/>
        <v>61.23</v>
      </c>
      <c r="G116" s="69">
        <f t="shared" si="28"/>
        <v>4.1099999999999998E-2</v>
      </c>
      <c r="H116" s="62">
        <f t="shared" si="32"/>
        <v>32866.571499103869</v>
      </c>
      <c r="I116" s="62">
        <f t="shared" si="33"/>
        <v>55367.202380058021</v>
      </c>
      <c r="J116" s="62">
        <f t="shared" si="34"/>
        <v>88233.77387916189</v>
      </c>
      <c r="L116" s="26"/>
      <c r="M116" s="64"/>
    </row>
    <row r="117" spans="2:13" x14ac:dyDescent="0.25">
      <c r="B117" s="1" t="s">
        <v>20</v>
      </c>
      <c r="C117" s="4" t="str">
        <f t="shared" si="29"/>
        <v>kW</v>
      </c>
      <c r="D117" s="4">
        <f t="shared" si="30"/>
        <v>0</v>
      </c>
      <c r="E117" s="4">
        <f t="shared" si="31"/>
        <v>78287.841524544681</v>
      </c>
      <c r="F117" s="58">
        <f t="shared" si="28"/>
        <v>0</v>
      </c>
      <c r="G117" s="60">
        <f t="shared" si="28"/>
        <v>0</v>
      </c>
      <c r="H117" s="62">
        <f t="shared" si="32"/>
        <v>0</v>
      </c>
      <c r="I117" s="62">
        <f t="shared" si="33"/>
        <v>0</v>
      </c>
      <c r="J117" s="62">
        <f t="shared" si="34"/>
        <v>0</v>
      </c>
    </row>
    <row r="119" spans="2:13" ht="15" customHeight="1" x14ac:dyDescent="0.25">
      <c r="B119" s="155" t="s">
        <v>77</v>
      </c>
      <c r="C119" s="155"/>
      <c r="D119" s="155"/>
      <c r="E119" s="155"/>
      <c r="F119" s="155"/>
      <c r="G119" s="155"/>
      <c r="H119" s="27">
        <f>SUM(H110:H117)</f>
        <v>20317867.908910744</v>
      </c>
      <c r="I119" s="27">
        <f>SUM(I110:I117)</f>
        <v>8889526.4584332593</v>
      </c>
      <c r="J119" s="27">
        <f>H119+I119</f>
        <v>29207394.367344003</v>
      </c>
    </row>
    <row r="120" spans="2:13" ht="15" customHeight="1" x14ac:dyDescent="0.25">
      <c r="B120" s="155" t="s">
        <v>78</v>
      </c>
      <c r="C120" s="155"/>
      <c r="D120" s="155"/>
      <c r="E120" s="155"/>
      <c r="F120" s="155"/>
      <c r="G120" s="155"/>
      <c r="H120" s="28"/>
      <c r="I120" s="29">
        <f>-D73</f>
        <v>-194110.5107143434</v>
      </c>
      <c r="J120" s="29">
        <f>H120+I120</f>
        <v>-194110.5107143434</v>
      </c>
      <c r="K120" s="65"/>
    </row>
    <row r="121" spans="2:13" ht="13.5" thickBot="1" x14ac:dyDescent="0.3">
      <c r="H121" s="30">
        <f>H119+H120</f>
        <v>20317867.908910744</v>
      </c>
      <c r="I121" s="30">
        <f>I119+I120</f>
        <v>8695415.9477189165</v>
      </c>
      <c r="J121" s="30">
        <f>J119+J120</f>
        <v>29013283.856629658</v>
      </c>
    </row>
    <row r="122" spans="2:13" ht="13.5" thickTop="1" x14ac:dyDescent="0.25">
      <c r="I122" s="26"/>
    </row>
    <row r="123" spans="2:13" ht="15" customHeight="1" x14ac:dyDescent="0.25">
      <c r="B123" s="155" t="s">
        <v>79</v>
      </c>
      <c r="C123" s="155"/>
      <c r="D123" s="155"/>
      <c r="E123" s="155"/>
      <c r="F123" s="155"/>
      <c r="G123" s="155"/>
      <c r="H123" s="20"/>
      <c r="I123" s="67"/>
      <c r="J123" s="27">
        <f>F91</f>
        <v>29013852.302583586</v>
      </c>
    </row>
    <row r="124" spans="2:13" x14ac:dyDescent="0.25">
      <c r="I124" s="26"/>
    </row>
    <row r="125" spans="2:13" ht="15" customHeight="1" x14ac:dyDescent="0.25">
      <c r="B125" s="158" t="s">
        <v>80</v>
      </c>
      <c r="C125" s="158"/>
      <c r="D125" s="158"/>
      <c r="E125" s="158"/>
      <c r="F125" s="158"/>
      <c r="G125" s="158"/>
      <c r="H125" s="31"/>
      <c r="I125" s="31"/>
      <c r="J125" s="32">
        <f>J121-J123</f>
        <v>-568.44595392793417</v>
      </c>
    </row>
    <row r="126" spans="2:13" ht="15" customHeight="1" x14ac:dyDescent="0.25">
      <c r="B126" s="158" t="s">
        <v>81</v>
      </c>
      <c r="C126" s="158"/>
      <c r="D126" s="158"/>
      <c r="E126" s="158"/>
      <c r="F126" s="158"/>
      <c r="G126" s="158"/>
      <c r="H126" s="33"/>
      <c r="I126" s="33"/>
      <c r="J126" s="34">
        <f>J125/J123</f>
        <v>-1.9592226085652059E-5</v>
      </c>
    </row>
  </sheetData>
  <mergeCells count="24">
    <mergeCell ref="B120:G120"/>
    <mergeCell ref="B123:G123"/>
    <mergeCell ref="B125:G125"/>
    <mergeCell ref="B126:G126"/>
    <mergeCell ref="B108:B109"/>
    <mergeCell ref="C108:C109"/>
    <mergeCell ref="D108:E108"/>
    <mergeCell ref="F108:G108"/>
    <mergeCell ref="H108:J108"/>
    <mergeCell ref="B119:G119"/>
    <mergeCell ref="B57:B58"/>
    <mergeCell ref="C57:D57"/>
    <mergeCell ref="E57:F57"/>
    <mergeCell ref="B95:B96"/>
    <mergeCell ref="C95:C96"/>
    <mergeCell ref="D95:E95"/>
    <mergeCell ref="F95:G95"/>
    <mergeCell ref="B32:B33"/>
    <mergeCell ref="C32:F32"/>
    <mergeCell ref="B2:J2"/>
    <mergeCell ref="B12:I12"/>
    <mergeCell ref="B19:B20"/>
    <mergeCell ref="C19:D19"/>
    <mergeCell ref="E19:H19"/>
  </mergeCells>
  <pageMargins left="0.7" right="0.7" top="0.75" bottom="0.75" header="0.3" footer="0.3"/>
  <pageSetup paperSize="5" orientation="landscape" verticalDpi="0" r:id="rId1"/>
  <rowBreaks count="4" manualBreakCount="4">
    <brk id="28" max="16383" man="1"/>
    <brk id="53" max="16383" man="1"/>
    <brk id="78" max="16383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0773B-BDAB-4557-B2FE-B34A17E7174F}">
  <dimension ref="B2:AA26"/>
  <sheetViews>
    <sheetView showGridLines="0" view="pageBreakPreview" zoomScale="85" zoomScaleNormal="85" zoomScaleSheetLayoutView="85" workbookViewId="0">
      <pane xSplit="2" ySplit="6" topLeftCell="G7" activePane="bottomRight" state="frozen"/>
      <selection pane="topRight" activeCell="C1" sqref="C1"/>
      <selection pane="bottomLeft" activeCell="A7" sqref="A7"/>
      <selection pane="bottomRight" activeCell="Q26" sqref="Q26"/>
    </sheetView>
  </sheetViews>
  <sheetFormatPr defaultRowHeight="15" x14ac:dyDescent="0.25"/>
  <cols>
    <col min="1" max="1" width="5.42578125" customWidth="1"/>
    <col min="2" max="2" width="29.5703125" customWidth="1"/>
    <col min="3" max="3" width="13.5703125" customWidth="1"/>
    <col min="4" max="4" width="19.28515625" customWidth="1"/>
    <col min="5" max="5" width="13.140625" customWidth="1"/>
    <col min="6" max="7" width="12.5703125" customWidth="1"/>
    <col min="8" max="8" width="13.7109375" customWidth="1"/>
    <col min="9" max="9" width="9.140625" bestFit="1" customWidth="1"/>
    <col min="10" max="10" width="12.5703125" bestFit="1" customWidth="1"/>
    <col min="11" max="11" width="12.85546875" customWidth="1"/>
    <col min="12" max="12" width="13.42578125" customWidth="1"/>
    <col min="13" max="13" width="15.5703125" customWidth="1"/>
    <col min="14" max="14" width="14.28515625" customWidth="1"/>
    <col min="15" max="15" width="12" bestFit="1" customWidth="1"/>
    <col min="17" max="17" width="13.5703125" customWidth="1"/>
    <col min="18" max="18" width="9" customWidth="1"/>
    <col min="19" max="19" width="13.5703125" customWidth="1"/>
    <col min="20" max="20" width="8.140625" bestFit="1" customWidth="1"/>
    <col min="21" max="21" width="12.5703125" bestFit="1" customWidth="1"/>
    <col min="22" max="22" width="13.5703125" customWidth="1"/>
    <col min="23" max="23" width="21.28515625" customWidth="1"/>
    <col min="24" max="24" width="13" customWidth="1"/>
    <col min="25" max="25" width="12.5703125" bestFit="1" customWidth="1"/>
    <col min="26" max="26" width="2.140625" customWidth="1"/>
    <col min="27" max="27" width="16.28515625" customWidth="1"/>
  </cols>
  <sheetData>
    <row r="2" spans="2:27" ht="15.75" thickBot="1" x14ac:dyDescent="0.3"/>
    <row r="3" spans="2:27" ht="34.5" thickBot="1" x14ac:dyDescent="0.55000000000000004">
      <c r="B3" s="89"/>
      <c r="C3" s="160" t="s">
        <v>82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2"/>
      <c r="AA3" s="142"/>
    </row>
    <row r="4" spans="2:27" ht="34.5" customHeight="1" x14ac:dyDescent="0.25">
      <c r="B4" s="166" t="s">
        <v>4</v>
      </c>
      <c r="C4" s="172" t="s">
        <v>83</v>
      </c>
      <c r="D4" s="173"/>
      <c r="E4" s="173"/>
      <c r="F4" s="173"/>
      <c r="G4" s="173"/>
      <c r="H4" s="174"/>
      <c r="I4" s="173" t="s">
        <v>84</v>
      </c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4"/>
      <c r="AA4" s="143"/>
    </row>
    <row r="5" spans="2:27" ht="36" customHeight="1" x14ac:dyDescent="0.25">
      <c r="B5" s="166"/>
      <c r="C5" s="105"/>
      <c r="D5" s="71"/>
      <c r="E5" s="71"/>
      <c r="F5" s="110"/>
      <c r="G5" s="82"/>
      <c r="H5" s="79"/>
      <c r="I5" s="119"/>
      <c r="J5" s="6"/>
      <c r="K5" s="94"/>
      <c r="L5" s="6"/>
      <c r="M5" s="119"/>
      <c r="N5" s="71"/>
      <c r="O5" s="96"/>
      <c r="P5" s="75" t="s">
        <v>85</v>
      </c>
      <c r="R5" s="163" t="s">
        <v>86</v>
      </c>
      <c r="S5" s="164"/>
      <c r="T5" s="164"/>
      <c r="U5" s="165"/>
      <c r="V5" s="138" t="s">
        <v>87</v>
      </c>
      <c r="W5" s="168" t="s">
        <v>88</v>
      </c>
      <c r="X5" s="168" t="s">
        <v>89</v>
      </c>
      <c r="Y5" s="170" t="s">
        <v>90</v>
      </c>
      <c r="AA5" s="143"/>
    </row>
    <row r="6" spans="2:27" s="130" customFormat="1" ht="75" x14ac:dyDescent="0.25">
      <c r="B6" s="167"/>
      <c r="C6" s="124" t="s">
        <v>91</v>
      </c>
      <c r="D6" s="112" t="s">
        <v>26</v>
      </c>
      <c r="E6" s="112" t="s">
        <v>28</v>
      </c>
      <c r="F6" s="112" t="s">
        <v>92</v>
      </c>
      <c r="G6" s="113" t="s">
        <v>26</v>
      </c>
      <c r="H6" s="114" t="s">
        <v>93</v>
      </c>
      <c r="I6" s="116" t="s">
        <v>94</v>
      </c>
      <c r="J6" s="115" t="s">
        <v>95</v>
      </c>
      <c r="K6" s="113" t="s">
        <v>91</v>
      </c>
      <c r="L6" s="104" t="s">
        <v>92</v>
      </c>
      <c r="M6" s="120" t="s">
        <v>96</v>
      </c>
      <c r="N6" s="125" t="s">
        <v>97</v>
      </c>
      <c r="O6" s="126" t="s">
        <v>98</v>
      </c>
      <c r="P6" s="127" t="s">
        <v>99</v>
      </c>
      <c r="Q6" s="129" t="s">
        <v>100</v>
      </c>
      <c r="R6" s="127"/>
      <c r="S6" s="128"/>
      <c r="T6" s="128" t="s">
        <v>101</v>
      </c>
      <c r="U6" s="131"/>
      <c r="V6" s="136"/>
      <c r="W6" s="169"/>
      <c r="X6" s="169"/>
      <c r="Y6" s="171"/>
      <c r="AA6" s="144" t="s">
        <v>102</v>
      </c>
    </row>
    <row r="7" spans="2:27" x14ac:dyDescent="0.25">
      <c r="B7" s="83" t="s">
        <v>11</v>
      </c>
      <c r="C7" s="106">
        <v>941646.9688114319</v>
      </c>
      <c r="D7" s="108">
        <f>'A. TestYr Rev at BrdgYr Rates'!G22</f>
        <v>15935278.263523238</v>
      </c>
      <c r="E7" s="108">
        <f>D7+C7</f>
        <v>16876925.23233467</v>
      </c>
      <c r="F7" s="108">
        <v>20261805.513234209</v>
      </c>
      <c r="G7" s="92">
        <f t="shared" ref="G7:H14" si="0">F7-C7</f>
        <v>19320158.544422776</v>
      </c>
      <c r="H7" s="90">
        <f t="shared" si="0"/>
        <v>3384880.2808995377</v>
      </c>
      <c r="I7" s="117">
        <f t="shared" ref="I7:I14" si="1">1+($H$15/$D$15)</f>
        <v>1.1371625281478088</v>
      </c>
      <c r="J7" s="92">
        <f t="shared" ref="J7:J14" si="2">D7*I7</f>
        <v>18121001.316886909</v>
      </c>
      <c r="K7" s="92">
        <f>C7</f>
        <v>941646.9688114319</v>
      </c>
      <c r="L7" s="85">
        <f>J7+K7</f>
        <v>19062648.285698339</v>
      </c>
      <c r="M7" s="121">
        <f t="shared" ref="M7:M13" si="3">L7/F7</f>
        <v>0.9408168622113845</v>
      </c>
      <c r="N7" s="81">
        <f>M7-IF(M7&gt;1.2,1.2,IF(M7&lt;0.85,0.85,M7))</f>
        <v>0</v>
      </c>
      <c r="O7" s="92">
        <f t="shared" ref="O7:O9" si="4">IF(N7&gt;0,(1.2*F7),L7)</f>
        <v>19062648.285698339</v>
      </c>
      <c r="P7" s="97">
        <f t="shared" ref="P7:P9" si="5">L7-O7</f>
        <v>0</v>
      </c>
      <c r="Q7" s="85">
        <f>O7+P15</f>
        <v>19063650.546891309</v>
      </c>
      <c r="R7" s="99"/>
      <c r="S7" s="85">
        <f>Q7+R7+R15</f>
        <v>19080855.623498499</v>
      </c>
      <c r="T7" s="80">
        <f>S7/F7</f>
        <v>0.94171546612840795</v>
      </c>
      <c r="U7" s="92">
        <f>F7*T7</f>
        <v>19080855.623498499</v>
      </c>
      <c r="V7" s="108"/>
      <c r="W7" s="108">
        <f>U7+V7</f>
        <v>19080855.623498499</v>
      </c>
      <c r="X7" s="140">
        <f>K7</f>
        <v>941646.9688114319</v>
      </c>
      <c r="Y7" s="95">
        <f>W7-X7</f>
        <v>18139208.654687069</v>
      </c>
      <c r="AA7" s="145">
        <f>W7/F7</f>
        <v>0.94171546612840795</v>
      </c>
    </row>
    <row r="8" spans="2:27" x14ac:dyDescent="0.25">
      <c r="B8" s="83" t="s">
        <v>13</v>
      </c>
      <c r="C8" s="106">
        <v>141843.62708545482</v>
      </c>
      <c r="D8" s="108">
        <f>'A. TestYr Rev at BrdgYr Rates'!G23</f>
        <v>3323756.8941395311</v>
      </c>
      <c r="E8" s="108">
        <f t="shared" ref="E8:E14" si="6">D8+C8</f>
        <v>3465600.5212249858</v>
      </c>
      <c r="F8" s="108">
        <v>3421483.9357504998</v>
      </c>
      <c r="G8" s="92">
        <f t="shared" si="0"/>
        <v>3279640.3086650451</v>
      </c>
      <c r="H8" s="90">
        <f t="shared" si="0"/>
        <v>-44116.585474485997</v>
      </c>
      <c r="I8" s="117">
        <f t="shared" si="1"/>
        <v>1.1371625281478088</v>
      </c>
      <c r="J8" s="92">
        <f t="shared" si="2"/>
        <v>3779651.7926884182</v>
      </c>
      <c r="K8" s="92">
        <f t="shared" ref="K8:K14" si="7">C8</f>
        <v>141843.62708545482</v>
      </c>
      <c r="L8" s="85">
        <f t="shared" ref="L8:L14" si="8">J8+K8</f>
        <v>3921495.4197738729</v>
      </c>
      <c r="M8" s="121">
        <f t="shared" si="3"/>
        <v>1.146138778790933</v>
      </c>
      <c r="N8" s="81">
        <f t="shared" ref="N8:N13" si="9">M8-IF(M8&gt;1.2,1.2,IF(M8&lt;0.85,0.85,M8))</f>
        <v>0</v>
      </c>
      <c r="O8" s="92">
        <f t="shared" si="4"/>
        <v>3921495.4197738729</v>
      </c>
      <c r="P8" s="97">
        <f t="shared" si="5"/>
        <v>0</v>
      </c>
      <c r="Q8" s="86">
        <f t="shared" ref="Q8:Q9" si="10">L8-P8</f>
        <v>3921495.4197738729</v>
      </c>
      <c r="R8" s="97"/>
      <c r="S8" s="85">
        <f t="shared" ref="S8:S10" si="11">Q8-R8</f>
        <v>3921495.4197738729</v>
      </c>
      <c r="T8" s="80">
        <f t="shared" ref="T8:T13" si="12">S8/F8</f>
        <v>1.146138778790933</v>
      </c>
      <c r="U8" s="92">
        <f t="shared" ref="U8:U14" si="13">F8*T8</f>
        <v>3921495.4197738729</v>
      </c>
      <c r="V8" s="108"/>
      <c r="W8" s="108">
        <f t="shared" ref="W8:W14" si="14">U8+V8</f>
        <v>3921495.4197738729</v>
      </c>
      <c r="X8" s="140">
        <f t="shared" ref="X8:X15" si="15">K8</f>
        <v>141843.62708545482</v>
      </c>
      <c r="Y8" s="95">
        <f>W8-X8</f>
        <v>3779651.7926884182</v>
      </c>
      <c r="AA8" s="145">
        <f t="shared" ref="AA8:AA15" si="16">W8/F8</f>
        <v>1.146138778790933</v>
      </c>
    </row>
    <row r="9" spans="2:27" x14ac:dyDescent="0.25">
      <c r="B9" s="83" t="s">
        <v>29</v>
      </c>
      <c r="C9" s="106">
        <v>229877.41153479955</v>
      </c>
      <c r="D9" s="108">
        <f>'A. TestYr Rev at BrdgYr Rates'!G24</f>
        <v>5436482.9120299788</v>
      </c>
      <c r="E9" s="108">
        <f t="shared" si="6"/>
        <v>5666360.3235647781</v>
      </c>
      <c r="F9" s="108">
        <v>5925853.1084572775</v>
      </c>
      <c r="G9" s="92">
        <f t="shared" si="0"/>
        <v>5695975.6969224783</v>
      </c>
      <c r="H9" s="90">
        <f t="shared" si="0"/>
        <v>259492.78489249945</v>
      </c>
      <c r="I9" s="117">
        <f t="shared" si="1"/>
        <v>1.1371625281478088</v>
      </c>
      <c r="J9" s="92">
        <f t="shared" si="2"/>
        <v>6182164.6524763722</v>
      </c>
      <c r="K9" s="92">
        <f t="shared" si="7"/>
        <v>229877.41153479955</v>
      </c>
      <c r="L9" s="85">
        <f t="shared" si="8"/>
        <v>6412042.0640111715</v>
      </c>
      <c r="M9" s="121">
        <f t="shared" si="3"/>
        <v>1.0820453944192463</v>
      </c>
      <c r="N9" s="81">
        <f t="shared" si="9"/>
        <v>0</v>
      </c>
      <c r="O9" s="92">
        <f t="shared" si="4"/>
        <v>6412042.0640111715</v>
      </c>
      <c r="P9" s="97">
        <f t="shared" si="5"/>
        <v>0</v>
      </c>
      <c r="Q9" s="86">
        <f t="shared" si="10"/>
        <v>6412042.0640111715</v>
      </c>
      <c r="R9" s="97"/>
      <c r="S9" s="85">
        <f t="shared" si="11"/>
        <v>6412042.0640111715</v>
      </c>
      <c r="T9" s="80">
        <f t="shared" si="12"/>
        <v>1.0820453944192463</v>
      </c>
      <c r="U9" s="92">
        <f t="shared" si="13"/>
        <v>6412042.0640111715</v>
      </c>
      <c r="V9" s="108">
        <f>S14</f>
        <v>134464.87008475873</v>
      </c>
      <c r="W9" s="108">
        <f t="shared" si="14"/>
        <v>6546506.9340959303</v>
      </c>
      <c r="X9" s="140">
        <f t="shared" si="15"/>
        <v>229877.41153479955</v>
      </c>
      <c r="Y9" s="95">
        <f t="shared" ref="Y9:Y15" si="17">W9-X9</f>
        <v>6316629.522561131</v>
      </c>
      <c r="AA9" s="145">
        <f t="shared" si="16"/>
        <v>1.1047366200746465</v>
      </c>
    </row>
    <row r="10" spans="2:27" x14ac:dyDescent="0.25">
      <c r="B10" s="83" t="s">
        <v>15</v>
      </c>
      <c r="C10" s="106">
        <v>7463.2472298314888</v>
      </c>
      <c r="D10" s="108">
        <f>'A. TestYr Rev at BrdgYr Rates'!G25</f>
        <v>168466.87050009432</v>
      </c>
      <c r="E10" s="108">
        <f t="shared" si="6"/>
        <v>175930.11772992581</v>
      </c>
      <c r="F10" s="108">
        <v>165029.33200324862</v>
      </c>
      <c r="G10" s="92">
        <f t="shared" si="0"/>
        <v>157566.08477341713</v>
      </c>
      <c r="H10" s="90">
        <f t="shared" si="0"/>
        <v>-10900.78572667719</v>
      </c>
      <c r="I10" s="117">
        <f t="shared" si="1"/>
        <v>1.1371625281478088</v>
      </c>
      <c r="J10" s="92">
        <f t="shared" si="2"/>
        <v>191574.21236703676</v>
      </c>
      <c r="K10" s="92">
        <f t="shared" si="7"/>
        <v>7463.2472298314888</v>
      </c>
      <c r="L10" s="85">
        <f t="shared" si="8"/>
        <v>199037.45959686826</v>
      </c>
      <c r="M10" s="121">
        <f t="shared" si="3"/>
        <v>1.2060732306239366</v>
      </c>
      <c r="N10" s="81">
        <f t="shared" si="9"/>
        <v>6.0732306239366096E-3</v>
      </c>
      <c r="O10" s="92">
        <f>IF(N10&gt;0,(1.2*F10),L10)</f>
        <v>198035.19840389834</v>
      </c>
      <c r="P10" s="97">
        <f>L10-O10</f>
        <v>1002.2611929699196</v>
      </c>
      <c r="Q10" s="98">
        <f>L10-P10</f>
        <v>198035.19840389834</v>
      </c>
      <c r="R10" s="97"/>
      <c r="S10" s="85">
        <f t="shared" si="11"/>
        <v>198035.19840389834</v>
      </c>
      <c r="T10" s="80">
        <f t="shared" si="12"/>
        <v>1.2</v>
      </c>
      <c r="U10" s="92">
        <f t="shared" si="13"/>
        <v>198035.19840389834</v>
      </c>
      <c r="V10" s="108">
        <v>0</v>
      </c>
      <c r="W10" s="108">
        <f t="shared" si="14"/>
        <v>198035.19840389834</v>
      </c>
      <c r="X10" s="140">
        <f t="shared" si="15"/>
        <v>7463.2472298314888</v>
      </c>
      <c r="Y10" s="95">
        <f t="shared" si="17"/>
        <v>190571.95117406684</v>
      </c>
      <c r="AA10" s="145">
        <f t="shared" si="16"/>
        <v>1.2</v>
      </c>
    </row>
    <row r="11" spans="2:27" x14ac:dyDescent="0.25">
      <c r="B11" s="83" t="s">
        <v>16</v>
      </c>
      <c r="C11" s="106">
        <v>21600.360359481503</v>
      </c>
      <c r="D11" s="108">
        <f>'A. TestYr Rev at BrdgYr Rates'!G26</f>
        <v>393742.35960843525</v>
      </c>
      <c r="E11" s="108">
        <f t="shared" si="6"/>
        <v>415342.71996791672</v>
      </c>
      <c r="F11" s="108">
        <v>436432.7614319534</v>
      </c>
      <c r="G11" s="92">
        <f t="shared" si="0"/>
        <v>414832.40107247193</v>
      </c>
      <c r="H11" s="90">
        <f t="shared" si="0"/>
        <v>21090.04146403668</v>
      </c>
      <c r="I11" s="117">
        <f t="shared" si="1"/>
        <v>1.1371625281478088</v>
      </c>
      <c r="J11" s="92">
        <f t="shared" si="2"/>
        <v>447749.0570912119</v>
      </c>
      <c r="K11" s="92">
        <f t="shared" si="7"/>
        <v>21600.360359481503</v>
      </c>
      <c r="L11" s="85">
        <f t="shared" si="8"/>
        <v>469349.41745069338</v>
      </c>
      <c r="M11" s="121">
        <f t="shared" si="3"/>
        <v>1.0754220556466456</v>
      </c>
      <c r="N11" s="81">
        <f t="shared" si="9"/>
        <v>0</v>
      </c>
      <c r="O11" s="92">
        <f t="shared" ref="O11:O14" si="18">IF(N11&gt;0,(1.2*F11),L11)</f>
        <v>469349.41745069338</v>
      </c>
      <c r="P11" s="97">
        <f t="shared" ref="P11:P14" si="19">L11-O11</f>
        <v>0</v>
      </c>
      <c r="Q11" s="86">
        <f t="shared" ref="Q11:Q14" si="20">L11-P11</f>
        <v>469349.41745069338</v>
      </c>
      <c r="R11" s="100">
        <v>17205.076607189701</v>
      </c>
      <c r="S11" s="85">
        <f>Q11-R11</f>
        <v>452144.34084350365</v>
      </c>
      <c r="T11" s="80">
        <f t="shared" si="12"/>
        <v>1.0359999999999998</v>
      </c>
      <c r="U11" s="92">
        <f t="shared" si="13"/>
        <v>452144.34084350365</v>
      </c>
      <c r="V11" s="108"/>
      <c r="W11" s="108">
        <f t="shared" si="14"/>
        <v>452144.34084350365</v>
      </c>
      <c r="X11" s="140">
        <f t="shared" si="15"/>
        <v>21600.360359481503</v>
      </c>
      <c r="Y11" s="95">
        <f t="shared" si="17"/>
        <v>430543.98048402218</v>
      </c>
      <c r="AA11" s="145">
        <f t="shared" si="16"/>
        <v>1.0359999999999998</v>
      </c>
    </row>
    <row r="12" spans="2:27" x14ac:dyDescent="0.25">
      <c r="B12" s="83" t="s">
        <v>17</v>
      </c>
      <c r="C12" s="106">
        <v>3590.4802040604827</v>
      </c>
      <c r="D12" s="108">
        <f>'A. TestYr Rev at BrdgYr Rates'!G27</f>
        <v>60688.202628884646</v>
      </c>
      <c r="E12" s="108">
        <f t="shared" si="6"/>
        <v>64278.682832945131</v>
      </c>
      <c r="F12" s="108">
        <v>73243.552102299465</v>
      </c>
      <c r="G12" s="92">
        <f t="shared" si="0"/>
        <v>69653.071898238981</v>
      </c>
      <c r="H12" s="90">
        <f t="shared" si="0"/>
        <v>8964.8692693543344</v>
      </c>
      <c r="I12" s="117">
        <f t="shared" si="1"/>
        <v>1.1371625281478088</v>
      </c>
      <c r="J12" s="92">
        <f t="shared" si="2"/>
        <v>69012.349930208962</v>
      </c>
      <c r="K12" s="92">
        <f t="shared" si="7"/>
        <v>3590.4802040604827</v>
      </c>
      <c r="L12" s="85">
        <f t="shared" si="8"/>
        <v>72602.830134269447</v>
      </c>
      <c r="M12" s="121">
        <f t="shared" si="3"/>
        <v>0.99125217238051044</v>
      </c>
      <c r="N12" s="81">
        <f t="shared" si="9"/>
        <v>0</v>
      </c>
      <c r="O12" s="92">
        <f t="shared" si="18"/>
        <v>72602.830134269447</v>
      </c>
      <c r="P12" s="97">
        <f t="shared" si="19"/>
        <v>0</v>
      </c>
      <c r="Q12" s="86">
        <f t="shared" si="20"/>
        <v>72602.830134269447</v>
      </c>
      <c r="R12" s="97"/>
      <c r="S12" s="85">
        <f t="shared" ref="S12:S14" si="21">Q12-R12</f>
        <v>72602.830134269447</v>
      </c>
      <c r="T12" s="80">
        <f t="shared" si="12"/>
        <v>0.99125217238051044</v>
      </c>
      <c r="U12" s="92">
        <f t="shared" si="13"/>
        <v>72602.830134269447</v>
      </c>
      <c r="V12" s="108"/>
      <c r="W12" s="108">
        <f t="shared" si="14"/>
        <v>72602.830134269447</v>
      </c>
      <c r="X12" s="140">
        <f t="shared" si="15"/>
        <v>3590.4802040604827</v>
      </c>
      <c r="Y12" s="95">
        <f t="shared" si="17"/>
        <v>69012.349930208962</v>
      </c>
      <c r="AA12" s="145">
        <f t="shared" si="16"/>
        <v>0.99125217238051044</v>
      </c>
    </row>
    <row r="13" spans="2:27" x14ac:dyDescent="0.25">
      <c r="B13" s="83" t="s">
        <v>18</v>
      </c>
      <c r="C13" s="106">
        <v>3576.5699927660849</v>
      </c>
      <c r="D13" s="108">
        <f>'A. TestYr Rev at BrdgYr Rates'!G28</f>
        <v>77591.416244065593</v>
      </c>
      <c r="E13" s="108">
        <f t="shared" si="6"/>
        <v>81167.986236831683</v>
      </c>
      <c r="F13" s="108">
        <v>79602.764821925346</v>
      </c>
      <c r="G13" s="92">
        <f t="shared" si="0"/>
        <v>76026.194829159256</v>
      </c>
      <c r="H13" s="90">
        <f t="shared" si="0"/>
        <v>-1565.2214149063366</v>
      </c>
      <c r="I13" s="117">
        <f t="shared" si="1"/>
        <v>1.1371625281478088</v>
      </c>
      <c r="J13" s="92">
        <f t="shared" si="2"/>
        <v>88234.051058670593</v>
      </c>
      <c r="K13" s="92">
        <f t="shared" si="7"/>
        <v>3576.5699927660849</v>
      </c>
      <c r="L13" s="85">
        <f t="shared" si="8"/>
        <v>91810.621051436683</v>
      </c>
      <c r="M13" s="121">
        <f t="shared" si="3"/>
        <v>1.1533597012216952</v>
      </c>
      <c r="N13" s="81">
        <f t="shared" si="9"/>
        <v>0</v>
      </c>
      <c r="O13" s="92">
        <f t="shared" si="18"/>
        <v>91810.621051436683</v>
      </c>
      <c r="P13" s="97">
        <f t="shared" si="19"/>
        <v>0</v>
      </c>
      <c r="Q13" s="86">
        <f t="shared" si="20"/>
        <v>91810.621051436683</v>
      </c>
      <c r="R13" s="97"/>
      <c r="S13" s="85">
        <f t="shared" si="21"/>
        <v>91810.621051436683</v>
      </c>
      <c r="T13" s="80">
        <f t="shared" si="12"/>
        <v>1.1533597012216952</v>
      </c>
      <c r="U13" s="92">
        <f t="shared" si="13"/>
        <v>91810.621051436683</v>
      </c>
      <c r="V13" s="108"/>
      <c r="W13" s="108">
        <f t="shared" si="14"/>
        <v>91810.621051436683</v>
      </c>
      <c r="X13" s="140">
        <f t="shared" si="15"/>
        <v>3576.5699927660849</v>
      </c>
      <c r="Y13" s="95">
        <f t="shared" si="17"/>
        <v>88234.051058670593</v>
      </c>
      <c r="AA13" s="145">
        <f t="shared" si="16"/>
        <v>1.1533597012216952</v>
      </c>
    </row>
    <row r="14" spans="2:27" x14ac:dyDescent="0.25">
      <c r="B14" s="83" t="s">
        <v>20</v>
      </c>
      <c r="C14" s="106">
        <v>0</v>
      </c>
      <c r="D14" s="108">
        <f>'A. TestYr Rev at BrdgYr Rates'!G29</f>
        <v>118245.95583867228</v>
      </c>
      <c r="E14" s="108">
        <f t="shared" si="6"/>
        <v>118245.95583867228</v>
      </c>
      <c r="F14" s="108">
        <v>0</v>
      </c>
      <c r="G14" s="92">
        <f t="shared" si="0"/>
        <v>0</v>
      </c>
      <c r="H14" s="90">
        <f t="shared" si="0"/>
        <v>-118245.95583867228</v>
      </c>
      <c r="I14" s="117">
        <f t="shared" si="1"/>
        <v>1.1371625281478088</v>
      </c>
      <c r="J14" s="92">
        <f t="shared" si="2"/>
        <v>134464.87008475873</v>
      </c>
      <c r="K14" s="92">
        <f t="shared" si="7"/>
        <v>0</v>
      </c>
      <c r="L14" s="85">
        <f t="shared" si="8"/>
        <v>134464.87008475873</v>
      </c>
      <c r="M14" s="121">
        <v>1</v>
      </c>
      <c r="N14" s="81"/>
      <c r="O14" s="92">
        <f t="shared" si="18"/>
        <v>134464.87008475873</v>
      </c>
      <c r="P14" s="97">
        <f t="shared" si="19"/>
        <v>0</v>
      </c>
      <c r="Q14" s="86">
        <f t="shared" si="20"/>
        <v>134464.87008475873</v>
      </c>
      <c r="R14" s="97"/>
      <c r="S14" s="85">
        <f t="shared" si="21"/>
        <v>134464.87008475873</v>
      </c>
      <c r="T14" s="80">
        <f>IFERROR(S14/F14,0)</f>
        <v>0</v>
      </c>
      <c r="U14" s="92">
        <f t="shared" si="13"/>
        <v>0</v>
      </c>
      <c r="V14" s="108"/>
      <c r="W14" s="108">
        <f t="shared" si="14"/>
        <v>0</v>
      </c>
      <c r="X14" s="140">
        <f t="shared" si="15"/>
        <v>0</v>
      </c>
      <c r="Y14" s="95">
        <f t="shared" si="17"/>
        <v>0</v>
      </c>
      <c r="AA14" s="145"/>
    </row>
    <row r="15" spans="2:27" ht="15.75" thickBot="1" x14ac:dyDescent="0.3">
      <c r="B15" s="84"/>
      <c r="C15" s="107">
        <f t="shared" ref="C15:H15" si="22">SUM(C7:C14)</f>
        <v>1349598.6652178257</v>
      </c>
      <c r="D15" s="109">
        <f t="shared" si="22"/>
        <v>25514252.8745129</v>
      </c>
      <c r="E15" s="109">
        <f t="shared" si="22"/>
        <v>26863851.539730728</v>
      </c>
      <c r="F15" s="111">
        <f t="shared" si="22"/>
        <v>30363450.967801414</v>
      </c>
      <c r="G15" s="93">
        <f t="shared" si="22"/>
        <v>29013852.302583586</v>
      </c>
      <c r="H15" s="91">
        <f t="shared" si="22"/>
        <v>3499599.4280706863</v>
      </c>
      <c r="I15" s="118"/>
      <c r="J15" s="93">
        <f>SUM(J7:J14)</f>
        <v>29013852.30258359</v>
      </c>
      <c r="K15" s="93">
        <f>SUM(K7:K14)</f>
        <v>1349598.6652178257</v>
      </c>
      <c r="L15" s="88">
        <f>SUM(L7:L14)</f>
        <v>30363450.967801411</v>
      </c>
      <c r="M15" s="122"/>
      <c r="N15" s="123"/>
      <c r="O15" s="77"/>
      <c r="P15" s="87">
        <f>SUM(P7:P14)</f>
        <v>1002.2611929699196</v>
      </c>
      <c r="Q15" s="87">
        <f>SUM(Q7:Q14)</f>
        <v>30363450.967801411</v>
      </c>
      <c r="R15" s="132">
        <f>SUM(R7:R14)</f>
        <v>17205.076607189701</v>
      </c>
      <c r="S15" s="133">
        <f>SUM(S7:S14)</f>
        <v>30363450.967801411</v>
      </c>
      <c r="T15" s="134">
        <f>S15/F15</f>
        <v>0.99999999999999989</v>
      </c>
      <c r="U15" s="135">
        <f>SUM(U7:U14)</f>
        <v>30228986.097716652</v>
      </c>
      <c r="V15" s="137">
        <f>SUM(V7:V14)</f>
        <v>134464.87008475873</v>
      </c>
      <c r="W15" s="139">
        <f>SUM(W7:W14)</f>
        <v>30363450.967801411</v>
      </c>
      <c r="X15" s="141">
        <f t="shared" si="15"/>
        <v>1349598.6652178257</v>
      </c>
      <c r="Y15" s="101">
        <f t="shared" si="17"/>
        <v>29013852.302583586</v>
      </c>
      <c r="AA15" s="145">
        <f t="shared" si="16"/>
        <v>0.99999999999999989</v>
      </c>
    </row>
    <row r="16" spans="2:27" ht="15.75" thickBot="1" x14ac:dyDescent="0.3">
      <c r="B16" s="76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87">
        <f>L15-Q15</f>
        <v>0</v>
      </c>
      <c r="R16" s="87"/>
      <c r="S16" s="87"/>
      <c r="T16" s="87"/>
      <c r="U16" s="87"/>
      <c r="V16" s="77"/>
      <c r="W16" s="77"/>
      <c r="X16" s="77"/>
      <c r="Y16" s="78"/>
      <c r="AA16" s="146"/>
    </row>
    <row r="17" spans="3:27" x14ac:dyDescent="0.25">
      <c r="AA17" s="130"/>
    </row>
    <row r="18" spans="3:27" x14ac:dyDescent="0.25">
      <c r="AA18" s="130"/>
    </row>
    <row r="20" spans="3:27" x14ac:dyDescent="0.25">
      <c r="C20">
        <v>1</v>
      </c>
      <c r="D20" t="s">
        <v>103</v>
      </c>
      <c r="L20" s="86">
        <f>P10</f>
        <v>1002.2611929699196</v>
      </c>
    </row>
    <row r="21" spans="3:27" x14ac:dyDescent="0.25">
      <c r="C21">
        <v>2</v>
      </c>
      <c r="D21" t="s">
        <v>104</v>
      </c>
      <c r="L21" s="86">
        <f>R11</f>
        <v>17205.076607189701</v>
      </c>
    </row>
    <row r="22" spans="3:27" x14ac:dyDescent="0.25">
      <c r="C22">
        <v>3</v>
      </c>
      <c r="D22" t="s">
        <v>105</v>
      </c>
      <c r="L22" s="86">
        <f>V14</f>
        <v>0</v>
      </c>
    </row>
    <row r="23" spans="3:27" ht="15.75" thickBot="1" x14ac:dyDescent="0.3">
      <c r="D23" t="s">
        <v>106</v>
      </c>
      <c r="L23" s="147">
        <f>SUM(L20:L22)</f>
        <v>18207.337800159621</v>
      </c>
    </row>
    <row r="24" spans="3:27" ht="15.75" thickTop="1" x14ac:dyDescent="0.25"/>
    <row r="25" spans="3:27" ht="15.75" thickBot="1" x14ac:dyDescent="0.3">
      <c r="C25">
        <v>4</v>
      </c>
      <c r="D25" t="s">
        <v>107</v>
      </c>
      <c r="L25" s="147">
        <f>V9</f>
        <v>134464.87008475873</v>
      </c>
    </row>
    <row r="26" spans="3:27" ht="15.75" thickTop="1" x14ac:dyDescent="0.25"/>
  </sheetData>
  <mergeCells count="8">
    <mergeCell ref="C3:Y3"/>
    <mergeCell ref="R5:U5"/>
    <mergeCell ref="B4:B6"/>
    <mergeCell ref="W5:W6"/>
    <mergeCell ref="X5:X6"/>
    <mergeCell ref="Y5:Y6"/>
    <mergeCell ref="C4:H4"/>
    <mergeCell ref="I4:Y4"/>
  </mergeCells>
  <conditionalFormatting sqref="M7:M13">
    <cfRule type="cellIs" dxfId="1" priority="3" operator="between">
      <formula>80</formula>
      <formula>120</formula>
    </cfRule>
    <cfRule type="colorScale" priority="6">
      <colorScale>
        <cfvo type="min"/>
        <cfvo type="num" val="&quot;80%-120%&quot;"/>
        <color rgb="FFFF7128"/>
        <color rgb="FFFFEF9C"/>
      </colorScale>
    </cfRule>
  </conditionalFormatting>
  <conditionalFormatting sqref="M7:M14">
    <cfRule type="cellIs" dxfId="0" priority="2" operator="between">
      <formula>0.8</formula>
      <formula>1.2</formula>
    </cfRule>
  </conditionalFormatting>
  <conditionalFormatting sqref="N7:N13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scale="3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272D71965398419885AC6B8D26BDE7" ma:contentTypeVersion="5" ma:contentTypeDescription="Create a new document." ma:contentTypeScope="" ma:versionID="acbca82fcf99b0852a5a37c340dd8bc0">
  <xsd:schema xmlns:xsd="http://www.w3.org/2001/XMLSchema" xmlns:xs="http://www.w3.org/2001/XMLSchema" xmlns:p="http://schemas.microsoft.com/office/2006/metadata/properties" xmlns:ns2="039874c8-4df7-4c11-92bb-8e4d262fc182" targetNamespace="http://schemas.microsoft.com/office/2006/metadata/properties" ma:root="true" ma:fieldsID="2d06fa5f7943b6ffb9d06530bd889680" ns2:_="">
    <xsd:import namespace="039874c8-4df7-4c11-92bb-8e4d262fc1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Index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874c8-4df7-4c11-92bb-8e4d262fc1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Index" ma:index="12" nillable="true" ma:displayName="Project Number" ma:format="Dropdown" ma:internalName="Index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dex xmlns="039874c8-4df7-4c11-92bb-8e4d262fc182" xsi:nil="true"/>
  </documentManagement>
</p:properties>
</file>

<file path=customXml/itemProps1.xml><?xml version="1.0" encoding="utf-8"?>
<ds:datastoreItem xmlns:ds="http://schemas.openxmlformats.org/officeDocument/2006/customXml" ds:itemID="{76214FE6-B511-4164-AF7E-997B6F9EE6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DEFDF5-CDE1-43E9-A979-4DF8E00938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9874c8-4df7-4c11-92bb-8e4d262fc1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ED2172-FF5C-48CF-A90E-348861582B20}">
  <ds:schemaRefs>
    <ds:schemaRef ds:uri="http://schemas.microsoft.com/office/2006/metadata/properties"/>
    <ds:schemaRef ds:uri="http://schemas.microsoft.com/office/infopath/2007/PartnerControls"/>
    <ds:schemaRef ds:uri="039874c8-4df7-4c11-92bb-8e4d262fc182"/>
  </ds:schemaRefs>
</ds:datastoreItem>
</file>

<file path=docMetadata/LabelInfo.xml><?xml version="1.0" encoding="utf-8"?>
<clbl:labelList xmlns:clbl="http://schemas.microsoft.com/office/2020/mipLabelMetadata">
  <clbl:label id="{8ffa7fea-5707-44f1-b484-2318450f97ac}" enabled="0" method="" siteId="{8ffa7fea-5707-44f1-b484-2318450f97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A. TestYr Rev at BrdgYr Rates</vt:lpstr>
      <vt:lpstr>B. Test Year Rate Design</vt:lpstr>
      <vt:lpstr>Cost Allocation Study</vt:lpstr>
      <vt:lpstr>'A. TestYr Rev at BrdgYr Rates'!Print_Titles</vt:lpstr>
      <vt:lpstr>'B. Test Year Rate Design'!Print_Titles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Too, Erick</dc:creator>
  <cp:keywords/>
  <dc:description/>
  <cp:lastModifiedBy>Too, Erick</cp:lastModifiedBy>
  <cp:revision/>
  <cp:lastPrinted>2026-08-26T20:52:10Z</cp:lastPrinted>
  <dcterms:created xsi:type="dcterms:W3CDTF">2026-08-10T23:51:17Z</dcterms:created>
  <dcterms:modified xsi:type="dcterms:W3CDTF">2026-08-26T20:52:38Z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0x01010069272D71965398419885AC6B8D26BDE7</vt:lpwstr>
  </property>
</Properties>
</file>