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ACTIVE APPLICATIONS\CNPI_2027 _COS\2. Interrogatories\IRR Attachments\"/>
    </mc:Choice>
  </mc:AlternateContent>
  <xr:revisionPtr revIDLastSave="0" documentId="13_ncr:1_{E004B4B5-451E-4AA5-9E80-5C6B3EA0DBD0}" xr6:coauthVersionLast="47" xr6:coauthVersionMax="47" xr10:uidLastSave="{00000000-0000-0000-0000-000000000000}"/>
  <bookViews>
    <workbookView xWindow="-120" yWindow="-120" windowWidth="29040" windowHeight="15720" xr2:uid="{375C972D-0B25-4354-8088-48F69D262608}"/>
  </bookViews>
  <sheets>
    <sheet name="Sheet1" sheetId="1" r:id="rId1"/>
  </sheets>
  <definedNames>
    <definedName name="_xlnm.Print_Area" localSheetId="0">Sheet1!$B$1:$K$70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7" i="1" l="1"/>
  <c r="D68" i="1"/>
  <c r="D67" i="1" s="1"/>
  <c r="H50" i="1"/>
  <c r="H33" i="1"/>
  <c r="H51" i="1" s="1"/>
  <c r="H32" i="1"/>
  <c r="H31" i="1"/>
  <c r="H49" i="1" s="1"/>
  <c r="H30" i="1"/>
  <c r="H48" i="1" s="1"/>
  <c r="H22" i="1"/>
  <c r="H40" i="1" s="1"/>
  <c r="D31" i="1"/>
  <c r="D30" i="1"/>
  <c r="D25" i="1"/>
  <c r="F25" i="1" s="1"/>
  <c r="G25" i="1" s="1"/>
  <c r="D24" i="1"/>
  <c r="F24" i="1" s="1"/>
  <c r="G24" i="1" s="1"/>
  <c r="D22" i="1"/>
  <c r="F22" i="1" s="1"/>
  <c r="E31" i="1"/>
  <c r="E49" i="1" s="1"/>
  <c r="E30" i="1"/>
  <c r="E48" i="1" s="1"/>
  <c r="E29" i="1"/>
  <c r="F29" i="1" s="1"/>
  <c r="E25" i="1"/>
  <c r="E43" i="1" s="1"/>
  <c r="E24" i="1"/>
  <c r="E42" i="1" s="1"/>
  <c r="E22" i="1"/>
  <c r="E40" i="1" s="1"/>
  <c r="F13" i="1"/>
  <c r="G13" i="1" s="1"/>
  <c r="I13" i="1" s="1"/>
  <c r="F12" i="1"/>
  <c r="F10" i="1"/>
  <c r="F7" i="1"/>
  <c r="G7" i="1" s="1"/>
  <c r="F6" i="1"/>
  <c r="G6" i="1" s="1"/>
  <c r="I6" i="1" s="1"/>
  <c r="J6" i="1" s="1"/>
  <c r="F4" i="1"/>
  <c r="G4" i="1" s="1"/>
  <c r="I4" i="1" s="1"/>
  <c r="H35" i="1"/>
  <c r="H23" i="1"/>
  <c r="H41" i="1" s="1"/>
  <c r="H34" i="1"/>
  <c r="H52" i="1" s="1"/>
  <c r="H24" i="1"/>
  <c r="H42" i="1" s="1"/>
  <c r="D34" i="1"/>
  <c r="F14" i="1"/>
  <c r="G14" i="1" s="1"/>
  <c r="I14" i="1" s="1"/>
  <c r="J14" i="1" s="1"/>
  <c r="D29" i="1"/>
  <c r="D28" i="1"/>
  <c r="D27" i="1"/>
  <c r="D23" i="1"/>
  <c r="E35" i="1"/>
  <c r="E34" i="1"/>
  <c r="E52" i="1" s="1"/>
  <c r="E32" i="1"/>
  <c r="F11" i="1"/>
  <c r="G11" i="1" s="1"/>
  <c r="E27" i="1"/>
  <c r="E45" i="1" s="1"/>
  <c r="E26" i="1"/>
  <c r="E44" i="1" s="1"/>
  <c r="E70" i="1" l="1"/>
  <c r="E69" i="1"/>
  <c r="D32" i="1"/>
  <c r="G10" i="1"/>
  <c r="I10" i="1" s="1"/>
  <c r="J10" i="1" s="1"/>
  <c r="F15" i="1"/>
  <c r="G15" i="1" s="1"/>
  <c r="I15" i="1" s="1"/>
  <c r="J15" i="1" s="1"/>
  <c r="D33" i="1"/>
  <c r="H18" i="1"/>
  <c r="E60" i="1" s="1"/>
  <c r="F8" i="1"/>
  <c r="F47" i="1"/>
  <c r="E33" i="1"/>
  <c r="F33" i="1" s="1"/>
  <c r="G33" i="1" s="1"/>
  <c r="I33" i="1" s="1"/>
  <c r="I51" i="1" s="1"/>
  <c r="F9" i="1"/>
  <c r="G9" i="1" s="1"/>
  <c r="I9" i="1" s="1"/>
  <c r="J9" i="1" s="1"/>
  <c r="G8" i="1"/>
  <c r="I8" i="1" s="1"/>
  <c r="H46" i="1"/>
  <c r="J4" i="1"/>
  <c r="J13" i="1"/>
  <c r="H25" i="1"/>
  <c r="I25" i="1" s="1"/>
  <c r="J25" i="1" s="1"/>
  <c r="H27" i="1"/>
  <c r="H45" i="1" s="1"/>
  <c r="E47" i="1"/>
  <c r="I11" i="1"/>
  <c r="J11" i="1" s="1"/>
  <c r="H29" i="1"/>
  <c r="I29" i="1" s="1"/>
  <c r="F17" i="1"/>
  <c r="E50" i="1"/>
  <c r="H26" i="1"/>
  <c r="H44" i="1" s="1"/>
  <c r="D26" i="1"/>
  <c r="F26" i="1" s="1"/>
  <c r="G26" i="1" s="1"/>
  <c r="H28" i="1"/>
  <c r="H53" i="1"/>
  <c r="F16" i="1"/>
  <c r="E28" i="1"/>
  <c r="E46" i="1" s="1"/>
  <c r="I7" i="1"/>
  <c r="F40" i="1"/>
  <c r="G12" i="1"/>
  <c r="I12" i="1" s="1"/>
  <c r="F5" i="1"/>
  <c r="E23" i="1"/>
  <c r="F23" i="1" s="1"/>
  <c r="D35" i="1"/>
  <c r="F35" i="1" s="1"/>
  <c r="G35" i="1" s="1"/>
  <c r="F42" i="1"/>
  <c r="F43" i="1"/>
  <c r="E53" i="1"/>
  <c r="G29" i="1"/>
  <c r="G42" i="1"/>
  <c r="I24" i="1"/>
  <c r="I42" i="1" s="1"/>
  <c r="F27" i="1"/>
  <c r="G27" i="1" s="1"/>
  <c r="F31" i="1"/>
  <c r="G31" i="1" s="1"/>
  <c r="I31" i="1" s="1"/>
  <c r="J31" i="1" s="1"/>
  <c r="F32" i="1"/>
  <c r="F50" i="1" s="1"/>
  <c r="F34" i="1"/>
  <c r="G34" i="1" s="1"/>
  <c r="G22" i="1"/>
  <c r="I22" i="1" s="1"/>
  <c r="I40" i="1" s="1"/>
  <c r="F30" i="1"/>
  <c r="G30" i="1" s="1"/>
  <c r="I30" i="1" s="1"/>
  <c r="J30" i="1" s="1"/>
  <c r="E18" i="1"/>
  <c r="D60" i="1" s="1"/>
  <c r="F48" i="1" l="1"/>
  <c r="G50" i="1"/>
  <c r="G47" i="1"/>
  <c r="F60" i="1"/>
  <c r="F44" i="1"/>
  <c r="G44" i="1" s="1"/>
  <c r="F45" i="1"/>
  <c r="G45" i="1" s="1"/>
  <c r="E51" i="1"/>
  <c r="F18" i="1"/>
  <c r="D61" i="1" s="1"/>
  <c r="I49" i="1"/>
  <c r="J12" i="1"/>
  <c r="I48" i="1"/>
  <c r="K48" i="1" s="1"/>
  <c r="G32" i="1"/>
  <c r="I32" i="1" s="1"/>
  <c r="J29" i="1"/>
  <c r="H36" i="1"/>
  <c r="F51" i="1"/>
  <c r="F49" i="1"/>
  <c r="G17" i="1"/>
  <c r="I17" i="1" s="1"/>
  <c r="F53" i="1"/>
  <c r="J24" i="1"/>
  <c r="I47" i="1"/>
  <c r="H43" i="1"/>
  <c r="G5" i="1"/>
  <c r="F41" i="1"/>
  <c r="K40" i="1"/>
  <c r="G23" i="1"/>
  <c r="I23" i="1" s="1"/>
  <c r="J23" i="1" s="1"/>
  <c r="J42" i="1"/>
  <c r="E41" i="1"/>
  <c r="F52" i="1"/>
  <c r="F28" i="1"/>
  <c r="J8" i="1"/>
  <c r="I44" i="1"/>
  <c r="J44" i="1" s="1"/>
  <c r="J33" i="1"/>
  <c r="J7" i="1"/>
  <c r="I43" i="1"/>
  <c r="K43" i="1" s="1"/>
  <c r="G48" i="1"/>
  <c r="G43" i="1"/>
  <c r="E36" i="1"/>
  <c r="G16" i="1"/>
  <c r="I16" i="1" s="1"/>
  <c r="K42" i="1"/>
  <c r="H47" i="1"/>
  <c r="G40" i="1"/>
  <c r="I35" i="1"/>
  <c r="J35" i="1" s="1"/>
  <c r="I34" i="1"/>
  <c r="J34" i="1" s="1"/>
  <c r="I26" i="1"/>
  <c r="J26" i="1" s="1"/>
  <c r="I27" i="1"/>
  <c r="J22" i="1"/>
  <c r="J43" i="1" l="1"/>
  <c r="J17" i="1"/>
  <c r="I53" i="1"/>
  <c r="J53" i="1" s="1"/>
  <c r="K49" i="1"/>
  <c r="G49" i="1"/>
  <c r="J49" i="1" s="1"/>
  <c r="J32" i="1"/>
  <c r="I50" i="1"/>
  <c r="K51" i="1"/>
  <c r="G51" i="1"/>
  <c r="J51" i="1" s="1"/>
  <c r="G41" i="1"/>
  <c r="E54" i="1"/>
  <c r="J16" i="1"/>
  <c r="I52" i="1"/>
  <c r="K52" i="1"/>
  <c r="G52" i="1"/>
  <c r="K44" i="1"/>
  <c r="G53" i="1"/>
  <c r="F46" i="1"/>
  <c r="G28" i="1"/>
  <c r="I28" i="1" s="1"/>
  <c r="I46" i="1" s="1"/>
  <c r="J46" i="1" s="1"/>
  <c r="G36" i="1"/>
  <c r="J48" i="1"/>
  <c r="I5" i="1"/>
  <c r="G18" i="1"/>
  <c r="F36" i="1"/>
  <c r="D62" i="1" s="1"/>
  <c r="H54" i="1"/>
  <c r="J27" i="1"/>
  <c r="I45" i="1"/>
  <c r="J47" i="1"/>
  <c r="K47" i="1"/>
  <c r="K53" i="1" l="1"/>
  <c r="J52" i="1"/>
  <c r="D63" i="1"/>
  <c r="J45" i="1"/>
  <c r="K45" i="1"/>
  <c r="J5" i="1"/>
  <c r="J18" i="1" s="1"/>
  <c r="I41" i="1"/>
  <c r="K41" i="1" s="1"/>
  <c r="I18" i="1"/>
  <c r="E61" i="1" s="1"/>
  <c r="J50" i="1"/>
  <c r="K50" i="1"/>
  <c r="J28" i="1"/>
  <c r="J36" i="1" s="1"/>
  <c r="G46" i="1"/>
  <c r="G54" i="1" s="1"/>
  <c r="K46" i="1"/>
  <c r="F54" i="1"/>
  <c r="I36" i="1"/>
  <c r="E62" i="1" s="1"/>
  <c r="F62" i="1" s="1"/>
  <c r="J40" i="1"/>
  <c r="E63" i="1" l="1"/>
  <c r="F61" i="1"/>
  <c r="F63" i="1" s="1"/>
  <c r="I54" i="1"/>
  <c r="K54" i="1"/>
  <c r="K55" i="1" s="1"/>
  <c r="J41" i="1"/>
  <c r="J54" i="1" s="1"/>
</calcChain>
</file>

<file path=xl/sharedStrings.xml><?xml version="1.0" encoding="utf-8"?>
<sst xmlns="http://schemas.openxmlformats.org/spreadsheetml/2006/main" count="100" uniqueCount="48">
  <si>
    <t>6-Staff-83</t>
  </si>
  <si>
    <t>CCA 150% Deduction Taken for Yr 1 Additions (i.e. no smoothing)</t>
  </si>
  <si>
    <t>Class</t>
  </si>
  <si>
    <t>Class Description (Per Sch 8 PILs)</t>
  </si>
  <si>
    <t>CCA Rate</t>
  </si>
  <si>
    <t>2030 Additions</t>
  </si>
  <si>
    <t>2030 CCA</t>
  </si>
  <si>
    <t>2030 Ending UCC</t>
  </si>
  <si>
    <t>2031 Additions</t>
  </si>
  <si>
    <t>2031 CCA</t>
  </si>
  <si>
    <t>2031 Ending UCC</t>
  </si>
  <si>
    <t>Buildings, Distribution System (acq'd post 1987)</t>
  </si>
  <si>
    <t>1b</t>
  </si>
  <si>
    <t>Non-Residential Buildings [Reg. 1100(1)(a.1) election]</t>
  </si>
  <si>
    <t>Distribution System (acq'd pre 1988)</t>
  </si>
  <si>
    <t>Buildings (acq'd pre 1988)</t>
  </si>
  <si>
    <t>General Office Equipment, Furniture, Fixtures</t>
  </si>
  <si>
    <t>Motor Vehicles, Fleet</t>
  </si>
  <si>
    <t>Computer Application Software (Non-Systems)</t>
  </si>
  <si>
    <t>13 1</t>
  </si>
  <si>
    <t>Lease</t>
  </si>
  <si>
    <t>NA</t>
  </si>
  <si>
    <t>Eligible Capital Property (acq'd pre 2017)</t>
  </si>
  <si>
    <t>Eligible Capital Property (acq'd post 2016)</t>
  </si>
  <si>
    <t>Computers &amp; System Software (acq'd post Mar 22/04 and pre Mar 19/07)</t>
  </si>
  <si>
    <t>Data Network Infrastructure Equipment (acq'd post Mar 22/04)</t>
  </si>
  <si>
    <t>Distribution System (acq'd post Feb 22/05)</t>
  </si>
  <si>
    <t>General Purpose Computer Hardware &amp; Software (acq'd post Mar 18/07)</t>
  </si>
  <si>
    <t>CCA 100% Deduction Taken for Yr 1 Additions (i.e. RII Phase-out per Bill C-15)</t>
  </si>
  <si>
    <t>Calculated CCA Differences for smoothing (2030 + 2031)</t>
  </si>
  <si>
    <t>Cumulative CCA Difference</t>
  </si>
  <si>
    <t>Take 1/5 of Difference</t>
  </si>
  <si>
    <t>Table 6-13: Smoothing Adjustment to 2027 Test Year re: Enhanced CCA Restated</t>
  </si>
  <si>
    <t>Cumulative Total</t>
  </si>
  <si>
    <t>Forecast</t>
  </si>
  <si>
    <t xml:space="preserve">Planned Capital </t>
  </si>
  <si>
    <t>CCA Using 2027 Test Year Rates (Bill C-15) - 150% CCA on Year 1</t>
  </si>
  <si>
    <t>CCA Using 100% (Bill C-15) for '30-'31</t>
  </si>
  <si>
    <t>CCA Difference</t>
  </si>
  <si>
    <t>Take 1/5 of Difference (add to 2027 PILs model)</t>
  </si>
  <si>
    <t>Smooth RII from 2030 and 2031</t>
  </si>
  <si>
    <t>Non- smoothing RII from 2027-2031</t>
  </si>
  <si>
    <t>2027 PILs expense (a)</t>
  </si>
  <si>
    <t>Impact on PILs from the smoothing mechanism (b)</t>
  </si>
  <si>
    <t>n/a</t>
  </si>
  <si>
    <t>Total Revenue Requirement Impact (c=a+b)</t>
  </si>
  <si>
    <t>Account 1592 sub-account CCA changes</t>
  </si>
  <si>
    <t>No balance expected in this account in next rebasing application, unless further rule changes will occur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</si>
</sst>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0" fontId="3" fillId="0" borderId="3" xfId="0" applyFont="1" applyBorder="1" applyAlignment="1" applyProtection="1">
      <alignment horizontal="center"/>
      <protection locked="0"/>
    </xf>
    <xf numFmtId="0" fontId="0" fillId="0" borderId="5" xfId="0" applyBorder="1"/>
    <xf numFmtId="164" fontId="0" fillId="0" borderId="0" xfId="0" applyNumberFormat="1"/>
    <xf numFmtId="0" fontId="3" fillId="0" borderId="8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3" fillId="0" borderId="9" xfId="0" applyFont="1" applyBorder="1" applyAlignment="1" applyProtection="1">
      <alignment horizontal="left" wrapText="1"/>
      <protection locked="0"/>
    </xf>
    <xf numFmtId="164" fontId="0" fillId="0" borderId="7" xfId="0" applyNumberFormat="1" applyBorder="1"/>
    <xf numFmtId="164" fontId="2" fillId="0" borderId="8" xfId="0" applyNumberFormat="1" applyFont="1" applyBorder="1"/>
    <xf numFmtId="164" fontId="0" fillId="0" borderId="10" xfId="0" applyNumberFormat="1" applyBorder="1"/>
    <xf numFmtId="164" fontId="0" fillId="0" borderId="11" xfId="0" applyNumberFormat="1" applyBorder="1"/>
    <xf numFmtId="0" fontId="2" fillId="0" borderId="0" xfId="0" applyFont="1"/>
    <xf numFmtId="9" fontId="0" fillId="0" borderId="11" xfId="1" applyFont="1" applyBorder="1" applyAlignment="1">
      <alignment horizontal="center"/>
    </xf>
    <xf numFmtId="9" fontId="0" fillId="0" borderId="12" xfId="1" applyFont="1" applyBorder="1" applyAlignment="1">
      <alignment horizontal="center"/>
    </xf>
    <xf numFmtId="164" fontId="2" fillId="0" borderId="15" xfId="0" applyNumberFormat="1" applyFont="1" applyBorder="1"/>
    <xf numFmtId="9" fontId="0" fillId="0" borderId="10" xfId="1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164" fontId="0" fillId="0" borderId="20" xfId="0" applyNumberFormat="1" applyBorder="1"/>
    <xf numFmtId="164" fontId="0" fillId="0" borderId="21" xfId="0" applyNumberFormat="1" applyBorder="1"/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wrapText="1"/>
    </xf>
    <xf numFmtId="0" fontId="0" fillId="0" borderId="24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15" xfId="0" applyBorder="1" applyAlignment="1">
      <alignment horizontal="right"/>
    </xf>
    <xf numFmtId="0" fontId="2" fillId="0" borderId="7" xfId="0" applyFont="1" applyBorder="1" applyAlignment="1">
      <alignment horizontal="center"/>
    </xf>
    <xf numFmtId="0" fontId="0" fillId="0" borderId="13" xfId="0" applyBorder="1"/>
    <xf numFmtId="0" fontId="2" fillId="0" borderId="25" xfId="0" applyFont="1" applyBorder="1" applyAlignment="1">
      <alignment horizontal="center"/>
    </xf>
    <xf numFmtId="0" fontId="2" fillId="0" borderId="14" xfId="0" applyFont="1" applyBorder="1" applyAlignment="1">
      <alignment horizontal="center" wrapText="1"/>
    </xf>
    <xf numFmtId="0" fontId="0" fillId="0" borderId="3" xfId="0" applyBorder="1"/>
    <xf numFmtId="0" fontId="2" fillId="0" borderId="4" xfId="0" applyFont="1" applyBorder="1" applyAlignment="1">
      <alignment horizontal="center"/>
    </xf>
    <xf numFmtId="164" fontId="0" fillId="0" borderId="4" xfId="0" applyNumberFormat="1" applyBorder="1"/>
    <xf numFmtId="0" fontId="0" fillId="0" borderId="3" xfId="0" applyBorder="1" applyAlignment="1">
      <alignment wrapText="1"/>
    </xf>
    <xf numFmtId="0" fontId="0" fillId="0" borderId="26" xfId="0" applyBorder="1"/>
    <xf numFmtId="164" fontId="0" fillId="0" borderId="6" xfId="0" applyNumberFormat="1" applyBorder="1"/>
    <xf numFmtId="0" fontId="4" fillId="0" borderId="8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3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3DDEE-23B0-4182-9C84-799FCAB6373F}">
  <dimension ref="B1:U70"/>
  <sheetViews>
    <sheetView tabSelected="1" workbookViewId="0">
      <selection activeCell="B1" sqref="B1:K70"/>
    </sheetView>
  </sheetViews>
  <sheetFormatPr defaultRowHeight="15" outlineLevelRow="1" x14ac:dyDescent="0.25"/>
  <cols>
    <col min="1" max="1" width="2.28515625" customWidth="1"/>
    <col min="2" max="2" width="6.42578125" bestFit="1" customWidth="1"/>
    <col min="3" max="3" width="39.7109375" customWidth="1"/>
    <col min="4" max="4" width="15.7109375" customWidth="1"/>
    <col min="5" max="5" width="17.7109375" customWidth="1"/>
    <col min="6" max="6" width="13" customWidth="1"/>
    <col min="7" max="7" width="15.85546875" customWidth="1"/>
    <col min="8" max="8" width="14.5703125" customWidth="1"/>
    <col min="9" max="9" width="12" customWidth="1"/>
    <col min="10" max="10" width="13.42578125" customWidth="1"/>
    <col min="11" max="11" width="14.42578125" customWidth="1"/>
  </cols>
  <sheetData>
    <row r="1" spans="2:21" ht="15.75" thickBot="1" x14ac:dyDescent="0.3">
      <c r="B1" s="15" t="s">
        <v>0</v>
      </c>
    </row>
    <row r="2" spans="2:21" ht="24.75" customHeight="1" thickBot="1" x14ac:dyDescent="0.3">
      <c r="B2" s="44" t="s">
        <v>1</v>
      </c>
      <c r="C2" s="45"/>
      <c r="D2" s="45"/>
      <c r="E2" s="45"/>
      <c r="F2" s="45"/>
      <c r="G2" s="45"/>
      <c r="H2" s="45"/>
      <c r="I2" s="45"/>
      <c r="J2" s="46"/>
    </row>
    <row r="3" spans="2:21" ht="24.75" thickBot="1" x14ac:dyDescent="0.3">
      <c r="B3" s="1" t="s">
        <v>2</v>
      </c>
      <c r="C3" s="2" t="s">
        <v>3</v>
      </c>
      <c r="D3" s="8" t="s">
        <v>4</v>
      </c>
      <c r="E3" s="8" t="s">
        <v>5</v>
      </c>
      <c r="F3" s="8" t="s">
        <v>6</v>
      </c>
      <c r="G3" s="20" t="s">
        <v>7</v>
      </c>
      <c r="H3" s="8" t="s">
        <v>8</v>
      </c>
      <c r="I3" s="8" t="s">
        <v>9</v>
      </c>
      <c r="J3" s="8" t="s">
        <v>10</v>
      </c>
    </row>
    <row r="4" spans="2:21" ht="24.75" hidden="1" outlineLevel="1" x14ac:dyDescent="0.25">
      <c r="B4" s="3">
        <v>1</v>
      </c>
      <c r="C4" s="9" t="s">
        <v>11</v>
      </c>
      <c r="D4" s="19"/>
      <c r="E4" s="21">
        <v>0</v>
      </c>
      <c r="F4" s="21">
        <f>IFERROR(IF($D4=1,E4,(+E4*$D4*1.5)),0)</f>
        <v>0</v>
      </c>
      <c r="G4" s="13">
        <f>+E4-F4</f>
        <v>0</v>
      </c>
      <c r="H4" s="13">
        <v>0</v>
      </c>
      <c r="I4" s="13">
        <f>IFERROR(IF($D4=1,H4,(+H4*$D4*1.5)),0)+IFERROR($G4*$D4,0)</f>
        <v>0</v>
      </c>
      <c r="J4" s="13">
        <f>+H4-I4</f>
        <v>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2:21" ht="24.75" collapsed="1" x14ac:dyDescent="0.25">
      <c r="B5" s="3" t="s">
        <v>12</v>
      </c>
      <c r="C5" s="9" t="s">
        <v>13</v>
      </c>
      <c r="D5" s="16">
        <v>0.06</v>
      </c>
      <c r="E5" s="14">
        <v>27847.357747499995</v>
      </c>
      <c r="F5" s="14">
        <f t="shared" ref="F5:F10" si="0">IFERROR(IF($D5=1,E5,(+E5*$D5*1.5)),0)</f>
        <v>2506.2621972749994</v>
      </c>
      <c r="G5" s="14">
        <f>+E5-F5</f>
        <v>25341.095550224996</v>
      </c>
      <c r="H5" s="14">
        <v>28543.541691187493</v>
      </c>
      <c r="I5" s="14">
        <f t="shared" ref="I5:I17" si="1">IFERROR(IF($D5=1,H5,(+H5*$D5*1.5)),0)+IFERROR($G5*$D5,0)</f>
        <v>4089.3844852203738</v>
      </c>
      <c r="J5" s="14">
        <f>+H5-I5</f>
        <v>24454.15720596712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2:21" hidden="1" outlineLevel="1" x14ac:dyDescent="0.25">
      <c r="B6" s="3">
        <v>2</v>
      </c>
      <c r="C6" s="9" t="s">
        <v>14</v>
      </c>
      <c r="D6" s="16"/>
      <c r="E6" s="14">
        <v>0</v>
      </c>
      <c r="F6" s="14">
        <f t="shared" si="0"/>
        <v>0</v>
      </c>
      <c r="G6" s="14">
        <f t="shared" ref="G6:G17" si="2">+E6-F6</f>
        <v>0</v>
      </c>
      <c r="H6" s="14">
        <v>0</v>
      </c>
      <c r="I6" s="14">
        <f t="shared" si="1"/>
        <v>0</v>
      </c>
      <c r="J6" s="14">
        <f t="shared" ref="J6:J17" si="3">+H6-I6</f>
        <v>0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2:21" hidden="1" outlineLevel="1" x14ac:dyDescent="0.25">
      <c r="B7" s="3">
        <v>3</v>
      </c>
      <c r="C7" s="9" t="s">
        <v>15</v>
      </c>
      <c r="D7" s="16"/>
      <c r="E7" s="14">
        <v>0</v>
      </c>
      <c r="F7" s="14">
        <f t="shared" si="0"/>
        <v>0</v>
      </c>
      <c r="G7" s="14">
        <f t="shared" si="2"/>
        <v>0</v>
      </c>
      <c r="H7" s="14">
        <v>0</v>
      </c>
      <c r="I7" s="14">
        <f t="shared" si="1"/>
        <v>0</v>
      </c>
      <c r="J7" s="14">
        <f t="shared" si="3"/>
        <v>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2:21" collapsed="1" x14ac:dyDescent="0.25">
      <c r="B8" s="3">
        <v>8</v>
      </c>
      <c r="C8" s="9" t="s">
        <v>16</v>
      </c>
      <c r="D8" s="16">
        <v>0.2</v>
      </c>
      <c r="E8" s="14">
        <v>698749.12120062485</v>
      </c>
      <c r="F8" s="14">
        <f t="shared" si="0"/>
        <v>209624.73636018747</v>
      </c>
      <c r="G8" s="14">
        <f t="shared" si="2"/>
        <v>489124.38484043739</v>
      </c>
      <c r="H8" s="14">
        <v>842406.33165251545</v>
      </c>
      <c r="I8" s="14">
        <f t="shared" si="1"/>
        <v>350546.77646384214</v>
      </c>
      <c r="J8" s="14">
        <f t="shared" si="3"/>
        <v>491859.55518867332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2:21" x14ac:dyDescent="0.25">
      <c r="B9" s="3">
        <v>10</v>
      </c>
      <c r="C9" s="9" t="s">
        <v>17</v>
      </c>
      <c r="D9" s="16">
        <v>0.3</v>
      </c>
      <c r="E9" s="14">
        <v>466140.18371093733</v>
      </c>
      <c r="F9" s="14">
        <f t="shared" si="0"/>
        <v>209763.08266992177</v>
      </c>
      <c r="G9" s="14">
        <f t="shared" si="2"/>
        <v>256377.10104101556</v>
      </c>
      <c r="H9" s="14">
        <v>1301968.0009838862</v>
      </c>
      <c r="I9" s="14">
        <f t="shared" si="1"/>
        <v>662798.73075505346</v>
      </c>
      <c r="J9" s="14">
        <f t="shared" si="3"/>
        <v>639169.27022883273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2:21" x14ac:dyDescent="0.25">
      <c r="B10" s="3">
        <v>12</v>
      </c>
      <c r="C10" s="9" t="s">
        <v>18</v>
      </c>
      <c r="D10" s="16">
        <v>1</v>
      </c>
      <c r="E10" s="14">
        <v>1015730.861715625</v>
      </c>
      <c r="F10" s="14">
        <f t="shared" si="0"/>
        <v>1015730.861715625</v>
      </c>
      <c r="G10" s="14">
        <f t="shared" si="2"/>
        <v>0</v>
      </c>
      <c r="H10" s="14">
        <v>1037049.1332585156</v>
      </c>
      <c r="I10" s="14">
        <f t="shared" si="1"/>
        <v>1037049.1332585156</v>
      </c>
      <c r="J10" s="14">
        <f t="shared" si="3"/>
        <v>0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2:21" x14ac:dyDescent="0.25">
      <c r="B11" s="4" t="s">
        <v>19</v>
      </c>
      <c r="C11" s="9" t="s">
        <v>20</v>
      </c>
      <c r="D11" s="16" t="s">
        <v>21</v>
      </c>
      <c r="E11" s="14">
        <v>199000</v>
      </c>
      <c r="F11" s="14">
        <f>+E11/6*1.5</f>
        <v>49750</v>
      </c>
      <c r="G11" s="14">
        <f t="shared" si="2"/>
        <v>149250</v>
      </c>
      <c r="H11" s="14">
        <v>203000</v>
      </c>
      <c r="I11" s="14">
        <f>+H11/5*1.5+E11/6</f>
        <v>94066.666666666657</v>
      </c>
      <c r="J11" s="14">
        <f t="shared" si="3"/>
        <v>108933.33333333334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2:21" hidden="1" outlineLevel="1" x14ac:dyDescent="0.25">
      <c r="B12" s="5">
        <v>14.1</v>
      </c>
      <c r="C12" s="10" t="s">
        <v>22</v>
      </c>
      <c r="D12" s="16"/>
      <c r="E12" s="14">
        <v>0</v>
      </c>
      <c r="F12" s="14">
        <f t="shared" ref="F12:F17" si="4">IFERROR(IF($D12=1,E12,(+E12*$D12*1.5)),0)</f>
        <v>0</v>
      </c>
      <c r="G12" s="14">
        <f t="shared" si="2"/>
        <v>0</v>
      </c>
      <c r="H12" s="14">
        <v>0</v>
      </c>
      <c r="I12" s="14">
        <f t="shared" si="1"/>
        <v>0</v>
      </c>
      <c r="J12" s="14">
        <f t="shared" si="3"/>
        <v>0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2:21" hidden="1" outlineLevel="1" x14ac:dyDescent="0.25">
      <c r="B13" s="5">
        <v>14.1</v>
      </c>
      <c r="C13" s="10" t="s">
        <v>23</v>
      </c>
      <c r="D13" s="16"/>
      <c r="E13" s="14">
        <v>0</v>
      </c>
      <c r="F13" s="14">
        <f t="shared" si="4"/>
        <v>0</v>
      </c>
      <c r="G13" s="14">
        <f t="shared" si="2"/>
        <v>0</v>
      </c>
      <c r="H13" s="14">
        <v>0</v>
      </c>
      <c r="I13" s="14">
        <f t="shared" si="1"/>
        <v>0</v>
      </c>
      <c r="J13" s="14">
        <f t="shared" si="3"/>
        <v>0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2:21" ht="24.75" hidden="1" outlineLevel="1" x14ac:dyDescent="0.25">
      <c r="B14" s="3">
        <v>45</v>
      </c>
      <c r="C14" s="9" t="s">
        <v>24</v>
      </c>
      <c r="D14" s="16">
        <v>0.45</v>
      </c>
      <c r="E14" s="14">
        <v>0</v>
      </c>
      <c r="F14" s="14">
        <f t="shared" si="4"/>
        <v>0</v>
      </c>
      <c r="G14" s="14">
        <f t="shared" si="2"/>
        <v>0</v>
      </c>
      <c r="H14" s="14">
        <v>0</v>
      </c>
      <c r="I14" s="14">
        <f t="shared" si="1"/>
        <v>0</v>
      </c>
      <c r="J14" s="14">
        <f t="shared" si="3"/>
        <v>0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2:21" ht="24.75" hidden="1" outlineLevel="1" x14ac:dyDescent="0.25">
      <c r="B15" s="3">
        <v>46</v>
      </c>
      <c r="C15" s="9" t="s">
        <v>25</v>
      </c>
      <c r="D15" s="16">
        <v>0.3</v>
      </c>
      <c r="E15" s="14">
        <v>0</v>
      </c>
      <c r="F15" s="14">
        <f t="shared" si="4"/>
        <v>0</v>
      </c>
      <c r="G15" s="14">
        <f t="shared" si="2"/>
        <v>0</v>
      </c>
      <c r="H15" s="14">
        <v>0</v>
      </c>
      <c r="I15" s="14">
        <f t="shared" si="1"/>
        <v>0</v>
      </c>
      <c r="J15" s="14">
        <f t="shared" si="3"/>
        <v>0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2:21" collapsed="1" x14ac:dyDescent="0.25">
      <c r="B16" s="3">
        <v>47</v>
      </c>
      <c r="C16" s="9" t="s">
        <v>26</v>
      </c>
      <c r="D16" s="16">
        <v>0.08</v>
      </c>
      <c r="E16" s="14">
        <v>18209003.859811246</v>
      </c>
      <c r="F16" s="14">
        <f t="shared" si="4"/>
        <v>2185080.4631773494</v>
      </c>
      <c r="G16" s="14">
        <f t="shared" si="2"/>
        <v>16023923.396633897</v>
      </c>
      <c r="H16" s="14">
        <v>14243730.506892467</v>
      </c>
      <c r="I16" s="14">
        <f t="shared" si="1"/>
        <v>2991161.5325578079</v>
      </c>
      <c r="J16" s="14">
        <f t="shared" si="3"/>
        <v>11252568.974334659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2:21" ht="25.5" thickBot="1" x14ac:dyDescent="0.3">
      <c r="B17" s="23">
        <v>50</v>
      </c>
      <c r="C17" s="24" t="s">
        <v>27</v>
      </c>
      <c r="D17" s="17">
        <v>0.55000000000000004</v>
      </c>
      <c r="E17" s="22">
        <v>166000</v>
      </c>
      <c r="F17" s="22">
        <f t="shared" si="4"/>
        <v>136950.00000000003</v>
      </c>
      <c r="G17" s="22">
        <f t="shared" si="2"/>
        <v>29049.999999999971</v>
      </c>
      <c r="H17" s="22">
        <v>169000</v>
      </c>
      <c r="I17" s="22">
        <f t="shared" si="1"/>
        <v>155402.5</v>
      </c>
      <c r="J17" s="22">
        <f t="shared" si="3"/>
        <v>13597.5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2:21" ht="15.75" thickBot="1" x14ac:dyDescent="0.3">
      <c r="B18" s="1"/>
      <c r="C18" s="25"/>
      <c r="D18" s="26"/>
      <c r="E18" s="12">
        <f t="shared" ref="E18:J18" si="5">SUM(E4:E17)</f>
        <v>20782471.384185933</v>
      </c>
      <c r="F18" s="18">
        <f t="shared" si="5"/>
        <v>3809405.406120359</v>
      </c>
      <c r="G18" s="18">
        <f t="shared" si="5"/>
        <v>16973065.978065576</v>
      </c>
      <c r="H18" s="18">
        <f t="shared" si="5"/>
        <v>17825697.514478572</v>
      </c>
      <c r="I18" s="18">
        <f t="shared" si="5"/>
        <v>5295114.7241871059</v>
      </c>
      <c r="J18" s="18">
        <f t="shared" si="5"/>
        <v>12530582.790291466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2:21" ht="15.75" thickBot="1" x14ac:dyDescent="0.3"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2:21" ht="15.75" thickBot="1" x14ac:dyDescent="0.3">
      <c r="B20" s="44" t="s">
        <v>28</v>
      </c>
      <c r="C20" s="45"/>
      <c r="D20" s="45"/>
      <c r="E20" s="45"/>
      <c r="F20" s="45"/>
      <c r="G20" s="45"/>
      <c r="H20" s="45"/>
      <c r="I20" s="45"/>
      <c r="J20" s="4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2:21" ht="24.75" thickBot="1" x14ac:dyDescent="0.3">
      <c r="B21" s="1" t="s">
        <v>2</v>
      </c>
      <c r="C21" s="2" t="s">
        <v>3</v>
      </c>
      <c r="D21" s="8" t="s">
        <v>4</v>
      </c>
      <c r="E21" s="8" t="s">
        <v>5</v>
      </c>
      <c r="F21" s="8" t="s">
        <v>6</v>
      </c>
      <c r="G21" s="20" t="s">
        <v>7</v>
      </c>
      <c r="H21" s="8" t="s">
        <v>8</v>
      </c>
      <c r="I21" s="8" t="s">
        <v>9</v>
      </c>
      <c r="J21" s="8" t="s">
        <v>10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2:21" ht="24.75" hidden="1" outlineLevel="1" x14ac:dyDescent="0.25">
      <c r="B22" s="3">
        <v>1</v>
      </c>
      <c r="C22" s="9" t="s">
        <v>11</v>
      </c>
      <c r="D22" s="19" t="str">
        <f>+IF(D4="","",D4)</f>
        <v/>
      </c>
      <c r="E22" s="21">
        <f>+E4</f>
        <v>0</v>
      </c>
      <c r="F22" s="21">
        <f t="shared" ref="F22:F28" si="6">IFERROR(IF($D22=1,E22,(+E22*$D22*1)),0)</f>
        <v>0</v>
      </c>
      <c r="G22" s="13">
        <f>+E22-F22</f>
        <v>0</v>
      </c>
      <c r="H22" s="21">
        <f>+H4</f>
        <v>0</v>
      </c>
      <c r="I22" s="13">
        <f t="shared" ref="I22:I28" si="7">IFERROR(IF($D22=1,H22,(+H22*$D22*1)),0)+IFERROR($G22*$D22,0)</f>
        <v>0</v>
      </c>
      <c r="J22" s="13">
        <f>+H22-I22</f>
        <v>0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2:21" ht="24.75" collapsed="1" x14ac:dyDescent="0.25">
      <c r="B23" s="3" t="s">
        <v>12</v>
      </c>
      <c r="C23" s="9" t="s">
        <v>13</v>
      </c>
      <c r="D23" s="16">
        <f t="shared" ref="D23:D35" si="8">+IF(D5="","",D5)</f>
        <v>0.06</v>
      </c>
      <c r="E23" s="14">
        <f t="shared" ref="E23:E35" si="9">+E5</f>
        <v>27847.357747499995</v>
      </c>
      <c r="F23" s="14">
        <f t="shared" si="6"/>
        <v>1670.8414648499995</v>
      </c>
      <c r="G23" s="14">
        <f>+E23-F23</f>
        <v>26176.516282649995</v>
      </c>
      <c r="H23" s="14">
        <f t="shared" ref="H23:H35" si="10">+H5</f>
        <v>28543.541691187493</v>
      </c>
      <c r="I23" s="14">
        <f t="shared" si="7"/>
        <v>3283.2034784302491</v>
      </c>
      <c r="J23" s="14">
        <f>+H23-I23</f>
        <v>25260.338212757244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2:21" hidden="1" outlineLevel="1" x14ac:dyDescent="0.25">
      <c r="B24" s="3">
        <v>2</v>
      </c>
      <c r="C24" s="9" t="s">
        <v>14</v>
      </c>
      <c r="D24" s="16" t="str">
        <f t="shared" si="8"/>
        <v/>
      </c>
      <c r="E24" s="14">
        <f t="shared" si="9"/>
        <v>0</v>
      </c>
      <c r="F24" s="14">
        <f t="shared" si="6"/>
        <v>0</v>
      </c>
      <c r="G24" s="14">
        <f t="shared" ref="G24:G35" si="11">+E24-F24</f>
        <v>0</v>
      </c>
      <c r="H24" s="14">
        <f t="shared" si="10"/>
        <v>0</v>
      </c>
      <c r="I24" s="14">
        <f t="shared" si="7"/>
        <v>0</v>
      </c>
      <c r="J24" s="14">
        <f t="shared" ref="J24:J35" si="12">+H24-I24</f>
        <v>0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2:21" hidden="1" outlineLevel="1" x14ac:dyDescent="0.25">
      <c r="B25" s="3">
        <v>3</v>
      </c>
      <c r="C25" s="9" t="s">
        <v>15</v>
      </c>
      <c r="D25" s="16" t="str">
        <f t="shared" si="8"/>
        <v/>
      </c>
      <c r="E25" s="14">
        <f t="shared" si="9"/>
        <v>0</v>
      </c>
      <c r="F25" s="14">
        <f t="shared" si="6"/>
        <v>0</v>
      </c>
      <c r="G25" s="14">
        <f t="shared" si="11"/>
        <v>0</v>
      </c>
      <c r="H25" s="14">
        <f t="shared" si="10"/>
        <v>0</v>
      </c>
      <c r="I25" s="14">
        <f t="shared" si="7"/>
        <v>0</v>
      </c>
      <c r="J25" s="14">
        <f t="shared" si="12"/>
        <v>0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2:21" collapsed="1" x14ac:dyDescent="0.25">
      <c r="B26" s="3">
        <v>8</v>
      </c>
      <c r="C26" s="9" t="s">
        <v>16</v>
      </c>
      <c r="D26" s="16">
        <f t="shared" si="8"/>
        <v>0.2</v>
      </c>
      <c r="E26" s="14">
        <f t="shared" si="9"/>
        <v>698749.12120062485</v>
      </c>
      <c r="F26" s="14">
        <f t="shared" si="6"/>
        <v>139749.82424012499</v>
      </c>
      <c r="G26" s="14">
        <f t="shared" si="11"/>
        <v>558999.29696049984</v>
      </c>
      <c r="H26" s="14">
        <f t="shared" si="10"/>
        <v>842406.33165251545</v>
      </c>
      <c r="I26" s="14">
        <f t="shared" si="7"/>
        <v>280281.12572260306</v>
      </c>
      <c r="J26" s="14">
        <f t="shared" si="12"/>
        <v>562125.20592991239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2:21" x14ac:dyDescent="0.25">
      <c r="B27" s="3">
        <v>10</v>
      </c>
      <c r="C27" s="9" t="s">
        <v>17</v>
      </c>
      <c r="D27" s="16">
        <f t="shared" si="8"/>
        <v>0.3</v>
      </c>
      <c r="E27" s="14">
        <f t="shared" si="9"/>
        <v>466140.18371093733</v>
      </c>
      <c r="F27" s="14">
        <f t="shared" si="6"/>
        <v>139842.05511328118</v>
      </c>
      <c r="G27" s="14">
        <f t="shared" si="11"/>
        <v>326298.12859765615</v>
      </c>
      <c r="H27" s="14">
        <f t="shared" si="10"/>
        <v>1301968.0009838862</v>
      </c>
      <c r="I27" s="14">
        <f t="shared" si="7"/>
        <v>488479.83887446264</v>
      </c>
      <c r="J27" s="14">
        <f t="shared" si="12"/>
        <v>813488.16210942355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2:21" x14ac:dyDescent="0.25">
      <c r="B28" s="3">
        <v>12</v>
      </c>
      <c r="C28" s="9" t="s">
        <v>18</v>
      </c>
      <c r="D28" s="16">
        <f t="shared" si="8"/>
        <v>1</v>
      </c>
      <c r="E28" s="14">
        <f t="shared" si="9"/>
        <v>1015730.861715625</v>
      </c>
      <c r="F28" s="14">
        <f t="shared" si="6"/>
        <v>1015730.861715625</v>
      </c>
      <c r="G28" s="14">
        <f t="shared" si="11"/>
        <v>0</v>
      </c>
      <c r="H28" s="14">
        <f t="shared" si="10"/>
        <v>1037049.1332585156</v>
      </c>
      <c r="I28" s="14">
        <f t="shared" si="7"/>
        <v>1037049.1332585156</v>
      </c>
      <c r="J28" s="14">
        <f t="shared" si="12"/>
        <v>0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2:21" x14ac:dyDescent="0.25">
      <c r="B29" s="4" t="s">
        <v>19</v>
      </c>
      <c r="C29" s="9" t="s">
        <v>20</v>
      </c>
      <c r="D29" s="16" t="str">
        <f t="shared" si="8"/>
        <v>NA</v>
      </c>
      <c r="E29" s="14">
        <f t="shared" si="9"/>
        <v>199000</v>
      </c>
      <c r="F29" s="14">
        <f>+E29/6*1</f>
        <v>33166.666666666664</v>
      </c>
      <c r="G29" s="14">
        <f t="shared" si="11"/>
        <v>165833.33333333334</v>
      </c>
      <c r="H29" s="14">
        <f t="shared" si="10"/>
        <v>203000</v>
      </c>
      <c r="I29" s="14">
        <f>+H29/5*1+E29/6</f>
        <v>73766.666666666657</v>
      </c>
      <c r="J29" s="14">
        <f t="shared" si="12"/>
        <v>129233.33333333334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2:21" hidden="1" outlineLevel="1" x14ac:dyDescent="0.25">
      <c r="B30" s="5">
        <v>14.1</v>
      </c>
      <c r="C30" s="10" t="s">
        <v>22</v>
      </c>
      <c r="D30" s="16" t="str">
        <f t="shared" si="8"/>
        <v/>
      </c>
      <c r="E30" s="14">
        <f t="shared" si="9"/>
        <v>0</v>
      </c>
      <c r="F30" s="14">
        <f t="shared" ref="F30:F35" si="13">IFERROR(IF($D30=1,E30,(+E30*$D30*1)),0)</f>
        <v>0</v>
      </c>
      <c r="G30" s="14">
        <f t="shared" si="11"/>
        <v>0</v>
      </c>
      <c r="H30" s="14">
        <f t="shared" si="10"/>
        <v>0</v>
      </c>
      <c r="I30" s="14">
        <f t="shared" ref="I30:I35" si="14">IFERROR(IF($D30=1,H30,(+H30*$D30*1)),0)+IFERROR($G30*$D30,0)</f>
        <v>0</v>
      </c>
      <c r="J30" s="14">
        <f t="shared" si="12"/>
        <v>0</v>
      </c>
    </row>
    <row r="31" spans="2:21" hidden="1" outlineLevel="1" x14ac:dyDescent="0.25">
      <c r="B31" s="5">
        <v>14.1</v>
      </c>
      <c r="C31" s="10" t="s">
        <v>23</v>
      </c>
      <c r="D31" s="16" t="str">
        <f t="shared" si="8"/>
        <v/>
      </c>
      <c r="E31" s="14">
        <f t="shared" si="9"/>
        <v>0</v>
      </c>
      <c r="F31" s="14">
        <f t="shared" si="13"/>
        <v>0</v>
      </c>
      <c r="G31" s="14">
        <f t="shared" si="11"/>
        <v>0</v>
      </c>
      <c r="H31" s="14">
        <f t="shared" si="10"/>
        <v>0</v>
      </c>
      <c r="I31" s="14">
        <f t="shared" si="14"/>
        <v>0</v>
      </c>
      <c r="J31" s="14">
        <f t="shared" si="12"/>
        <v>0</v>
      </c>
    </row>
    <row r="32" spans="2:21" ht="24.75" hidden="1" outlineLevel="1" x14ac:dyDescent="0.25">
      <c r="B32" s="3">
        <v>45</v>
      </c>
      <c r="C32" s="9" t="s">
        <v>24</v>
      </c>
      <c r="D32" s="16">
        <f t="shared" si="8"/>
        <v>0.45</v>
      </c>
      <c r="E32" s="14">
        <f t="shared" si="9"/>
        <v>0</v>
      </c>
      <c r="F32" s="14">
        <f t="shared" si="13"/>
        <v>0</v>
      </c>
      <c r="G32" s="14">
        <f t="shared" si="11"/>
        <v>0</v>
      </c>
      <c r="H32" s="14">
        <f t="shared" si="10"/>
        <v>0</v>
      </c>
      <c r="I32" s="14">
        <f t="shared" si="14"/>
        <v>0</v>
      </c>
      <c r="J32" s="14">
        <f t="shared" si="12"/>
        <v>0</v>
      </c>
    </row>
    <row r="33" spans="2:11" ht="24.75" hidden="1" outlineLevel="1" x14ac:dyDescent="0.25">
      <c r="B33" s="3">
        <v>46</v>
      </c>
      <c r="C33" s="9" t="s">
        <v>25</v>
      </c>
      <c r="D33" s="16">
        <f t="shared" si="8"/>
        <v>0.3</v>
      </c>
      <c r="E33" s="14">
        <f t="shared" si="9"/>
        <v>0</v>
      </c>
      <c r="F33" s="14">
        <f t="shared" si="13"/>
        <v>0</v>
      </c>
      <c r="G33" s="14">
        <f t="shared" si="11"/>
        <v>0</v>
      </c>
      <c r="H33" s="14">
        <f t="shared" si="10"/>
        <v>0</v>
      </c>
      <c r="I33" s="14">
        <f t="shared" si="14"/>
        <v>0</v>
      </c>
      <c r="J33" s="14">
        <f t="shared" si="12"/>
        <v>0</v>
      </c>
    </row>
    <row r="34" spans="2:11" collapsed="1" x14ac:dyDescent="0.25">
      <c r="B34" s="3">
        <v>47</v>
      </c>
      <c r="C34" s="9" t="s">
        <v>26</v>
      </c>
      <c r="D34" s="16">
        <f t="shared" si="8"/>
        <v>0.08</v>
      </c>
      <c r="E34" s="14">
        <f t="shared" si="9"/>
        <v>18209003.859811246</v>
      </c>
      <c r="F34" s="14">
        <f t="shared" si="13"/>
        <v>1456720.3087848998</v>
      </c>
      <c r="G34" s="14">
        <f t="shared" si="11"/>
        <v>16752283.551026346</v>
      </c>
      <c r="H34" s="14">
        <f t="shared" si="10"/>
        <v>14243730.506892467</v>
      </c>
      <c r="I34" s="14">
        <f t="shared" si="14"/>
        <v>2479681.124633505</v>
      </c>
      <c r="J34" s="14">
        <f t="shared" si="12"/>
        <v>11764049.382258963</v>
      </c>
    </row>
    <row r="35" spans="2:11" ht="25.5" thickBot="1" x14ac:dyDescent="0.3">
      <c r="B35" s="23">
        <v>50</v>
      </c>
      <c r="C35" s="24" t="s">
        <v>27</v>
      </c>
      <c r="D35" s="17">
        <f t="shared" si="8"/>
        <v>0.55000000000000004</v>
      </c>
      <c r="E35" s="22">
        <f t="shared" si="9"/>
        <v>166000</v>
      </c>
      <c r="F35" s="22">
        <f t="shared" si="13"/>
        <v>91300.000000000015</v>
      </c>
      <c r="G35" s="22">
        <f t="shared" si="11"/>
        <v>74699.999999999985</v>
      </c>
      <c r="H35" s="22">
        <f t="shared" si="10"/>
        <v>169000</v>
      </c>
      <c r="I35" s="22">
        <f t="shared" si="14"/>
        <v>134035</v>
      </c>
      <c r="J35" s="22">
        <f t="shared" si="12"/>
        <v>34965</v>
      </c>
    </row>
    <row r="36" spans="2:11" ht="15.75" thickBot="1" x14ac:dyDescent="0.3">
      <c r="B36" s="1"/>
      <c r="C36" s="25"/>
      <c r="D36" s="26"/>
      <c r="E36" s="12">
        <f t="shared" ref="E36:J36" si="15">SUM(E22:E35)</f>
        <v>20782471.384185933</v>
      </c>
      <c r="F36" s="18">
        <f t="shared" si="15"/>
        <v>2878180.5579854473</v>
      </c>
      <c r="G36" s="18">
        <f t="shared" si="15"/>
        <v>17904290.826200485</v>
      </c>
      <c r="H36" s="18">
        <f t="shared" si="15"/>
        <v>17825697.514478572</v>
      </c>
      <c r="I36" s="18">
        <f t="shared" si="15"/>
        <v>4496576.0926341834</v>
      </c>
      <c r="J36" s="18">
        <f t="shared" si="15"/>
        <v>13329121.421844389</v>
      </c>
    </row>
    <row r="37" spans="2:11" ht="15.75" thickBot="1" x14ac:dyDescent="0.3"/>
    <row r="38" spans="2:11" ht="15.75" thickBot="1" x14ac:dyDescent="0.3">
      <c r="B38" s="44" t="s">
        <v>29</v>
      </c>
      <c r="C38" s="45"/>
      <c r="D38" s="45"/>
      <c r="E38" s="45"/>
      <c r="F38" s="45"/>
      <c r="G38" s="45"/>
      <c r="H38" s="45"/>
      <c r="I38" s="45"/>
      <c r="J38" s="45"/>
      <c r="K38" s="46"/>
    </row>
    <row r="39" spans="2:11" ht="24.75" thickBot="1" x14ac:dyDescent="0.3">
      <c r="B39" s="1" t="s">
        <v>2</v>
      </c>
      <c r="C39" s="2" t="s">
        <v>3</v>
      </c>
      <c r="D39" s="8" t="s">
        <v>4</v>
      </c>
      <c r="E39" s="8" t="s">
        <v>5</v>
      </c>
      <c r="F39" s="8" t="s">
        <v>6</v>
      </c>
      <c r="G39" s="20" t="s">
        <v>7</v>
      </c>
      <c r="H39" s="8" t="s">
        <v>8</v>
      </c>
      <c r="I39" s="8" t="s">
        <v>9</v>
      </c>
      <c r="J39" s="8" t="s">
        <v>10</v>
      </c>
      <c r="K39" s="8" t="s">
        <v>30</v>
      </c>
    </row>
    <row r="40" spans="2:11" ht="24.75" hidden="1" outlineLevel="1" x14ac:dyDescent="0.25">
      <c r="B40" s="3">
        <v>1</v>
      </c>
      <c r="C40" s="9" t="s">
        <v>11</v>
      </c>
      <c r="D40" s="19"/>
      <c r="E40" s="21">
        <f>+E4-E22</f>
        <v>0</v>
      </c>
      <c r="F40" s="21">
        <f>+F4-F22</f>
        <v>0</v>
      </c>
      <c r="G40" s="13">
        <f>+E40-F40</f>
        <v>0</v>
      </c>
      <c r="H40" s="21">
        <f>+H4-H22</f>
        <v>0</v>
      </c>
      <c r="I40" s="21">
        <f>+I4-I22</f>
        <v>0</v>
      </c>
      <c r="J40" s="13">
        <f>+H40-I40</f>
        <v>0</v>
      </c>
      <c r="K40" s="21">
        <f>+F40+I40</f>
        <v>0</v>
      </c>
    </row>
    <row r="41" spans="2:11" ht="24.75" collapsed="1" x14ac:dyDescent="0.25">
      <c r="B41" s="3" t="s">
        <v>12</v>
      </c>
      <c r="C41" s="9" t="s">
        <v>13</v>
      </c>
      <c r="D41" s="16"/>
      <c r="E41" s="14">
        <f t="shared" ref="E41:F53" si="16">+E5-E23</f>
        <v>0</v>
      </c>
      <c r="F41" s="14">
        <f t="shared" si="16"/>
        <v>835.42073242499987</v>
      </c>
      <c r="G41" s="14">
        <f>+E41-F41</f>
        <v>-835.42073242499987</v>
      </c>
      <c r="H41" s="14">
        <f t="shared" ref="H41:I41" si="17">+H5-H23</f>
        <v>0</v>
      </c>
      <c r="I41" s="14">
        <f t="shared" si="17"/>
        <v>806.18100679012468</v>
      </c>
      <c r="J41" s="14">
        <f>+H41-I41</f>
        <v>-806.18100679012468</v>
      </c>
      <c r="K41" s="21">
        <f t="shared" ref="K41:K53" si="18">+F41+I41</f>
        <v>1641.6017392151246</v>
      </c>
    </row>
    <row r="42" spans="2:11" hidden="1" outlineLevel="1" x14ac:dyDescent="0.25">
      <c r="B42" s="3">
        <v>2</v>
      </c>
      <c r="C42" s="9" t="s">
        <v>14</v>
      </c>
      <c r="D42" s="16"/>
      <c r="E42" s="14">
        <f t="shared" si="16"/>
        <v>0</v>
      </c>
      <c r="F42" s="14">
        <f t="shared" si="16"/>
        <v>0</v>
      </c>
      <c r="G42" s="14">
        <f t="shared" ref="G42:G53" si="19">+E42-F42</f>
        <v>0</v>
      </c>
      <c r="H42" s="14">
        <f t="shared" ref="H42:I42" si="20">+H6-H24</f>
        <v>0</v>
      </c>
      <c r="I42" s="14">
        <f t="shared" si="20"/>
        <v>0</v>
      </c>
      <c r="J42" s="14">
        <f t="shared" ref="J42:J53" si="21">+H42-I42</f>
        <v>0</v>
      </c>
      <c r="K42" s="21">
        <f t="shared" si="18"/>
        <v>0</v>
      </c>
    </row>
    <row r="43" spans="2:11" hidden="1" outlineLevel="1" x14ac:dyDescent="0.25">
      <c r="B43" s="3">
        <v>3</v>
      </c>
      <c r="C43" s="9" t="s">
        <v>15</v>
      </c>
      <c r="D43" s="16"/>
      <c r="E43" s="14">
        <f t="shared" si="16"/>
        <v>0</v>
      </c>
      <c r="F43" s="14">
        <f t="shared" si="16"/>
        <v>0</v>
      </c>
      <c r="G43" s="14">
        <f t="shared" si="19"/>
        <v>0</v>
      </c>
      <c r="H43" s="14">
        <f t="shared" ref="H43:I43" si="22">+H7-H25</f>
        <v>0</v>
      </c>
      <c r="I43" s="14">
        <f t="shared" si="22"/>
        <v>0</v>
      </c>
      <c r="J43" s="14">
        <f t="shared" si="21"/>
        <v>0</v>
      </c>
      <c r="K43" s="21">
        <f t="shared" si="18"/>
        <v>0</v>
      </c>
    </row>
    <row r="44" spans="2:11" collapsed="1" x14ac:dyDescent="0.25">
      <c r="B44" s="3">
        <v>8</v>
      </c>
      <c r="C44" s="9" t="s">
        <v>16</v>
      </c>
      <c r="D44" s="16"/>
      <c r="E44" s="14">
        <f t="shared" si="16"/>
        <v>0</v>
      </c>
      <c r="F44" s="14">
        <f t="shared" si="16"/>
        <v>69874.91212006248</v>
      </c>
      <c r="G44" s="14">
        <f t="shared" si="19"/>
        <v>-69874.91212006248</v>
      </c>
      <c r="H44" s="14">
        <f t="shared" ref="H44:I44" si="23">+H8-H26</f>
        <v>0</v>
      </c>
      <c r="I44" s="14">
        <f t="shared" si="23"/>
        <v>70265.650741239078</v>
      </c>
      <c r="J44" s="14">
        <f t="shared" si="21"/>
        <v>-70265.650741239078</v>
      </c>
      <c r="K44" s="21">
        <f t="shared" si="18"/>
        <v>140140.56286130156</v>
      </c>
    </row>
    <row r="45" spans="2:11" x14ac:dyDescent="0.25">
      <c r="B45" s="3">
        <v>10</v>
      </c>
      <c r="C45" s="9" t="s">
        <v>17</v>
      </c>
      <c r="D45" s="16"/>
      <c r="E45" s="14">
        <f t="shared" si="16"/>
        <v>0</v>
      </c>
      <c r="F45" s="14">
        <f t="shared" si="16"/>
        <v>69921.027556640591</v>
      </c>
      <c r="G45" s="14">
        <f t="shared" si="19"/>
        <v>-69921.027556640591</v>
      </c>
      <c r="H45" s="14">
        <f t="shared" ref="H45:I45" si="24">+H9-H27</f>
        <v>0</v>
      </c>
      <c r="I45" s="14">
        <f t="shared" si="24"/>
        <v>174318.89188059082</v>
      </c>
      <c r="J45" s="14">
        <f t="shared" si="21"/>
        <v>-174318.89188059082</v>
      </c>
      <c r="K45" s="21">
        <f t="shared" si="18"/>
        <v>244239.91943723141</v>
      </c>
    </row>
    <row r="46" spans="2:11" x14ac:dyDescent="0.25">
      <c r="B46" s="3">
        <v>12</v>
      </c>
      <c r="C46" s="9" t="s">
        <v>18</v>
      </c>
      <c r="D46" s="16"/>
      <c r="E46" s="14">
        <f t="shared" si="16"/>
        <v>0</v>
      </c>
      <c r="F46" s="14">
        <f t="shared" si="16"/>
        <v>0</v>
      </c>
      <c r="G46" s="14">
        <f t="shared" si="19"/>
        <v>0</v>
      </c>
      <c r="H46" s="14">
        <f t="shared" ref="H46:I46" si="25">+H10-H28</f>
        <v>0</v>
      </c>
      <c r="I46" s="14">
        <f t="shared" si="25"/>
        <v>0</v>
      </c>
      <c r="J46" s="14">
        <f t="shared" si="21"/>
        <v>0</v>
      </c>
      <c r="K46" s="21">
        <f t="shared" si="18"/>
        <v>0</v>
      </c>
    </row>
    <row r="47" spans="2:11" x14ac:dyDescent="0.25">
      <c r="B47" s="4" t="s">
        <v>19</v>
      </c>
      <c r="C47" s="9" t="s">
        <v>20</v>
      </c>
      <c r="D47" s="16"/>
      <c r="E47" s="14">
        <f t="shared" si="16"/>
        <v>0</v>
      </c>
      <c r="F47" s="14">
        <f t="shared" si="16"/>
        <v>16583.333333333336</v>
      </c>
      <c r="G47" s="14">
        <f t="shared" si="19"/>
        <v>-16583.333333333336</v>
      </c>
      <c r="H47" s="14">
        <f t="shared" ref="H47:I47" si="26">+H11-H29</f>
        <v>0</v>
      </c>
      <c r="I47" s="14">
        <f t="shared" si="26"/>
        <v>20300</v>
      </c>
      <c r="J47" s="14">
        <f t="shared" si="21"/>
        <v>-20300</v>
      </c>
      <c r="K47" s="21">
        <f t="shared" si="18"/>
        <v>36883.333333333336</v>
      </c>
    </row>
    <row r="48" spans="2:11" hidden="1" outlineLevel="1" x14ac:dyDescent="0.25">
      <c r="B48" s="5">
        <v>14.1</v>
      </c>
      <c r="C48" s="10" t="s">
        <v>22</v>
      </c>
      <c r="D48" s="16"/>
      <c r="E48" s="14">
        <f t="shared" si="16"/>
        <v>0</v>
      </c>
      <c r="F48" s="14">
        <f t="shared" si="16"/>
        <v>0</v>
      </c>
      <c r="G48" s="14">
        <f t="shared" si="19"/>
        <v>0</v>
      </c>
      <c r="H48" s="14">
        <f t="shared" ref="H48:I48" si="27">+H12-H30</f>
        <v>0</v>
      </c>
      <c r="I48" s="14">
        <f t="shared" si="27"/>
        <v>0</v>
      </c>
      <c r="J48" s="14">
        <f t="shared" si="21"/>
        <v>0</v>
      </c>
      <c r="K48" s="21">
        <f t="shared" si="18"/>
        <v>0</v>
      </c>
    </row>
    <row r="49" spans="2:11" hidden="1" outlineLevel="1" x14ac:dyDescent="0.25">
      <c r="B49" s="5">
        <v>14.1</v>
      </c>
      <c r="C49" s="10" t="s">
        <v>23</v>
      </c>
      <c r="D49" s="16"/>
      <c r="E49" s="14">
        <f t="shared" si="16"/>
        <v>0</v>
      </c>
      <c r="F49" s="14">
        <f t="shared" si="16"/>
        <v>0</v>
      </c>
      <c r="G49" s="14">
        <f t="shared" si="19"/>
        <v>0</v>
      </c>
      <c r="H49" s="14">
        <f t="shared" ref="H49:I49" si="28">+H13-H31</f>
        <v>0</v>
      </c>
      <c r="I49" s="14">
        <f t="shared" si="28"/>
        <v>0</v>
      </c>
      <c r="J49" s="14">
        <f t="shared" si="21"/>
        <v>0</v>
      </c>
      <c r="K49" s="21">
        <f t="shared" si="18"/>
        <v>0</v>
      </c>
    </row>
    <row r="50" spans="2:11" ht="24.75" hidden="1" outlineLevel="1" x14ac:dyDescent="0.25">
      <c r="B50" s="3">
        <v>45</v>
      </c>
      <c r="C50" s="9" t="s">
        <v>24</v>
      </c>
      <c r="D50" s="16"/>
      <c r="E50" s="14">
        <f t="shared" si="16"/>
        <v>0</v>
      </c>
      <c r="F50" s="14">
        <f t="shared" si="16"/>
        <v>0</v>
      </c>
      <c r="G50" s="14">
        <f t="shared" si="19"/>
        <v>0</v>
      </c>
      <c r="H50" s="14">
        <f t="shared" ref="H50:I50" si="29">+H14-H32</f>
        <v>0</v>
      </c>
      <c r="I50" s="14">
        <f t="shared" si="29"/>
        <v>0</v>
      </c>
      <c r="J50" s="14">
        <f t="shared" si="21"/>
        <v>0</v>
      </c>
      <c r="K50" s="21">
        <f t="shared" si="18"/>
        <v>0</v>
      </c>
    </row>
    <row r="51" spans="2:11" ht="24.75" hidden="1" outlineLevel="1" x14ac:dyDescent="0.25">
      <c r="B51" s="3">
        <v>46</v>
      </c>
      <c r="C51" s="9" t="s">
        <v>25</v>
      </c>
      <c r="D51" s="16"/>
      <c r="E51" s="14">
        <f t="shared" si="16"/>
        <v>0</v>
      </c>
      <c r="F51" s="14">
        <f t="shared" si="16"/>
        <v>0</v>
      </c>
      <c r="G51" s="14">
        <f t="shared" si="19"/>
        <v>0</v>
      </c>
      <c r="H51" s="14">
        <f t="shared" ref="H51:I51" si="30">+H15-H33</f>
        <v>0</v>
      </c>
      <c r="I51" s="14">
        <f t="shared" si="30"/>
        <v>0</v>
      </c>
      <c r="J51" s="14">
        <f t="shared" si="21"/>
        <v>0</v>
      </c>
      <c r="K51" s="21">
        <f t="shared" si="18"/>
        <v>0</v>
      </c>
    </row>
    <row r="52" spans="2:11" collapsed="1" x14ac:dyDescent="0.25">
      <c r="B52" s="3">
        <v>47</v>
      </c>
      <c r="C52" s="9" t="s">
        <v>26</v>
      </c>
      <c r="D52" s="16"/>
      <c r="E52" s="14">
        <f t="shared" si="16"/>
        <v>0</v>
      </c>
      <c r="F52" s="14">
        <f t="shared" si="16"/>
        <v>728360.15439244965</v>
      </c>
      <c r="G52" s="14">
        <f t="shared" si="19"/>
        <v>-728360.15439244965</v>
      </c>
      <c r="H52" s="14">
        <f t="shared" ref="H52:I52" si="31">+H16-H34</f>
        <v>0</v>
      </c>
      <c r="I52" s="14">
        <f t="shared" si="31"/>
        <v>511480.40792430285</v>
      </c>
      <c r="J52" s="14">
        <f t="shared" si="21"/>
        <v>-511480.40792430285</v>
      </c>
      <c r="K52" s="21">
        <f t="shared" si="18"/>
        <v>1239840.5623167525</v>
      </c>
    </row>
    <row r="53" spans="2:11" ht="25.5" thickBot="1" x14ac:dyDescent="0.3">
      <c r="B53" s="23">
        <v>50</v>
      </c>
      <c r="C53" s="24" t="s">
        <v>27</v>
      </c>
      <c r="D53" s="17"/>
      <c r="E53" s="22">
        <f t="shared" si="16"/>
        <v>0</v>
      </c>
      <c r="F53" s="22">
        <f t="shared" si="16"/>
        <v>45650.000000000015</v>
      </c>
      <c r="G53" s="22">
        <f t="shared" si="19"/>
        <v>-45650.000000000015</v>
      </c>
      <c r="H53" s="22">
        <f t="shared" ref="H53:I53" si="32">+H17-H35</f>
        <v>0</v>
      </c>
      <c r="I53" s="22">
        <f t="shared" si="32"/>
        <v>21367.5</v>
      </c>
      <c r="J53" s="22">
        <f t="shared" si="21"/>
        <v>-21367.5</v>
      </c>
      <c r="K53" s="21">
        <f t="shared" si="18"/>
        <v>67017.500000000015</v>
      </c>
    </row>
    <row r="54" spans="2:11" ht="15.75" thickBot="1" x14ac:dyDescent="0.3">
      <c r="B54" s="1"/>
      <c r="C54" s="25"/>
      <c r="D54" s="26"/>
      <c r="E54" s="12">
        <f t="shared" ref="E54:K54" si="33">SUM(E40:E53)</f>
        <v>0</v>
      </c>
      <c r="F54" s="18">
        <f t="shared" si="33"/>
        <v>931224.84813491104</v>
      </c>
      <c r="G54" s="18">
        <f t="shared" si="33"/>
        <v>-931224.84813491104</v>
      </c>
      <c r="H54" s="18">
        <f t="shared" si="33"/>
        <v>0</v>
      </c>
      <c r="I54" s="18">
        <f t="shared" si="33"/>
        <v>798538.63155292289</v>
      </c>
      <c r="J54" s="18">
        <f t="shared" si="33"/>
        <v>-798538.63155292289</v>
      </c>
      <c r="K54" s="18">
        <f t="shared" si="33"/>
        <v>1729763.4796878339</v>
      </c>
    </row>
    <row r="55" spans="2:11" ht="15.75" thickBot="1" x14ac:dyDescent="0.3">
      <c r="B55" s="27"/>
      <c r="C55" s="28"/>
      <c r="D55" s="28"/>
      <c r="E55" s="28"/>
      <c r="F55" s="28"/>
      <c r="G55" s="28"/>
      <c r="H55" s="28"/>
      <c r="I55" s="28"/>
      <c r="J55" s="29" t="s">
        <v>31</v>
      </c>
      <c r="K55" s="12">
        <f>ROUND(+K54/5,-3)</f>
        <v>346000</v>
      </c>
    </row>
    <row r="57" spans="2:11" ht="15.75" thickBot="1" x14ac:dyDescent="0.3">
      <c r="C57" s="15" t="s">
        <v>32</v>
      </c>
    </row>
    <row r="58" spans="2:11" ht="30" x14ac:dyDescent="0.25">
      <c r="C58" s="31"/>
      <c r="D58" s="32">
        <v>2030</v>
      </c>
      <c r="E58" s="32">
        <v>2031</v>
      </c>
      <c r="F58" s="33" t="s">
        <v>33</v>
      </c>
    </row>
    <row r="59" spans="2:11" x14ac:dyDescent="0.25">
      <c r="C59" s="34"/>
      <c r="D59" s="30" t="s">
        <v>34</v>
      </c>
      <c r="E59" s="30" t="s">
        <v>34</v>
      </c>
      <c r="F59" s="35" t="s">
        <v>34</v>
      </c>
    </row>
    <row r="60" spans="2:11" x14ac:dyDescent="0.25">
      <c r="C60" s="34" t="s">
        <v>35</v>
      </c>
      <c r="D60" s="11">
        <f>+E18</f>
        <v>20782471.384185933</v>
      </c>
      <c r="E60" s="11">
        <f>+H18</f>
        <v>17825697.514478572</v>
      </c>
      <c r="F60" s="36">
        <f>SUM(D60:E60)</f>
        <v>38608168.898664504</v>
      </c>
    </row>
    <row r="61" spans="2:11" ht="30" x14ac:dyDescent="0.25">
      <c r="C61" s="37" t="s">
        <v>36</v>
      </c>
      <c r="D61" s="11">
        <f>+F18</f>
        <v>3809405.406120359</v>
      </c>
      <c r="E61" s="11">
        <f>+I18</f>
        <v>5295114.7241871059</v>
      </c>
      <c r="F61" s="36">
        <f>SUM(D61:E61)</f>
        <v>9104520.1303074658</v>
      </c>
    </row>
    <row r="62" spans="2:11" x14ac:dyDescent="0.25">
      <c r="C62" s="34" t="s">
        <v>37</v>
      </c>
      <c r="D62" s="11">
        <f>+F36</f>
        <v>2878180.5579854473</v>
      </c>
      <c r="E62" s="11">
        <f>+I36</f>
        <v>4496576.0926341834</v>
      </c>
      <c r="F62" s="36">
        <f>SUM(D62:E62)</f>
        <v>7374756.6506196307</v>
      </c>
    </row>
    <row r="63" spans="2:11" x14ac:dyDescent="0.25">
      <c r="C63" s="34" t="s">
        <v>38</v>
      </c>
      <c r="D63" s="11">
        <f>+D61-D62</f>
        <v>931224.84813491162</v>
      </c>
      <c r="E63" s="11">
        <f t="shared" ref="E63:F63" si="34">+E61-E62</f>
        <v>798538.63155292254</v>
      </c>
      <c r="F63" s="36">
        <f t="shared" si="34"/>
        <v>1729763.4796878351</v>
      </c>
    </row>
    <row r="64" spans="2:11" ht="15.75" thickBot="1" x14ac:dyDescent="0.3">
      <c r="C64" s="6" t="s">
        <v>39</v>
      </c>
      <c r="D64" s="38"/>
      <c r="E64" s="38"/>
      <c r="F64" s="39">
        <v>346000</v>
      </c>
    </row>
    <row r="65" spans="3:5" ht="15.75" thickBot="1" x14ac:dyDescent="0.3"/>
    <row r="66" spans="3:5" ht="39" thickBot="1" x14ac:dyDescent="0.3">
      <c r="C66" s="40"/>
      <c r="D66" s="41" t="s">
        <v>40</v>
      </c>
      <c r="E66" s="41" t="s">
        <v>41</v>
      </c>
    </row>
    <row r="67" spans="3:5" ht="15.75" thickBot="1" x14ac:dyDescent="0.3">
      <c r="C67" s="42" t="s">
        <v>42</v>
      </c>
      <c r="D67" s="43">
        <f>+D69-D68</f>
        <v>359635.70068027207</v>
      </c>
      <c r="E67" s="43">
        <f>+D69-(+F64*0.265)/(1-0.265)</f>
        <v>359635.70068027207</v>
      </c>
    </row>
    <row r="68" spans="3:5" ht="26.25" thickBot="1" x14ac:dyDescent="0.3">
      <c r="C68" s="42" t="s">
        <v>43</v>
      </c>
      <c r="D68" s="43">
        <f>(+F64*0.265)/(1-0.265)</f>
        <v>124748.2993197279</v>
      </c>
      <c r="E68" s="43" t="s">
        <v>44</v>
      </c>
    </row>
    <row r="69" spans="3:5" ht="26.25" thickBot="1" x14ac:dyDescent="0.3">
      <c r="C69" s="42" t="s">
        <v>45</v>
      </c>
      <c r="D69" s="43">
        <v>484384</v>
      </c>
      <c r="E69" s="43">
        <f>+E67</f>
        <v>359635.70068027207</v>
      </c>
    </row>
    <row r="70" spans="3:5" ht="102.75" thickBot="1" x14ac:dyDescent="0.3">
      <c r="C70" s="42" t="s">
        <v>46</v>
      </c>
      <c r="D70" s="43" t="s">
        <v>47</v>
      </c>
      <c r="E70" s="43">
        <f>+D68</f>
        <v>124748.2993197279</v>
      </c>
    </row>
  </sheetData>
  <mergeCells count="3">
    <mergeCell ref="B2:J2"/>
    <mergeCell ref="B20:J20"/>
    <mergeCell ref="B38:K38"/>
  </mergeCells>
  <conditionalFormatting sqref="B12:C13">
    <cfRule type="expression" dxfId="2" priority="3" stopIfTrue="1">
      <formula>ISBLANK(B12)</formula>
    </cfRule>
  </conditionalFormatting>
  <conditionalFormatting sqref="B30:C31">
    <cfRule type="expression" dxfId="1" priority="2" stopIfTrue="1">
      <formula>ISBLANK(B30)</formula>
    </cfRule>
  </conditionalFormatting>
  <conditionalFormatting sqref="B48:C49">
    <cfRule type="expression" dxfId="0" priority="1" stopIfTrue="1">
      <formula>ISBLANK(B48)</formula>
    </cfRule>
  </conditionalFormatting>
  <pageMargins left="0.7" right="0.7" top="0.75" bottom="0.75" header="0.3" footer="0.3"/>
  <pageSetup orientation="portrait" verticalDpi="0" r:id="rId1"/>
  <ignoredErrors>
    <ignoredError sqref="F11:G11 F29:I29 G41:G53 I11" formula="1"/>
    <ignoredError sqref="B11 B29 B47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dex xmlns="039874c8-4df7-4c11-92bb-8e4d262fc1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72D71965398419885AC6B8D26BDE7" ma:contentTypeVersion="5" ma:contentTypeDescription="Create a new document." ma:contentTypeScope="" ma:versionID="acbca82fcf99b0852a5a37c340dd8bc0">
  <xsd:schema xmlns:xsd="http://www.w3.org/2001/XMLSchema" xmlns:xs="http://www.w3.org/2001/XMLSchema" xmlns:p="http://schemas.microsoft.com/office/2006/metadata/properties" xmlns:ns2="039874c8-4df7-4c11-92bb-8e4d262fc182" targetNamespace="http://schemas.microsoft.com/office/2006/metadata/properties" ma:root="true" ma:fieldsID="2d06fa5f7943b6ffb9d06530bd889680" ns2:_="">
    <xsd:import namespace="039874c8-4df7-4c11-92bb-8e4d262fc1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Index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874c8-4df7-4c11-92bb-8e4d262fc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dex" ma:index="12" nillable="true" ma:displayName="Project Number" ma:format="Dropdown" ma:internalName="Index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1F31C7-13F8-4CD1-8581-48C5EB4F5C6E}">
  <ds:schemaRefs>
    <ds:schemaRef ds:uri="http://schemas.microsoft.com/office/2006/metadata/properties"/>
    <ds:schemaRef ds:uri="http://schemas.microsoft.com/office/infopath/2007/PartnerControls"/>
    <ds:schemaRef ds:uri="039874c8-4df7-4c11-92bb-8e4d262fc182"/>
  </ds:schemaRefs>
</ds:datastoreItem>
</file>

<file path=customXml/itemProps2.xml><?xml version="1.0" encoding="utf-8"?>
<ds:datastoreItem xmlns:ds="http://schemas.openxmlformats.org/officeDocument/2006/customXml" ds:itemID="{1D785B5C-86DC-4C39-A65D-531C66AB70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874c8-4df7-4c11-92bb-8e4d262fc1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834C89-8411-471B-905A-BCB4FDE5F4C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Vander Vloet, Brian</dc:creator>
  <cp:keywords/>
  <dc:description/>
  <cp:lastModifiedBy>Barber, Rodney</cp:lastModifiedBy>
  <cp:revision/>
  <dcterms:created xsi:type="dcterms:W3CDTF">2026-08-18T13:22:36Z</dcterms:created>
  <dcterms:modified xsi:type="dcterms:W3CDTF">2026-08-25T16:53:48Z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 Version">
    <vt:lpwstr>24.1</vt:lpwstr>
  </property>
  <property fmtid="{D5CDD505-2E9C-101B-9397-08002B2CF9AE}" pid="3" name="ContentTypeId">
    <vt:lpwstr>0x01010069272D71965398419885AC6B8D26BDE7</vt:lpwstr>
  </property>
</Properties>
</file>