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filterPrivacy="1" codeName="ThisWorkbook" defaultThemeVersion="124226"/>
  <xr:revisionPtr revIDLastSave="722" documentId="13_ncr:1_{2C7DB532-CD0C-43D4-A879-8DCD3CC246FC}" xr6:coauthVersionLast="47" xr6:coauthVersionMax="47" xr10:uidLastSave="{94B753DA-98A2-4494-9782-16E66605A8EB}"/>
  <bookViews>
    <workbookView xWindow="-120" yWindow="-120" windowWidth="29040" windowHeight="15840" tabRatio="857" xr2:uid="{00000000-000D-0000-FFFF-FFFF00000000}"/>
  </bookViews>
  <sheets>
    <sheet name="Exhibit 3" sheetId="107" r:id="rId1"/>
    <sheet name="Inputs" sheetId="73" r:id="rId2"/>
    <sheet name="Load Forecast Summary" sheetId="11" r:id="rId3"/>
    <sheet name="Power Purchased Model" sheetId="72" r:id="rId4"/>
    <sheet name="Power Purchased Model (WN)" sheetId="96" r:id="rId5"/>
    <sheet name="Rate Class Energy Model" sheetId="9" r:id="rId6"/>
    <sheet name="Rate Class Customer Model" sheetId="17" r:id="rId7"/>
    <sheet name="Rate Class Load Model" sheetId="18" r:id="rId8"/>
    <sheet name="Selected" sheetId="110" r:id="rId9"/>
    <sheet name="2022 Settled LF" sheetId="101" r:id="rId10"/>
    <sheet name="LF Comparison" sheetId="102" r:id="rId11"/>
    <sheet name="Customer Determination" sheetId="108" r:id="rId12"/>
    <sheet name="Sheet1" sheetId="92" state="hidden" r:id="rId13"/>
  </sheets>
  <definedNames>
    <definedName name="__CAP1000" localSheetId="3">#REF!</definedName>
    <definedName name="__CAP1000" localSheetId="4">#REF!</definedName>
    <definedName name="__CAP1000">#REF!</definedName>
    <definedName name="__OP1000" localSheetId="3">#REF!</definedName>
    <definedName name="__OP1000" localSheetId="4">#REF!</definedName>
    <definedName name="__OP1000">#REF!</definedName>
    <definedName name="_110" localSheetId="3">#REF!</definedName>
    <definedName name="_110" localSheetId="4">#REF!</definedName>
    <definedName name="_110">#REF!</definedName>
    <definedName name="_110INPT" localSheetId="3">#REF!</definedName>
    <definedName name="_110INPT" localSheetId="4">#REF!</definedName>
    <definedName name="_110INPT">#REF!</definedName>
    <definedName name="_115" localSheetId="3">#REF!</definedName>
    <definedName name="_115" localSheetId="4">#REF!</definedName>
    <definedName name="_115">#REF!</definedName>
    <definedName name="_115INPT" localSheetId="3">#REF!</definedName>
    <definedName name="_115INPT" localSheetId="4">#REF!</definedName>
    <definedName name="_115INPT">#REF!</definedName>
    <definedName name="_120" localSheetId="3">#REF!</definedName>
    <definedName name="_120" localSheetId="4">#REF!</definedName>
    <definedName name="_120">#REF!</definedName>
    <definedName name="_140" localSheetId="3">#REF!</definedName>
    <definedName name="_140" localSheetId="4">#REF!</definedName>
    <definedName name="_140">#REF!</definedName>
    <definedName name="_140INPT" localSheetId="3">#REF!</definedName>
    <definedName name="_140INPT" localSheetId="4">#REF!</definedName>
    <definedName name="_140INPT">#REF!</definedName>
    <definedName name="_CAP1000" localSheetId="3">#REF!</definedName>
    <definedName name="_CAP1000" localSheetId="4">#REF!</definedName>
    <definedName name="_CAP1000">#REF!</definedName>
    <definedName name="_Fill" hidden="1">#REF!</definedName>
    <definedName name="_OP1000" localSheetId="3">#REF!</definedName>
    <definedName name="_OP1000" localSheetId="4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3">#REF!</definedName>
    <definedName name="ALL" localSheetId="4">#REF!</definedName>
    <definedName name="ALL">#REF!</definedName>
    <definedName name="ApprovedYr">#REF!</definedName>
    <definedName name="CAfile">#REF!</definedName>
    <definedName name="CAPCOSTS" localSheetId="3">#REF!</definedName>
    <definedName name="CAPCOSTS" localSheetId="4">#REF!</definedName>
    <definedName name="CAPCOSTS">#REF!</definedName>
    <definedName name="CAPITAL" localSheetId="3">#REF!</definedName>
    <definedName name="CAPITAL" localSheetId="4">#REF!</definedName>
    <definedName name="CAPITAL">#REF!</definedName>
    <definedName name="CapitalExpListing" localSheetId="3">#REF!</definedName>
    <definedName name="CapitalExpListing" localSheetId="4">#REF!</definedName>
    <definedName name="CapitalExpListing">#REF!</definedName>
    <definedName name="CArevReq">#REF!</definedName>
    <definedName name="CASENUMBER">#REF!</definedName>
    <definedName name="CASHFLOW" localSheetId="3">#REF!</definedName>
    <definedName name="CASHFLOW" localSheetId="4">#REF!</definedName>
    <definedName name="CASHFLOW">#REF!</definedName>
    <definedName name="cc" localSheetId="3">#REF!</definedName>
    <definedName name="cc" localSheetId="4">#REF!</definedName>
    <definedName name="cc">#REF!</definedName>
    <definedName name="ClassRange1">#REF!</definedName>
    <definedName name="ClassRange2">#REF!</definedName>
    <definedName name="contactf" localSheetId="3">#REF!</definedName>
    <definedName name="contactf" localSheetId="4">#REF!</definedName>
    <definedName name="contactf">#REF!</definedName>
    <definedName name="_xlnm.Criteria" localSheetId="3">#REF!</definedName>
    <definedName name="_xlnm.Criteria" localSheetId="4">#REF!</definedName>
    <definedName name="_xlnm.Criteria">#REF!</definedName>
    <definedName name="CRLF">#REF!</definedName>
    <definedName name="_xlnm.Database" localSheetId="3">#REF!</definedName>
    <definedName name="_xlnm.Database" localSheetId="4">#REF!</definedName>
    <definedName name="_xlnm.Database">#REF!</definedName>
    <definedName name="DaysInPreviousYear">#REF!</definedName>
    <definedName name="DaysInYear">#REF!</definedName>
    <definedName name="DEBTREPAY" localSheetId="3">#REF!</definedName>
    <definedName name="DEBTREPAY" localSheetId="4">#REF!</definedName>
    <definedName name="DEBTREPAY">#REF!</definedName>
    <definedName name="DeptDiv" localSheetId="3">#REF!</definedName>
    <definedName name="DeptDiv" localSheetId="4">#REF!</definedName>
    <definedName name="DeptDiv">#REF!</definedName>
    <definedName name="EBNUMBER">#REF!</definedName>
    <definedName name="ExpenseAccountListing" localSheetId="3">#REF!</definedName>
    <definedName name="ExpenseAccountListing" localSheetId="4">#REF!</definedName>
    <definedName name="ExpenseAccountListing">#REF!</definedName>
    <definedName name="_xlnm.Extract" localSheetId="3">#REF!</definedName>
    <definedName name="_xlnm.Extract" localSheetId="4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3">#REF!</definedName>
    <definedName name="Incr2000" localSheetId="4">#REF!</definedName>
    <definedName name="Incr2000">#REF!</definedName>
    <definedName name="INTERIM" localSheetId="3">#REF!</definedName>
    <definedName name="INTERIM" localSheetId="4">#REF!</definedName>
    <definedName name="INTERIM">#REF!</definedName>
    <definedName name="LIMIT" localSheetId="3">#REF!</definedName>
    <definedName name="LIMIT" localSheetId="4">#REF!</definedName>
    <definedName name="LIMIT">#REF!</definedName>
    <definedName name="man_beg_bud" localSheetId="3">#REF!</definedName>
    <definedName name="man_beg_bud" localSheetId="4">#REF!</definedName>
    <definedName name="man_beg_bud">#REF!</definedName>
    <definedName name="man_end_bud" localSheetId="3">#REF!</definedName>
    <definedName name="man_end_bud" localSheetId="4">#REF!</definedName>
    <definedName name="man_end_bud">#REF!</definedName>
    <definedName name="man12ACT" localSheetId="3">#REF!</definedName>
    <definedName name="man12ACT" localSheetId="4">#REF!</definedName>
    <definedName name="man12ACT">#REF!</definedName>
    <definedName name="MANBUD" localSheetId="3">#REF!</definedName>
    <definedName name="MANBUD" localSheetId="4">#REF!</definedName>
    <definedName name="MANBUD">#REF!</definedName>
    <definedName name="manCYACT" localSheetId="3">#REF!</definedName>
    <definedName name="manCYACT" localSheetId="4">#REF!</definedName>
    <definedName name="manCYACT">#REF!</definedName>
    <definedName name="manCYBUD" localSheetId="3">#REF!</definedName>
    <definedName name="manCYBUD" localSheetId="4">#REF!</definedName>
    <definedName name="manCYBUD">#REF!</definedName>
    <definedName name="manCYF" localSheetId="3">#REF!</definedName>
    <definedName name="manCYF" localSheetId="4">#REF!</definedName>
    <definedName name="manCYF">#REF!</definedName>
    <definedName name="MANEND" localSheetId="3">#REF!</definedName>
    <definedName name="MANEND" localSheetId="4">#REF!</definedName>
    <definedName name="MANEND">#REF!</definedName>
    <definedName name="manNYbud" localSheetId="3">#REF!</definedName>
    <definedName name="manNYbud" localSheetId="4">#REF!</definedName>
    <definedName name="manNYbud">#REF!</definedName>
    <definedName name="manpower_costs" localSheetId="3">#REF!</definedName>
    <definedName name="manpower_costs" localSheetId="4">#REF!</definedName>
    <definedName name="manpower_costs">#REF!</definedName>
    <definedName name="manPYACT" localSheetId="3">#REF!</definedName>
    <definedName name="manPYACT" localSheetId="4">#REF!</definedName>
    <definedName name="manPYACT">#REF!</definedName>
    <definedName name="MANSTART" localSheetId="3">#REF!</definedName>
    <definedName name="MANSTART" localSheetId="4">#REF!</definedName>
    <definedName name="MANSTART">#REF!</definedName>
    <definedName name="mat_beg_bud" localSheetId="3">#REF!</definedName>
    <definedName name="mat_beg_bud" localSheetId="4">#REF!</definedName>
    <definedName name="mat_beg_bud">#REF!</definedName>
    <definedName name="mat_end_bud" localSheetId="3">#REF!</definedName>
    <definedName name="mat_end_bud" localSheetId="4">#REF!</definedName>
    <definedName name="mat_end_bud">#REF!</definedName>
    <definedName name="mat12ACT" localSheetId="3">#REF!</definedName>
    <definedName name="mat12ACT" localSheetId="4">#REF!</definedName>
    <definedName name="mat12ACT">#REF!</definedName>
    <definedName name="MATBUD" localSheetId="3">#REF!</definedName>
    <definedName name="MATBUD" localSheetId="4">#REF!</definedName>
    <definedName name="MATBUD">#REF!</definedName>
    <definedName name="matCYACT" localSheetId="3">#REF!</definedName>
    <definedName name="matCYACT" localSheetId="4">#REF!</definedName>
    <definedName name="matCYACT">#REF!</definedName>
    <definedName name="matCYBUD" localSheetId="3">#REF!</definedName>
    <definedName name="matCYBUD" localSheetId="4">#REF!</definedName>
    <definedName name="matCYBUD">#REF!</definedName>
    <definedName name="matCYF" localSheetId="3">#REF!</definedName>
    <definedName name="matCYF" localSheetId="4">#REF!</definedName>
    <definedName name="matCYF">#REF!</definedName>
    <definedName name="MATEND" localSheetId="3">#REF!</definedName>
    <definedName name="MATEND" localSheetId="4">#REF!</definedName>
    <definedName name="MATEND">#REF!</definedName>
    <definedName name="material_costs" localSheetId="3">#REF!</definedName>
    <definedName name="material_costs" localSheetId="4">#REF!</definedName>
    <definedName name="material_costs">#REF!</definedName>
    <definedName name="matNYbud" localSheetId="3">#REF!</definedName>
    <definedName name="matNYbud" localSheetId="4">#REF!</definedName>
    <definedName name="matNYbud">#REF!</definedName>
    <definedName name="matPYACT" localSheetId="3">#REF!</definedName>
    <definedName name="matPYACT" localSheetId="4">#REF!</definedName>
    <definedName name="matPYACT">#REF!</definedName>
    <definedName name="MATSTART" localSheetId="3">#REF!</definedName>
    <definedName name="MATSTART" localSheetId="4">#REF!</definedName>
    <definedName name="MATSTART">#REF!</definedName>
    <definedName name="mea" localSheetId="3">#REF!</definedName>
    <definedName name="mea" localSheetId="4">#REF!</definedName>
    <definedName name="mea">#REF!</definedName>
    <definedName name="MEABAL" localSheetId="3">#REF!</definedName>
    <definedName name="MEABAL" localSheetId="4">#REF!</definedName>
    <definedName name="MEABAL">#REF!</definedName>
    <definedName name="MEACASH" localSheetId="3">#REF!</definedName>
    <definedName name="MEACASH" localSheetId="4">#REF!</definedName>
    <definedName name="MEACASH">#REF!</definedName>
    <definedName name="MEAEQITY" localSheetId="3">#REF!</definedName>
    <definedName name="MEAEQITY" localSheetId="4">#REF!</definedName>
    <definedName name="MEAEQITY">#REF!</definedName>
    <definedName name="MEAOP" localSheetId="3">#REF!</definedName>
    <definedName name="MEAOP" localSheetId="4">#REF!</definedName>
    <definedName name="MEAOP">#REF!</definedName>
    <definedName name="MofF" localSheetId="3">#REF!</definedName>
    <definedName name="MofF" localSheetId="4">#REF!</definedName>
    <definedName name="MofF">#REF!</definedName>
    <definedName name="NewRevReq">#REF!</definedName>
    <definedName name="NOTES" localSheetId="3">#REF!</definedName>
    <definedName name="NOTES" localSheetId="4">#REF!</definedName>
    <definedName name="NOTES">#REF!</definedName>
    <definedName name="OPERATING" localSheetId="3">#REF!</definedName>
    <definedName name="OPERATING" localSheetId="4">#REF!</definedName>
    <definedName name="OPERATING">#REF!</definedName>
    <definedName name="oth_beg_bud" localSheetId="3">#REF!</definedName>
    <definedName name="oth_beg_bud" localSheetId="4">#REF!</definedName>
    <definedName name="oth_beg_bud">#REF!</definedName>
    <definedName name="oth_end_bud" localSheetId="3">#REF!</definedName>
    <definedName name="oth_end_bud" localSheetId="4">#REF!</definedName>
    <definedName name="oth_end_bud">#REF!</definedName>
    <definedName name="oth12ACT" localSheetId="3">#REF!</definedName>
    <definedName name="oth12ACT" localSheetId="4">#REF!</definedName>
    <definedName name="oth12ACT">#REF!</definedName>
    <definedName name="othCYACT" localSheetId="3">#REF!</definedName>
    <definedName name="othCYACT" localSheetId="4">#REF!</definedName>
    <definedName name="othCYACT">#REF!</definedName>
    <definedName name="othCYBUD" localSheetId="3">#REF!</definedName>
    <definedName name="othCYBUD" localSheetId="4">#REF!</definedName>
    <definedName name="othCYBUD">#REF!</definedName>
    <definedName name="othCYF" localSheetId="3">#REF!</definedName>
    <definedName name="othCYF" localSheetId="4">#REF!</definedName>
    <definedName name="othCYF">#REF!</definedName>
    <definedName name="OTHEND" localSheetId="3">#REF!</definedName>
    <definedName name="OTHEND" localSheetId="4">#REF!</definedName>
    <definedName name="OTHEND">#REF!</definedName>
    <definedName name="other_costs" localSheetId="3">#REF!</definedName>
    <definedName name="other_costs" localSheetId="4">#REF!</definedName>
    <definedName name="other_costs">#REF!</definedName>
    <definedName name="OTHERBUD" localSheetId="3">#REF!</definedName>
    <definedName name="OTHERBUD" localSheetId="4">#REF!</definedName>
    <definedName name="OTHERBUD">#REF!</definedName>
    <definedName name="othNYbud" localSheetId="3">#REF!</definedName>
    <definedName name="othNYbud" localSheetId="4">#REF!</definedName>
    <definedName name="othNYbud">#REF!</definedName>
    <definedName name="othPYACT" localSheetId="3">#REF!</definedName>
    <definedName name="othPYACT" localSheetId="4">#REF!</definedName>
    <definedName name="othPYACT">#REF!</definedName>
    <definedName name="OTHSTART" localSheetId="3">#REF!</definedName>
    <definedName name="OTHSTART" localSheetId="4">#REF!</definedName>
    <definedName name="OTHSTART">#REF!</definedName>
    <definedName name="PAGE11" localSheetId="3">#REF!</definedName>
    <definedName name="PAGE11" localSheetId="4">#REF!</definedName>
    <definedName name="PAGE11">#REF!</definedName>
    <definedName name="PAGE2">#REF!</definedName>
    <definedName name="PAGE3" localSheetId="3">#REF!</definedName>
    <definedName name="PAGE3" localSheetId="4">#REF!</definedName>
    <definedName name="PAGE3">#REF!</definedName>
    <definedName name="PAGE4" localSheetId="3">#REF!</definedName>
    <definedName name="PAGE4" localSheetId="4">#REF!</definedName>
    <definedName name="PAGE4">#REF!</definedName>
    <definedName name="PAGE7" localSheetId="3">#REF!</definedName>
    <definedName name="PAGE7" localSheetId="4">#REF!</definedName>
    <definedName name="PAGE7">#REF!</definedName>
    <definedName name="PAGE9" localSheetId="3">#REF!</definedName>
    <definedName name="PAGE9" localSheetId="4">#REF!</definedName>
    <definedName name="PAGE9">#REF!</definedName>
    <definedName name="PageOne" localSheetId="3">#REF!</definedName>
    <definedName name="PageOne" localSheetId="4">#REF!</definedName>
    <definedName name="PageOne">#REF!</definedName>
    <definedName name="PR" localSheetId="3">#REF!</definedName>
    <definedName name="PR" localSheetId="4">#REF!</definedName>
    <definedName name="PR">#REF!</definedName>
    <definedName name="_xlnm.Print_Area" localSheetId="2">'Load Forecast Summary'!$A$3:$M$48</definedName>
    <definedName name="_xlnm.Print_Area" localSheetId="3">'Power Purchased Model'!$A$1:$M$168</definedName>
    <definedName name="_xlnm.Print_Area" localSheetId="4">'Power Purchased Model (WN)'!$A$1:$L$168</definedName>
    <definedName name="_xlnm.Print_Area" localSheetId="6">'Rate Class Customer Model'!$A$1:$K$34</definedName>
    <definedName name="_xlnm.Print_Area" localSheetId="5">'Rate Class Energy Model'!#REF!</definedName>
    <definedName name="_xlnm.Print_Area" localSheetId="7">'Rate Class Load Model'!$A$1:$I$29</definedName>
    <definedName name="Print_Area_MI" localSheetId="3">#REF!</definedName>
    <definedName name="Print_Area_MI" localSheetId="4">#REF!</definedName>
    <definedName name="Print_Area_MI">#REF!</definedName>
    <definedName name="print_end" localSheetId="3">#REF!</definedName>
    <definedName name="print_end" localSheetId="4">#REF!</definedName>
    <definedName name="print_end">#REF!</definedName>
    <definedName name="_xlnm.Print_Titles" localSheetId="3">'Power Purchased Model'!$A:$M,'Power Purchased Model'!$1:$2</definedName>
    <definedName name="_xlnm.Print_Titles" localSheetId="4">'Power Purchased Model (WN)'!$A:$L,'Power Purchased Model (WN)'!$1:$2</definedName>
    <definedName name="PRIOR" localSheetId="3">#REF!</definedName>
    <definedName name="PRIOR" localSheetId="4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3">#REF!</definedName>
    <definedName name="RVCASHPR" localSheetId="4">#REF!</definedName>
    <definedName name="RVCASHPR">#REF!</definedName>
    <definedName name="SALBENF" localSheetId="3">#REF!</definedName>
    <definedName name="SALBENF" localSheetId="4">#REF!</definedName>
    <definedName name="SALBENF">#REF!</definedName>
    <definedName name="salreg" localSheetId="3">#REF!</definedName>
    <definedName name="salreg" localSheetId="4">#REF!</definedName>
    <definedName name="salreg">#REF!</definedName>
    <definedName name="SALREGF" localSheetId="3">#REF!</definedName>
    <definedName name="SALREGF" localSheetId="4">#REF!</definedName>
    <definedName name="SALREGF">#REF!</definedName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'Power Purchased Model'!$F$170</definedName>
    <definedName name="solver_typ" localSheetId="3" hidden="1">1</definedName>
    <definedName name="solver_val" localSheetId="3" hidden="1">0</definedName>
    <definedName name="solver_ver" localSheetId="3" hidden="1">3</definedName>
    <definedName name="SOURCEAPP" localSheetId="3">#REF!</definedName>
    <definedName name="SOURCEAPP" localSheetId="4">#REF!</definedName>
    <definedName name="SOURCEAPP">#REF!</definedName>
    <definedName name="STATS1" localSheetId="3">#REF!</definedName>
    <definedName name="STATS1" localSheetId="4">#REF!</definedName>
    <definedName name="STATS1">#REF!</definedName>
    <definedName name="STATS2" localSheetId="3">#REF!</definedName>
    <definedName name="STATS2" localSheetId="4">#REF!</definedName>
    <definedName name="STATS2">#REF!</definedName>
    <definedName name="Surtax" localSheetId="3">#REF!</definedName>
    <definedName name="Surtax" localSheetId="4">#REF!</definedName>
    <definedName name="Surtax">#REF!</definedName>
    <definedName name="TEMPA" localSheetId="3">#REF!</definedName>
    <definedName name="TEMPA" localSheetId="4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3">#REF!</definedName>
    <definedName name="total_dept" localSheetId="4">#REF!</definedName>
    <definedName name="total_dept">#REF!</definedName>
    <definedName name="total_manpower" localSheetId="3">#REF!</definedName>
    <definedName name="total_manpower" localSheetId="4">#REF!</definedName>
    <definedName name="total_manpower">#REF!</definedName>
    <definedName name="total_material" localSheetId="3">#REF!</definedName>
    <definedName name="total_material" localSheetId="4">#REF!</definedName>
    <definedName name="total_material">#REF!</definedName>
    <definedName name="total_other" localSheetId="3">#REF!</definedName>
    <definedName name="total_other" localSheetId="4">#REF!</definedName>
    <definedName name="total_other">#REF!</definedName>
    <definedName name="total_transportation" localSheetId="3">#REF!</definedName>
    <definedName name="total_transportation" localSheetId="4">#REF!</definedName>
    <definedName name="total_transportation">#REF!</definedName>
    <definedName name="TOTCAPADDITIONS" localSheetId="3">#REF!</definedName>
    <definedName name="TOTCAPADDITIONS" localSheetId="4">#REF!</definedName>
    <definedName name="TOTCAPADDITIONS">#REF!</definedName>
    <definedName name="TRANBUD" localSheetId="3">#REF!</definedName>
    <definedName name="TRANBUD" localSheetId="4">#REF!</definedName>
    <definedName name="TRANBUD">#REF!</definedName>
    <definedName name="TRANEND" localSheetId="3">#REF!</definedName>
    <definedName name="TRANEND" localSheetId="4">#REF!</definedName>
    <definedName name="TRANEND">#REF!</definedName>
    <definedName name="TRANSCAP" localSheetId="3">#REF!</definedName>
    <definedName name="TRANSCAP" localSheetId="4">#REF!</definedName>
    <definedName name="TRANSCAP">#REF!</definedName>
    <definedName name="TRANSFER" localSheetId="3">#REF!</definedName>
    <definedName name="TRANSFER" localSheetId="4">#REF!</definedName>
    <definedName name="TRANSFER">#REF!</definedName>
    <definedName name="transportation_costs" localSheetId="3">#REF!</definedName>
    <definedName name="transportation_costs" localSheetId="4">#REF!</definedName>
    <definedName name="transportation_costs">#REF!</definedName>
    <definedName name="TRANSTART" localSheetId="3">#REF!</definedName>
    <definedName name="TRANSTART" localSheetId="4">#REF!</definedName>
    <definedName name="TRANSTART">#REF!</definedName>
    <definedName name="trn_beg_bud" localSheetId="3">#REF!</definedName>
    <definedName name="trn_beg_bud" localSheetId="4">#REF!</definedName>
    <definedName name="trn_beg_bud">#REF!</definedName>
    <definedName name="trn_end_bud" localSheetId="3">#REF!</definedName>
    <definedName name="trn_end_bud" localSheetId="4">#REF!</definedName>
    <definedName name="trn_end_bud">#REF!</definedName>
    <definedName name="trn12ACT" localSheetId="3">#REF!</definedName>
    <definedName name="trn12ACT" localSheetId="4">#REF!</definedName>
    <definedName name="trn12ACT">#REF!</definedName>
    <definedName name="trnCYACT" localSheetId="3">#REF!</definedName>
    <definedName name="trnCYACT" localSheetId="4">#REF!</definedName>
    <definedName name="trnCYACT">#REF!</definedName>
    <definedName name="trnCYBUD" localSheetId="3">#REF!</definedName>
    <definedName name="trnCYBUD" localSheetId="4">#REF!</definedName>
    <definedName name="trnCYBUD">#REF!</definedName>
    <definedName name="trnCYF" localSheetId="3">#REF!</definedName>
    <definedName name="trnCYF" localSheetId="4">#REF!</definedName>
    <definedName name="trnCYF">#REF!</definedName>
    <definedName name="trnNYbud" localSheetId="3">#REF!</definedName>
    <definedName name="trnNYbud" localSheetId="4">#REF!</definedName>
    <definedName name="trnNYbud">#REF!</definedName>
    <definedName name="trnPYACT" localSheetId="3">#REF!</definedName>
    <definedName name="trnPYACT" localSheetId="4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3">#REF!</definedName>
    <definedName name="WAGBENF" localSheetId="4">#REF!</definedName>
    <definedName name="WAGBENF">#REF!</definedName>
    <definedName name="wagdob" localSheetId="3">#REF!</definedName>
    <definedName name="wagdob" localSheetId="4">#REF!</definedName>
    <definedName name="wagdob">#REF!</definedName>
    <definedName name="wagdobf" localSheetId="3">#REF!</definedName>
    <definedName name="wagdobf" localSheetId="4">#REF!</definedName>
    <definedName name="wagdobf">#REF!</definedName>
    <definedName name="wagreg" localSheetId="3">#REF!</definedName>
    <definedName name="wagreg" localSheetId="4">#REF!</definedName>
    <definedName name="wagreg">#REF!</definedName>
    <definedName name="wagregf" localSheetId="3">#REF!</definedName>
    <definedName name="wagregf" localSheetId="4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0" i="102" l="1"/>
  <c r="M150" i="102"/>
  <c r="N150" i="102"/>
  <c r="A151" i="102"/>
  <c r="D149" i="102"/>
  <c r="E149" i="102"/>
  <c r="F149" i="102"/>
  <c r="G149" i="102"/>
  <c r="H149" i="102"/>
  <c r="I149" i="102"/>
  <c r="J149" i="102"/>
  <c r="K149" i="102"/>
  <c r="K152" i="102" s="1"/>
  <c r="L149" i="102"/>
  <c r="M149" i="102"/>
  <c r="N149" i="102"/>
  <c r="C149" i="102"/>
  <c r="B149" i="102"/>
  <c r="A149" i="102"/>
  <c r="K150" i="102" l="1"/>
  <c r="C4" i="108" l="1"/>
  <c r="O4" i="108"/>
  <c r="M4" i="108"/>
  <c r="K4" i="108"/>
  <c r="I4" i="108"/>
  <c r="G4" i="108"/>
  <c r="E4" i="108"/>
  <c r="J304" i="107" l="1"/>
  <c r="J316" i="107"/>
  <c r="J324" i="107"/>
  <c r="J328" i="107"/>
  <c r="J336" i="107"/>
  <c r="J340" i="107"/>
  <c r="E35" i="108" l="1"/>
  <c r="E27" i="108"/>
  <c r="O35" i="108"/>
  <c r="G26" i="108"/>
  <c r="J72" i="73"/>
  <c r="W132" i="73"/>
  <c r="W133" i="73" s="1"/>
  <c r="W134" i="73" s="1"/>
  <c r="W135" i="73" s="1"/>
  <c r="W136" i="73" s="1"/>
  <c r="W137" i="73" s="1"/>
  <c r="W138" i="73" s="1"/>
  <c r="W139" i="73" s="1"/>
  <c r="W140" i="73" s="1"/>
  <c r="W141" i="73" s="1"/>
  <c r="W142" i="73" s="1"/>
  <c r="W143" i="73" s="1"/>
  <c r="L132" i="73"/>
  <c r="L133" i="73" s="1"/>
  <c r="L134" i="73" s="1"/>
  <c r="L135" i="73" s="1"/>
  <c r="L136" i="73" s="1"/>
  <c r="L137" i="73" s="1"/>
  <c r="L138" i="73" s="1"/>
  <c r="L139" i="73" s="1"/>
  <c r="L140" i="73" s="1"/>
  <c r="L141" i="73" s="1"/>
  <c r="L142" i="73" s="1"/>
  <c r="L143" i="73" s="1"/>
  <c r="D9" i="108"/>
  <c r="D10" i="108"/>
  <c r="E10" i="108" s="1"/>
  <c r="B9" i="108"/>
  <c r="C10" i="108" s="1"/>
  <c r="G96" i="73" s="1"/>
  <c r="G97" i="73" s="1"/>
  <c r="I132" i="73"/>
  <c r="I133" i="73" s="1"/>
  <c r="I134" i="73" s="1"/>
  <c r="I135" i="73" s="1"/>
  <c r="I136" i="73" s="1"/>
  <c r="I137" i="73" s="1"/>
  <c r="I138" i="73" s="1"/>
  <c r="I139" i="73" s="1"/>
  <c r="I140" i="73" s="1"/>
  <c r="I141" i="73" s="1"/>
  <c r="I142" i="73" s="1"/>
  <c r="I143" i="73" s="1"/>
  <c r="I72" i="73"/>
  <c r="I73" i="73" s="1"/>
  <c r="I74" i="73" s="1"/>
  <c r="I75" i="73" s="1"/>
  <c r="I76" i="73" s="1"/>
  <c r="I77" i="73" s="1"/>
  <c r="I78" i="73" s="1"/>
  <c r="I79" i="73" s="1"/>
  <c r="I80" i="73" s="1"/>
  <c r="I81" i="73" s="1"/>
  <c r="I82" i="73" s="1"/>
  <c r="I83" i="73" s="1"/>
  <c r="W24" i="73"/>
  <c r="W25" i="73" s="1"/>
  <c r="W26" i="73" s="1"/>
  <c r="W27" i="73" s="1"/>
  <c r="W28" i="73" s="1"/>
  <c r="W29" i="73" s="1"/>
  <c r="W30" i="73" s="1"/>
  <c r="W31" i="73" s="1"/>
  <c r="W32" i="73" s="1"/>
  <c r="W33" i="73" s="1"/>
  <c r="W34" i="73" s="1"/>
  <c r="W35" i="73" s="1"/>
  <c r="Q24" i="73"/>
  <c r="Q25" i="73" s="1"/>
  <c r="Q26" i="73" s="1"/>
  <c r="Q27" i="73" s="1"/>
  <c r="Q28" i="73" s="1"/>
  <c r="Q29" i="73" s="1"/>
  <c r="Q30" i="73" s="1"/>
  <c r="Q31" i="73" s="1"/>
  <c r="Q32" i="73" s="1"/>
  <c r="Q33" i="73" s="1"/>
  <c r="Q34" i="73" s="1"/>
  <c r="Q35" i="73" s="1"/>
  <c r="G132" i="73"/>
  <c r="G133" i="73" s="1"/>
  <c r="G134" i="73" s="1"/>
  <c r="G135" i="73" s="1"/>
  <c r="G136" i="73" s="1"/>
  <c r="G137" i="73" s="1"/>
  <c r="G138" i="73" s="1"/>
  <c r="G139" i="73" s="1"/>
  <c r="G140" i="73" s="1"/>
  <c r="G141" i="73" s="1"/>
  <c r="G142" i="73" s="1"/>
  <c r="G143" i="73" s="1"/>
  <c r="G60" i="73"/>
  <c r="G61" i="73" s="1"/>
  <c r="G62" i="73" s="1"/>
  <c r="G63" i="73" s="1"/>
  <c r="G64" i="73" s="1"/>
  <c r="G65" i="73" s="1"/>
  <c r="G66" i="73" s="1"/>
  <c r="G67" i="73" s="1"/>
  <c r="G68" i="73" s="1"/>
  <c r="G69" i="73" s="1"/>
  <c r="G70" i="73" s="1"/>
  <c r="G71" i="73" s="1"/>
  <c r="G24" i="73"/>
  <c r="G25" i="73" s="1"/>
  <c r="G26" i="73" s="1"/>
  <c r="G27" i="73" s="1"/>
  <c r="G28" i="73" s="1"/>
  <c r="G29" i="73" s="1"/>
  <c r="G30" i="73" s="1"/>
  <c r="G31" i="73" s="1"/>
  <c r="G32" i="73" s="1"/>
  <c r="G33" i="73" s="1"/>
  <c r="G34" i="73" s="1"/>
  <c r="G35" i="73" s="1"/>
  <c r="O13" i="108"/>
  <c r="M13" i="108"/>
  <c r="M35" i="108" s="1"/>
  <c r="K13" i="108"/>
  <c r="K35" i="108" s="1"/>
  <c r="I13" i="108"/>
  <c r="I35" i="108" s="1"/>
  <c r="G13" i="108"/>
  <c r="G35" i="108" s="1"/>
  <c r="C6" i="108"/>
  <c r="G48" i="73" s="1"/>
  <c r="G49" i="73" s="1"/>
  <c r="G50" i="73" s="1"/>
  <c r="G51" i="73" s="1"/>
  <c r="G52" i="73" s="1"/>
  <c r="G53" i="73" s="1"/>
  <c r="G54" i="73" s="1"/>
  <c r="G55" i="73" s="1"/>
  <c r="G56" i="73" s="1"/>
  <c r="G57" i="73" s="1"/>
  <c r="G58" i="73" s="1"/>
  <c r="G59" i="73" s="1"/>
  <c r="C7" i="108"/>
  <c r="C29" i="108" s="1"/>
  <c r="C8" i="108"/>
  <c r="C30" i="108" s="1"/>
  <c r="C11" i="108"/>
  <c r="C33" i="108" s="1"/>
  <c r="C12" i="108"/>
  <c r="C34" i="108" s="1"/>
  <c r="C13" i="108"/>
  <c r="C35" i="108" s="1"/>
  <c r="E5" i="108"/>
  <c r="I36" i="73" s="1"/>
  <c r="I37" i="73" s="1"/>
  <c r="I38" i="73" s="1"/>
  <c r="I39" i="73" s="1"/>
  <c r="I40" i="73" s="1"/>
  <c r="I41" i="73" s="1"/>
  <c r="I42" i="73" s="1"/>
  <c r="I43" i="73" s="1"/>
  <c r="I44" i="73" s="1"/>
  <c r="I45" i="73" s="1"/>
  <c r="I46" i="73" s="1"/>
  <c r="I47" i="73" s="1"/>
  <c r="E6" i="108"/>
  <c r="I48" i="73" s="1"/>
  <c r="I49" i="73" s="1"/>
  <c r="I50" i="73" s="1"/>
  <c r="I51" i="73" s="1"/>
  <c r="I52" i="73" s="1"/>
  <c r="I53" i="73" s="1"/>
  <c r="I54" i="73" s="1"/>
  <c r="I55" i="73" s="1"/>
  <c r="I56" i="73" s="1"/>
  <c r="I57" i="73" s="1"/>
  <c r="I58" i="73" s="1"/>
  <c r="I59" i="73" s="1"/>
  <c r="E7" i="108"/>
  <c r="I60" i="73" s="1"/>
  <c r="I61" i="73" s="1"/>
  <c r="I62" i="73" s="1"/>
  <c r="I63" i="73" s="1"/>
  <c r="I64" i="73" s="1"/>
  <c r="I65" i="73" s="1"/>
  <c r="I66" i="73" s="1"/>
  <c r="I67" i="73" s="1"/>
  <c r="I68" i="73" s="1"/>
  <c r="I69" i="73" s="1"/>
  <c r="I70" i="73" s="1"/>
  <c r="I71" i="73" s="1"/>
  <c r="E8" i="108"/>
  <c r="E30" i="108" s="1"/>
  <c r="E12" i="108"/>
  <c r="E34" i="108" s="1"/>
  <c r="E13" i="108"/>
  <c r="C5" i="108"/>
  <c r="G36" i="73" s="1"/>
  <c r="G37" i="73" s="1"/>
  <c r="G38" i="73" s="1"/>
  <c r="G39" i="73" s="1"/>
  <c r="G40" i="73" s="1"/>
  <c r="G41" i="73" s="1"/>
  <c r="G42" i="73" s="1"/>
  <c r="G43" i="73" s="1"/>
  <c r="G44" i="73" s="1"/>
  <c r="G45" i="73" s="1"/>
  <c r="G46" i="73" s="1"/>
  <c r="G47" i="73" s="1"/>
  <c r="O26" i="108"/>
  <c r="M26" i="108"/>
  <c r="K26" i="108"/>
  <c r="I26" i="108"/>
  <c r="L24" i="73"/>
  <c r="L25" i="73" s="1"/>
  <c r="L26" i="73" s="1"/>
  <c r="L27" i="73" s="1"/>
  <c r="L28" i="73" s="1"/>
  <c r="L29" i="73" s="1"/>
  <c r="L30" i="73" s="1"/>
  <c r="L31" i="73" s="1"/>
  <c r="L32" i="73" s="1"/>
  <c r="L33" i="73" s="1"/>
  <c r="L34" i="73" s="1"/>
  <c r="L35" i="73" s="1"/>
  <c r="E26" i="108"/>
  <c r="C26" i="108"/>
  <c r="I96" i="73" l="1"/>
  <c r="I97" i="73" s="1"/>
  <c r="I98" i="73" s="1"/>
  <c r="I99" i="73" s="1"/>
  <c r="I100" i="73" s="1"/>
  <c r="I101" i="73" s="1"/>
  <c r="I102" i="73" s="1"/>
  <c r="I103" i="73" s="1"/>
  <c r="I104" i="73" s="1"/>
  <c r="I105" i="73" s="1"/>
  <c r="I106" i="73" s="1"/>
  <c r="I107" i="73" s="1"/>
  <c r="E32" i="108"/>
  <c r="G120" i="73"/>
  <c r="G121" i="73" s="1"/>
  <c r="G122" i="73" s="1"/>
  <c r="G123" i="73" s="1"/>
  <c r="G124" i="73" s="1"/>
  <c r="G125" i="73" s="1"/>
  <c r="G126" i="73" s="1"/>
  <c r="G127" i="73" s="1"/>
  <c r="G128" i="73" s="1"/>
  <c r="G129" i="73" s="1"/>
  <c r="G130" i="73" s="1"/>
  <c r="G131" i="73" s="1"/>
  <c r="I120" i="73"/>
  <c r="I121" i="73" s="1"/>
  <c r="I122" i="73" s="1"/>
  <c r="I123" i="73" s="1"/>
  <c r="I124" i="73" s="1"/>
  <c r="I125" i="73" s="1"/>
  <c r="I126" i="73" s="1"/>
  <c r="I127" i="73" s="1"/>
  <c r="I128" i="73" s="1"/>
  <c r="I129" i="73" s="1"/>
  <c r="I130" i="73" s="1"/>
  <c r="I131" i="73" s="1"/>
  <c r="E28" i="108"/>
  <c r="C27" i="108"/>
  <c r="I24" i="73"/>
  <c r="I25" i="73" s="1"/>
  <c r="I26" i="73" s="1"/>
  <c r="I27" i="73" s="1"/>
  <c r="I28" i="73" s="1"/>
  <c r="I29" i="73" s="1"/>
  <c r="I30" i="73" s="1"/>
  <c r="I31" i="73" s="1"/>
  <c r="I32" i="73" s="1"/>
  <c r="I33" i="73" s="1"/>
  <c r="I34" i="73" s="1"/>
  <c r="I35" i="73" s="1"/>
  <c r="E29" i="108"/>
  <c r="C28" i="108"/>
  <c r="Q132" i="73"/>
  <c r="Q133" i="73" s="1"/>
  <c r="Q134" i="73" s="1"/>
  <c r="Q135" i="73" s="1"/>
  <c r="Q136" i="73" s="1"/>
  <c r="Q137" i="73" s="1"/>
  <c r="Q138" i="73" s="1"/>
  <c r="Q139" i="73" s="1"/>
  <c r="Q140" i="73" s="1"/>
  <c r="Q141" i="73" s="1"/>
  <c r="Q142" i="73" s="1"/>
  <c r="Q143" i="73" s="1"/>
  <c r="G72" i="73"/>
  <c r="G73" i="73" s="1"/>
  <c r="G74" i="73" s="1"/>
  <c r="G75" i="73" s="1"/>
  <c r="G76" i="73" s="1"/>
  <c r="G77" i="73" s="1"/>
  <c r="G78" i="73" s="1"/>
  <c r="G79" i="73" s="1"/>
  <c r="G80" i="73" s="1"/>
  <c r="G81" i="73" s="1"/>
  <c r="G82" i="73" s="1"/>
  <c r="G83" i="73" s="1"/>
  <c r="C32" i="108"/>
  <c r="G108" i="73"/>
  <c r="G109" i="73" s="1"/>
  <c r="G110" i="73" s="1"/>
  <c r="G111" i="73" s="1"/>
  <c r="G112" i="73" s="1"/>
  <c r="G113" i="73" s="1"/>
  <c r="G114" i="73" s="1"/>
  <c r="G115" i="73" s="1"/>
  <c r="G116" i="73" s="1"/>
  <c r="G117" i="73" s="1"/>
  <c r="G118" i="73" s="1"/>
  <c r="G119" i="73" s="1"/>
  <c r="E11" i="108"/>
  <c r="E9" i="108"/>
  <c r="C9" i="108"/>
  <c r="G98" i="73"/>
  <c r="G99" i="73" s="1"/>
  <c r="G100" i="73" s="1"/>
  <c r="G101" i="73" s="1"/>
  <c r="G102" i="73" s="1"/>
  <c r="G103" i="73" s="1"/>
  <c r="G104" i="73" s="1"/>
  <c r="G105" i="73" s="1"/>
  <c r="G106" i="73" s="1"/>
  <c r="G107" i="73" s="1"/>
  <c r="O6" i="108"/>
  <c r="O7" i="108"/>
  <c r="O8" i="108"/>
  <c r="O9" i="108"/>
  <c r="O10" i="108"/>
  <c r="O11" i="108"/>
  <c r="O12" i="108"/>
  <c r="O5" i="108"/>
  <c r="M6" i="108"/>
  <c r="M28" i="108" s="1"/>
  <c r="M7" i="108"/>
  <c r="M29" i="108" s="1"/>
  <c r="M8" i="108"/>
  <c r="M30" i="108" s="1"/>
  <c r="M9" i="108"/>
  <c r="M31" i="108" s="1"/>
  <c r="M10" i="108"/>
  <c r="M32" i="108" s="1"/>
  <c r="M11" i="108"/>
  <c r="M33" i="108" s="1"/>
  <c r="M12" i="108"/>
  <c r="M34" i="108" s="1"/>
  <c r="M5" i="108"/>
  <c r="M27" i="108" s="1"/>
  <c r="K6" i="108"/>
  <c r="K7" i="108"/>
  <c r="K8" i="108"/>
  <c r="K9" i="108"/>
  <c r="K10" i="108"/>
  <c r="K11" i="108"/>
  <c r="K12" i="108"/>
  <c r="K5" i="108"/>
  <c r="I6" i="108"/>
  <c r="I28" i="108" s="1"/>
  <c r="I7" i="108"/>
  <c r="I29" i="108" s="1"/>
  <c r="I8" i="108"/>
  <c r="I30" i="108" s="1"/>
  <c r="I9" i="108"/>
  <c r="I31" i="108" s="1"/>
  <c r="I10" i="108"/>
  <c r="I32" i="108" s="1"/>
  <c r="I11" i="108"/>
  <c r="I33" i="108" s="1"/>
  <c r="I12" i="108"/>
  <c r="I34" i="108" s="1"/>
  <c r="I5" i="108"/>
  <c r="I27" i="108" s="1"/>
  <c r="G6" i="108"/>
  <c r="G7" i="108"/>
  <c r="G8" i="108"/>
  <c r="G9" i="108"/>
  <c r="G10" i="108"/>
  <c r="G11" i="108"/>
  <c r="G12" i="108"/>
  <c r="G5" i="108"/>
  <c r="L72" i="73" l="1"/>
  <c r="L73" i="73" s="1"/>
  <c r="L74" i="73" s="1"/>
  <c r="L75" i="73" s="1"/>
  <c r="L76" i="73" s="1"/>
  <c r="L77" i="73" s="1"/>
  <c r="L78" i="73" s="1"/>
  <c r="L79" i="73" s="1"/>
  <c r="L80" i="73" s="1"/>
  <c r="L81" i="73" s="1"/>
  <c r="L82" i="73" s="1"/>
  <c r="L83" i="73" s="1"/>
  <c r="G30" i="108"/>
  <c r="Q72" i="73"/>
  <c r="Q73" i="73" s="1"/>
  <c r="Q74" i="73" s="1"/>
  <c r="Q75" i="73" s="1"/>
  <c r="Q76" i="73" s="1"/>
  <c r="Q77" i="73" s="1"/>
  <c r="Q78" i="73" s="1"/>
  <c r="Q79" i="73" s="1"/>
  <c r="Q80" i="73" s="1"/>
  <c r="Q81" i="73" s="1"/>
  <c r="Q82" i="73" s="1"/>
  <c r="Q83" i="73" s="1"/>
  <c r="K30" i="108"/>
  <c r="L60" i="73"/>
  <c r="L61" i="73" s="1"/>
  <c r="L62" i="73" s="1"/>
  <c r="L63" i="73" s="1"/>
  <c r="L64" i="73" s="1"/>
  <c r="L65" i="73" s="1"/>
  <c r="L66" i="73" s="1"/>
  <c r="L67" i="73" s="1"/>
  <c r="L68" i="73" s="1"/>
  <c r="L69" i="73" s="1"/>
  <c r="L70" i="73" s="1"/>
  <c r="L71" i="73" s="1"/>
  <c r="G29" i="108"/>
  <c r="K29" i="108"/>
  <c r="Q60" i="73"/>
  <c r="Q61" i="73" s="1"/>
  <c r="Q62" i="73" s="1"/>
  <c r="Q63" i="73" s="1"/>
  <c r="Q64" i="73" s="1"/>
  <c r="Q65" i="73" s="1"/>
  <c r="Q66" i="73" s="1"/>
  <c r="Q67" i="73" s="1"/>
  <c r="Q68" i="73" s="1"/>
  <c r="Q69" i="73" s="1"/>
  <c r="Q70" i="73" s="1"/>
  <c r="Q71" i="73" s="1"/>
  <c r="O29" i="108"/>
  <c r="W60" i="73"/>
  <c r="W61" i="73" s="1"/>
  <c r="W62" i="73" s="1"/>
  <c r="W63" i="73" s="1"/>
  <c r="W64" i="73" s="1"/>
  <c r="W65" i="73" s="1"/>
  <c r="W66" i="73" s="1"/>
  <c r="W67" i="73" s="1"/>
  <c r="W68" i="73" s="1"/>
  <c r="W69" i="73" s="1"/>
  <c r="W70" i="73" s="1"/>
  <c r="W71" i="73" s="1"/>
  <c r="G34" i="108"/>
  <c r="L120" i="73"/>
  <c r="L121" i="73" s="1"/>
  <c r="L122" i="73" s="1"/>
  <c r="L123" i="73" s="1"/>
  <c r="L124" i="73" s="1"/>
  <c r="L125" i="73" s="1"/>
  <c r="L126" i="73" s="1"/>
  <c r="L127" i="73" s="1"/>
  <c r="L128" i="73" s="1"/>
  <c r="L129" i="73" s="1"/>
  <c r="L130" i="73" s="1"/>
  <c r="L131" i="73" s="1"/>
  <c r="K34" i="108"/>
  <c r="Q120" i="73"/>
  <c r="Q121" i="73" s="1"/>
  <c r="Q122" i="73" s="1"/>
  <c r="Q123" i="73" s="1"/>
  <c r="Q124" i="73" s="1"/>
  <c r="Q125" i="73" s="1"/>
  <c r="Q126" i="73" s="1"/>
  <c r="Q127" i="73" s="1"/>
  <c r="Q128" i="73" s="1"/>
  <c r="Q129" i="73" s="1"/>
  <c r="Q130" i="73" s="1"/>
  <c r="Q131" i="73" s="1"/>
  <c r="W120" i="73"/>
  <c r="W121" i="73" s="1"/>
  <c r="W122" i="73" s="1"/>
  <c r="W123" i="73" s="1"/>
  <c r="W124" i="73" s="1"/>
  <c r="W125" i="73" s="1"/>
  <c r="W126" i="73" s="1"/>
  <c r="W127" i="73" s="1"/>
  <c r="W128" i="73" s="1"/>
  <c r="W129" i="73" s="1"/>
  <c r="W130" i="73" s="1"/>
  <c r="W131" i="73" s="1"/>
  <c r="O34" i="108"/>
  <c r="C31" i="108"/>
  <c r="G84" i="73"/>
  <c r="G85" i="73" s="1"/>
  <c r="G86" i="73" s="1"/>
  <c r="G87" i="73" s="1"/>
  <c r="G88" i="73" s="1"/>
  <c r="G89" i="73" s="1"/>
  <c r="G90" i="73" s="1"/>
  <c r="G91" i="73" s="1"/>
  <c r="G92" i="73" s="1"/>
  <c r="G93" i="73" s="1"/>
  <c r="G94" i="73" s="1"/>
  <c r="G95" i="73" s="1"/>
  <c r="W72" i="73"/>
  <c r="W73" i="73" s="1"/>
  <c r="W74" i="73" s="1"/>
  <c r="W75" i="73" s="1"/>
  <c r="W76" i="73" s="1"/>
  <c r="W77" i="73" s="1"/>
  <c r="W78" i="73" s="1"/>
  <c r="W79" i="73" s="1"/>
  <c r="W80" i="73" s="1"/>
  <c r="W81" i="73" s="1"/>
  <c r="W82" i="73" s="1"/>
  <c r="W83" i="73" s="1"/>
  <c r="O30" i="108"/>
  <c r="L48" i="73"/>
  <c r="L49" i="73" s="1"/>
  <c r="L50" i="73" s="1"/>
  <c r="L51" i="73" s="1"/>
  <c r="L52" i="73" s="1"/>
  <c r="L53" i="73" s="1"/>
  <c r="L54" i="73" s="1"/>
  <c r="L55" i="73" s="1"/>
  <c r="L56" i="73" s="1"/>
  <c r="L57" i="73" s="1"/>
  <c r="L58" i="73" s="1"/>
  <c r="L59" i="73" s="1"/>
  <c r="G28" i="108"/>
  <c r="G27" i="108"/>
  <c r="L36" i="73"/>
  <c r="L37" i="73" s="1"/>
  <c r="L38" i="73" s="1"/>
  <c r="L39" i="73" s="1"/>
  <c r="L40" i="73" s="1"/>
  <c r="L41" i="73" s="1"/>
  <c r="L42" i="73" s="1"/>
  <c r="L43" i="73" s="1"/>
  <c r="L44" i="73" s="1"/>
  <c r="L45" i="73" s="1"/>
  <c r="L46" i="73" s="1"/>
  <c r="L47" i="73" s="1"/>
  <c r="W36" i="73"/>
  <c r="W37" i="73" s="1"/>
  <c r="W38" i="73" s="1"/>
  <c r="W39" i="73" s="1"/>
  <c r="W40" i="73" s="1"/>
  <c r="W41" i="73" s="1"/>
  <c r="W42" i="73" s="1"/>
  <c r="W43" i="73" s="1"/>
  <c r="W44" i="73" s="1"/>
  <c r="W45" i="73" s="1"/>
  <c r="W46" i="73" s="1"/>
  <c r="W47" i="73" s="1"/>
  <c r="O27" i="108"/>
  <c r="G33" i="108"/>
  <c r="L108" i="73"/>
  <c r="L109" i="73" s="1"/>
  <c r="L110" i="73" s="1"/>
  <c r="L111" i="73" s="1"/>
  <c r="L112" i="73" s="1"/>
  <c r="L113" i="73" s="1"/>
  <c r="L114" i="73" s="1"/>
  <c r="L115" i="73" s="1"/>
  <c r="L116" i="73" s="1"/>
  <c r="L117" i="73" s="1"/>
  <c r="L118" i="73" s="1"/>
  <c r="L119" i="73" s="1"/>
  <c r="K33" i="108"/>
  <c r="Q108" i="73"/>
  <c r="Q109" i="73" s="1"/>
  <c r="Q110" i="73" s="1"/>
  <c r="Q111" i="73" s="1"/>
  <c r="Q112" i="73" s="1"/>
  <c r="Q113" i="73" s="1"/>
  <c r="Q114" i="73" s="1"/>
  <c r="Q115" i="73" s="1"/>
  <c r="Q116" i="73" s="1"/>
  <c r="Q117" i="73" s="1"/>
  <c r="Q118" i="73" s="1"/>
  <c r="Q119" i="73" s="1"/>
  <c r="W108" i="73"/>
  <c r="W109" i="73" s="1"/>
  <c r="W110" i="73" s="1"/>
  <c r="W111" i="73" s="1"/>
  <c r="W112" i="73" s="1"/>
  <c r="W113" i="73" s="1"/>
  <c r="W114" i="73" s="1"/>
  <c r="W115" i="73" s="1"/>
  <c r="W116" i="73" s="1"/>
  <c r="W117" i="73" s="1"/>
  <c r="W118" i="73" s="1"/>
  <c r="W119" i="73" s="1"/>
  <c r="O33" i="108"/>
  <c r="I84" i="73"/>
  <c r="I85" i="73" s="1"/>
  <c r="I86" i="73" s="1"/>
  <c r="I87" i="73" s="1"/>
  <c r="I88" i="73" s="1"/>
  <c r="I89" i="73" s="1"/>
  <c r="I90" i="73" s="1"/>
  <c r="I91" i="73" s="1"/>
  <c r="I92" i="73" s="1"/>
  <c r="I93" i="73" s="1"/>
  <c r="I94" i="73" s="1"/>
  <c r="I95" i="73" s="1"/>
  <c r="E31" i="108"/>
  <c r="L96" i="73"/>
  <c r="L97" i="73" s="1"/>
  <c r="L98" i="73" s="1"/>
  <c r="L99" i="73" s="1"/>
  <c r="L100" i="73" s="1"/>
  <c r="L101" i="73" s="1"/>
  <c r="L102" i="73" s="1"/>
  <c r="L103" i="73" s="1"/>
  <c r="L104" i="73" s="1"/>
  <c r="L105" i="73" s="1"/>
  <c r="L106" i="73" s="1"/>
  <c r="L107" i="73" s="1"/>
  <c r="G32" i="108"/>
  <c r="Q96" i="73"/>
  <c r="Q97" i="73" s="1"/>
  <c r="Q98" i="73" s="1"/>
  <c r="Q99" i="73" s="1"/>
  <c r="Q100" i="73" s="1"/>
  <c r="Q101" i="73" s="1"/>
  <c r="Q102" i="73" s="1"/>
  <c r="Q103" i="73" s="1"/>
  <c r="Q104" i="73" s="1"/>
  <c r="Q105" i="73" s="1"/>
  <c r="Q106" i="73" s="1"/>
  <c r="Q107" i="73" s="1"/>
  <c r="K32" i="108"/>
  <c r="W96" i="73"/>
  <c r="W97" i="73" s="1"/>
  <c r="W98" i="73" s="1"/>
  <c r="W99" i="73" s="1"/>
  <c r="W100" i="73" s="1"/>
  <c r="W101" i="73" s="1"/>
  <c r="W102" i="73" s="1"/>
  <c r="W103" i="73" s="1"/>
  <c r="W104" i="73" s="1"/>
  <c r="W105" i="73" s="1"/>
  <c r="W106" i="73" s="1"/>
  <c r="W107" i="73" s="1"/>
  <c r="O32" i="108"/>
  <c r="I108" i="73"/>
  <c r="I109" i="73" s="1"/>
  <c r="I110" i="73" s="1"/>
  <c r="I111" i="73" s="1"/>
  <c r="I112" i="73" s="1"/>
  <c r="I113" i="73" s="1"/>
  <c r="I114" i="73" s="1"/>
  <c r="I115" i="73" s="1"/>
  <c r="I116" i="73" s="1"/>
  <c r="I117" i="73" s="1"/>
  <c r="I118" i="73" s="1"/>
  <c r="I119" i="73" s="1"/>
  <c r="E33" i="108"/>
  <c r="L84" i="73"/>
  <c r="L85" i="73" s="1"/>
  <c r="L86" i="73" s="1"/>
  <c r="L87" i="73" s="1"/>
  <c r="L88" i="73" s="1"/>
  <c r="L89" i="73" s="1"/>
  <c r="L90" i="73" s="1"/>
  <c r="L91" i="73" s="1"/>
  <c r="L92" i="73" s="1"/>
  <c r="L93" i="73" s="1"/>
  <c r="L94" i="73" s="1"/>
  <c r="L95" i="73" s="1"/>
  <c r="G31" i="108"/>
  <c r="Q84" i="73"/>
  <c r="Q85" i="73" s="1"/>
  <c r="Q86" i="73" s="1"/>
  <c r="Q87" i="73" s="1"/>
  <c r="Q88" i="73" s="1"/>
  <c r="Q89" i="73" s="1"/>
  <c r="Q90" i="73" s="1"/>
  <c r="Q91" i="73" s="1"/>
  <c r="Q92" i="73" s="1"/>
  <c r="Q93" i="73" s="1"/>
  <c r="Q94" i="73" s="1"/>
  <c r="Q95" i="73" s="1"/>
  <c r="K31" i="108"/>
  <c r="O31" i="108"/>
  <c r="W84" i="73"/>
  <c r="W85" i="73" s="1"/>
  <c r="W86" i="73" s="1"/>
  <c r="W87" i="73" s="1"/>
  <c r="W88" i="73" s="1"/>
  <c r="W89" i="73" s="1"/>
  <c r="W90" i="73" s="1"/>
  <c r="W91" i="73" s="1"/>
  <c r="W92" i="73" s="1"/>
  <c r="W93" i="73" s="1"/>
  <c r="W94" i="73" s="1"/>
  <c r="W95" i="73" s="1"/>
  <c r="K28" i="108"/>
  <c r="Q48" i="73"/>
  <c r="Q49" i="73" s="1"/>
  <c r="Q50" i="73" s="1"/>
  <c r="Q51" i="73" s="1"/>
  <c r="Q52" i="73" s="1"/>
  <c r="Q53" i="73" s="1"/>
  <c r="Q54" i="73" s="1"/>
  <c r="Q55" i="73" s="1"/>
  <c r="Q56" i="73" s="1"/>
  <c r="Q57" i="73" s="1"/>
  <c r="Q58" i="73" s="1"/>
  <c r="Q59" i="73" s="1"/>
  <c r="W48" i="73"/>
  <c r="W49" i="73" s="1"/>
  <c r="W50" i="73" s="1"/>
  <c r="W51" i="73" s="1"/>
  <c r="W52" i="73" s="1"/>
  <c r="W53" i="73" s="1"/>
  <c r="W54" i="73" s="1"/>
  <c r="W55" i="73" s="1"/>
  <c r="W56" i="73" s="1"/>
  <c r="W57" i="73" s="1"/>
  <c r="W58" i="73" s="1"/>
  <c r="W59" i="73" s="1"/>
  <c r="O28" i="108"/>
  <c r="K27" i="108"/>
  <c r="Q36" i="73"/>
  <c r="Q37" i="73" s="1"/>
  <c r="Q38" i="73" s="1"/>
  <c r="Q39" i="73" s="1"/>
  <c r="Q40" i="73" s="1"/>
  <c r="Q41" i="73" s="1"/>
  <c r="Q42" i="73" s="1"/>
  <c r="Q43" i="73" s="1"/>
  <c r="Q44" i="73" s="1"/>
  <c r="Q45" i="73" s="1"/>
  <c r="Q46" i="73" s="1"/>
  <c r="Q47" i="73" s="1"/>
  <c r="F348" i="107"/>
  <c r="F347" i="107"/>
  <c r="Y351" i="107"/>
  <c r="W351" i="107"/>
  <c r="Y348" i="107"/>
  <c r="W349" i="107"/>
  <c r="J162" i="72"/>
  <c r="J161" i="72"/>
  <c r="W348" i="107"/>
  <c r="V347" i="107"/>
  <c r="X347" i="107"/>
  <c r="V348" i="107"/>
  <c r="X348" i="107"/>
  <c r="V349" i="107"/>
  <c r="X349" i="107"/>
  <c r="J163" i="72"/>
  <c r="P300" i="107"/>
  <c r="P347" i="107"/>
  <c r="Q359" i="107"/>
  <c r="P359" i="107"/>
  <c r="F302" i="107"/>
  <c r="F300" i="107"/>
  <c r="P302" i="107"/>
  <c r="G335" i="107" l="1"/>
  <c r="F335" i="107"/>
  <c r="G323" i="107"/>
  <c r="F323" i="107"/>
  <c r="G311" i="107"/>
  <c r="F311" i="107"/>
  <c r="P306" i="107"/>
  <c r="F306" i="107" s="1"/>
  <c r="P305" i="107"/>
  <c r="F305" i="107" s="1"/>
  <c r="P303" i="107"/>
  <c r="F303" i="107" s="1"/>
  <c r="P301" i="107"/>
  <c r="F301" i="107" s="1"/>
  <c r="P304" i="107"/>
  <c r="F304" i="107" s="1"/>
  <c r="M300" i="107" a="1"/>
  <c r="M300" i="107" s="1"/>
  <c r="C300" i="107" s="1" a="1"/>
  <c r="M307" i="107" l="1"/>
  <c r="C300" i="107"/>
  <c r="D295" i="107"/>
  <c r="E295" i="107"/>
  <c r="C295" i="107"/>
  <c r="C307" i="107" l="1"/>
  <c r="H54" i="107"/>
  <c r="F54" i="107"/>
  <c r="D54" i="107"/>
  <c r="C54" i="107"/>
  <c r="B54" i="107"/>
  <c r="G35" i="107"/>
  <c r="F35" i="107"/>
  <c r="E35" i="107"/>
  <c r="D35" i="107"/>
  <c r="C35" i="107"/>
  <c r="B35" i="107"/>
  <c r="B83" i="107" s="1"/>
  <c r="B275" i="107" l="1"/>
  <c r="B274" i="107"/>
  <c r="B273" i="107"/>
  <c r="I54" i="107" l="1"/>
  <c r="F5" i="107"/>
  <c r="I35" i="107"/>
  <c r="B5" i="107"/>
  <c r="D169" i="107"/>
  <c r="B123" i="107"/>
  <c r="G54" i="107"/>
  <c r="G83" i="107" s="1"/>
  <c r="E54" i="107"/>
  <c r="E83" i="107" s="1"/>
  <c r="H35" i="107"/>
  <c r="H83" i="107" s="1"/>
  <c r="F83" i="107"/>
  <c r="D83" i="107"/>
  <c r="C83" i="107"/>
  <c r="C232" i="107"/>
  <c r="D232" i="107"/>
  <c r="E232" i="107"/>
  <c r="F232" i="107"/>
  <c r="G232" i="107"/>
  <c r="H232" i="107"/>
  <c r="I232" i="107"/>
  <c r="J232" i="107"/>
  <c r="K232" i="107"/>
  <c r="L232" i="107"/>
  <c r="A233" i="107"/>
  <c r="A234" i="107"/>
  <c r="A235" i="107"/>
  <c r="A237" i="107"/>
  <c r="A239" i="107"/>
  <c r="A241" i="107"/>
  <c r="A242" i="107"/>
  <c r="A245" i="107"/>
  <c r="A246" i="107"/>
  <c r="A249" i="107"/>
  <c r="A250" i="107"/>
  <c r="A251" i="107"/>
  <c r="A253" i="107"/>
  <c r="A254" i="107"/>
  <c r="A255" i="107"/>
  <c r="A256" i="107"/>
  <c r="A259" i="107"/>
  <c r="A260" i="107"/>
  <c r="A263" i="107"/>
  <c r="A264" i="107"/>
  <c r="A265" i="107"/>
  <c r="A268" i="107"/>
  <c r="A269" i="107"/>
  <c r="A270" i="107"/>
  <c r="A272" i="107"/>
  <c r="A273" i="107"/>
  <c r="A274" i="107"/>
  <c r="A275" i="107"/>
  <c r="A197" i="107" a="1"/>
  <c r="A197" i="107" s="1"/>
  <c r="B111" i="107"/>
  <c r="B106" i="107" a="1"/>
  <c r="B106" i="107" s="1"/>
  <c r="A106" i="107" a="1"/>
  <c r="A106" i="107" s="1"/>
  <c r="B102" i="107"/>
  <c r="B101" i="107"/>
  <c r="B100" i="107"/>
  <c r="B99" i="107"/>
  <c r="E51" i="107"/>
  <c r="A141" i="107" l="1" a="1"/>
  <c r="A83" i="107"/>
  <c r="A48" i="107"/>
  <c r="A67" i="107" s="1"/>
  <c r="A47" i="107"/>
  <c r="A95" i="107" s="1"/>
  <c r="A46" i="107"/>
  <c r="A94" i="107" s="1"/>
  <c r="A45" i="107"/>
  <c r="A93" i="107" s="1"/>
  <c r="A44" i="107"/>
  <c r="A63" i="107" s="1"/>
  <c r="A77" i="107" s="1"/>
  <c r="A43" i="107"/>
  <c r="A91" i="107" s="1"/>
  <c r="A42" i="107"/>
  <c r="A90" i="107" s="1"/>
  <c r="A41" i="107"/>
  <c r="A89" i="107" s="1"/>
  <c r="A40" i="107"/>
  <c r="A59" i="107" s="1"/>
  <c r="A73" i="107" s="1"/>
  <c r="A39" i="107"/>
  <c r="A87" i="107" s="1"/>
  <c r="A38" i="107"/>
  <c r="A86" i="107" s="1"/>
  <c r="A37" i="107"/>
  <c r="A85" i="107" s="1"/>
  <c r="A32" i="107"/>
  <c r="A31" i="107"/>
  <c r="A30" i="107"/>
  <c r="A29" i="107"/>
  <c r="A28" i="107"/>
  <c r="A27" i="107"/>
  <c r="A26" i="107"/>
  <c r="A25" i="107"/>
  <c r="A24" i="107"/>
  <c r="A23" i="107"/>
  <c r="A56" i="107" l="1"/>
  <c r="A70" i="107" s="1"/>
  <c r="A64" i="107"/>
  <c r="A78" i="107" s="1"/>
  <c r="A88" i="107"/>
  <c r="A146" i="107" s="1"/>
  <c r="A162" i="107" s="1"/>
  <c r="A92" i="107"/>
  <c r="A61" i="107"/>
  <c r="A75" i="107" s="1"/>
  <c r="A96" i="107"/>
  <c r="A154" i="107" s="1"/>
  <c r="A121" i="107"/>
  <c r="A149" i="107"/>
  <c r="A165" i="107" s="1"/>
  <c r="A125" i="107"/>
  <c r="A153" i="107"/>
  <c r="A115" i="107"/>
  <c r="A143" i="107"/>
  <c r="A159" i="107" s="1"/>
  <c r="A123" i="107"/>
  <c r="A151" i="107"/>
  <c r="A167" i="107" s="1"/>
  <c r="A117" i="107"/>
  <c r="A145" i="107"/>
  <c r="A161" i="107" s="1"/>
  <c r="A120" i="107"/>
  <c r="A148" i="107"/>
  <c r="A164" i="107" s="1"/>
  <c r="A144" i="107"/>
  <c r="A160" i="107" s="1"/>
  <c r="A116" i="107"/>
  <c r="A152" i="107"/>
  <c r="A124" i="107"/>
  <c r="A147" i="107"/>
  <c r="A163" i="107" s="1"/>
  <c r="A119" i="107"/>
  <c r="B157" i="107"/>
  <c r="A57" i="107"/>
  <c r="A71" i="107" s="1"/>
  <c r="A65" i="107"/>
  <c r="A79" i="107" s="1"/>
  <c r="C157" i="107"/>
  <c r="A58" i="107"/>
  <c r="A72" i="107" s="1"/>
  <c r="A66" i="107"/>
  <c r="A141" i="107"/>
  <c r="A157" i="107" s="1"/>
  <c r="D157" i="107"/>
  <c r="E157" i="107"/>
  <c r="A60" i="107"/>
  <c r="A74" i="107" s="1"/>
  <c r="G157" i="107"/>
  <c r="A62" i="107"/>
  <c r="A76" i="107" s="1"/>
  <c r="H157" i="107"/>
  <c r="F157" i="107"/>
  <c r="A118" i="107" l="1"/>
  <c r="A126" i="107"/>
  <c r="B172" i="107" a="1"/>
  <c r="B172" i="107" s="1"/>
  <c r="B178" i="107" a="1"/>
  <c r="A150" i="107"/>
  <c r="A166" i="107" s="1"/>
  <c r="A122" i="107"/>
  <c r="D139" i="102"/>
  <c r="E139" i="102"/>
  <c r="F139" i="102"/>
  <c r="G139" i="102"/>
  <c r="H139" i="102"/>
  <c r="I139" i="102"/>
  <c r="J139" i="102"/>
  <c r="K139" i="102"/>
  <c r="L139" i="102"/>
  <c r="M139" i="102"/>
  <c r="C139" i="102"/>
  <c r="D137" i="102"/>
  <c r="E137" i="102"/>
  <c r="F137" i="102"/>
  <c r="G137" i="102"/>
  <c r="H137" i="102"/>
  <c r="I137" i="102"/>
  <c r="J137" i="102"/>
  <c r="K137" i="102"/>
  <c r="L137" i="102"/>
  <c r="M137" i="102"/>
  <c r="C137" i="102"/>
  <c r="D135" i="102"/>
  <c r="E135" i="102"/>
  <c r="F135" i="102"/>
  <c r="G135" i="102"/>
  <c r="H135" i="102"/>
  <c r="I135" i="102"/>
  <c r="J135" i="102"/>
  <c r="K135" i="102"/>
  <c r="L135" i="102"/>
  <c r="M135" i="102"/>
  <c r="C135" i="102"/>
  <c r="D122" i="102"/>
  <c r="E122" i="102"/>
  <c r="F122" i="102"/>
  <c r="G122" i="102"/>
  <c r="H122" i="102"/>
  <c r="I122" i="102"/>
  <c r="J122" i="102"/>
  <c r="K122" i="102"/>
  <c r="L122" i="102"/>
  <c r="M122" i="102"/>
  <c r="C122" i="102"/>
  <c r="D120" i="102"/>
  <c r="E120" i="102"/>
  <c r="F120" i="102"/>
  <c r="G120" i="102"/>
  <c r="H120" i="102"/>
  <c r="I120" i="102"/>
  <c r="J120" i="102"/>
  <c r="K120" i="102"/>
  <c r="L120" i="102"/>
  <c r="M120" i="102"/>
  <c r="C120" i="102"/>
  <c r="D118" i="102"/>
  <c r="E118" i="102"/>
  <c r="F118" i="102"/>
  <c r="G118" i="102"/>
  <c r="H118" i="102"/>
  <c r="I118" i="102"/>
  <c r="J118" i="102"/>
  <c r="K118" i="102"/>
  <c r="L118" i="102"/>
  <c r="M118" i="102"/>
  <c r="C118" i="102"/>
  <c r="D105" i="102"/>
  <c r="E105" i="102"/>
  <c r="F105" i="102"/>
  <c r="G105" i="102"/>
  <c r="H105" i="102"/>
  <c r="I105" i="102"/>
  <c r="J105" i="102"/>
  <c r="K105" i="102"/>
  <c r="L105" i="102"/>
  <c r="M105" i="102"/>
  <c r="C105" i="102"/>
  <c r="D103" i="102"/>
  <c r="E103" i="102"/>
  <c r="F103" i="102"/>
  <c r="G103" i="102"/>
  <c r="H103" i="102"/>
  <c r="I103" i="102"/>
  <c r="J103" i="102"/>
  <c r="K103" i="102"/>
  <c r="L103" i="102"/>
  <c r="M103" i="102"/>
  <c r="C103" i="102"/>
  <c r="D101" i="102"/>
  <c r="E101" i="102"/>
  <c r="F101" i="102"/>
  <c r="G101" i="102"/>
  <c r="H101" i="102"/>
  <c r="I101" i="102"/>
  <c r="J101" i="102"/>
  <c r="K101" i="102"/>
  <c r="L101" i="102"/>
  <c r="M101" i="102"/>
  <c r="C101" i="102"/>
  <c r="D90" i="102"/>
  <c r="E90" i="102"/>
  <c r="F90" i="102"/>
  <c r="G90" i="102"/>
  <c r="H90" i="102"/>
  <c r="I90" i="102"/>
  <c r="J90" i="102"/>
  <c r="K90" i="102"/>
  <c r="L90" i="102"/>
  <c r="M90" i="102"/>
  <c r="C90" i="102"/>
  <c r="D88" i="102"/>
  <c r="E88" i="102"/>
  <c r="F88" i="102"/>
  <c r="G88" i="102"/>
  <c r="H88" i="102"/>
  <c r="I88" i="102"/>
  <c r="J88" i="102"/>
  <c r="K88" i="102"/>
  <c r="L88" i="102"/>
  <c r="M88" i="102"/>
  <c r="C88" i="102"/>
  <c r="D75" i="102"/>
  <c r="E75" i="102"/>
  <c r="F75" i="102"/>
  <c r="G75" i="102"/>
  <c r="H75" i="102"/>
  <c r="I75" i="102"/>
  <c r="J75" i="102"/>
  <c r="K75" i="102"/>
  <c r="L75" i="102"/>
  <c r="M75" i="102"/>
  <c r="C75" i="102"/>
  <c r="D73" i="102"/>
  <c r="E73" i="102"/>
  <c r="F73" i="102"/>
  <c r="G73" i="102"/>
  <c r="H73" i="102"/>
  <c r="I73" i="102"/>
  <c r="J73" i="102"/>
  <c r="K73" i="102"/>
  <c r="L73" i="102"/>
  <c r="M73" i="102"/>
  <c r="C73" i="102"/>
  <c r="D71" i="102"/>
  <c r="E71" i="102"/>
  <c r="F71" i="102"/>
  <c r="G71" i="102"/>
  <c r="H71" i="102"/>
  <c r="I71" i="102"/>
  <c r="J71" i="102"/>
  <c r="K71" i="102"/>
  <c r="L71" i="102"/>
  <c r="M71" i="102"/>
  <c r="C71" i="102"/>
  <c r="D58" i="102"/>
  <c r="E58" i="102"/>
  <c r="F58" i="102"/>
  <c r="G58" i="102"/>
  <c r="H58" i="102"/>
  <c r="I58" i="102"/>
  <c r="J58" i="102"/>
  <c r="K58" i="102"/>
  <c r="L58" i="102"/>
  <c r="M58" i="102"/>
  <c r="D56" i="102"/>
  <c r="E56" i="102"/>
  <c r="F56" i="102"/>
  <c r="G56" i="102"/>
  <c r="H56" i="102"/>
  <c r="I56" i="102"/>
  <c r="J56" i="102"/>
  <c r="K56" i="102"/>
  <c r="L56" i="102"/>
  <c r="M56" i="102"/>
  <c r="D54" i="102"/>
  <c r="E54" i="102"/>
  <c r="F54" i="102"/>
  <c r="G54" i="102"/>
  <c r="H54" i="102"/>
  <c r="I54" i="102"/>
  <c r="J54" i="102"/>
  <c r="K54" i="102"/>
  <c r="L54" i="102"/>
  <c r="M54" i="102"/>
  <c r="C58" i="102"/>
  <c r="C56" i="102"/>
  <c r="C54" i="102"/>
  <c r="D43" i="102"/>
  <c r="E43" i="102"/>
  <c r="F43" i="102"/>
  <c r="G43" i="102"/>
  <c r="H43" i="102"/>
  <c r="I43" i="102"/>
  <c r="J43" i="102"/>
  <c r="K43" i="102"/>
  <c r="L43" i="102"/>
  <c r="M43" i="102"/>
  <c r="C43" i="102"/>
  <c r="D41" i="102"/>
  <c r="E41" i="102"/>
  <c r="F41" i="102"/>
  <c r="G41" i="102"/>
  <c r="H41" i="102"/>
  <c r="I41" i="102"/>
  <c r="J41" i="102"/>
  <c r="K41" i="102"/>
  <c r="L41" i="102"/>
  <c r="M41" i="102"/>
  <c r="C41" i="102"/>
  <c r="D30" i="102"/>
  <c r="E30" i="102"/>
  <c r="F30" i="102"/>
  <c r="G30" i="102"/>
  <c r="H30" i="102"/>
  <c r="I30" i="102"/>
  <c r="J30" i="102"/>
  <c r="K30" i="102"/>
  <c r="L30" i="102"/>
  <c r="M30" i="102"/>
  <c r="C30" i="102"/>
  <c r="D28" i="102"/>
  <c r="E28" i="102"/>
  <c r="F28" i="102"/>
  <c r="G28" i="102"/>
  <c r="H28" i="102"/>
  <c r="I28" i="102"/>
  <c r="J28" i="102"/>
  <c r="K28" i="102"/>
  <c r="L28" i="102"/>
  <c r="M28" i="102"/>
  <c r="C28" i="102"/>
  <c r="A141" i="102" a="1"/>
  <c r="A141" i="102" s="1"/>
  <c r="A124" i="102" a="1"/>
  <c r="A124" i="102" s="1"/>
  <c r="A107" i="102" a="1"/>
  <c r="A107" i="102" s="1"/>
  <c r="A92" i="102" a="1"/>
  <c r="A92" i="102" s="1"/>
  <c r="A77" i="102" a="1"/>
  <c r="A77" i="102" s="1"/>
  <c r="A60" i="102" a="1"/>
  <c r="A60" i="102" s="1"/>
  <c r="A45" i="102" a="1"/>
  <c r="A45" i="102" s="1"/>
  <c r="A32" i="102" a="1"/>
  <c r="A32" i="102" s="1"/>
  <c r="L12" i="102" a="1"/>
  <c r="L12" i="102" s="1"/>
  <c r="B12" i="102" a="1"/>
  <c r="B12" i="102" s="1"/>
  <c r="A14" i="102"/>
  <c r="A15" i="102"/>
  <c r="A16" i="102"/>
  <c r="A18" i="102"/>
  <c r="A19" i="102"/>
  <c r="A13" i="102"/>
  <c r="D10" i="102"/>
  <c r="E10" i="102"/>
  <c r="F10" i="102"/>
  <c r="G10" i="102"/>
  <c r="H10" i="102"/>
  <c r="I10" i="102"/>
  <c r="J10" i="102"/>
  <c r="K10" i="102"/>
  <c r="L10" i="102"/>
  <c r="M10" i="102"/>
  <c r="C10" i="102"/>
  <c r="B6" i="102"/>
  <c r="D7" i="102"/>
  <c r="E7" i="102"/>
  <c r="F7" i="102"/>
  <c r="G7" i="102"/>
  <c r="H7" i="102"/>
  <c r="I7" i="102"/>
  <c r="J7" i="102"/>
  <c r="K7" i="102"/>
  <c r="L7" i="102"/>
  <c r="C7" i="102"/>
  <c r="L6" i="102"/>
  <c r="K6" i="102"/>
  <c r="J6" i="102"/>
  <c r="I6" i="102"/>
  <c r="H6" i="102"/>
  <c r="G6" i="102"/>
  <c r="F6" i="102"/>
  <c r="E6" i="102"/>
  <c r="D6" i="102"/>
  <c r="C6" i="102"/>
  <c r="M7" i="102"/>
  <c r="B178" i="107" l="1"/>
  <c r="B183" i="107" a="1"/>
  <c r="B183" i="107" s="1"/>
  <c r="B31" i="102" a="1"/>
  <c r="B189" i="107" l="1" a="1"/>
  <c r="B189" i="107" s="1"/>
  <c r="A195" i="107" s="1" a="1"/>
  <c r="B31" i="102"/>
  <c r="B44" i="102" s="1" a="1"/>
  <c r="B44" i="102" s="1"/>
  <c r="H37" i="9"/>
  <c r="I37" i="9" s="1"/>
  <c r="A195" i="107" l="1"/>
  <c r="B200" i="107" s="1" a="1"/>
  <c r="B59" i="102" a="1"/>
  <c r="B59" i="102" s="1"/>
  <c r="D9" i="18"/>
  <c r="G317" i="107" s="1"/>
  <c r="C9" i="18"/>
  <c r="G315" i="107" s="1"/>
  <c r="I4" i="9"/>
  <c r="I5" i="9"/>
  <c r="I6" i="9"/>
  <c r="I7" i="9"/>
  <c r="I8" i="9"/>
  <c r="F329" i="107" l="1"/>
  <c r="Q317" i="107"/>
  <c r="P329" i="107" s="1"/>
  <c r="Q315" i="107"/>
  <c r="P327" i="107" s="1"/>
  <c r="F327" i="107"/>
  <c r="B200" i="107"/>
  <c r="B76" i="102" a="1"/>
  <c r="B76" i="102" s="1"/>
  <c r="B91" i="102" l="1" a="1"/>
  <c r="B91" i="102" s="1"/>
  <c r="H123" i="72"/>
  <c r="B106" i="102" l="1" a="1"/>
  <c r="B106" i="102" s="1"/>
  <c r="A26" i="17"/>
  <c r="A25" i="18"/>
  <c r="J10" i="9"/>
  <c r="C118" i="73"/>
  <c r="C117" i="73"/>
  <c r="C116" i="73"/>
  <c r="C115" i="73"/>
  <c r="C114" i="73"/>
  <c r="C113" i="73"/>
  <c r="C112" i="73"/>
  <c r="C111" i="73"/>
  <c r="C110" i="73"/>
  <c r="C109" i="73"/>
  <c r="C82" i="73"/>
  <c r="C81" i="73"/>
  <c r="C80" i="73"/>
  <c r="C79" i="73"/>
  <c r="C78" i="73"/>
  <c r="C77" i="73"/>
  <c r="C76" i="73"/>
  <c r="C75" i="73"/>
  <c r="C74" i="73"/>
  <c r="C73" i="73"/>
  <c r="C70" i="73"/>
  <c r="C69" i="73"/>
  <c r="C68" i="73"/>
  <c r="C67" i="73"/>
  <c r="C66" i="73"/>
  <c r="C65" i="73"/>
  <c r="C64" i="73"/>
  <c r="C63" i="73"/>
  <c r="C62" i="73"/>
  <c r="C61" i="73"/>
  <c r="C58" i="73"/>
  <c r="C57" i="73"/>
  <c r="C56" i="73"/>
  <c r="C55" i="73"/>
  <c r="C54" i="73"/>
  <c r="C53" i="73"/>
  <c r="C52" i="73"/>
  <c r="C51" i="73"/>
  <c r="C50" i="73"/>
  <c r="C49" i="73"/>
  <c r="C46" i="73"/>
  <c r="C45" i="73"/>
  <c r="C44" i="73"/>
  <c r="C43" i="73"/>
  <c r="C42" i="73"/>
  <c r="C41" i="73"/>
  <c r="C40" i="73"/>
  <c r="C39" i="73"/>
  <c r="C38" i="73"/>
  <c r="C37" i="73"/>
  <c r="C121" i="73" l="1"/>
  <c r="C123" i="73"/>
  <c r="C125" i="73"/>
  <c r="B123" i="102" a="1"/>
  <c r="B123" i="102" s="1"/>
  <c r="B140" i="102" s="1" a="1"/>
  <c r="B140" i="102" s="1"/>
  <c r="C124" i="73"/>
  <c r="C122" i="73"/>
  <c r="E11" i="18"/>
  <c r="G342" i="107" s="1"/>
  <c r="F354" i="107" s="1"/>
  <c r="N12" i="9"/>
  <c r="D11" i="18"/>
  <c r="G341" i="107" s="1"/>
  <c r="F353" i="107" s="1"/>
  <c r="M12" i="9"/>
  <c r="L12" i="9"/>
  <c r="G340" i="107" s="1"/>
  <c r="F352" i="107" s="1"/>
  <c r="K12" i="9"/>
  <c r="C11" i="18"/>
  <c r="G339" i="107" s="1"/>
  <c r="F351" i="107" s="1"/>
  <c r="B11" i="18"/>
  <c r="G338" i="107" s="1"/>
  <c r="F350" i="107" s="1"/>
  <c r="J12" i="9"/>
  <c r="I12" i="9"/>
  <c r="G337" i="107" s="1"/>
  <c r="F349" i="107" s="1"/>
  <c r="H12" i="9"/>
  <c r="G336" i="107" s="1"/>
  <c r="C127" i="73" l="1"/>
  <c r="Q338" i="107"/>
  <c r="P350" i="107" s="1"/>
  <c r="Q339" i="107"/>
  <c r="P351" i="107" s="1"/>
  <c r="Q341" i="107"/>
  <c r="P353" i="107" s="1"/>
  <c r="Q342" i="107"/>
  <c r="P354" i="107" s="1"/>
  <c r="C136" i="73"/>
  <c r="E115" i="72" s="1"/>
  <c r="C137" i="73"/>
  <c r="E116" i="96" s="1"/>
  <c r="C141" i="73"/>
  <c r="E120" i="96" s="1"/>
  <c r="C140" i="73"/>
  <c r="E119" i="72" s="1"/>
  <c r="C139" i="73"/>
  <c r="E118" i="96" s="1"/>
  <c r="C138" i="73"/>
  <c r="E117" i="96" s="1"/>
  <c r="E25" i="18"/>
  <c r="E29" i="18" s="1"/>
  <c r="K33" i="11"/>
  <c r="L260" i="107" s="1"/>
  <c r="G12" i="9"/>
  <c r="K15" i="11"/>
  <c r="L242" i="107" s="1"/>
  <c r="K23" i="11"/>
  <c r="L250" i="107" s="1"/>
  <c r="K28" i="11"/>
  <c r="L255" i="107" s="1"/>
  <c r="C143" i="73"/>
  <c r="C135" i="73"/>
  <c r="B25" i="18"/>
  <c r="B29" i="18" s="1"/>
  <c r="B27" i="18" s="1"/>
  <c r="F11" i="18"/>
  <c r="C142" i="73"/>
  <c r="C134" i="73"/>
  <c r="C133" i="73"/>
  <c r="K37" i="11"/>
  <c r="L264" i="107" s="1"/>
  <c r="K19" i="11"/>
  <c r="L246" i="107" s="1"/>
  <c r="D25" i="18"/>
  <c r="D29" i="18" s="1"/>
  <c r="C25" i="18"/>
  <c r="C29" i="18" s="1"/>
  <c r="K42" i="11"/>
  <c r="L269" i="107" s="1"/>
  <c r="C126" i="73"/>
  <c r="K10" i="9"/>
  <c r="C23" i="18" s="1"/>
  <c r="J7" i="9"/>
  <c r="I9" i="9"/>
  <c r="J8" i="9"/>
  <c r="C86" i="73"/>
  <c r="C87" i="73"/>
  <c r="C88" i="73"/>
  <c r="C89" i="73"/>
  <c r="C90" i="73"/>
  <c r="C91" i="73"/>
  <c r="C92" i="73"/>
  <c r="C93" i="73"/>
  <c r="C94" i="73"/>
  <c r="C25" i="73"/>
  <c r="C26" i="73"/>
  <c r="C27" i="73"/>
  <c r="C28" i="73"/>
  <c r="C29" i="73"/>
  <c r="C30" i="73"/>
  <c r="C31" i="73"/>
  <c r="C32" i="73"/>
  <c r="C33" i="73"/>
  <c r="C34" i="73"/>
  <c r="C129" i="73" l="1"/>
  <c r="B224" i="107" a="1"/>
  <c r="B224" i="107" s="1"/>
  <c r="E119" i="96"/>
  <c r="E116" i="72"/>
  <c r="E120" i="72"/>
  <c r="E115" i="96"/>
  <c r="E117" i="72"/>
  <c r="E118" i="72"/>
  <c r="E113" i="72"/>
  <c r="E113" i="96"/>
  <c r="E114" i="96"/>
  <c r="E114" i="72"/>
  <c r="E121" i="72"/>
  <c r="E121" i="96"/>
  <c r="E112" i="96"/>
  <c r="E112" i="72"/>
  <c r="E122" i="72"/>
  <c r="E122" i="96"/>
  <c r="C130" i="73"/>
  <c r="C128" i="73"/>
  <c r="I123" i="72"/>
  <c r="B111" i="96"/>
  <c r="C111" i="96"/>
  <c r="C113" i="96"/>
  <c r="C114" i="96"/>
  <c r="B115" i="96"/>
  <c r="B116" i="96"/>
  <c r="B118" i="96"/>
  <c r="C118" i="96"/>
  <c r="B119" i="96"/>
  <c r="C120" i="96"/>
  <c r="B122" i="96"/>
  <c r="C122" i="96"/>
  <c r="D1" i="18"/>
  <c r="H16" i="96"/>
  <c r="I16" i="96"/>
  <c r="H17" i="96"/>
  <c r="I17" i="96"/>
  <c r="H18" i="96"/>
  <c r="I18" i="96"/>
  <c r="H19" i="96"/>
  <c r="I19" i="96"/>
  <c r="H20" i="96"/>
  <c r="I20" i="96"/>
  <c r="H21" i="96"/>
  <c r="I21" i="96"/>
  <c r="H22" i="96"/>
  <c r="I22" i="96"/>
  <c r="H23" i="96"/>
  <c r="I23" i="96"/>
  <c r="I35" i="96" s="1"/>
  <c r="I47" i="96" s="1"/>
  <c r="I59" i="96" s="1"/>
  <c r="I71" i="96" s="1"/>
  <c r="I83" i="96" s="1"/>
  <c r="I95" i="96" s="1"/>
  <c r="I107" i="96" s="1"/>
  <c r="I119" i="96" s="1"/>
  <c r="I131" i="96" s="1"/>
  <c r="I143" i="96" s="1"/>
  <c r="H24" i="96"/>
  <c r="I24" i="96"/>
  <c r="H25" i="96"/>
  <c r="I25" i="96"/>
  <c r="H26" i="96"/>
  <c r="I26" i="96"/>
  <c r="H27" i="96"/>
  <c r="I27" i="96"/>
  <c r="I39" i="96" s="1"/>
  <c r="I51" i="96" s="1"/>
  <c r="I63" i="96" s="1"/>
  <c r="I75" i="96" s="1"/>
  <c r="I87" i="96" s="1"/>
  <c r="I99" i="96" s="1"/>
  <c r="I111" i="96" s="1"/>
  <c r="I123" i="96" s="1"/>
  <c r="I135" i="96" s="1"/>
  <c r="H28" i="96"/>
  <c r="I28" i="96"/>
  <c r="H29" i="96"/>
  <c r="I29" i="96"/>
  <c r="H30" i="96"/>
  <c r="I30" i="96"/>
  <c r="H31" i="96"/>
  <c r="H32" i="96"/>
  <c r="I32" i="96"/>
  <c r="H33" i="96"/>
  <c r="I33" i="96"/>
  <c r="H34" i="96"/>
  <c r="I34" i="96"/>
  <c r="H35" i="96"/>
  <c r="H36" i="96"/>
  <c r="I36" i="96"/>
  <c r="H37" i="96"/>
  <c r="I37" i="96"/>
  <c r="H38" i="96"/>
  <c r="I38" i="96"/>
  <c r="H39" i="96"/>
  <c r="H40" i="96"/>
  <c r="I40" i="96"/>
  <c r="H41" i="96"/>
  <c r="I41" i="96"/>
  <c r="H42" i="96"/>
  <c r="I42" i="96"/>
  <c r="H43" i="96"/>
  <c r="H44" i="96"/>
  <c r="I44" i="96"/>
  <c r="H45" i="96"/>
  <c r="I45" i="96"/>
  <c r="H46" i="96"/>
  <c r="I46" i="96"/>
  <c r="H47" i="96"/>
  <c r="H48" i="96"/>
  <c r="I48" i="96"/>
  <c r="H49" i="96"/>
  <c r="I49" i="96"/>
  <c r="H50" i="96"/>
  <c r="I50" i="96"/>
  <c r="H51" i="96"/>
  <c r="H52" i="96"/>
  <c r="I52" i="96"/>
  <c r="H53" i="96"/>
  <c r="I53" i="96"/>
  <c r="H54" i="96"/>
  <c r="I54" i="96"/>
  <c r="H55" i="96"/>
  <c r="H56" i="96"/>
  <c r="I56" i="96"/>
  <c r="H57" i="96"/>
  <c r="I57" i="96"/>
  <c r="H58" i="96"/>
  <c r="I58" i="96"/>
  <c r="H59" i="96"/>
  <c r="H60" i="96"/>
  <c r="I60" i="96"/>
  <c r="H61" i="96"/>
  <c r="I61" i="96"/>
  <c r="H62" i="96"/>
  <c r="I62" i="96"/>
  <c r="H63" i="96"/>
  <c r="H64" i="96"/>
  <c r="I64" i="96"/>
  <c r="H65" i="96"/>
  <c r="I65" i="96"/>
  <c r="H66" i="96"/>
  <c r="I66" i="96"/>
  <c r="H67" i="96"/>
  <c r="H68" i="96"/>
  <c r="I68" i="96"/>
  <c r="H69" i="96"/>
  <c r="I69" i="96"/>
  <c r="H70" i="96"/>
  <c r="I70" i="96"/>
  <c r="H71" i="96"/>
  <c r="H72" i="96"/>
  <c r="I72" i="96"/>
  <c r="H73" i="96"/>
  <c r="I73" i="96"/>
  <c r="H74" i="96"/>
  <c r="I74" i="96"/>
  <c r="H75" i="96"/>
  <c r="H76" i="96"/>
  <c r="I76" i="96"/>
  <c r="H77" i="96"/>
  <c r="I77" i="96"/>
  <c r="H78" i="96"/>
  <c r="I78" i="96"/>
  <c r="H79" i="96"/>
  <c r="H80" i="96"/>
  <c r="I80" i="96"/>
  <c r="H81" i="96"/>
  <c r="I81" i="96"/>
  <c r="H82" i="96"/>
  <c r="I82" i="96"/>
  <c r="H83" i="96"/>
  <c r="H84" i="96"/>
  <c r="I84" i="96"/>
  <c r="H85" i="96"/>
  <c r="I85" i="96"/>
  <c r="H86" i="96"/>
  <c r="I86" i="96"/>
  <c r="H87" i="96"/>
  <c r="H88" i="96"/>
  <c r="I88" i="96"/>
  <c r="H89" i="96"/>
  <c r="I89" i="96"/>
  <c r="H90" i="96"/>
  <c r="I90" i="96"/>
  <c r="H91" i="96"/>
  <c r="H92" i="96"/>
  <c r="I92" i="96"/>
  <c r="H93" i="96"/>
  <c r="I93" i="96"/>
  <c r="H94" i="96"/>
  <c r="I94" i="96"/>
  <c r="H95" i="96"/>
  <c r="H96" i="96"/>
  <c r="I96" i="96"/>
  <c r="H97" i="96"/>
  <c r="I97" i="96"/>
  <c r="H98" i="96"/>
  <c r="I98" i="96"/>
  <c r="H99" i="96"/>
  <c r="H100" i="96"/>
  <c r="I100" i="96"/>
  <c r="H101" i="96"/>
  <c r="I101" i="96"/>
  <c r="H102" i="96"/>
  <c r="I102" i="96"/>
  <c r="H103" i="96"/>
  <c r="H104" i="96"/>
  <c r="I104" i="96"/>
  <c r="H105" i="96"/>
  <c r="I105" i="96"/>
  <c r="H106" i="96"/>
  <c r="I106" i="96"/>
  <c r="H107" i="96"/>
  <c r="H108" i="96"/>
  <c r="I108" i="96"/>
  <c r="H109" i="96"/>
  <c r="I109" i="96"/>
  <c r="H110" i="96"/>
  <c r="I110" i="96"/>
  <c r="H111" i="96"/>
  <c r="H112" i="96"/>
  <c r="I112" i="96"/>
  <c r="H113" i="96"/>
  <c r="I113" i="96"/>
  <c r="H114" i="96"/>
  <c r="I114" i="96"/>
  <c r="H115" i="96"/>
  <c r="H116" i="96"/>
  <c r="I116" i="96"/>
  <c r="H117" i="96"/>
  <c r="I117" i="96"/>
  <c r="H118" i="96"/>
  <c r="I118" i="96"/>
  <c r="H119" i="96"/>
  <c r="H120" i="96"/>
  <c r="I120" i="96"/>
  <c r="H121" i="96"/>
  <c r="I121" i="96"/>
  <c r="H122" i="96"/>
  <c r="I122" i="96"/>
  <c r="H123" i="96"/>
  <c r="H124" i="96"/>
  <c r="I124" i="96"/>
  <c r="H125" i="96"/>
  <c r="I125" i="96"/>
  <c r="H126" i="96"/>
  <c r="I126" i="96"/>
  <c r="H127" i="96"/>
  <c r="H128" i="96"/>
  <c r="I128" i="96"/>
  <c r="H129" i="96"/>
  <c r="I129" i="96"/>
  <c r="H130" i="96"/>
  <c r="I130" i="96"/>
  <c r="H131" i="96"/>
  <c r="H132" i="96"/>
  <c r="I132" i="96"/>
  <c r="H133" i="96"/>
  <c r="I133" i="96"/>
  <c r="H134" i="96"/>
  <c r="I134" i="96"/>
  <c r="H135" i="96"/>
  <c r="H136" i="96"/>
  <c r="I136" i="96"/>
  <c r="H137" i="96"/>
  <c r="I137" i="96"/>
  <c r="H138" i="96"/>
  <c r="I138" i="96"/>
  <c r="H139" i="96"/>
  <c r="H140" i="96"/>
  <c r="I140" i="96"/>
  <c r="H141" i="96"/>
  <c r="I141" i="96"/>
  <c r="H142" i="96"/>
  <c r="I142" i="96"/>
  <c r="H143" i="96"/>
  <c r="H144" i="96"/>
  <c r="I144" i="96"/>
  <c r="H145" i="96"/>
  <c r="I145" i="96"/>
  <c r="H146" i="96"/>
  <c r="I146" i="96"/>
  <c r="I15" i="96"/>
  <c r="H15" i="96"/>
  <c r="C121" i="96"/>
  <c r="B121" i="96"/>
  <c r="B120" i="96"/>
  <c r="C119" i="96"/>
  <c r="C117" i="96"/>
  <c r="B117" i="96"/>
  <c r="C116" i="96"/>
  <c r="C115" i="96"/>
  <c r="B114" i="96"/>
  <c r="B113" i="96"/>
  <c r="C112" i="96"/>
  <c r="G29" i="96"/>
  <c r="G26" i="96"/>
  <c r="G38" i="96" s="1"/>
  <c r="G25" i="96"/>
  <c r="G24" i="96"/>
  <c r="G36" i="96" s="1"/>
  <c r="G48" i="96" s="1"/>
  <c r="G60" i="96" s="1"/>
  <c r="G23" i="96"/>
  <c r="G35" i="96" s="1"/>
  <c r="G47" i="96" s="1"/>
  <c r="G59" i="96" s="1"/>
  <c r="G71" i="96" s="1"/>
  <c r="G83" i="96" s="1"/>
  <c r="G95" i="96" s="1"/>
  <c r="G22" i="96"/>
  <c r="G34" i="96" s="1"/>
  <c r="G46" i="96" s="1"/>
  <c r="G58" i="96" s="1"/>
  <c r="G70" i="96" s="1"/>
  <c r="G82" i="96" s="1"/>
  <c r="G21" i="96"/>
  <c r="G33" i="96" s="1"/>
  <c r="G45" i="96" s="1"/>
  <c r="G57" i="96" s="1"/>
  <c r="G69" i="96" s="1"/>
  <c r="G20" i="96"/>
  <c r="G32" i="96" s="1"/>
  <c r="G44" i="96" s="1"/>
  <c r="G56" i="96" s="1"/>
  <c r="G68" i="96" s="1"/>
  <c r="G80" i="96" s="1"/>
  <c r="G92" i="96" s="1"/>
  <c r="G19" i="96"/>
  <c r="G31" i="96" s="1"/>
  <c r="G43" i="96" s="1"/>
  <c r="G55" i="96" s="1"/>
  <c r="G67" i="96" s="1"/>
  <c r="G79" i="96" s="1"/>
  <c r="G91" i="96" s="1"/>
  <c r="G18" i="96"/>
  <c r="G30" i="96" s="1"/>
  <c r="G42" i="96" s="1"/>
  <c r="G54" i="96" s="1"/>
  <c r="G66" i="96" s="1"/>
  <c r="G17" i="96"/>
  <c r="G16" i="96"/>
  <c r="G28" i="96" s="1"/>
  <c r="G40" i="96" s="1"/>
  <c r="G15" i="96"/>
  <c r="G27" i="96" s="1"/>
  <c r="G39" i="96" s="1"/>
  <c r="G51" i="96" s="1"/>
  <c r="G63" i="96" s="1"/>
  <c r="G75" i="96" s="1"/>
  <c r="K6" i="9" l="1"/>
  <c r="C5" i="18"/>
  <c r="K7" i="9"/>
  <c r="C6" i="18"/>
  <c r="K8" i="9"/>
  <c r="C7" i="18"/>
  <c r="K4" i="9"/>
  <c r="C3" i="18"/>
  <c r="K9" i="9"/>
  <c r="C8" i="18"/>
  <c r="K5" i="9"/>
  <c r="C4" i="18"/>
  <c r="D113" i="96"/>
  <c r="D120" i="96"/>
  <c r="B112" i="96"/>
  <c r="D112" i="96" s="1"/>
  <c r="D115" i="96"/>
  <c r="D119" i="96"/>
  <c r="D114" i="96"/>
  <c r="D111" i="96"/>
  <c r="D118" i="96"/>
  <c r="D122" i="96"/>
  <c r="D116" i="96"/>
  <c r="D117" i="96"/>
  <c r="D121" i="96"/>
  <c r="I31" i="96"/>
  <c r="I43" i="96" s="1"/>
  <c r="I55" i="96" s="1"/>
  <c r="I67" i="96" s="1"/>
  <c r="I79" i="96" s="1"/>
  <c r="I91" i="96" s="1"/>
  <c r="I103" i="96" s="1"/>
  <c r="I115" i="96" s="1"/>
  <c r="I127" i="96" s="1"/>
  <c r="I139" i="96" s="1"/>
  <c r="G81" i="96"/>
  <c r="G93" i="96" s="1"/>
  <c r="G103" i="96"/>
  <c r="G107" i="96"/>
  <c r="G52" i="96"/>
  <c r="G104" i="96"/>
  <c r="G87" i="96"/>
  <c r="G50" i="96"/>
  <c r="G41" i="96"/>
  <c r="G53" i="96" s="1"/>
  <c r="G65" i="96" s="1"/>
  <c r="G77" i="96" s="1"/>
  <c r="G78" i="96"/>
  <c r="G90" i="96" s="1"/>
  <c r="G94" i="96"/>
  <c r="G72" i="96"/>
  <c r="G84" i="96" s="1"/>
  <c r="G37" i="96"/>
  <c r="G49" i="96" s="1"/>
  <c r="G61" i="96" s="1"/>
  <c r="G73" i="96" s="1"/>
  <c r="G85" i="96" s="1"/>
  <c r="G97" i="96" s="1"/>
  <c r="C21" i="18" l="1"/>
  <c r="C17" i="18"/>
  <c r="C18" i="18"/>
  <c r="C20" i="18"/>
  <c r="C19" i="18"/>
  <c r="C22" i="18"/>
  <c r="C98" i="73"/>
  <c r="C99" i="73"/>
  <c r="D161" i="96"/>
  <c r="B161" i="96"/>
  <c r="G99" i="96"/>
  <c r="G106" i="96"/>
  <c r="G89" i="96"/>
  <c r="G102" i="96"/>
  <c r="G119" i="96"/>
  <c r="G109" i="96"/>
  <c r="G96" i="96"/>
  <c r="G64" i="96"/>
  <c r="G115" i="96"/>
  <c r="G62" i="96"/>
  <c r="G116" i="96"/>
  <c r="G105" i="96"/>
  <c r="C101" i="73" l="1"/>
  <c r="C100" i="73"/>
  <c r="G101" i="96"/>
  <c r="G117" i="96"/>
  <c r="G74" i="96"/>
  <c r="G114" i="96"/>
  <c r="G131" i="96"/>
  <c r="G111" i="96"/>
  <c r="G121" i="96"/>
  <c r="G118" i="96"/>
  <c r="G127" i="96"/>
  <c r="G108" i="96"/>
  <c r="G128" i="96"/>
  <c r="G76" i="96"/>
  <c r="C102" i="73" l="1"/>
  <c r="C103" i="73"/>
  <c r="G120" i="96"/>
  <c r="G123" i="96"/>
  <c r="G86" i="96"/>
  <c r="G88" i="96"/>
  <c r="G143" i="96"/>
  <c r="G126" i="96"/>
  <c r="G129" i="96"/>
  <c r="G130" i="96"/>
  <c r="G113" i="96"/>
  <c r="G140" i="96"/>
  <c r="G139" i="96"/>
  <c r="G133" i="96"/>
  <c r="C105" i="73" l="1"/>
  <c r="C106" i="73"/>
  <c r="C104" i="73"/>
  <c r="B15" i="96"/>
  <c r="B25" i="96"/>
  <c r="B23" i="96"/>
  <c r="C21" i="96"/>
  <c r="C19" i="96"/>
  <c r="B26" i="96"/>
  <c r="C20" i="96"/>
  <c r="B21" i="96"/>
  <c r="B19" i="96"/>
  <c r="C17" i="96"/>
  <c r="C24" i="96"/>
  <c r="B17" i="96"/>
  <c r="D17" i="96" s="1"/>
  <c r="C15" i="96"/>
  <c r="B22" i="96"/>
  <c r="C26" i="96"/>
  <c r="B24" i="96"/>
  <c r="C22" i="96"/>
  <c r="C18" i="96"/>
  <c r="B20" i="96"/>
  <c r="B18" i="96"/>
  <c r="D18" i="96" s="1"/>
  <c r="C16" i="96"/>
  <c r="B16" i="96"/>
  <c r="C23" i="96"/>
  <c r="C25" i="96"/>
  <c r="B27" i="96"/>
  <c r="C34" i="96"/>
  <c r="B30" i="96"/>
  <c r="C33" i="96"/>
  <c r="C31" i="96"/>
  <c r="B29" i="96"/>
  <c r="C27" i="96"/>
  <c r="C32" i="96"/>
  <c r="B37" i="96"/>
  <c r="C36" i="96"/>
  <c r="B33" i="96"/>
  <c r="C30" i="96"/>
  <c r="B35" i="96"/>
  <c r="C38" i="96"/>
  <c r="B36" i="96"/>
  <c r="B38" i="96"/>
  <c r="C35" i="96"/>
  <c r="C29" i="96"/>
  <c r="B34" i="96"/>
  <c r="D34" i="96" s="1"/>
  <c r="C37" i="96"/>
  <c r="B32" i="96"/>
  <c r="C28" i="96"/>
  <c r="B31" i="96"/>
  <c r="B28" i="96"/>
  <c r="B39" i="96"/>
  <c r="C46" i="96"/>
  <c r="C41" i="96"/>
  <c r="B50" i="96"/>
  <c r="B45" i="96"/>
  <c r="C42" i="96"/>
  <c r="B40" i="96"/>
  <c r="C49" i="96"/>
  <c r="B46" i="96"/>
  <c r="C39" i="96"/>
  <c r="C44" i="96"/>
  <c r="C50" i="96"/>
  <c r="B49" i="96"/>
  <c r="B42" i="96"/>
  <c r="D42" i="96" s="1"/>
  <c r="C43" i="96"/>
  <c r="C48" i="96"/>
  <c r="C45" i="96"/>
  <c r="B48" i="96"/>
  <c r="B47" i="96"/>
  <c r="B41" i="96"/>
  <c r="C47" i="96"/>
  <c r="B44" i="96"/>
  <c r="C40" i="96"/>
  <c r="B43" i="96"/>
  <c r="B3" i="96"/>
  <c r="C11" i="96"/>
  <c r="B9" i="96"/>
  <c r="C7" i="96"/>
  <c r="C5" i="96"/>
  <c r="C10" i="96"/>
  <c r="C6" i="96"/>
  <c r="B11" i="96"/>
  <c r="B7" i="96"/>
  <c r="B5" i="96"/>
  <c r="C13" i="96"/>
  <c r="B12" i="96"/>
  <c r="B13" i="96"/>
  <c r="C4" i="96"/>
  <c r="B4" i="96"/>
  <c r="C14" i="96"/>
  <c r="C3" i="96"/>
  <c r="C8" i="96"/>
  <c r="C12" i="96"/>
  <c r="B10" i="96"/>
  <c r="B8" i="96"/>
  <c r="B6" i="96"/>
  <c r="B14" i="96"/>
  <c r="C9" i="96"/>
  <c r="B51" i="96"/>
  <c r="C61" i="96"/>
  <c r="B56" i="96"/>
  <c r="C51" i="96"/>
  <c r="C62" i="96"/>
  <c r="B60" i="96"/>
  <c r="C57" i="96"/>
  <c r="C52" i="96"/>
  <c r="C59" i="96"/>
  <c r="B62" i="96"/>
  <c r="B59" i="96"/>
  <c r="C55" i="96"/>
  <c r="B52" i="96"/>
  <c r="C58" i="96"/>
  <c r="B55" i="96"/>
  <c r="B54" i="96"/>
  <c r="B53" i="96"/>
  <c r="B58" i="96"/>
  <c r="C54" i="96"/>
  <c r="C60" i="96"/>
  <c r="C56" i="96"/>
  <c r="B61" i="96"/>
  <c r="B57" i="96"/>
  <c r="C53" i="96"/>
  <c r="B63" i="96"/>
  <c r="C73" i="96"/>
  <c r="C68" i="96"/>
  <c r="C72" i="96"/>
  <c r="B70" i="96"/>
  <c r="B72" i="96"/>
  <c r="B67" i="96"/>
  <c r="B73" i="96"/>
  <c r="B69" i="96"/>
  <c r="B64" i="96"/>
  <c r="C63" i="96"/>
  <c r="C65" i="96"/>
  <c r="C67" i="96"/>
  <c r="C66" i="96"/>
  <c r="B66" i="96"/>
  <c r="B68" i="96"/>
  <c r="B65" i="96"/>
  <c r="C71" i="96"/>
  <c r="C64" i="96"/>
  <c r="B74" i="96"/>
  <c r="C69" i="96"/>
  <c r="B71" i="96"/>
  <c r="C74" i="96"/>
  <c r="C70" i="96"/>
  <c r="B75" i="96"/>
  <c r="B84" i="96"/>
  <c r="C81" i="96"/>
  <c r="B76" i="96"/>
  <c r="B83" i="96"/>
  <c r="C80" i="96"/>
  <c r="C85" i="96"/>
  <c r="B80" i="96"/>
  <c r="C77" i="96"/>
  <c r="B86" i="96"/>
  <c r="B77" i="96"/>
  <c r="C78" i="96"/>
  <c r="B78" i="96"/>
  <c r="B85" i="96"/>
  <c r="B81" i="96"/>
  <c r="C76" i="96"/>
  <c r="B82" i="96"/>
  <c r="C84" i="96"/>
  <c r="C86" i="96"/>
  <c r="C79" i="96"/>
  <c r="C75" i="96"/>
  <c r="C83" i="96"/>
  <c r="B79" i="96"/>
  <c r="C82" i="96"/>
  <c r="B87" i="96"/>
  <c r="C97" i="96"/>
  <c r="B92" i="96"/>
  <c r="C89" i="96"/>
  <c r="C96" i="96"/>
  <c r="B91" i="96"/>
  <c r="C88" i="96"/>
  <c r="B96" i="96"/>
  <c r="C93" i="96"/>
  <c r="B88" i="96"/>
  <c r="C98" i="96"/>
  <c r="C94" i="96"/>
  <c r="B90" i="96"/>
  <c r="C91" i="96"/>
  <c r="B98" i="96"/>
  <c r="B94" i="96"/>
  <c r="B95" i="96"/>
  <c r="B93" i="96"/>
  <c r="B89" i="96"/>
  <c r="C95" i="96"/>
  <c r="B97" i="96"/>
  <c r="C90" i="96"/>
  <c r="C92" i="96"/>
  <c r="C87" i="96"/>
  <c r="B99" i="96"/>
  <c r="B108" i="96"/>
  <c r="C105" i="96"/>
  <c r="B100" i="96"/>
  <c r="B107" i="96"/>
  <c r="D107" i="96" s="1"/>
  <c r="C104" i="96"/>
  <c r="C109" i="96"/>
  <c r="B104" i="96"/>
  <c r="D104" i="96" s="1"/>
  <c r="C101" i="96"/>
  <c r="C107" i="96"/>
  <c r="B103" i="96"/>
  <c r="C108" i="96"/>
  <c r="C106" i="96"/>
  <c r="C102" i="96"/>
  <c r="C110" i="96"/>
  <c r="B106" i="96"/>
  <c r="B102" i="96"/>
  <c r="C103" i="96"/>
  <c r="B110" i="96"/>
  <c r="B101" i="96"/>
  <c r="B109" i="96"/>
  <c r="B105" i="96"/>
  <c r="D105" i="96" s="1"/>
  <c r="C100" i="96"/>
  <c r="C99" i="96"/>
  <c r="G141" i="96"/>
  <c r="G125" i="96"/>
  <c r="G132" i="96"/>
  <c r="G145" i="96"/>
  <c r="G135" i="96"/>
  <c r="G100" i="96"/>
  <c r="G98" i="96"/>
  <c r="G142" i="96"/>
  <c r="G138" i="96"/>
  <c r="M10" i="9"/>
  <c r="D23" i="18" s="1"/>
  <c r="R108" i="73"/>
  <c r="R96" i="73"/>
  <c r="R84" i="73"/>
  <c r="R72" i="73"/>
  <c r="R60" i="73"/>
  <c r="R48" i="73"/>
  <c r="R36" i="73"/>
  <c r="R24" i="73"/>
  <c r="G5" i="73"/>
  <c r="U132" i="73"/>
  <c r="R132" i="73"/>
  <c r="P132" i="73"/>
  <c r="M132" i="73"/>
  <c r="J132" i="73"/>
  <c r="H132" i="73"/>
  <c r="F132" i="73"/>
  <c r="U120" i="73"/>
  <c r="R120" i="73"/>
  <c r="L11" i="9"/>
  <c r="G328" i="107" s="1"/>
  <c r="M120" i="73"/>
  <c r="J11" i="9"/>
  <c r="J120" i="73"/>
  <c r="I11" i="9"/>
  <c r="G325" i="107" s="1"/>
  <c r="H120" i="73"/>
  <c r="H11" i="9"/>
  <c r="G324" i="107" s="1"/>
  <c r="F120" i="73"/>
  <c r="H13" i="73"/>
  <c r="H11" i="17" s="1"/>
  <c r="O120" i="73"/>
  <c r="E13" i="73" s="1"/>
  <c r="E11" i="17" s="1"/>
  <c r="C13" i="73"/>
  <c r="C11" i="17" s="1"/>
  <c r="P120" i="73"/>
  <c r="C131" i="73"/>
  <c r="F14" i="73"/>
  <c r="F12" i="17" s="1"/>
  <c r="S132" i="73"/>
  <c r="G14" i="73"/>
  <c r="G12" i="17" s="1"/>
  <c r="V132" i="73"/>
  <c r="H14" i="73"/>
  <c r="H12" i="17" s="1"/>
  <c r="V120" i="73"/>
  <c r="G13" i="73"/>
  <c r="G11" i="17" s="1"/>
  <c r="G12" i="73"/>
  <c r="G10" i="17" s="1"/>
  <c r="O132" i="73"/>
  <c r="E14" i="73" s="1"/>
  <c r="E12" i="17" s="1"/>
  <c r="N132" i="73"/>
  <c r="D14" i="73"/>
  <c r="D12" i="17" s="1"/>
  <c r="K132" i="73"/>
  <c r="C14" i="73"/>
  <c r="C12" i="17" s="1"/>
  <c r="G10" i="73"/>
  <c r="G8" i="17" s="1"/>
  <c r="S84" i="73"/>
  <c r="S72" i="73"/>
  <c r="G8" i="73"/>
  <c r="G6" i="17" s="1"/>
  <c r="K24" i="73"/>
  <c r="J24" i="73"/>
  <c r="U108" i="73"/>
  <c r="P108" i="73"/>
  <c r="U96" i="73"/>
  <c r="P96" i="73"/>
  <c r="U84" i="73"/>
  <c r="P84" i="73"/>
  <c r="U72" i="73"/>
  <c r="P72" i="73"/>
  <c r="U60" i="73"/>
  <c r="P60" i="73"/>
  <c r="U48" i="73"/>
  <c r="P48" i="73"/>
  <c r="U36" i="73"/>
  <c r="P36" i="73"/>
  <c r="U24" i="73"/>
  <c r="P24" i="73"/>
  <c r="M24" i="73"/>
  <c r="M36" i="73"/>
  <c r="M48" i="73"/>
  <c r="M60" i="73"/>
  <c r="M72" i="73"/>
  <c r="M84" i="73"/>
  <c r="M96" i="73"/>
  <c r="M108" i="73"/>
  <c r="J108" i="73"/>
  <c r="J96" i="73"/>
  <c r="J84" i="73"/>
  <c r="J60" i="73"/>
  <c r="J48" i="73"/>
  <c r="J36" i="73"/>
  <c r="H24" i="73"/>
  <c r="H36" i="73"/>
  <c r="H48" i="73"/>
  <c r="H60" i="73"/>
  <c r="H72" i="73"/>
  <c r="H84" i="73"/>
  <c r="H96" i="73"/>
  <c r="H108" i="73"/>
  <c r="F108" i="73"/>
  <c r="F96" i="73"/>
  <c r="F84" i="73"/>
  <c r="F72" i="73"/>
  <c r="F60" i="73"/>
  <c r="F48" i="73"/>
  <c r="F36" i="73"/>
  <c r="F24" i="73"/>
  <c r="L10" i="9"/>
  <c r="G316" i="107" s="1"/>
  <c r="L9" i="9"/>
  <c r="G304" i="107" s="1"/>
  <c r="L8" i="9"/>
  <c r="L7" i="9"/>
  <c r="L6" i="9"/>
  <c r="L5" i="9"/>
  <c r="L4" i="9"/>
  <c r="J9" i="9"/>
  <c r="J6" i="9"/>
  <c r="J5" i="9"/>
  <c r="J4" i="9"/>
  <c r="I10" i="9"/>
  <c r="G313" i="107" s="1"/>
  <c r="I3" i="9"/>
  <c r="C119" i="73"/>
  <c r="H10" i="9"/>
  <c r="G312" i="107" s="1"/>
  <c r="H9" i="9"/>
  <c r="G300" i="107" s="1" a="1"/>
  <c r="H8" i="9"/>
  <c r="H7" i="9"/>
  <c r="H6" i="9"/>
  <c r="C59" i="73"/>
  <c r="H5" i="9"/>
  <c r="H4" i="9"/>
  <c r="C35" i="73"/>
  <c r="H3" i="9"/>
  <c r="E26" i="17" l="1"/>
  <c r="K21" i="9"/>
  <c r="F328" i="107"/>
  <c r="F324" i="107"/>
  <c r="I324" i="107" s="1"/>
  <c r="F325" i="107"/>
  <c r="I325" i="107" s="1"/>
  <c r="J325" i="107" s="1"/>
  <c r="F337" i="107"/>
  <c r="I337" i="107" s="1"/>
  <c r="J337" i="107" s="1"/>
  <c r="F316" i="107"/>
  <c r="I316" i="107" s="1"/>
  <c r="F336" i="107"/>
  <c r="F313" i="107"/>
  <c r="I313" i="107" s="1"/>
  <c r="J313" i="107" s="1"/>
  <c r="F340" i="107"/>
  <c r="I340" i="107" s="1"/>
  <c r="I304" i="107"/>
  <c r="I336" i="107"/>
  <c r="G300" i="107"/>
  <c r="I301" i="107"/>
  <c r="J301" i="107" s="1"/>
  <c r="I328" i="107"/>
  <c r="B12" i="73"/>
  <c r="B10" i="17" s="1"/>
  <c r="F10" i="73"/>
  <c r="F8" i="17" s="1"/>
  <c r="D12" i="96"/>
  <c r="D41" i="96"/>
  <c r="D30" i="96"/>
  <c r="D80" i="96"/>
  <c r="D38" i="96"/>
  <c r="D66" i="96"/>
  <c r="D4" i="96"/>
  <c r="D3" i="96"/>
  <c r="D46" i="96"/>
  <c r="N9" i="9"/>
  <c r="E8" i="18"/>
  <c r="M11" i="9"/>
  <c r="D10" i="18"/>
  <c r="G329" i="107" s="1"/>
  <c r="C71" i="73"/>
  <c r="N4" i="9"/>
  <c r="E3" i="18"/>
  <c r="N11" i="9"/>
  <c r="E10" i="18"/>
  <c r="G330" i="107" s="1"/>
  <c r="M6" i="9"/>
  <c r="D5" i="18"/>
  <c r="M9" i="9"/>
  <c r="D8" i="18"/>
  <c r="N5" i="9"/>
  <c r="E4" i="18"/>
  <c r="D59" i="96"/>
  <c r="C83" i="73"/>
  <c r="C95" i="73"/>
  <c r="N6" i="9"/>
  <c r="E5" i="18"/>
  <c r="M7" i="9"/>
  <c r="D6" i="18"/>
  <c r="D94" i="96"/>
  <c r="D68" i="96"/>
  <c r="D73" i="96"/>
  <c r="D54" i="96"/>
  <c r="D9" i="96"/>
  <c r="D11" i="96"/>
  <c r="D24" i="96"/>
  <c r="D21" i="96"/>
  <c r="N10" i="9"/>
  <c r="G10" i="9" s="1"/>
  <c r="E9" i="18"/>
  <c r="G318" i="107" s="1"/>
  <c r="M5" i="9"/>
  <c r="D4" i="18"/>
  <c r="N7" i="9"/>
  <c r="E6" i="18"/>
  <c r="B7" i="73"/>
  <c r="B5" i="17" s="1"/>
  <c r="F9" i="73"/>
  <c r="F7" i="17" s="1"/>
  <c r="K11" i="9"/>
  <c r="C10" i="18"/>
  <c r="G327" i="107" s="1"/>
  <c r="D98" i="96"/>
  <c r="D79" i="96"/>
  <c r="D81" i="96"/>
  <c r="D36" i="96"/>
  <c r="C47" i="73"/>
  <c r="N8" i="9"/>
  <c r="E7" i="18"/>
  <c r="F12" i="73"/>
  <c r="F10" i="17" s="1"/>
  <c r="F13" i="73"/>
  <c r="F11" i="17" s="1"/>
  <c r="F26" i="17" s="1"/>
  <c r="M4" i="9"/>
  <c r="D3" i="18"/>
  <c r="M8" i="9"/>
  <c r="D7" i="18"/>
  <c r="D71" i="96"/>
  <c r="D72" i="96"/>
  <c r="D61" i="96"/>
  <c r="D60" i="96"/>
  <c r="D44" i="96"/>
  <c r="D22" i="96"/>
  <c r="D97" i="96"/>
  <c r="D78" i="96"/>
  <c r="D8" i="96"/>
  <c r="D13" i="96"/>
  <c r="C107" i="73"/>
  <c r="G26" i="17"/>
  <c r="M21" i="9"/>
  <c r="G25" i="17"/>
  <c r="C120" i="73"/>
  <c r="B14" i="73"/>
  <c r="B12" i="17" s="1"/>
  <c r="D336" i="107" s="1" a="1"/>
  <c r="C132" i="73"/>
  <c r="H26" i="17"/>
  <c r="N21" i="9"/>
  <c r="C26" i="17"/>
  <c r="I21" i="9"/>
  <c r="L21" i="9"/>
  <c r="J21" i="9"/>
  <c r="F7" i="73"/>
  <c r="F5" i="17" s="1"/>
  <c r="B8" i="73"/>
  <c r="B6" i="17" s="1"/>
  <c r="B13" i="73"/>
  <c r="B11" i="17" s="1"/>
  <c r="D90" i="96"/>
  <c r="F5" i="73"/>
  <c r="D70" i="96"/>
  <c r="D52" i="96"/>
  <c r="D32" i="96"/>
  <c r="B5" i="73"/>
  <c r="B9" i="73"/>
  <c r="B7" i="17" s="1"/>
  <c r="F8" i="73"/>
  <c r="F6" i="17" s="1"/>
  <c r="D89" i="96"/>
  <c r="D109" i="96"/>
  <c r="D83" i="96"/>
  <c r="D31" i="96"/>
  <c r="F11" i="73"/>
  <c r="F9" i="17" s="1"/>
  <c r="D13" i="73"/>
  <c r="D11" i="17" s="1"/>
  <c r="B6" i="73"/>
  <c r="B4" i="17" s="1"/>
  <c r="F6" i="73"/>
  <c r="F4" i="17" s="1"/>
  <c r="D102" i="96"/>
  <c r="D95" i="96"/>
  <c r="D65" i="96"/>
  <c r="D7" i="96"/>
  <c r="D106" i="96"/>
  <c r="D96" i="96"/>
  <c r="D49" i="96"/>
  <c r="D67" i="96"/>
  <c r="D57" i="96"/>
  <c r="D14" i="96"/>
  <c r="D43" i="96"/>
  <c r="D40" i="96"/>
  <c r="D91" i="96"/>
  <c r="D85" i="96"/>
  <c r="D6" i="96"/>
  <c r="D28" i="96"/>
  <c r="D16" i="96"/>
  <c r="D26" i="96"/>
  <c r="D101" i="96"/>
  <c r="D100" i="96"/>
  <c r="D76" i="96"/>
  <c r="D74" i="96"/>
  <c r="D55" i="96"/>
  <c r="D10" i="96"/>
  <c r="D50" i="96"/>
  <c r="V24" i="73"/>
  <c r="D110" i="96"/>
  <c r="D103" i="96"/>
  <c r="D92" i="96"/>
  <c r="D77" i="96"/>
  <c r="D56" i="96"/>
  <c r="D47" i="96"/>
  <c r="D33" i="96"/>
  <c r="D20" i="96"/>
  <c r="D23" i="96"/>
  <c r="N120" i="73"/>
  <c r="D108" i="96"/>
  <c r="D93" i="96"/>
  <c r="D88" i="96"/>
  <c r="D86" i="96"/>
  <c r="D84" i="96"/>
  <c r="D64" i="96"/>
  <c r="D58" i="96"/>
  <c r="D62" i="96"/>
  <c r="D5" i="96"/>
  <c r="D48" i="96"/>
  <c r="D39" i="96"/>
  <c r="D29" i="96"/>
  <c r="D25" i="96"/>
  <c r="D12" i="73"/>
  <c r="D10" i="17" s="1"/>
  <c r="H7" i="73"/>
  <c r="H5" i="17" s="1"/>
  <c r="D99" i="96"/>
  <c r="B160" i="96"/>
  <c r="D87" i="96"/>
  <c r="B159" i="96"/>
  <c r="D82" i="96"/>
  <c r="D75" i="96"/>
  <c r="B158" i="96"/>
  <c r="D69" i="96"/>
  <c r="D63" i="96"/>
  <c r="B157" i="96"/>
  <c r="D53" i="96"/>
  <c r="D51" i="96"/>
  <c r="B156" i="96"/>
  <c r="B152" i="96"/>
  <c r="D45" i="96"/>
  <c r="B155" i="96"/>
  <c r="D35" i="96"/>
  <c r="D37" i="96"/>
  <c r="B154" i="96"/>
  <c r="D27" i="96"/>
  <c r="D19" i="96"/>
  <c r="B153" i="96"/>
  <c r="D15" i="96"/>
  <c r="G112" i="96"/>
  <c r="G137" i="96"/>
  <c r="G110" i="96"/>
  <c r="G144" i="96"/>
  <c r="V108" i="73"/>
  <c r="H6" i="73"/>
  <c r="H4" i="17" s="1"/>
  <c r="S60" i="73"/>
  <c r="K72" i="73"/>
  <c r="B6" i="18" s="1"/>
  <c r="D9" i="73"/>
  <c r="D7" i="17" s="1"/>
  <c r="D10" i="73"/>
  <c r="D8" i="17" s="1"/>
  <c r="V84" i="73"/>
  <c r="O48" i="73"/>
  <c r="E7" i="73" s="1"/>
  <c r="E5" i="17" s="1"/>
  <c r="O60" i="73"/>
  <c r="E8" i="73" s="1"/>
  <c r="E6" i="17" s="1"/>
  <c r="S108" i="73"/>
  <c r="D8" i="73"/>
  <c r="D6" i="17" s="1"/>
  <c r="V96" i="73"/>
  <c r="S120" i="73"/>
  <c r="N24" i="73"/>
  <c r="O72" i="73"/>
  <c r="E9" i="73" s="1"/>
  <c r="E7" i="17" s="1"/>
  <c r="S96" i="73"/>
  <c r="O108" i="73"/>
  <c r="E12" i="73" s="1"/>
  <c r="E10" i="17" s="1"/>
  <c r="E25" i="17" s="1"/>
  <c r="V48" i="73"/>
  <c r="N96" i="73"/>
  <c r="S48" i="73"/>
  <c r="S24" i="73"/>
  <c r="G6" i="73"/>
  <c r="G4" i="17" s="1"/>
  <c r="D6" i="73"/>
  <c r="D4" i="17" s="1"/>
  <c r="K48" i="73"/>
  <c r="B4" i="18" s="1"/>
  <c r="G7" i="73"/>
  <c r="G5" i="17" s="1"/>
  <c r="G20" i="17" s="1"/>
  <c r="O84" i="73"/>
  <c r="E10" i="73" s="1"/>
  <c r="E8" i="17" s="1"/>
  <c r="H10" i="73"/>
  <c r="H8" i="17" s="1"/>
  <c r="H12" i="73"/>
  <c r="H10" i="17" s="1"/>
  <c r="D5" i="73"/>
  <c r="S36" i="73"/>
  <c r="K36" i="73"/>
  <c r="B3" i="18" s="1"/>
  <c r="D7" i="73"/>
  <c r="D5" i="17" s="1"/>
  <c r="K60" i="73"/>
  <c r="B5" i="18" s="1"/>
  <c r="K84" i="73"/>
  <c r="B7" i="18" s="1"/>
  <c r="G9" i="73"/>
  <c r="G7" i="17" s="1"/>
  <c r="G21" i="17" s="1"/>
  <c r="H11" i="73"/>
  <c r="H9" i="17" s="1"/>
  <c r="O96" i="73"/>
  <c r="E11" i="73" s="1"/>
  <c r="E9" i="17" s="1"/>
  <c r="N48" i="73"/>
  <c r="V72" i="73"/>
  <c r="E5" i="73"/>
  <c r="H5" i="73"/>
  <c r="H8" i="73"/>
  <c r="H6" i="17" s="1"/>
  <c r="N72" i="73"/>
  <c r="H9" i="73"/>
  <c r="H7" i="17" s="1"/>
  <c r="G11" i="73"/>
  <c r="G9" i="17" s="1"/>
  <c r="G23" i="17" s="1"/>
  <c r="D11" i="73"/>
  <c r="D9" i="17" s="1"/>
  <c r="K120" i="73"/>
  <c r="B10" i="18" s="1"/>
  <c r="G326" i="107" s="1"/>
  <c r="C24" i="73"/>
  <c r="O36" i="73"/>
  <c r="E6" i="73" s="1"/>
  <c r="E4" i="17" s="1"/>
  <c r="V60" i="73"/>
  <c r="K96" i="73"/>
  <c r="B8" i="18" s="1"/>
  <c r="G302" i="107" s="1" a="1"/>
  <c r="V36" i="73"/>
  <c r="N36" i="73"/>
  <c r="N60" i="73"/>
  <c r="N84" i="73"/>
  <c r="K108" i="73"/>
  <c r="B9" i="18" s="1"/>
  <c r="G314" i="107" s="1"/>
  <c r="N108" i="73"/>
  <c r="G305" i="107" l="1" a="1"/>
  <c r="Q306" i="107" s="1"/>
  <c r="P318" i="107" s="1"/>
  <c r="E21" i="17"/>
  <c r="E19" i="17"/>
  <c r="F23" i="17"/>
  <c r="D324" i="107" a="1"/>
  <c r="C342" i="107" s="1"/>
  <c r="E342" i="107" s="1"/>
  <c r="E23" i="17"/>
  <c r="E22" i="17"/>
  <c r="E33" i="17" s="1"/>
  <c r="E24" i="17"/>
  <c r="E20" i="17"/>
  <c r="D336" i="107"/>
  <c r="C350" i="107"/>
  <c r="C351" i="107"/>
  <c r="C353" i="107"/>
  <c r="C354" i="107"/>
  <c r="C349" i="107"/>
  <c r="C352" i="107"/>
  <c r="F339" i="107"/>
  <c r="I339" i="107" s="1"/>
  <c r="J339" i="107" s="1"/>
  <c r="Q327" i="107"/>
  <c r="P339" i="107" s="1"/>
  <c r="Q303" i="107"/>
  <c r="P315" i="107" s="1"/>
  <c r="S315" i="107" s="1"/>
  <c r="T315" i="107" s="1"/>
  <c r="F315" i="107"/>
  <c r="I315" i="107" s="1"/>
  <c r="J315" i="107" s="1"/>
  <c r="F342" i="107"/>
  <c r="I342" i="107" s="1"/>
  <c r="J342" i="107" s="1"/>
  <c r="Q330" i="107"/>
  <c r="P342" i="107" s="1"/>
  <c r="Q318" i="107"/>
  <c r="P330" i="107" s="1"/>
  <c r="F330" i="107"/>
  <c r="I330" i="107" s="1"/>
  <c r="J330" i="107" s="1"/>
  <c r="F312" i="107"/>
  <c r="I312" i="107" s="1"/>
  <c r="J312" i="107" s="1"/>
  <c r="F326" i="107"/>
  <c r="I326" i="107" s="1"/>
  <c r="J326" i="107" s="1"/>
  <c r="Q314" i="107"/>
  <c r="P326" i="107" s="1"/>
  <c r="F341" i="107"/>
  <c r="I341" i="107" s="1"/>
  <c r="J341" i="107" s="1"/>
  <c r="Q329" i="107"/>
  <c r="P341" i="107" s="1"/>
  <c r="F338" i="107"/>
  <c r="I338" i="107" s="1"/>
  <c r="J338" i="107" s="1"/>
  <c r="Q326" i="107"/>
  <c r="P338" i="107" s="1"/>
  <c r="I327" i="107"/>
  <c r="J327" i="107" s="1"/>
  <c r="G302" i="107"/>
  <c r="I303" i="107"/>
  <c r="J303" i="107" s="1"/>
  <c r="I329" i="107"/>
  <c r="J329" i="107" s="1"/>
  <c r="C33" i="17"/>
  <c r="C31" i="17" s="1"/>
  <c r="C169" i="107" s="1"/>
  <c r="E22" i="18"/>
  <c r="I300" i="107"/>
  <c r="J300" i="107" s="1"/>
  <c r="G6" i="9"/>
  <c r="F22" i="17"/>
  <c r="G7" i="9"/>
  <c r="G8" i="9"/>
  <c r="E20" i="18"/>
  <c r="G9" i="9"/>
  <c r="D19" i="18"/>
  <c r="E21" i="18"/>
  <c r="G11" i="9"/>
  <c r="D21" i="18"/>
  <c r="D21" i="17"/>
  <c r="H19" i="17"/>
  <c r="D20" i="18"/>
  <c r="G5" i="9"/>
  <c r="C24" i="18"/>
  <c r="E23" i="18"/>
  <c r="D152" i="96"/>
  <c r="F25" i="17"/>
  <c r="F20" i="17"/>
  <c r="G4" i="9"/>
  <c r="E18" i="18"/>
  <c r="E17" i="18"/>
  <c r="B165" i="96"/>
  <c r="E19" i="18"/>
  <c r="D22" i="18"/>
  <c r="H20" i="17"/>
  <c r="H23" i="17"/>
  <c r="D17" i="18"/>
  <c r="D18" i="18"/>
  <c r="D24" i="18"/>
  <c r="E24" i="18"/>
  <c r="G22" i="17"/>
  <c r="G19" i="17"/>
  <c r="G24" i="17"/>
  <c r="C9" i="73"/>
  <c r="C7" i="17" s="1"/>
  <c r="I7" i="17" s="1"/>
  <c r="C72" i="73"/>
  <c r="C8" i="73"/>
  <c r="C6" i="17" s="1"/>
  <c r="L6" i="17" s="1"/>
  <c r="C60" i="73"/>
  <c r="C7" i="73"/>
  <c r="C5" i="17" s="1"/>
  <c r="L5" i="17" s="1"/>
  <c r="C48" i="73"/>
  <c r="C12" i="73"/>
  <c r="C10" i="17" s="1"/>
  <c r="L10" i="17" s="1"/>
  <c r="C108" i="73"/>
  <c r="C6" i="73"/>
  <c r="C4" i="17" s="1"/>
  <c r="I4" i="17" s="1"/>
  <c r="C36" i="73"/>
  <c r="D22" i="17"/>
  <c r="D20" i="17"/>
  <c r="H21" i="17"/>
  <c r="B17" i="18"/>
  <c r="F3" i="18"/>
  <c r="B18" i="18"/>
  <c r="F4" i="18"/>
  <c r="F24" i="17"/>
  <c r="L11" i="17"/>
  <c r="B25" i="17"/>
  <c r="I11" i="17"/>
  <c r="B21" i="17"/>
  <c r="B20" i="17"/>
  <c r="B19" i="17"/>
  <c r="H24" i="17"/>
  <c r="D25" i="17"/>
  <c r="F19" i="17"/>
  <c r="E111" i="96"/>
  <c r="E111" i="72"/>
  <c r="F6" i="18"/>
  <c r="B20" i="18"/>
  <c r="L12" i="17"/>
  <c r="I12" i="17"/>
  <c r="B26" i="17"/>
  <c r="H21" i="9"/>
  <c r="B22" i="18"/>
  <c r="F8" i="18"/>
  <c r="B24" i="18"/>
  <c r="F10" i="18"/>
  <c r="B21" i="18"/>
  <c r="F7" i="18"/>
  <c r="D24" i="17"/>
  <c r="D26" i="17"/>
  <c r="H25" i="17"/>
  <c r="H22" i="17"/>
  <c r="D23" i="17"/>
  <c r="F5" i="18"/>
  <c r="B19" i="18"/>
  <c r="B23" i="18"/>
  <c r="F9" i="18"/>
  <c r="D19" i="17"/>
  <c r="F21" i="17"/>
  <c r="D158" i="96"/>
  <c r="D159" i="96"/>
  <c r="D154" i="96"/>
  <c r="D160" i="96"/>
  <c r="E3" i="96"/>
  <c r="J3" i="96" s="1"/>
  <c r="K3" i="96" s="1"/>
  <c r="C5" i="73"/>
  <c r="D156" i="96"/>
  <c r="D155" i="96"/>
  <c r="E110" i="96"/>
  <c r="J110" i="96" s="1"/>
  <c r="K110" i="96" s="1"/>
  <c r="D153" i="96"/>
  <c r="D157" i="96"/>
  <c r="G122" i="96"/>
  <c r="G124" i="96"/>
  <c r="F4" i="73"/>
  <c r="E4" i="73"/>
  <c r="F153" i="96" l="1"/>
  <c r="G153" i="96" s="1"/>
  <c r="I306" i="107"/>
  <c r="J306" i="107" s="1"/>
  <c r="G305" i="107"/>
  <c r="F317" i="107" s="1"/>
  <c r="I317" i="107" s="1"/>
  <c r="J317" i="107" s="1"/>
  <c r="F318" i="107"/>
  <c r="I318" i="107" s="1"/>
  <c r="J318" i="107" s="1"/>
  <c r="C339" i="107"/>
  <c r="E339" i="107" s="1"/>
  <c r="C341" i="107"/>
  <c r="E341" i="107" s="1"/>
  <c r="C338" i="107"/>
  <c r="E338" i="107" s="1"/>
  <c r="C340" i="107"/>
  <c r="E340" i="107" s="1"/>
  <c r="D324" i="107"/>
  <c r="D331" i="107" s="1"/>
  <c r="C337" i="107"/>
  <c r="E337" i="107" s="1"/>
  <c r="H33" i="17"/>
  <c r="G33" i="17"/>
  <c r="D312" i="107" a="1"/>
  <c r="C348" i="107"/>
  <c r="C355" i="107" s="1"/>
  <c r="D343" i="107"/>
  <c r="F314" i="107"/>
  <c r="I314" i="107" s="1"/>
  <c r="J314" i="107" s="1"/>
  <c r="Q302" i="107"/>
  <c r="P314" i="107" s="1"/>
  <c r="S314" i="107" s="1"/>
  <c r="T314" i="107" s="1"/>
  <c r="I302" i="107"/>
  <c r="J302" i="107" s="1"/>
  <c r="S341" i="107"/>
  <c r="T341" i="107" s="1"/>
  <c r="S329" i="107"/>
  <c r="T329" i="107" s="1"/>
  <c r="S326" i="107"/>
  <c r="T326" i="107" s="1"/>
  <c r="S338" i="107"/>
  <c r="T338" i="107" s="1"/>
  <c r="S330" i="107"/>
  <c r="T330" i="107" s="1"/>
  <c r="S318" i="107"/>
  <c r="T318" i="107" s="1"/>
  <c r="S342" i="107"/>
  <c r="T342" i="107" s="1"/>
  <c r="S339" i="107"/>
  <c r="T339" i="107" s="1"/>
  <c r="S327" i="107"/>
  <c r="T327" i="107" s="1"/>
  <c r="F33" i="17"/>
  <c r="H22" i="9"/>
  <c r="B180" i="107" a="1"/>
  <c r="B180" i="107" s="1"/>
  <c r="F158" i="96"/>
  <c r="F159" i="96"/>
  <c r="F156" i="96"/>
  <c r="L7" i="17"/>
  <c r="I6" i="17"/>
  <c r="C21" i="17"/>
  <c r="C20" i="17"/>
  <c r="I5" i="17"/>
  <c r="I10" i="17"/>
  <c r="C25" i="17"/>
  <c r="L4" i="17"/>
  <c r="C19" i="17"/>
  <c r="F160" i="96"/>
  <c r="G160" i="96" s="1"/>
  <c r="D165" i="96"/>
  <c r="F155" i="96"/>
  <c r="F154" i="96"/>
  <c r="G154" i="96" s="1"/>
  <c r="L3" i="96"/>
  <c r="M3" i="96" s="1"/>
  <c r="N3" i="96"/>
  <c r="F157" i="96"/>
  <c r="G134" i="96"/>
  <c r="L110" i="96"/>
  <c r="M110" i="96" s="1"/>
  <c r="N110" i="96"/>
  <c r="G136" i="96"/>
  <c r="I305" i="107" l="1"/>
  <c r="J305" i="107" s="1"/>
  <c r="Q305" i="107"/>
  <c r="P317" i="107" s="1"/>
  <c r="S317" i="107" s="1"/>
  <c r="T317" i="107" s="1"/>
  <c r="C336" i="107"/>
  <c r="C343" i="107" s="1"/>
  <c r="D312" i="107"/>
  <c r="C325" i="107"/>
  <c r="E325" i="107" s="1"/>
  <c r="C329" i="107"/>
  <c r="E329" i="107" s="1"/>
  <c r="C330" i="107"/>
  <c r="E330" i="107" s="1"/>
  <c r="C326" i="107"/>
  <c r="E326" i="107" s="1"/>
  <c r="C327" i="107"/>
  <c r="E327" i="107" s="1"/>
  <c r="C328" i="107"/>
  <c r="E328" i="107" s="1"/>
  <c r="G157" i="96"/>
  <c r="G159" i="96"/>
  <c r="G156" i="96"/>
  <c r="G155" i="96"/>
  <c r="G158" i="96"/>
  <c r="G146" i="96"/>
  <c r="E336" i="107" l="1"/>
  <c r="E343" i="107" s="1"/>
  <c r="C324" i="107"/>
  <c r="D319" i="107"/>
  <c r="E4" i="96"/>
  <c r="J4" i="96" s="1"/>
  <c r="E5" i="96"/>
  <c r="J5" i="96" s="1"/>
  <c r="K5" i="96" s="1"/>
  <c r="E6" i="96"/>
  <c r="J6" i="96" s="1"/>
  <c r="K6" i="96" s="1"/>
  <c r="E7" i="96"/>
  <c r="J7" i="96" s="1"/>
  <c r="K7" i="96" s="1"/>
  <c r="E8" i="96"/>
  <c r="J8" i="96" s="1"/>
  <c r="K8" i="96" s="1"/>
  <c r="E9" i="96"/>
  <c r="J9" i="96" s="1"/>
  <c r="K9" i="96" s="1"/>
  <c r="E10" i="96"/>
  <c r="J10" i="96" s="1"/>
  <c r="K10" i="96" s="1"/>
  <c r="E11" i="96"/>
  <c r="J11" i="96" s="1"/>
  <c r="K11" i="96" s="1"/>
  <c r="E12" i="96"/>
  <c r="J12" i="96" s="1"/>
  <c r="K12" i="96" s="1"/>
  <c r="E13" i="96"/>
  <c r="J13" i="96" s="1"/>
  <c r="K13" i="96" s="1"/>
  <c r="E14" i="96"/>
  <c r="J14" i="96" s="1"/>
  <c r="K14" i="96" s="1"/>
  <c r="E15" i="96"/>
  <c r="J15" i="96" s="1"/>
  <c r="E16" i="96"/>
  <c r="J16" i="96" s="1"/>
  <c r="K16" i="96" s="1"/>
  <c r="E17" i="96"/>
  <c r="J17" i="96" s="1"/>
  <c r="K17" i="96" s="1"/>
  <c r="E18" i="96"/>
  <c r="J18" i="96" s="1"/>
  <c r="K18" i="96" s="1"/>
  <c r="E19" i="96"/>
  <c r="J19" i="96" s="1"/>
  <c r="K19" i="96" s="1"/>
  <c r="E20" i="96"/>
  <c r="J20" i="96" s="1"/>
  <c r="K20" i="96" s="1"/>
  <c r="E21" i="96"/>
  <c r="J21" i="96" s="1"/>
  <c r="K21" i="96" s="1"/>
  <c r="E22" i="96"/>
  <c r="J22" i="96" s="1"/>
  <c r="K22" i="96" s="1"/>
  <c r="E23" i="96"/>
  <c r="J23" i="96" s="1"/>
  <c r="K23" i="96" s="1"/>
  <c r="E24" i="96"/>
  <c r="J24" i="96" s="1"/>
  <c r="K24" i="96" s="1"/>
  <c r="E25" i="96"/>
  <c r="J25" i="96" s="1"/>
  <c r="K25" i="96" s="1"/>
  <c r="E26" i="96"/>
  <c r="J26" i="96" s="1"/>
  <c r="K26" i="96" s="1"/>
  <c r="E27" i="96"/>
  <c r="J27" i="96" s="1"/>
  <c r="E28" i="96"/>
  <c r="J28" i="96" s="1"/>
  <c r="K28" i="96" s="1"/>
  <c r="E29" i="96"/>
  <c r="J29" i="96" s="1"/>
  <c r="K29" i="96" s="1"/>
  <c r="E30" i="96"/>
  <c r="J30" i="96" s="1"/>
  <c r="K30" i="96" s="1"/>
  <c r="E31" i="96"/>
  <c r="J31" i="96" s="1"/>
  <c r="K31" i="96" s="1"/>
  <c r="E32" i="96"/>
  <c r="J32" i="96" s="1"/>
  <c r="K32" i="96" s="1"/>
  <c r="E33" i="96"/>
  <c r="J33" i="96" s="1"/>
  <c r="K33" i="96" s="1"/>
  <c r="E34" i="96"/>
  <c r="J34" i="96" s="1"/>
  <c r="K34" i="96" s="1"/>
  <c r="E35" i="96"/>
  <c r="J35" i="96" s="1"/>
  <c r="K35" i="96" s="1"/>
  <c r="E36" i="96"/>
  <c r="J36" i="96" s="1"/>
  <c r="K36" i="96" s="1"/>
  <c r="E37" i="96"/>
  <c r="J37" i="96" s="1"/>
  <c r="K37" i="96" s="1"/>
  <c r="E38" i="96"/>
  <c r="J38" i="96" s="1"/>
  <c r="K38" i="96" s="1"/>
  <c r="E39" i="96"/>
  <c r="J39" i="96" s="1"/>
  <c r="E40" i="96"/>
  <c r="J40" i="96" s="1"/>
  <c r="K40" i="96" s="1"/>
  <c r="E41" i="96"/>
  <c r="J41" i="96" s="1"/>
  <c r="K41" i="96" s="1"/>
  <c r="E42" i="96"/>
  <c r="J42" i="96" s="1"/>
  <c r="K42" i="96" s="1"/>
  <c r="E43" i="96"/>
  <c r="J43" i="96" s="1"/>
  <c r="K43" i="96" s="1"/>
  <c r="E44" i="96"/>
  <c r="J44" i="96" s="1"/>
  <c r="K44" i="96" s="1"/>
  <c r="E45" i="96"/>
  <c r="J45" i="96" s="1"/>
  <c r="K45" i="96" s="1"/>
  <c r="E46" i="96"/>
  <c r="J46" i="96" s="1"/>
  <c r="K46" i="96" s="1"/>
  <c r="E47" i="96"/>
  <c r="J47" i="96" s="1"/>
  <c r="K47" i="96" s="1"/>
  <c r="E48" i="96"/>
  <c r="J48" i="96" s="1"/>
  <c r="K48" i="96" s="1"/>
  <c r="E49" i="96"/>
  <c r="J49" i="96" s="1"/>
  <c r="K49" i="96" s="1"/>
  <c r="E50" i="96"/>
  <c r="J50" i="96" s="1"/>
  <c r="K50" i="96" s="1"/>
  <c r="E51" i="96"/>
  <c r="J51" i="96" s="1"/>
  <c r="E52" i="96"/>
  <c r="J52" i="96" s="1"/>
  <c r="K52" i="96" s="1"/>
  <c r="E53" i="96"/>
  <c r="J53" i="96" s="1"/>
  <c r="K53" i="96" s="1"/>
  <c r="E54" i="96"/>
  <c r="J54" i="96" s="1"/>
  <c r="K54" i="96" s="1"/>
  <c r="E55" i="96"/>
  <c r="J55" i="96" s="1"/>
  <c r="K55" i="96" s="1"/>
  <c r="E56" i="96"/>
  <c r="J56" i="96" s="1"/>
  <c r="K56" i="96" s="1"/>
  <c r="E57" i="96"/>
  <c r="J57" i="96" s="1"/>
  <c r="K57" i="96" s="1"/>
  <c r="E58" i="96"/>
  <c r="J58" i="96" s="1"/>
  <c r="K58" i="96" s="1"/>
  <c r="E59" i="96"/>
  <c r="J59" i="96" s="1"/>
  <c r="K59" i="96" s="1"/>
  <c r="E60" i="96"/>
  <c r="J60" i="96" s="1"/>
  <c r="K60" i="96" s="1"/>
  <c r="E61" i="96"/>
  <c r="J61" i="96" s="1"/>
  <c r="K61" i="96" s="1"/>
  <c r="E62" i="96"/>
  <c r="J62" i="96" s="1"/>
  <c r="K62" i="96" s="1"/>
  <c r="E65" i="96"/>
  <c r="J65" i="96" s="1"/>
  <c r="K65" i="96" s="1"/>
  <c r="E66" i="96"/>
  <c r="J66" i="96" s="1"/>
  <c r="K66" i="96" s="1"/>
  <c r="E67" i="96"/>
  <c r="J67" i="96" s="1"/>
  <c r="K67" i="96" s="1"/>
  <c r="E68" i="96"/>
  <c r="J68" i="96" s="1"/>
  <c r="K68" i="96" s="1"/>
  <c r="E69" i="96"/>
  <c r="J69" i="96" s="1"/>
  <c r="K69" i="96" s="1"/>
  <c r="E70" i="96"/>
  <c r="J70" i="96" s="1"/>
  <c r="K70" i="96" s="1"/>
  <c r="E71" i="96"/>
  <c r="J71" i="96" s="1"/>
  <c r="K71" i="96" s="1"/>
  <c r="E72" i="96"/>
  <c r="J72" i="96" s="1"/>
  <c r="K72" i="96" s="1"/>
  <c r="E73" i="96"/>
  <c r="J73" i="96" s="1"/>
  <c r="K73" i="96" s="1"/>
  <c r="E77" i="96"/>
  <c r="J77" i="96" s="1"/>
  <c r="K77" i="96" s="1"/>
  <c r="E78" i="96"/>
  <c r="J78" i="96" s="1"/>
  <c r="K78" i="96" s="1"/>
  <c r="E79" i="96"/>
  <c r="J79" i="96" s="1"/>
  <c r="K79" i="96" s="1"/>
  <c r="E80" i="96"/>
  <c r="J80" i="96" s="1"/>
  <c r="K80" i="96" s="1"/>
  <c r="E81" i="96"/>
  <c r="J81" i="96" s="1"/>
  <c r="K81" i="96" s="1"/>
  <c r="E82" i="96"/>
  <c r="J82" i="96" s="1"/>
  <c r="K82" i="96" s="1"/>
  <c r="E83" i="96"/>
  <c r="J83" i="96" s="1"/>
  <c r="K83" i="96" s="1"/>
  <c r="E84" i="96"/>
  <c r="J84" i="96" s="1"/>
  <c r="K84" i="96" s="1"/>
  <c r="E85" i="96"/>
  <c r="J85" i="96" s="1"/>
  <c r="K85" i="96" s="1"/>
  <c r="E87" i="96"/>
  <c r="J87" i="96" s="1"/>
  <c r="E88" i="96"/>
  <c r="J88" i="96" s="1"/>
  <c r="K88" i="96" s="1"/>
  <c r="E89" i="96"/>
  <c r="J89" i="96" s="1"/>
  <c r="K89" i="96" s="1"/>
  <c r="E90" i="96"/>
  <c r="J90" i="96" s="1"/>
  <c r="K90" i="96" s="1"/>
  <c r="E91" i="96"/>
  <c r="J91" i="96" s="1"/>
  <c r="K91" i="96" s="1"/>
  <c r="E92" i="96"/>
  <c r="J92" i="96" s="1"/>
  <c r="K92" i="96" s="1"/>
  <c r="E93" i="96"/>
  <c r="J93" i="96" s="1"/>
  <c r="K93" i="96" s="1"/>
  <c r="E94" i="96"/>
  <c r="J94" i="96" s="1"/>
  <c r="K94" i="96" s="1"/>
  <c r="E95" i="96"/>
  <c r="J95" i="96" s="1"/>
  <c r="K95" i="96" s="1"/>
  <c r="E96" i="96"/>
  <c r="J96" i="96" s="1"/>
  <c r="K96" i="96" s="1"/>
  <c r="E97" i="96"/>
  <c r="J97" i="96" s="1"/>
  <c r="K97" i="96" s="1"/>
  <c r="E98" i="96"/>
  <c r="J98" i="96" s="1"/>
  <c r="K98" i="96" s="1"/>
  <c r="E99" i="96"/>
  <c r="J99" i="96" s="1"/>
  <c r="E100" i="96"/>
  <c r="J100" i="96" s="1"/>
  <c r="K100" i="96" s="1"/>
  <c r="E101" i="96"/>
  <c r="J101" i="96" s="1"/>
  <c r="K101" i="96" s="1"/>
  <c r="E102" i="96"/>
  <c r="J102" i="96" s="1"/>
  <c r="K102" i="96" s="1"/>
  <c r="E103" i="96"/>
  <c r="J103" i="96" s="1"/>
  <c r="K103" i="96" s="1"/>
  <c r="E104" i="96"/>
  <c r="J104" i="96" s="1"/>
  <c r="K104" i="96" s="1"/>
  <c r="E105" i="96"/>
  <c r="J105" i="96" s="1"/>
  <c r="K105" i="96" s="1"/>
  <c r="E106" i="96"/>
  <c r="J106" i="96" s="1"/>
  <c r="K106" i="96" s="1"/>
  <c r="E107" i="96"/>
  <c r="J107" i="96" s="1"/>
  <c r="K107" i="96" s="1"/>
  <c r="E108" i="96"/>
  <c r="J108" i="96" s="1"/>
  <c r="K108" i="96" s="1"/>
  <c r="E109" i="96"/>
  <c r="J109" i="96" s="1"/>
  <c r="K109" i="96" s="1"/>
  <c r="C331" i="107" l="1"/>
  <c r="E324" i="107"/>
  <c r="E331" i="107" s="1"/>
  <c r="N38" i="96"/>
  <c r="L38" i="96"/>
  <c r="M38" i="96" s="1"/>
  <c r="O102" i="96"/>
  <c r="P102" i="96" s="1"/>
  <c r="L101" i="96"/>
  <c r="M101" i="96" s="1"/>
  <c r="N101" i="96"/>
  <c r="O101" i="96"/>
  <c r="P101" i="96" s="1"/>
  <c r="L53" i="96"/>
  <c r="M53" i="96" s="1"/>
  <c r="N53" i="96"/>
  <c r="N5" i="96"/>
  <c r="L5" i="96"/>
  <c r="M5" i="96" s="1"/>
  <c r="N103" i="96"/>
  <c r="L103" i="96"/>
  <c r="M103" i="96" s="1"/>
  <c r="O103" i="96"/>
  <c r="P103" i="96" s="1"/>
  <c r="O95" i="96"/>
  <c r="P95" i="96" s="1"/>
  <c r="N95" i="96"/>
  <c r="L95" i="96"/>
  <c r="M95" i="96" s="1"/>
  <c r="K87" i="96"/>
  <c r="O88" i="96" s="1"/>
  <c r="P88" i="96" s="1"/>
  <c r="J159" i="96"/>
  <c r="O79" i="96"/>
  <c r="P79" i="96" s="1"/>
  <c r="L79" i="96"/>
  <c r="M79" i="96" s="1"/>
  <c r="N79" i="96"/>
  <c r="L71" i="96"/>
  <c r="M71" i="96" s="1"/>
  <c r="N71" i="96"/>
  <c r="O71" i="96"/>
  <c r="P71" i="96" s="1"/>
  <c r="N55" i="96"/>
  <c r="L55" i="96"/>
  <c r="M55" i="96" s="1"/>
  <c r="O55" i="96"/>
  <c r="P55" i="96" s="1"/>
  <c r="L47" i="96"/>
  <c r="M47" i="96" s="1"/>
  <c r="N47" i="96"/>
  <c r="O47" i="96"/>
  <c r="P47" i="96" s="1"/>
  <c r="K39" i="96"/>
  <c r="J155" i="96"/>
  <c r="O31" i="96"/>
  <c r="P31" i="96" s="1"/>
  <c r="N31" i="96"/>
  <c r="L31" i="96"/>
  <c r="M31" i="96" s="1"/>
  <c r="L23" i="96"/>
  <c r="M23" i="96" s="1"/>
  <c r="O23" i="96"/>
  <c r="P23" i="96" s="1"/>
  <c r="N23" i="96"/>
  <c r="K15" i="96"/>
  <c r="O16" i="96" s="1"/>
  <c r="P16" i="96" s="1"/>
  <c r="J153" i="96"/>
  <c r="O7" i="96"/>
  <c r="P7" i="96" s="1"/>
  <c r="L7" i="96"/>
  <c r="M7" i="96" s="1"/>
  <c r="N7" i="96"/>
  <c r="O78" i="96"/>
  <c r="P78" i="96" s="1"/>
  <c r="N78" i="96"/>
  <c r="L78" i="96"/>
  <c r="M78" i="96" s="1"/>
  <c r="N6" i="96"/>
  <c r="L6" i="96"/>
  <c r="M6" i="96" s="1"/>
  <c r="O6" i="96"/>
  <c r="P6" i="96" s="1"/>
  <c r="O61" i="96"/>
  <c r="P61" i="96" s="1"/>
  <c r="L61" i="96"/>
  <c r="M61" i="96" s="1"/>
  <c r="N61" i="96"/>
  <c r="N13" i="96"/>
  <c r="L13" i="96"/>
  <c r="M13" i="96" s="1"/>
  <c r="O13" i="96"/>
  <c r="P13" i="96" s="1"/>
  <c r="N108" i="96"/>
  <c r="L108" i="96"/>
  <c r="M108" i="96" s="1"/>
  <c r="O108" i="96"/>
  <c r="P108" i="96" s="1"/>
  <c r="N100" i="96"/>
  <c r="L100" i="96"/>
  <c r="M100" i="96" s="1"/>
  <c r="L92" i="96"/>
  <c r="M92" i="96" s="1"/>
  <c r="N92" i="96"/>
  <c r="L84" i="96"/>
  <c r="M84" i="96" s="1"/>
  <c r="O84" i="96"/>
  <c r="P84" i="96" s="1"/>
  <c r="N84" i="96"/>
  <c r="L68" i="96"/>
  <c r="M68" i="96" s="1"/>
  <c r="N68" i="96"/>
  <c r="O60" i="96"/>
  <c r="P60" i="96" s="1"/>
  <c r="N60" i="96"/>
  <c r="L60" i="96"/>
  <c r="M60" i="96" s="1"/>
  <c r="O53" i="96"/>
  <c r="P53" i="96" s="1"/>
  <c r="N52" i="96"/>
  <c r="L52" i="96"/>
  <c r="M52" i="96" s="1"/>
  <c r="L44" i="96"/>
  <c r="M44" i="96" s="1"/>
  <c r="N44" i="96"/>
  <c r="O44" i="96"/>
  <c r="P44" i="96" s="1"/>
  <c r="N36" i="96"/>
  <c r="L36" i="96"/>
  <c r="M36" i="96" s="1"/>
  <c r="N28" i="96"/>
  <c r="L28" i="96"/>
  <c r="M28" i="96" s="1"/>
  <c r="L20" i="96"/>
  <c r="M20" i="96" s="1"/>
  <c r="N20" i="96"/>
  <c r="O20" i="96"/>
  <c r="P20" i="96" s="1"/>
  <c r="L12" i="96"/>
  <c r="M12" i="96" s="1"/>
  <c r="N12" i="96"/>
  <c r="O12" i="96"/>
  <c r="P12" i="96" s="1"/>
  <c r="K4" i="96"/>
  <c r="O5" i="96" s="1"/>
  <c r="P5" i="96" s="1"/>
  <c r="J152" i="96"/>
  <c r="L94" i="96"/>
  <c r="M94" i="96" s="1"/>
  <c r="N94" i="96"/>
  <c r="O94" i="96"/>
  <c r="P94" i="96" s="1"/>
  <c r="L46" i="96"/>
  <c r="M46" i="96" s="1"/>
  <c r="O46" i="96"/>
  <c r="P46" i="96" s="1"/>
  <c r="N46" i="96"/>
  <c r="N22" i="96"/>
  <c r="L22" i="96"/>
  <c r="M22" i="96" s="1"/>
  <c r="O22" i="96"/>
  <c r="P22" i="96" s="1"/>
  <c r="O93" i="96"/>
  <c r="P93" i="96" s="1"/>
  <c r="N93" i="96"/>
  <c r="L93" i="96"/>
  <c r="M93" i="96" s="1"/>
  <c r="O68" i="96"/>
  <c r="P68" i="96" s="1"/>
  <c r="O67" i="96"/>
  <c r="P67" i="96" s="1"/>
  <c r="N67" i="96"/>
  <c r="L67" i="96"/>
  <c r="M67" i="96" s="1"/>
  <c r="L59" i="96"/>
  <c r="M59" i="96" s="1"/>
  <c r="N59" i="96"/>
  <c r="O59" i="96"/>
  <c r="P59" i="96" s="1"/>
  <c r="K51" i="96"/>
  <c r="J156" i="96"/>
  <c r="N43" i="96"/>
  <c r="O43" i="96"/>
  <c r="P43" i="96" s="1"/>
  <c r="L43" i="96"/>
  <c r="M43" i="96" s="1"/>
  <c r="O36" i="96"/>
  <c r="P36" i="96" s="1"/>
  <c r="L35" i="96"/>
  <c r="M35" i="96" s="1"/>
  <c r="O35" i="96"/>
  <c r="P35" i="96" s="1"/>
  <c r="N35" i="96"/>
  <c r="K27" i="96"/>
  <c r="O28" i="96" s="1"/>
  <c r="P28" i="96" s="1"/>
  <c r="J154" i="96"/>
  <c r="N19" i="96"/>
  <c r="L19" i="96"/>
  <c r="M19" i="96" s="1"/>
  <c r="O19" i="96"/>
  <c r="P19" i="96" s="1"/>
  <c r="O11" i="96"/>
  <c r="P11" i="96" s="1"/>
  <c r="N11" i="96"/>
  <c r="L11" i="96"/>
  <c r="M11" i="96" s="1"/>
  <c r="O54" i="96"/>
  <c r="P54" i="96" s="1"/>
  <c r="L54" i="96"/>
  <c r="M54" i="96" s="1"/>
  <c r="N54" i="96"/>
  <c r="N77" i="96"/>
  <c r="L77" i="96"/>
  <c r="M77" i="96" s="1"/>
  <c r="O29" i="96"/>
  <c r="P29" i="96" s="1"/>
  <c r="N29" i="96"/>
  <c r="L29" i="96"/>
  <c r="M29" i="96" s="1"/>
  <c r="O92" i="96"/>
  <c r="P92" i="96" s="1"/>
  <c r="L91" i="96"/>
  <c r="M91" i="96" s="1"/>
  <c r="O91" i="96"/>
  <c r="P91" i="96" s="1"/>
  <c r="N91" i="96"/>
  <c r="O107" i="96"/>
  <c r="P107" i="96" s="1"/>
  <c r="O106" i="96"/>
  <c r="P106" i="96" s="1"/>
  <c r="N106" i="96"/>
  <c r="L106" i="96"/>
  <c r="M106" i="96" s="1"/>
  <c r="L90" i="96"/>
  <c r="M90" i="96" s="1"/>
  <c r="N90" i="96"/>
  <c r="L82" i="96"/>
  <c r="M82" i="96" s="1"/>
  <c r="N82" i="96"/>
  <c r="O82" i="96"/>
  <c r="P82" i="96" s="1"/>
  <c r="L66" i="96"/>
  <c r="M66" i="96" s="1"/>
  <c r="O66" i="96"/>
  <c r="P66" i="96" s="1"/>
  <c r="N66" i="96"/>
  <c r="N58" i="96"/>
  <c r="L58" i="96"/>
  <c r="M58" i="96" s="1"/>
  <c r="O58" i="96"/>
  <c r="P58" i="96" s="1"/>
  <c r="L50" i="96"/>
  <c r="M50" i="96" s="1"/>
  <c r="O50" i="96"/>
  <c r="P50" i="96" s="1"/>
  <c r="N50" i="96"/>
  <c r="L42" i="96"/>
  <c r="M42" i="96" s="1"/>
  <c r="O42" i="96"/>
  <c r="P42" i="96" s="1"/>
  <c r="N42" i="96"/>
  <c r="L34" i="96"/>
  <c r="M34" i="96" s="1"/>
  <c r="N34" i="96"/>
  <c r="O34" i="96"/>
  <c r="P34" i="96" s="1"/>
  <c r="L26" i="96"/>
  <c r="M26" i="96" s="1"/>
  <c r="O26" i="96"/>
  <c r="P26" i="96" s="1"/>
  <c r="N26" i="96"/>
  <c r="L18" i="96"/>
  <c r="M18" i="96" s="1"/>
  <c r="N18" i="96"/>
  <c r="O18" i="96"/>
  <c r="P18" i="96" s="1"/>
  <c r="O10" i="96"/>
  <c r="P10" i="96" s="1"/>
  <c r="L10" i="96"/>
  <c r="M10" i="96" s="1"/>
  <c r="N10" i="96"/>
  <c r="O70" i="96"/>
  <c r="P70" i="96" s="1"/>
  <c r="N70" i="96"/>
  <c r="L70" i="96"/>
  <c r="M70" i="96" s="1"/>
  <c r="O30" i="96"/>
  <c r="P30" i="96" s="1"/>
  <c r="N30" i="96"/>
  <c r="L30" i="96"/>
  <c r="M30" i="96" s="1"/>
  <c r="N109" i="96"/>
  <c r="L109" i="96"/>
  <c r="M109" i="96" s="1"/>
  <c r="O109" i="96"/>
  <c r="P109" i="96" s="1"/>
  <c r="O110" i="96"/>
  <c r="P110" i="96" s="1"/>
  <c r="N69" i="96"/>
  <c r="O69" i="96"/>
  <c r="P69" i="96" s="1"/>
  <c r="L69" i="96"/>
  <c r="M69" i="96" s="1"/>
  <c r="O38" i="96"/>
  <c r="P38" i="96" s="1"/>
  <c r="O37" i="96"/>
  <c r="P37" i="96" s="1"/>
  <c r="L37" i="96"/>
  <c r="M37" i="96" s="1"/>
  <c r="N37" i="96"/>
  <c r="K99" i="96"/>
  <c r="O100" i="96" s="1"/>
  <c r="P100" i="96" s="1"/>
  <c r="J160" i="96"/>
  <c r="L98" i="96"/>
  <c r="M98" i="96" s="1"/>
  <c r="O98" i="96"/>
  <c r="P98" i="96" s="1"/>
  <c r="N98" i="96"/>
  <c r="N105" i="96"/>
  <c r="L105" i="96"/>
  <c r="M105" i="96" s="1"/>
  <c r="O105" i="96"/>
  <c r="P105" i="96" s="1"/>
  <c r="L97" i="96"/>
  <c r="M97" i="96" s="1"/>
  <c r="N97" i="96"/>
  <c r="O97" i="96"/>
  <c r="P97" i="96" s="1"/>
  <c r="O90" i="96"/>
  <c r="P90" i="96" s="1"/>
  <c r="N89" i="96"/>
  <c r="L89" i="96"/>
  <c r="M89" i="96" s="1"/>
  <c r="O89" i="96"/>
  <c r="P89" i="96" s="1"/>
  <c r="O81" i="96"/>
  <c r="P81" i="96" s="1"/>
  <c r="L81" i="96"/>
  <c r="M81" i="96" s="1"/>
  <c r="N81" i="96"/>
  <c r="O73" i="96"/>
  <c r="P73" i="96" s="1"/>
  <c r="L73" i="96"/>
  <c r="M73" i="96" s="1"/>
  <c r="N73" i="96"/>
  <c r="L65" i="96"/>
  <c r="M65" i="96" s="1"/>
  <c r="N65" i="96"/>
  <c r="N57" i="96"/>
  <c r="L57" i="96"/>
  <c r="M57" i="96" s="1"/>
  <c r="O57" i="96"/>
  <c r="P57" i="96" s="1"/>
  <c r="O49" i="96"/>
  <c r="P49" i="96" s="1"/>
  <c r="N49" i="96"/>
  <c r="L49" i="96"/>
  <c r="M49" i="96" s="1"/>
  <c r="L41" i="96"/>
  <c r="M41" i="96" s="1"/>
  <c r="N41" i="96"/>
  <c r="O41" i="96"/>
  <c r="P41" i="96" s="1"/>
  <c r="N33" i="96"/>
  <c r="L33" i="96"/>
  <c r="M33" i="96" s="1"/>
  <c r="O33" i="96"/>
  <c r="P33" i="96" s="1"/>
  <c r="O25" i="96"/>
  <c r="P25" i="96" s="1"/>
  <c r="N25" i="96"/>
  <c r="L25" i="96"/>
  <c r="M25" i="96" s="1"/>
  <c r="O17" i="96"/>
  <c r="P17" i="96" s="1"/>
  <c r="L17" i="96"/>
  <c r="M17" i="96" s="1"/>
  <c r="N17" i="96"/>
  <c r="O9" i="96"/>
  <c r="P9" i="96" s="1"/>
  <c r="N9" i="96"/>
  <c r="L9" i="96"/>
  <c r="M9" i="96" s="1"/>
  <c r="L102" i="96"/>
  <c r="M102" i="96" s="1"/>
  <c r="N102" i="96"/>
  <c r="O62" i="96"/>
  <c r="P62" i="96" s="1"/>
  <c r="N62" i="96"/>
  <c r="L62" i="96"/>
  <c r="M62" i="96" s="1"/>
  <c r="N14" i="96"/>
  <c r="L14" i="96"/>
  <c r="M14" i="96" s="1"/>
  <c r="O14" i="96"/>
  <c r="P14" i="96" s="1"/>
  <c r="O85" i="96"/>
  <c r="P85" i="96" s="1"/>
  <c r="N85" i="96"/>
  <c r="L85" i="96"/>
  <c r="M85" i="96" s="1"/>
  <c r="O45" i="96"/>
  <c r="P45" i="96" s="1"/>
  <c r="N45" i="96"/>
  <c r="L45" i="96"/>
  <c r="M45" i="96" s="1"/>
  <c r="L21" i="96"/>
  <c r="M21" i="96" s="1"/>
  <c r="O21" i="96"/>
  <c r="P21" i="96" s="1"/>
  <c r="N21" i="96"/>
  <c r="L107" i="96"/>
  <c r="M107" i="96" s="1"/>
  <c r="N107" i="96"/>
  <c r="O83" i="96"/>
  <c r="P83" i="96" s="1"/>
  <c r="N83" i="96"/>
  <c r="L83" i="96"/>
  <c r="M83" i="96" s="1"/>
  <c r="L104" i="96"/>
  <c r="M104" i="96" s="1"/>
  <c r="O104" i="96"/>
  <c r="P104" i="96" s="1"/>
  <c r="N104" i="96"/>
  <c r="L96" i="96"/>
  <c r="M96" i="96" s="1"/>
  <c r="O96" i="96"/>
  <c r="P96" i="96" s="1"/>
  <c r="N96" i="96"/>
  <c r="N88" i="96"/>
  <c r="L88" i="96"/>
  <c r="M88" i="96" s="1"/>
  <c r="O80" i="96"/>
  <c r="P80" i="96" s="1"/>
  <c r="L80" i="96"/>
  <c r="M80" i="96" s="1"/>
  <c r="N80" i="96"/>
  <c r="L72" i="96"/>
  <c r="M72" i="96" s="1"/>
  <c r="O72" i="96"/>
  <c r="P72" i="96" s="1"/>
  <c r="N72" i="96"/>
  <c r="N56" i="96"/>
  <c r="L56" i="96"/>
  <c r="M56" i="96" s="1"/>
  <c r="O56" i="96"/>
  <c r="P56" i="96" s="1"/>
  <c r="L48" i="96"/>
  <c r="M48" i="96" s="1"/>
  <c r="O48" i="96"/>
  <c r="P48" i="96" s="1"/>
  <c r="N48" i="96"/>
  <c r="N40" i="96"/>
  <c r="L40" i="96"/>
  <c r="M40" i="96" s="1"/>
  <c r="N32" i="96"/>
  <c r="L32" i="96"/>
  <c r="M32" i="96" s="1"/>
  <c r="O32" i="96"/>
  <c r="P32" i="96" s="1"/>
  <c r="L24" i="96"/>
  <c r="M24" i="96" s="1"/>
  <c r="N24" i="96"/>
  <c r="O24" i="96"/>
  <c r="P24" i="96" s="1"/>
  <c r="N16" i="96"/>
  <c r="L16" i="96"/>
  <c r="M16" i="96" s="1"/>
  <c r="O8" i="96"/>
  <c r="P8" i="96" s="1"/>
  <c r="N8" i="96"/>
  <c r="L8" i="96"/>
  <c r="M8" i="96" s="1"/>
  <c r="E2" i="17"/>
  <c r="C1" i="18" s="1"/>
  <c r="K2" i="9"/>
  <c r="N51" i="96" l="1"/>
  <c r="L51" i="96"/>
  <c r="M51" i="96" s="1"/>
  <c r="O51" i="96"/>
  <c r="P51" i="96" s="1"/>
  <c r="O15" i="96"/>
  <c r="P15" i="96" s="1"/>
  <c r="N15" i="96"/>
  <c r="L15" i="96"/>
  <c r="M15" i="96" s="1"/>
  <c r="O40" i="96"/>
  <c r="P40" i="96" s="1"/>
  <c r="N39" i="96"/>
  <c r="O39" i="96"/>
  <c r="P39" i="96" s="1"/>
  <c r="L39" i="96"/>
  <c r="M39" i="96" s="1"/>
  <c r="N87" i="96"/>
  <c r="L87" i="96"/>
  <c r="M87" i="96" s="1"/>
  <c r="N99" i="96"/>
  <c r="L99" i="96"/>
  <c r="M99" i="96" s="1"/>
  <c r="O99" i="96"/>
  <c r="P99" i="96" s="1"/>
  <c r="O52" i="96"/>
  <c r="P52" i="96" s="1"/>
  <c r="L4" i="96"/>
  <c r="M4" i="96" s="1"/>
  <c r="N4" i="96"/>
  <c r="O4" i="96"/>
  <c r="P4" i="96" s="1"/>
  <c r="N27" i="96"/>
  <c r="L27" i="96"/>
  <c r="M27" i="96" s="1"/>
  <c r="O27" i="96"/>
  <c r="P27" i="96" s="1"/>
  <c r="I122" i="72"/>
  <c r="I121" i="72"/>
  <c r="H124" i="72"/>
  <c r="C111" i="72" l="1"/>
  <c r="C112" i="72"/>
  <c r="C113" i="72"/>
  <c r="C114" i="72"/>
  <c r="C115" i="72"/>
  <c r="C116" i="72"/>
  <c r="C117" i="72"/>
  <c r="C118" i="72"/>
  <c r="C119" i="72"/>
  <c r="C120" i="72"/>
  <c r="C121" i="72"/>
  <c r="C122" i="72"/>
  <c r="C5" i="72"/>
  <c r="E85" i="72"/>
  <c r="E54" i="72"/>
  <c r="E29" i="72"/>
  <c r="E37" i="72"/>
  <c r="E19" i="72"/>
  <c r="E16" i="72"/>
  <c r="E89" i="72"/>
  <c r="E97" i="72"/>
  <c r="E66" i="72"/>
  <c r="E49" i="72"/>
  <c r="E42" i="72"/>
  <c r="E5" i="72"/>
  <c r="K5" i="72" s="1"/>
  <c r="E102" i="72"/>
  <c r="E98" i="72"/>
  <c r="E65" i="72"/>
  <c r="E73" i="72"/>
  <c r="E53" i="72"/>
  <c r="E61" i="72"/>
  <c r="E40" i="72"/>
  <c r="E38" i="72"/>
  <c r="E28" i="72"/>
  <c r="E18" i="72"/>
  <c r="E25" i="72"/>
  <c r="E26" i="72"/>
  <c r="E8" i="72"/>
  <c r="K8" i="72" s="1"/>
  <c r="E15" i="72"/>
  <c r="E6" i="72"/>
  <c r="K6" i="72" s="1"/>
  <c r="E7" i="72"/>
  <c r="K7" i="72" s="1"/>
  <c r="E14" i="72"/>
  <c r="K14" i="72" s="1"/>
  <c r="E4" i="72"/>
  <c r="K4" i="72" s="1"/>
  <c r="E13" i="72"/>
  <c r="K13" i="72" s="1"/>
  <c r="E17" i="72"/>
  <c r="E30" i="72"/>
  <c r="E41" i="72"/>
  <c r="E50" i="72"/>
  <c r="E51" i="72"/>
  <c r="E52" i="72"/>
  <c r="E62" i="72"/>
  <c r="E77" i="72"/>
  <c r="E78" i="72"/>
  <c r="E100" i="72"/>
  <c r="E101" i="72"/>
  <c r="E103" i="72"/>
  <c r="E109" i="72"/>
  <c r="E99" i="72"/>
  <c r="E87" i="72"/>
  <c r="E39" i="72"/>
  <c r="E27" i="72"/>
  <c r="E3" i="72"/>
  <c r="K3" i="72" s="1"/>
  <c r="R21" i="73"/>
  <c r="J21" i="73"/>
  <c r="H37" i="72"/>
  <c r="C105" i="72"/>
  <c r="C82" i="72"/>
  <c r="C64" i="72"/>
  <c r="C58" i="72"/>
  <c r="C45" i="72"/>
  <c r="C30" i="72"/>
  <c r="C23" i="72"/>
  <c r="E110" i="72" l="1"/>
  <c r="E104" i="72"/>
  <c r="C83" i="72"/>
  <c r="C80" i="72"/>
  <c r="E90" i="72"/>
  <c r="C35" i="72"/>
  <c r="E22" i="72"/>
  <c r="C32" i="72"/>
  <c r="E67" i="72"/>
  <c r="E88" i="72"/>
  <c r="C24" i="72"/>
  <c r="C72" i="72"/>
  <c r="C16" i="72"/>
  <c r="C104" i="72"/>
  <c r="C67" i="72"/>
  <c r="C11" i="72"/>
  <c r="C8" i="72"/>
  <c r="C48" i="72"/>
  <c r="C40" i="72"/>
  <c r="C59" i="72"/>
  <c r="C43" i="72"/>
  <c r="C19" i="72"/>
  <c r="C106" i="72"/>
  <c r="C98" i="72"/>
  <c r="C90" i="72"/>
  <c r="C74" i="72"/>
  <c r="C66" i="72"/>
  <c r="C50" i="72"/>
  <c r="C42" i="72"/>
  <c r="C34" i="72"/>
  <c r="C26" i="72"/>
  <c r="C18" i="72"/>
  <c r="C10" i="72"/>
  <c r="C107" i="72"/>
  <c r="C91" i="72"/>
  <c r="C97" i="72"/>
  <c r="C89" i="72"/>
  <c r="C81" i="72"/>
  <c r="C73" i="72"/>
  <c r="C65" i="72"/>
  <c r="C57" i="72"/>
  <c r="C49" i="72"/>
  <c r="C41" i="72"/>
  <c r="C33" i="72"/>
  <c r="C25" i="72"/>
  <c r="C17" i="72"/>
  <c r="C9" i="72"/>
  <c r="C96" i="72"/>
  <c r="C56" i="72"/>
  <c r="C103" i="72"/>
  <c r="C95" i="72"/>
  <c r="C79" i="72"/>
  <c r="C71" i="72"/>
  <c r="C55" i="72"/>
  <c r="C47" i="72"/>
  <c r="C31" i="72"/>
  <c r="C7" i="72"/>
  <c r="C110" i="72"/>
  <c r="C102" i="72"/>
  <c r="C94" i="72"/>
  <c r="C86" i="72"/>
  <c r="C78" i="72"/>
  <c r="C70" i="72"/>
  <c r="C62" i="72"/>
  <c r="C54" i="72"/>
  <c r="C46" i="72"/>
  <c r="C38" i="72"/>
  <c r="C22" i="72"/>
  <c r="C14" i="72"/>
  <c r="C6" i="72"/>
  <c r="C88" i="72"/>
  <c r="C109" i="72"/>
  <c r="C101" i="72"/>
  <c r="C93" i="72"/>
  <c r="C85" i="72"/>
  <c r="C77" i="72"/>
  <c r="C69" i="72"/>
  <c r="C61" i="72"/>
  <c r="C53" i="72"/>
  <c r="C37" i="72"/>
  <c r="C29" i="72"/>
  <c r="C21" i="72"/>
  <c r="C13" i="72"/>
  <c r="C108" i="72"/>
  <c r="C100" i="72"/>
  <c r="C92" i="72"/>
  <c r="C84" i="72"/>
  <c r="C76" i="72"/>
  <c r="C68" i="72"/>
  <c r="C60" i="72"/>
  <c r="C52" i="72"/>
  <c r="C44" i="72"/>
  <c r="C36" i="72"/>
  <c r="C28" i="72"/>
  <c r="C20" i="72"/>
  <c r="C12" i="72"/>
  <c r="C4" i="72"/>
  <c r="E105" i="72"/>
  <c r="E107" i="72"/>
  <c r="E106" i="72"/>
  <c r="E93" i="72"/>
  <c r="E81" i="72"/>
  <c r="E80" i="72"/>
  <c r="E79" i="72"/>
  <c r="E68" i="72"/>
  <c r="E57" i="72"/>
  <c r="E56" i="72"/>
  <c r="E55" i="72"/>
  <c r="E32" i="72"/>
  <c r="E31" i="72"/>
  <c r="E34" i="72"/>
  <c r="E108" i="72"/>
  <c r="E96" i="72"/>
  <c r="E94" i="72"/>
  <c r="E95" i="72"/>
  <c r="E92" i="72"/>
  <c r="E91" i="72"/>
  <c r="E84" i="72"/>
  <c r="E83" i="72"/>
  <c r="E82" i="72"/>
  <c r="E71" i="72"/>
  <c r="E70" i="72"/>
  <c r="E69" i="72"/>
  <c r="E72" i="72"/>
  <c r="E59" i="72"/>
  <c r="E60" i="72"/>
  <c r="E58" i="72"/>
  <c r="E45" i="72"/>
  <c r="E44" i="72"/>
  <c r="E43" i="72"/>
  <c r="E47" i="72"/>
  <c r="E48" i="72"/>
  <c r="E46" i="72"/>
  <c r="E36" i="72"/>
  <c r="E33" i="72"/>
  <c r="E35" i="72"/>
  <c r="E21" i="72"/>
  <c r="E20" i="72"/>
  <c r="E24" i="72"/>
  <c r="E23" i="72"/>
  <c r="E11" i="72"/>
  <c r="K11" i="72" s="1"/>
  <c r="E12" i="72"/>
  <c r="K12" i="72" s="1"/>
  <c r="E10" i="72"/>
  <c r="K10" i="72" s="1"/>
  <c r="E9" i="72"/>
  <c r="K9" i="72" s="1"/>
  <c r="K152" i="72" l="1"/>
  <c r="M152" i="96" s="1"/>
  <c r="N152" i="96" s="1"/>
  <c r="C3" i="72"/>
  <c r="C15" i="72"/>
  <c r="C51" i="72"/>
  <c r="C63" i="72"/>
  <c r="C75" i="72"/>
  <c r="C87" i="72"/>
  <c r="C99" i="72"/>
  <c r="C27" i="72"/>
  <c r="C39" i="72"/>
  <c r="J28" i="11"/>
  <c r="K255" i="107" s="1"/>
  <c r="I28" i="11"/>
  <c r="J255" i="107" s="1"/>
  <c r="H28" i="11"/>
  <c r="I255" i="107" s="1"/>
  <c r="G28" i="11"/>
  <c r="H255" i="107" s="1"/>
  <c r="F28" i="11"/>
  <c r="G255" i="107" s="1"/>
  <c r="E28" i="11"/>
  <c r="F255" i="107" s="1"/>
  <c r="D28" i="11"/>
  <c r="E255" i="107" s="1"/>
  <c r="C28" i="11"/>
  <c r="D255" i="107" s="1"/>
  <c r="C3" i="9" l="1"/>
  <c r="K3" i="9"/>
  <c r="B28" i="11" s="1"/>
  <c r="C255" i="107" l="1"/>
  <c r="E23" i="107" a="1"/>
  <c r="E23" i="107" s="1"/>
  <c r="J111" i="96"/>
  <c r="K111" i="96" s="1"/>
  <c r="J119" i="96"/>
  <c r="K119" i="96" s="1"/>
  <c r="J116" i="96"/>
  <c r="K116" i="96" s="1"/>
  <c r="J115" i="96"/>
  <c r="K115" i="96" s="1"/>
  <c r="J114" i="96"/>
  <c r="K114" i="96" s="1"/>
  <c r="J117" i="96"/>
  <c r="K117" i="96" s="1"/>
  <c r="J121" i="96"/>
  <c r="K121" i="96" s="1"/>
  <c r="J118" i="96"/>
  <c r="K118" i="96" s="1"/>
  <c r="J120" i="96"/>
  <c r="K120" i="96" s="1"/>
  <c r="J113" i="96"/>
  <c r="K113" i="96" s="1"/>
  <c r="J112" i="96"/>
  <c r="K112" i="96" s="1"/>
  <c r="J122" i="96"/>
  <c r="K122" i="96" s="1"/>
  <c r="N121" i="96" l="1"/>
  <c r="L121" i="96"/>
  <c r="M121" i="96" s="1"/>
  <c r="O121" i="96"/>
  <c r="P121" i="96" s="1"/>
  <c r="O117" i="96"/>
  <c r="P117" i="96" s="1"/>
  <c r="N117" i="96"/>
  <c r="L117" i="96"/>
  <c r="M117" i="96" s="1"/>
  <c r="N122" i="96"/>
  <c r="L122" i="96"/>
  <c r="M122" i="96" s="1"/>
  <c r="O122" i="96"/>
  <c r="P122" i="96" s="1"/>
  <c r="N112" i="96"/>
  <c r="L112" i="96"/>
  <c r="M112" i="96" s="1"/>
  <c r="O112" i="96"/>
  <c r="P112" i="96" s="1"/>
  <c r="O116" i="96"/>
  <c r="P116" i="96" s="1"/>
  <c r="N116" i="96"/>
  <c r="L116" i="96"/>
  <c r="M116" i="96" s="1"/>
  <c r="O119" i="96"/>
  <c r="P119" i="96" s="1"/>
  <c r="N119" i="96"/>
  <c r="L119" i="96"/>
  <c r="M119" i="96" s="1"/>
  <c r="O118" i="96"/>
  <c r="P118" i="96" s="1"/>
  <c r="N118" i="96"/>
  <c r="L118" i="96"/>
  <c r="M118" i="96" s="1"/>
  <c r="N114" i="96"/>
  <c r="L114" i="96"/>
  <c r="M114" i="96" s="1"/>
  <c r="O114" i="96"/>
  <c r="P114" i="96" s="1"/>
  <c r="N115" i="96"/>
  <c r="L115" i="96"/>
  <c r="M115" i="96" s="1"/>
  <c r="O115" i="96"/>
  <c r="P115" i="96" s="1"/>
  <c r="N113" i="96"/>
  <c r="L113" i="96"/>
  <c r="M113" i="96" s="1"/>
  <c r="O113" i="96"/>
  <c r="P113" i="96" s="1"/>
  <c r="N120" i="96"/>
  <c r="L120" i="96"/>
  <c r="M120" i="96" s="1"/>
  <c r="O120" i="96"/>
  <c r="P120" i="96" s="1"/>
  <c r="O111" i="96"/>
  <c r="P111" i="96" s="1"/>
  <c r="N111" i="96"/>
  <c r="L111" i="96"/>
  <c r="M111" i="96" s="1"/>
  <c r="J161" i="96"/>
  <c r="G16" i="72" l="1"/>
  <c r="K16" i="72" s="1"/>
  <c r="G17" i="72"/>
  <c r="K17" i="72" s="1"/>
  <c r="G18" i="72"/>
  <c r="K18" i="72" s="1"/>
  <c r="G19" i="72"/>
  <c r="K19" i="72" s="1"/>
  <c r="G20" i="72"/>
  <c r="K20" i="72" s="1"/>
  <c r="G21" i="72"/>
  <c r="K21" i="72" s="1"/>
  <c r="G22" i="72"/>
  <c r="K22" i="72" s="1"/>
  <c r="G23" i="72"/>
  <c r="K23" i="72" s="1"/>
  <c r="G24" i="72"/>
  <c r="K24" i="72" s="1"/>
  <c r="G25" i="72"/>
  <c r="K25" i="72" s="1"/>
  <c r="G26" i="72"/>
  <c r="K26" i="72" s="1"/>
  <c r="G15" i="72"/>
  <c r="K15" i="72" s="1"/>
  <c r="G34" i="72" l="1"/>
  <c r="K34" i="72" s="1"/>
  <c r="G33" i="72"/>
  <c r="K33" i="72" s="1"/>
  <c r="G32" i="72"/>
  <c r="K32" i="72" s="1"/>
  <c r="G31" i="72"/>
  <c r="K31" i="72" s="1"/>
  <c r="G30" i="72"/>
  <c r="K30" i="72" s="1"/>
  <c r="G29" i="72"/>
  <c r="K29" i="72" s="1"/>
  <c r="G38" i="72"/>
  <c r="K38" i="72" s="1"/>
  <c r="G36" i="72"/>
  <c r="K36" i="72" s="1"/>
  <c r="G27" i="72"/>
  <c r="K27" i="72" s="1"/>
  <c r="G37" i="72"/>
  <c r="K37" i="72" s="1"/>
  <c r="G28" i="72"/>
  <c r="K28" i="72" s="1"/>
  <c r="G35" i="72"/>
  <c r="K35" i="72" s="1"/>
  <c r="I146" i="72"/>
  <c r="I145" i="72"/>
  <c r="I144" i="72"/>
  <c r="I143" i="72"/>
  <c r="I142" i="72"/>
  <c r="I141" i="72"/>
  <c r="I140" i="72"/>
  <c r="I139" i="72"/>
  <c r="I138" i="72"/>
  <c r="I137" i="72"/>
  <c r="I136" i="72"/>
  <c r="I135" i="72"/>
  <c r="I124" i="72"/>
  <c r="I125" i="72"/>
  <c r="I126" i="72"/>
  <c r="I127" i="72"/>
  <c r="I128" i="72"/>
  <c r="I129" i="72"/>
  <c r="I130" i="72"/>
  <c r="I131" i="72"/>
  <c r="I132" i="72"/>
  <c r="I133" i="72"/>
  <c r="I134" i="72"/>
  <c r="H137" i="72"/>
  <c r="H126" i="72"/>
  <c r="H127" i="72"/>
  <c r="H140" i="72"/>
  <c r="H129" i="72"/>
  <c r="H130" i="72"/>
  <c r="H131" i="72"/>
  <c r="H135" i="72"/>
  <c r="G45" i="72" l="1"/>
  <c r="K45" i="72" s="1"/>
  <c r="G41" i="72"/>
  <c r="K41" i="72" s="1"/>
  <c r="G42" i="72"/>
  <c r="K42" i="72" s="1"/>
  <c r="G39" i="72"/>
  <c r="K39" i="72" s="1"/>
  <c r="G49" i="72"/>
  <c r="K49" i="72" s="1"/>
  <c r="G43" i="72"/>
  <c r="K43" i="72" s="1"/>
  <c r="G44" i="72"/>
  <c r="K44" i="72" s="1"/>
  <c r="G48" i="72"/>
  <c r="K48" i="72" s="1"/>
  <c r="G40" i="72"/>
  <c r="K40" i="72" s="1"/>
  <c r="G50" i="72"/>
  <c r="K50" i="72" s="1"/>
  <c r="G46" i="72"/>
  <c r="K46" i="72" s="1"/>
  <c r="G47" i="72"/>
  <c r="K47" i="72" s="1"/>
  <c r="H146" i="72"/>
  <c r="H133" i="72"/>
  <c r="H144" i="72"/>
  <c r="H141" i="72"/>
  <c r="H143" i="72"/>
  <c r="H128" i="72"/>
  <c r="H145" i="72"/>
  <c r="H142" i="72"/>
  <c r="H139" i="72"/>
  <c r="H138" i="72"/>
  <c r="H125" i="72"/>
  <c r="H132" i="72"/>
  <c r="H136" i="72"/>
  <c r="H134" i="72"/>
  <c r="G57" i="72" l="1"/>
  <c r="K57" i="72" s="1"/>
  <c r="G52" i="72"/>
  <c r="K52" i="72" s="1"/>
  <c r="G55" i="72"/>
  <c r="K55" i="72" s="1"/>
  <c r="G56" i="72"/>
  <c r="K56" i="72" s="1"/>
  <c r="G54" i="72"/>
  <c r="K54" i="72" s="1"/>
  <c r="G62" i="72"/>
  <c r="K62" i="72" s="1"/>
  <c r="G60" i="72"/>
  <c r="K60" i="72" s="1"/>
  <c r="G61" i="72"/>
  <c r="K61" i="72" s="1"/>
  <c r="G58" i="72"/>
  <c r="K58" i="72" s="1"/>
  <c r="G51" i="72"/>
  <c r="K51" i="72" s="1"/>
  <c r="G53" i="72"/>
  <c r="K53" i="72" s="1"/>
  <c r="G67" i="72"/>
  <c r="K67" i="72" s="1"/>
  <c r="G69" i="72"/>
  <c r="K69" i="72" s="1"/>
  <c r="G64" i="72"/>
  <c r="G59" i="72"/>
  <c r="K59" i="72" s="1"/>
  <c r="G68" i="72" l="1"/>
  <c r="K68" i="72" s="1"/>
  <c r="G66" i="72"/>
  <c r="K66" i="72" s="1"/>
  <c r="G63" i="72"/>
  <c r="G72" i="72"/>
  <c r="K72" i="72" s="1"/>
  <c r="G70" i="72"/>
  <c r="K70" i="72" s="1"/>
  <c r="G73" i="72"/>
  <c r="K73" i="72" s="1"/>
  <c r="G65" i="72"/>
  <c r="K65" i="72" s="1"/>
  <c r="G74" i="72"/>
  <c r="G76" i="72"/>
  <c r="G78" i="72"/>
  <c r="K78" i="72" s="1"/>
  <c r="G81" i="72"/>
  <c r="K81" i="72" s="1"/>
  <c r="G71" i="72"/>
  <c r="K71" i="72" s="1"/>
  <c r="G79" i="72"/>
  <c r="K79" i="72" s="1"/>
  <c r="G80" i="72" l="1"/>
  <c r="K80" i="72" s="1"/>
  <c r="G86" i="72"/>
  <c r="G85" i="72"/>
  <c r="K85" i="72" s="1"/>
  <c r="G84" i="72"/>
  <c r="K84" i="72" s="1"/>
  <c r="G82" i="72"/>
  <c r="K82" i="72" s="1"/>
  <c r="G77" i="72"/>
  <c r="K77" i="72" s="1"/>
  <c r="G75" i="72"/>
  <c r="G83" i="72"/>
  <c r="K83" i="72" s="1"/>
  <c r="G93" i="72"/>
  <c r="K93" i="72" s="1"/>
  <c r="G90" i="72"/>
  <c r="K90" i="72" s="1"/>
  <c r="G88" i="72"/>
  <c r="K88" i="72" s="1"/>
  <c r="G91" i="72"/>
  <c r="K91" i="72" s="1"/>
  <c r="G92" i="72" l="1"/>
  <c r="K92" i="72" s="1"/>
  <c r="G94" i="72"/>
  <c r="K94" i="72" s="1"/>
  <c r="G96" i="72"/>
  <c r="K96" i="72" s="1"/>
  <c r="G97" i="72"/>
  <c r="K97" i="72" s="1"/>
  <c r="G87" i="72"/>
  <c r="K87" i="72" s="1"/>
  <c r="G89" i="72"/>
  <c r="K89" i="72" s="1"/>
  <c r="G98" i="72"/>
  <c r="K98" i="72" s="1"/>
  <c r="G100" i="72"/>
  <c r="K100" i="72" s="1"/>
  <c r="G102" i="72"/>
  <c r="K102" i="72" s="1"/>
  <c r="G105" i="72"/>
  <c r="K105" i="72" s="1"/>
  <c r="G104" i="72"/>
  <c r="K104" i="72" s="1"/>
  <c r="G103" i="72"/>
  <c r="K103" i="72" s="1"/>
  <c r="G95" i="72"/>
  <c r="K95" i="72" s="1"/>
  <c r="G99" i="72" l="1"/>
  <c r="K99" i="72" s="1"/>
  <c r="G110" i="72"/>
  <c r="K110" i="72" s="1"/>
  <c r="G101" i="72"/>
  <c r="K101" i="72" s="1"/>
  <c r="G109" i="72"/>
  <c r="K109" i="72" s="1"/>
  <c r="G108" i="72"/>
  <c r="K108" i="72" s="1"/>
  <c r="G106" i="72"/>
  <c r="K106" i="72" s="1"/>
  <c r="G115" i="72"/>
  <c r="K115" i="72" s="1"/>
  <c r="G116" i="72"/>
  <c r="K116" i="72" s="1"/>
  <c r="G117" i="72"/>
  <c r="K117" i="72" s="1"/>
  <c r="G114" i="72"/>
  <c r="K114" i="72" s="1"/>
  <c r="G107" i="72"/>
  <c r="K107" i="72" s="1"/>
  <c r="G112" i="72"/>
  <c r="K112" i="72" s="1"/>
  <c r="G113" i="72" l="1"/>
  <c r="K113" i="72" s="1"/>
  <c r="G118" i="72"/>
  <c r="K118" i="72" s="1"/>
  <c r="G121" i="72"/>
  <c r="K121" i="72" s="1"/>
  <c r="G120" i="72"/>
  <c r="K120" i="72" s="1"/>
  <c r="G122" i="72"/>
  <c r="K122" i="72" s="1"/>
  <c r="G111" i="72"/>
  <c r="K111" i="72" s="1"/>
  <c r="G119" i="72"/>
  <c r="K119" i="72" s="1"/>
  <c r="G126" i="72"/>
  <c r="G129" i="72"/>
  <c r="G128" i="72"/>
  <c r="G124" i="72"/>
  <c r="G127" i="72"/>
  <c r="K161" i="72" l="1"/>
  <c r="C12" i="9" s="1"/>
  <c r="G125" i="72"/>
  <c r="G134" i="72"/>
  <c r="G123" i="72"/>
  <c r="G132" i="72"/>
  <c r="G133" i="72"/>
  <c r="G130" i="72"/>
  <c r="G136" i="72"/>
  <c r="G137" i="72"/>
  <c r="G140" i="72"/>
  <c r="G141" i="72"/>
  <c r="G138" i="72"/>
  <c r="G139" i="72"/>
  <c r="G131" i="72"/>
  <c r="L3" i="9"/>
  <c r="M161" i="96" l="1"/>
  <c r="N161" i="96" s="1"/>
  <c r="O161" i="96" s="1"/>
  <c r="G144" i="72"/>
  <c r="G142" i="72"/>
  <c r="G145" i="72"/>
  <c r="G135" i="72"/>
  <c r="G146" i="72"/>
  <c r="G143" i="72"/>
  <c r="Q337" i="107" l="1"/>
  <c r="Q340" i="107"/>
  <c r="P352" i="107" s="1"/>
  <c r="Q336" i="107"/>
  <c r="E3" i="17"/>
  <c r="A26" i="11"/>
  <c r="P348" i="107" l="1"/>
  <c r="P349" i="107"/>
  <c r="K22" i="9"/>
  <c r="I27" i="11"/>
  <c r="J254" i="107" s="1"/>
  <c r="N315" i="107" s="1"/>
  <c r="J27" i="11"/>
  <c r="K254" i="107" s="1"/>
  <c r="N327" i="107" s="1"/>
  <c r="H27" i="11"/>
  <c r="I254" i="107" s="1"/>
  <c r="N303" i="107" s="1"/>
  <c r="G27" i="11"/>
  <c r="H254" i="107" s="1"/>
  <c r="E27" i="11"/>
  <c r="F254" i="107" s="1"/>
  <c r="D27" i="11"/>
  <c r="E254" i="107" s="1"/>
  <c r="C27" i="11"/>
  <c r="D254" i="107" s="1"/>
  <c r="A25" i="17"/>
  <c r="A24" i="17"/>
  <c r="A23" i="17"/>
  <c r="A22" i="17"/>
  <c r="A21" i="17"/>
  <c r="A20" i="17"/>
  <c r="A19" i="17"/>
  <c r="A18" i="17"/>
  <c r="H2" i="17"/>
  <c r="E1" i="18" s="1"/>
  <c r="G2" i="17"/>
  <c r="F2" i="17"/>
  <c r="D2" i="17"/>
  <c r="B1" i="18" s="1"/>
  <c r="B212" i="107" s="1" a="1"/>
  <c r="C2" i="17"/>
  <c r="B2" i="17"/>
  <c r="A29" i="9"/>
  <c r="A34" i="9" s="1"/>
  <c r="A39" i="9" s="1"/>
  <c r="A44" i="9" s="1"/>
  <c r="A28" i="9"/>
  <c r="A33" i="9" s="1"/>
  <c r="A38" i="9" s="1"/>
  <c r="A43" i="9" s="1"/>
  <c r="J23" i="11"/>
  <c r="K250" i="107" s="1"/>
  <c r="J19" i="11"/>
  <c r="K246" i="107" s="1"/>
  <c r="I42" i="11"/>
  <c r="J269" i="107" s="1"/>
  <c r="I37" i="11"/>
  <c r="J264" i="107" s="1"/>
  <c r="I23" i="11"/>
  <c r="J250" i="107" s="1"/>
  <c r="I19" i="11"/>
  <c r="J246" i="107" s="1"/>
  <c r="H42" i="11"/>
  <c r="I269" i="107" s="1"/>
  <c r="H37" i="11"/>
  <c r="I264" i="107" s="1"/>
  <c r="H23" i="11"/>
  <c r="I250" i="107" s="1"/>
  <c r="H19" i="11"/>
  <c r="I246" i="107" s="1"/>
  <c r="H15" i="11"/>
  <c r="I242" i="107" s="1"/>
  <c r="G42" i="11"/>
  <c r="H269" i="107" s="1"/>
  <c r="G37" i="11"/>
  <c r="H264" i="107" s="1"/>
  <c r="G23" i="11"/>
  <c r="H250" i="107" s="1"/>
  <c r="G19" i="11"/>
  <c r="H246" i="107" s="1"/>
  <c r="G15" i="11"/>
  <c r="H242" i="107" s="1"/>
  <c r="F42" i="11"/>
  <c r="G269" i="107" s="1"/>
  <c r="F37" i="11"/>
  <c r="G264" i="107" s="1"/>
  <c r="F23" i="11"/>
  <c r="G250" i="107" s="1"/>
  <c r="F19" i="11"/>
  <c r="G246" i="107" s="1"/>
  <c r="F15" i="11"/>
  <c r="G242" i="107" s="1"/>
  <c r="E42" i="11"/>
  <c r="F269" i="107" s="1"/>
  <c r="E37" i="11"/>
  <c r="F264" i="107" s="1"/>
  <c r="E23" i="11"/>
  <c r="F250" i="107" s="1"/>
  <c r="E19" i="11"/>
  <c r="F246" i="107" s="1"/>
  <c r="E15" i="11"/>
  <c r="F242" i="107" s="1"/>
  <c r="D42" i="11"/>
  <c r="E269" i="107" s="1"/>
  <c r="D37" i="11"/>
  <c r="E264" i="107" s="1"/>
  <c r="D23" i="11"/>
  <c r="E250" i="107" s="1"/>
  <c r="D19" i="11"/>
  <c r="E246" i="107" s="1"/>
  <c r="C42" i="11"/>
  <c r="D269" i="107" s="1"/>
  <c r="C37" i="11"/>
  <c r="D264" i="107" s="1"/>
  <c r="C23" i="11"/>
  <c r="D250" i="107" s="1"/>
  <c r="C19" i="11"/>
  <c r="D246" i="107" s="1"/>
  <c r="C15" i="11"/>
  <c r="D242" i="107" s="1"/>
  <c r="N3" i="9"/>
  <c r="B42" i="11" s="1"/>
  <c r="M3" i="9"/>
  <c r="B37" i="11" s="1"/>
  <c r="J3" i="9"/>
  <c r="B19" i="11"/>
  <c r="N2" i="9"/>
  <c r="M2" i="9"/>
  <c r="A35" i="11" s="1"/>
  <c r="A262" i="107" s="1"/>
  <c r="L2" i="9"/>
  <c r="A31" i="11" s="1"/>
  <c r="A258" i="107" s="1"/>
  <c r="J2" i="9"/>
  <c r="A21" i="11" s="1"/>
  <c r="A248" i="107" s="1"/>
  <c r="I2" i="9"/>
  <c r="A17" i="11" s="1"/>
  <c r="A244" i="107" s="1"/>
  <c r="H2" i="9"/>
  <c r="A13" i="11" s="1"/>
  <c r="A240" i="107" s="1"/>
  <c r="B122" i="72"/>
  <c r="B121" i="72"/>
  <c r="B120" i="72"/>
  <c r="B119" i="72"/>
  <c r="B118" i="72"/>
  <c r="B117" i="72"/>
  <c r="B116" i="72"/>
  <c r="B115" i="72"/>
  <c r="B114" i="72"/>
  <c r="B113" i="72"/>
  <c r="B112" i="72"/>
  <c r="B111" i="72"/>
  <c r="B110" i="72"/>
  <c r="D110" i="72" s="1"/>
  <c r="B109" i="72"/>
  <c r="D109" i="72" s="1"/>
  <c r="B108" i="72"/>
  <c r="D108" i="72" s="1"/>
  <c r="B107" i="72"/>
  <c r="D107" i="72" s="1"/>
  <c r="B106" i="72"/>
  <c r="D106" i="72" s="1"/>
  <c r="B105" i="72"/>
  <c r="D105" i="72" s="1"/>
  <c r="B104" i="72"/>
  <c r="D104" i="72" s="1"/>
  <c r="B103" i="72"/>
  <c r="D103" i="72" s="1"/>
  <c r="B102" i="72"/>
  <c r="D102" i="72" s="1"/>
  <c r="B101" i="72"/>
  <c r="D101" i="72" s="1"/>
  <c r="B100" i="72"/>
  <c r="D100" i="72" s="1"/>
  <c r="B99" i="72"/>
  <c r="B98" i="72"/>
  <c r="D98" i="72" s="1"/>
  <c r="B97" i="72"/>
  <c r="D97" i="72" s="1"/>
  <c r="B96" i="72"/>
  <c r="D96" i="72" s="1"/>
  <c r="B95" i="72"/>
  <c r="D95" i="72" s="1"/>
  <c r="B94" i="72"/>
  <c r="D94" i="72" s="1"/>
  <c r="B93" i="72"/>
  <c r="D93" i="72" s="1"/>
  <c r="B92" i="72"/>
  <c r="D92" i="72" s="1"/>
  <c r="B91" i="72"/>
  <c r="D91" i="72" s="1"/>
  <c r="B90" i="72"/>
  <c r="D90" i="72" s="1"/>
  <c r="B89" i="72"/>
  <c r="D89" i="72" s="1"/>
  <c r="B88" i="72"/>
  <c r="D88" i="72" s="1"/>
  <c r="B87" i="72"/>
  <c r="B86" i="72"/>
  <c r="D86" i="72" s="1"/>
  <c r="B85" i="72"/>
  <c r="D85" i="72" s="1"/>
  <c r="B84" i="72"/>
  <c r="D84" i="72" s="1"/>
  <c r="B83" i="72"/>
  <c r="D83" i="72" s="1"/>
  <c r="B82" i="72"/>
  <c r="D82" i="72" s="1"/>
  <c r="B81" i="72"/>
  <c r="D81" i="72" s="1"/>
  <c r="B80" i="72"/>
  <c r="D80" i="72" s="1"/>
  <c r="B79" i="72"/>
  <c r="D79" i="72" s="1"/>
  <c r="B78" i="72"/>
  <c r="D78" i="72" s="1"/>
  <c r="B77" i="72"/>
  <c r="D77" i="72" s="1"/>
  <c r="B76" i="72"/>
  <c r="D76" i="72" s="1"/>
  <c r="B75" i="72"/>
  <c r="B74" i="72"/>
  <c r="D74" i="72" s="1"/>
  <c r="B73" i="72"/>
  <c r="D73" i="72" s="1"/>
  <c r="B72" i="72"/>
  <c r="D72" i="72" s="1"/>
  <c r="B71" i="72"/>
  <c r="D71" i="72" s="1"/>
  <c r="B70" i="72"/>
  <c r="D70" i="72" s="1"/>
  <c r="B69" i="72"/>
  <c r="D69" i="72" s="1"/>
  <c r="B68" i="72"/>
  <c r="D68" i="72" s="1"/>
  <c r="B67" i="72"/>
  <c r="D67" i="72" s="1"/>
  <c r="B66" i="72"/>
  <c r="D66" i="72" s="1"/>
  <c r="B65" i="72"/>
  <c r="D65" i="72" s="1"/>
  <c r="B64" i="72"/>
  <c r="D64" i="72" s="1"/>
  <c r="B63" i="72"/>
  <c r="B62" i="72"/>
  <c r="D62" i="72" s="1"/>
  <c r="B61" i="72"/>
  <c r="D61" i="72" s="1"/>
  <c r="B60" i="72"/>
  <c r="D60" i="72" s="1"/>
  <c r="B59" i="72"/>
  <c r="D59" i="72" s="1"/>
  <c r="B58" i="72"/>
  <c r="D58" i="72" s="1"/>
  <c r="B57" i="72"/>
  <c r="D57" i="72" s="1"/>
  <c r="B56" i="72"/>
  <c r="D56" i="72" s="1"/>
  <c r="B55" i="72"/>
  <c r="D55" i="72" s="1"/>
  <c r="B54" i="72"/>
  <c r="D54" i="72" s="1"/>
  <c r="B53" i="72"/>
  <c r="D53" i="72" s="1"/>
  <c r="B52" i="72"/>
  <c r="D52" i="72" s="1"/>
  <c r="B51" i="72"/>
  <c r="B50" i="72"/>
  <c r="D50" i="72" s="1"/>
  <c r="B49" i="72"/>
  <c r="D49" i="72" s="1"/>
  <c r="B48" i="72"/>
  <c r="D48" i="72" s="1"/>
  <c r="B47" i="72"/>
  <c r="D47" i="72" s="1"/>
  <c r="B46" i="72"/>
  <c r="D46" i="72" s="1"/>
  <c r="B45" i="72"/>
  <c r="D45" i="72" s="1"/>
  <c r="B44" i="72"/>
  <c r="D44" i="72" s="1"/>
  <c r="B43" i="72"/>
  <c r="D43" i="72" s="1"/>
  <c r="B42" i="72"/>
  <c r="D42" i="72" s="1"/>
  <c r="B41" i="72"/>
  <c r="D41" i="72" s="1"/>
  <c r="B40" i="72"/>
  <c r="D40" i="72" s="1"/>
  <c r="B39" i="72"/>
  <c r="B38" i="72"/>
  <c r="D38" i="72" s="1"/>
  <c r="B37" i="72"/>
  <c r="D37" i="72" s="1"/>
  <c r="B36" i="72"/>
  <c r="D36" i="72" s="1"/>
  <c r="B35" i="72"/>
  <c r="D35" i="72" s="1"/>
  <c r="B34" i="72"/>
  <c r="D34" i="72" s="1"/>
  <c r="B33" i="72"/>
  <c r="D33" i="72" s="1"/>
  <c r="B32" i="72"/>
  <c r="D32" i="72" s="1"/>
  <c r="B31" i="72"/>
  <c r="D31" i="72" s="1"/>
  <c r="B30" i="72"/>
  <c r="D30" i="72" s="1"/>
  <c r="B29" i="72"/>
  <c r="D29" i="72" s="1"/>
  <c r="B28" i="72"/>
  <c r="D28" i="72" s="1"/>
  <c r="B27" i="72"/>
  <c r="B26" i="72"/>
  <c r="D26" i="72" s="1"/>
  <c r="B25" i="72"/>
  <c r="D25" i="72" s="1"/>
  <c r="B24" i="72"/>
  <c r="D24" i="72" s="1"/>
  <c r="B23" i="72"/>
  <c r="D23" i="72" s="1"/>
  <c r="B22" i="72"/>
  <c r="D22" i="72" s="1"/>
  <c r="B21" i="72"/>
  <c r="D21" i="72" s="1"/>
  <c r="B20" i="72"/>
  <c r="D20" i="72" s="1"/>
  <c r="B19" i="72"/>
  <c r="D19" i="72" s="1"/>
  <c r="B18" i="72"/>
  <c r="D18" i="72" s="1"/>
  <c r="B17" i="72"/>
  <c r="D17" i="72" s="1"/>
  <c r="B16" i="72"/>
  <c r="D16" i="72" s="1"/>
  <c r="B15" i="72"/>
  <c r="B14" i="72"/>
  <c r="D14" i="72" s="1"/>
  <c r="B13" i="72"/>
  <c r="D13" i="72" s="1"/>
  <c r="B12" i="72"/>
  <c r="D12" i="72" s="1"/>
  <c r="B11" i="72"/>
  <c r="D11" i="72" s="1"/>
  <c r="B10" i="72"/>
  <c r="D10" i="72" s="1"/>
  <c r="B9" i="72"/>
  <c r="D9" i="72" s="1"/>
  <c r="B8" i="72"/>
  <c r="D8" i="72" s="1"/>
  <c r="B7" i="72"/>
  <c r="D7" i="72" s="1"/>
  <c r="B6" i="72"/>
  <c r="D6" i="72" s="1"/>
  <c r="B5" i="72"/>
  <c r="D5" i="72" s="1"/>
  <c r="B4" i="72"/>
  <c r="D4" i="72" s="1"/>
  <c r="B3" i="72"/>
  <c r="H61" i="11"/>
  <c r="H60" i="11"/>
  <c r="H59" i="11"/>
  <c r="H58" i="11"/>
  <c r="H57" i="11"/>
  <c r="M56" i="11"/>
  <c r="M60" i="11" s="1"/>
  <c r="L56" i="11"/>
  <c r="L60" i="11" s="1"/>
  <c r="I56" i="11"/>
  <c r="I60" i="11" s="1"/>
  <c r="H56" i="11"/>
  <c r="M55" i="11"/>
  <c r="M59" i="11" s="1"/>
  <c r="L55" i="11"/>
  <c r="L59" i="11" s="1"/>
  <c r="I55" i="11"/>
  <c r="I59" i="11" s="1"/>
  <c r="M54" i="11"/>
  <c r="M58" i="11" s="1"/>
  <c r="L54" i="11"/>
  <c r="L58" i="11" s="1"/>
  <c r="I54" i="11"/>
  <c r="I58" i="11" s="1"/>
  <c r="U21" i="73"/>
  <c r="H21" i="73"/>
  <c r="F21" i="73"/>
  <c r="H3" i="17"/>
  <c r="G3" i="17"/>
  <c r="F3" i="17"/>
  <c r="D3" i="17"/>
  <c r="B212" i="107" l="1"/>
  <c r="B227" i="107" a="1"/>
  <c r="B227" i="107" s="1"/>
  <c r="O303" i="107"/>
  <c r="M315" i="107"/>
  <c r="O315" i="107" s="1"/>
  <c r="M339" i="107"/>
  <c r="M327" i="107"/>
  <c r="O327" i="107" s="1"/>
  <c r="C23" i="107" a="1"/>
  <c r="C23" i="107" s="1"/>
  <c r="C246" i="107"/>
  <c r="C264" i="107"/>
  <c r="C269" i="107"/>
  <c r="B152" i="72"/>
  <c r="H67" i="11"/>
  <c r="D112" i="72"/>
  <c r="L112" i="72"/>
  <c r="D120" i="72"/>
  <c r="L120" i="72"/>
  <c r="D113" i="72"/>
  <c r="L113" i="72"/>
  <c r="D121" i="72"/>
  <c r="L121" i="72"/>
  <c r="D114" i="72"/>
  <c r="L114" i="72"/>
  <c r="D117" i="72"/>
  <c r="L117" i="72"/>
  <c r="D122" i="72"/>
  <c r="L122" i="72"/>
  <c r="D116" i="72"/>
  <c r="L116" i="72"/>
  <c r="D118" i="72"/>
  <c r="L118" i="72"/>
  <c r="G3" i="9"/>
  <c r="B23" i="11"/>
  <c r="D115" i="72"/>
  <c r="L115" i="72"/>
  <c r="B161" i="72"/>
  <c r="L111" i="72"/>
  <c r="D119" i="72"/>
  <c r="L119" i="72"/>
  <c r="D111" i="72"/>
  <c r="K23" i="9"/>
  <c r="B153" i="72"/>
  <c r="B157" i="72"/>
  <c r="B155" i="72"/>
  <c r="B159" i="72"/>
  <c r="I22" i="9"/>
  <c r="L22" i="9"/>
  <c r="M22" i="9"/>
  <c r="B15" i="11"/>
  <c r="N22" i="9"/>
  <c r="B154" i="72"/>
  <c r="B156" i="72"/>
  <c r="B158" i="72"/>
  <c r="B160" i="72"/>
  <c r="J22" i="9"/>
  <c r="H18" i="17"/>
  <c r="D41" i="11"/>
  <c r="E268" i="107" s="1"/>
  <c r="G18" i="17"/>
  <c r="D36" i="11"/>
  <c r="E263" i="107" s="1"/>
  <c r="C22" i="11"/>
  <c r="D249" i="107" s="1"/>
  <c r="D18" i="17"/>
  <c r="D22" i="11"/>
  <c r="E249" i="107" s="1"/>
  <c r="D18" i="11"/>
  <c r="E245" i="107" s="1"/>
  <c r="D87" i="72"/>
  <c r="D159" i="72" s="1"/>
  <c r="B122" i="107" s="1"/>
  <c r="D15" i="72"/>
  <c r="D153" i="72" s="1"/>
  <c r="B116" i="107" s="1"/>
  <c r="D63" i="72"/>
  <c r="D157" i="72" s="1"/>
  <c r="B120" i="107" s="1"/>
  <c r="D39" i="72"/>
  <c r="D155" i="72" s="1"/>
  <c r="B118" i="107" s="1"/>
  <c r="D3" i="72"/>
  <c r="D27" i="72"/>
  <c r="D154" i="72" s="1"/>
  <c r="B117" i="107" s="1"/>
  <c r="D51" i="72"/>
  <c r="D156" i="72" s="1"/>
  <c r="B119" i="107" s="1"/>
  <c r="D75" i="72"/>
  <c r="D158" i="72" s="1"/>
  <c r="B121" i="107" s="1"/>
  <c r="D99" i="72"/>
  <c r="D160" i="72" s="1"/>
  <c r="F160" i="72" s="1"/>
  <c r="E18" i="17"/>
  <c r="B27" i="11"/>
  <c r="J32" i="11"/>
  <c r="K259" i="107" s="1"/>
  <c r="N328" i="107" s="1"/>
  <c r="J15" i="11"/>
  <c r="J37" i="11"/>
  <c r="K264" i="107" s="1"/>
  <c r="J42" i="11"/>
  <c r="K269" i="107" s="1"/>
  <c r="C3" i="17"/>
  <c r="B3" i="17"/>
  <c r="L3" i="72"/>
  <c r="L87" i="72"/>
  <c r="F27" i="11"/>
  <c r="G254" i="107" s="1"/>
  <c r="A23" i="18"/>
  <c r="A17" i="18"/>
  <c r="A16" i="18"/>
  <c r="C2" i="18"/>
  <c r="C16" i="18" s="1"/>
  <c r="C27" i="18" s="1"/>
  <c r="L58" i="72"/>
  <c r="A40" i="11"/>
  <c r="L70" i="72"/>
  <c r="K156" i="72"/>
  <c r="M156" i="96" s="1"/>
  <c r="N156" i="96" s="1"/>
  <c r="K154" i="72"/>
  <c r="M154" i="96" s="1"/>
  <c r="N154" i="96" s="1"/>
  <c r="L60" i="72"/>
  <c r="L72" i="72"/>
  <c r="L78" i="72"/>
  <c r="L68" i="72"/>
  <c r="C33" i="11"/>
  <c r="G33" i="11"/>
  <c r="B33" i="11"/>
  <c r="F33" i="11"/>
  <c r="J33" i="11"/>
  <c r="K260" i="107" s="1"/>
  <c r="E33" i="11"/>
  <c r="I33" i="11"/>
  <c r="J260" i="107" s="1"/>
  <c r="D33" i="11"/>
  <c r="E260" i="107" s="1"/>
  <c r="H33" i="11"/>
  <c r="E2" i="18"/>
  <c r="E16" i="18" s="1"/>
  <c r="E27" i="18" s="1"/>
  <c r="C18" i="11"/>
  <c r="D245" i="107" s="1"/>
  <c r="D2" i="18"/>
  <c r="D16" i="18" s="1"/>
  <c r="D27" i="18" s="1"/>
  <c r="A18" i="18"/>
  <c r="A20" i="18"/>
  <c r="A19" i="18"/>
  <c r="A21" i="18"/>
  <c r="A22" i="18"/>
  <c r="A24" i="18"/>
  <c r="B2" i="18"/>
  <c r="B16" i="18" s="1"/>
  <c r="L56" i="72"/>
  <c r="L62" i="72"/>
  <c r="L66" i="72"/>
  <c r="K155" i="72"/>
  <c r="M155" i="96" s="1"/>
  <c r="N155" i="96" s="1"/>
  <c r="L59" i="72"/>
  <c r="L67" i="72"/>
  <c r="L57" i="72"/>
  <c r="L61" i="72"/>
  <c r="L65" i="72"/>
  <c r="L69" i="72"/>
  <c r="L73" i="72"/>
  <c r="L77" i="72"/>
  <c r="L71" i="72"/>
  <c r="L6" i="72"/>
  <c r="L10" i="72"/>
  <c r="L14" i="72"/>
  <c r="L18" i="72"/>
  <c r="L22" i="72"/>
  <c r="L26" i="72"/>
  <c r="L30" i="72"/>
  <c r="L34" i="72"/>
  <c r="L38" i="72"/>
  <c r="L42" i="72"/>
  <c r="L46" i="72"/>
  <c r="L50" i="72"/>
  <c r="L54" i="72"/>
  <c r="L81" i="72"/>
  <c r="L85" i="72"/>
  <c r="L7" i="72"/>
  <c r="L19" i="72"/>
  <c r="L23" i="72"/>
  <c r="L31" i="72"/>
  <c r="L35" i="72"/>
  <c r="L39" i="72"/>
  <c r="L43" i="72"/>
  <c r="L47" i="72"/>
  <c r="L51" i="72"/>
  <c r="L55" i="72"/>
  <c r="L82" i="72"/>
  <c r="L4" i="72"/>
  <c r="L8" i="72"/>
  <c r="L16" i="72"/>
  <c r="L20" i="72"/>
  <c r="L24" i="72"/>
  <c r="L28" i="72"/>
  <c r="L32" i="72"/>
  <c r="L36" i="72"/>
  <c r="L40" i="72"/>
  <c r="L44" i="72"/>
  <c r="L48" i="72"/>
  <c r="L52" i="72"/>
  <c r="L79" i="72"/>
  <c r="L83" i="72"/>
  <c r="L5" i="72"/>
  <c r="L9" i="72"/>
  <c r="L17" i="72"/>
  <c r="L21" i="72"/>
  <c r="L25" i="72"/>
  <c r="L29" i="72"/>
  <c r="L33" i="72"/>
  <c r="L37" i="72"/>
  <c r="L41" i="72"/>
  <c r="L45" i="72"/>
  <c r="L49" i="72"/>
  <c r="L53" i="72"/>
  <c r="L80" i="72"/>
  <c r="L84" i="72"/>
  <c r="L27" i="72"/>
  <c r="G10" i="11"/>
  <c r="H10" i="11"/>
  <c r="I10" i="11"/>
  <c r="J10" i="11"/>
  <c r="I15" i="11"/>
  <c r="D15" i="11"/>
  <c r="E242" i="107" s="1"/>
  <c r="G22" i="11"/>
  <c r="H249" i="107" s="1"/>
  <c r="H36" i="11"/>
  <c r="I263" i="107" s="1"/>
  <c r="N305" i="107" s="1"/>
  <c r="F18" i="11"/>
  <c r="G245" i="107" s="1"/>
  <c r="G32" i="11"/>
  <c r="H259" i="107" s="1"/>
  <c r="H41" i="11"/>
  <c r="I268" i="107" s="1"/>
  <c r="N306" i="107" s="1"/>
  <c r="J18" i="11"/>
  <c r="K245" i="107" s="1"/>
  <c r="N325" i="107" s="1"/>
  <c r="E18" i="11"/>
  <c r="F245" i="107" s="1"/>
  <c r="G41" i="11"/>
  <c r="H268" i="107" s="1"/>
  <c r="I18" i="11"/>
  <c r="J245" i="107" s="1"/>
  <c r="N313" i="107" s="1"/>
  <c r="G36" i="11"/>
  <c r="H263" i="107" s="1"/>
  <c r="F32" i="11"/>
  <c r="G259" i="107" s="1"/>
  <c r="E22" i="11"/>
  <c r="F249" i="107" s="1"/>
  <c r="F36" i="11"/>
  <c r="G263" i="107" s="1"/>
  <c r="J36" i="11"/>
  <c r="K263" i="107" s="1"/>
  <c r="N329" i="107" s="1"/>
  <c r="E36" i="11"/>
  <c r="F263" i="107" s="1"/>
  <c r="H22" i="11"/>
  <c r="I249" i="107" s="1"/>
  <c r="N302" i="107" s="1"/>
  <c r="F22" i="11"/>
  <c r="G249" i="107" s="1"/>
  <c r="J22" i="11"/>
  <c r="K249" i="107" s="1"/>
  <c r="N326" i="107" s="1"/>
  <c r="E32" i="11"/>
  <c r="F259" i="107" s="1"/>
  <c r="F41" i="11"/>
  <c r="G268" i="107" s="1"/>
  <c r="I32" i="11"/>
  <c r="J259" i="107" s="1"/>
  <c r="N316" i="107" s="1"/>
  <c r="J41" i="11"/>
  <c r="K268" i="107" s="1"/>
  <c r="N330" i="107" s="1"/>
  <c r="I36" i="11"/>
  <c r="J263" i="107" s="1"/>
  <c r="N317" i="107" s="1"/>
  <c r="E41" i="11"/>
  <c r="F268" i="107" s="1"/>
  <c r="H32" i="11"/>
  <c r="I259" i="107" s="1"/>
  <c r="N304" i="107" s="1"/>
  <c r="I41" i="11"/>
  <c r="J268" i="107" s="1"/>
  <c r="N318" i="107" s="1"/>
  <c r="I22" i="11"/>
  <c r="J249" i="107" s="1"/>
  <c r="N314" i="107" s="1"/>
  <c r="C36" i="11"/>
  <c r="D263" i="107" s="1"/>
  <c r="C41" i="11"/>
  <c r="D268" i="107" s="1"/>
  <c r="C32" i="11"/>
  <c r="D259" i="107" s="1"/>
  <c r="B22" i="11"/>
  <c r="B32" i="11"/>
  <c r="F18" i="17"/>
  <c r="B36" i="11"/>
  <c r="B41" i="11"/>
  <c r="I3" i="17" l="1"/>
  <c r="B50" i="11" s="1"/>
  <c r="M328" i="107"/>
  <c r="O328" i="107" s="1"/>
  <c r="O306" i="107"/>
  <c r="M318" i="107"/>
  <c r="O318" i="107" s="1"/>
  <c r="M342" i="107"/>
  <c r="M341" i="107"/>
  <c r="M337" i="107"/>
  <c r="O305" i="107"/>
  <c r="M317" i="107"/>
  <c r="O317" i="107" s="1"/>
  <c r="M340" i="107"/>
  <c r="M338" i="107"/>
  <c r="O304" i="107"/>
  <c r="M316" i="107"/>
  <c r="O316" i="107" s="1"/>
  <c r="M325" i="107"/>
  <c r="O325" i="107" s="1"/>
  <c r="M330" i="107"/>
  <c r="O330" i="107" s="1"/>
  <c r="O302" i="107"/>
  <c r="M314" i="107"/>
  <c r="O314" i="107" s="1"/>
  <c r="M326" i="107"/>
  <c r="O326" i="107" s="1"/>
  <c r="M329" i="107"/>
  <c r="O329" i="107" s="1"/>
  <c r="J67" i="11"/>
  <c r="K242" i="107"/>
  <c r="H47" i="11"/>
  <c r="I274" i="107" s="1"/>
  <c r="I260" i="107"/>
  <c r="A68" i="102"/>
  <c r="A267" i="107"/>
  <c r="H23" i="107" a="1"/>
  <c r="H23" i="107" s="1"/>
  <c r="G23" i="107" a="1"/>
  <c r="G23" i="107" s="1"/>
  <c r="I67" i="11"/>
  <c r="J242" i="107"/>
  <c r="H51" i="11"/>
  <c r="I237" i="107"/>
  <c r="C260" i="107"/>
  <c r="F23" i="107" a="1"/>
  <c r="F23" i="107" s="1"/>
  <c r="G51" i="11"/>
  <c r="H237" i="107"/>
  <c r="G47" i="11"/>
  <c r="H274" i="107" s="1"/>
  <c r="H260" i="107"/>
  <c r="C47" i="11"/>
  <c r="D274" i="107" s="1"/>
  <c r="D260" i="107"/>
  <c r="C242" i="107"/>
  <c r="B23" i="107" a="1"/>
  <c r="D23" i="107" a="1"/>
  <c r="D23" i="107" s="1"/>
  <c r="C250" i="107"/>
  <c r="E47" i="11"/>
  <c r="F274" i="107" s="1"/>
  <c r="F260" i="107"/>
  <c r="I51" i="11"/>
  <c r="J237" i="107"/>
  <c r="J51" i="11"/>
  <c r="K237" i="107"/>
  <c r="F47" i="11"/>
  <c r="G274" i="107" s="1"/>
  <c r="G260" i="107"/>
  <c r="C263" i="107"/>
  <c r="C254" i="107"/>
  <c r="C259" i="107"/>
  <c r="C249" i="107"/>
  <c r="C268" i="107"/>
  <c r="B213" i="107" a="1"/>
  <c r="B213" i="107" s="1"/>
  <c r="B165" i="72"/>
  <c r="O121" i="72"/>
  <c r="M121" i="72"/>
  <c r="N121" i="72" s="1"/>
  <c r="P121" i="72"/>
  <c r="Q121" i="72" s="1"/>
  <c r="P122" i="72"/>
  <c r="Q122" i="72" s="1"/>
  <c r="M122" i="72"/>
  <c r="N122" i="72" s="1"/>
  <c r="O122" i="72"/>
  <c r="O113" i="72"/>
  <c r="M113" i="72"/>
  <c r="N113" i="72" s="1"/>
  <c r="P113" i="72"/>
  <c r="Q113" i="72" s="1"/>
  <c r="O111" i="72"/>
  <c r="M111" i="72"/>
  <c r="N111" i="72" s="1"/>
  <c r="P115" i="72"/>
  <c r="Q115" i="72" s="1"/>
  <c r="M115" i="72"/>
  <c r="N115" i="72" s="1"/>
  <c r="O115" i="72"/>
  <c r="O116" i="72"/>
  <c r="M116" i="72"/>
  <c r="N116" i="72" s="1"/>
  <c r="P116" i="72"/>
  <c r="Q116" i="72" s="1"/>
  <c r="B47" i="11"/>
  <c r="O117" i="72"/>
  <c r="M117" i="72"/>
  <c r="N117" i="72" s="1"/>
  <c r="P117" i="72"/>
  <c r="Q117" i="72" s="1"/>
  <c r="P120" i="72"/>
  <c r="Q120" i="72" s="1"/>
  <c r="M120" i="72"/>
  <c r="N120" i="72" s="1"/>
  <c r="O120" i="72"/>
  <c r="L3" i="17"/>
  <c r="B18" i="17"/>
  <c r="D161" i="72"/>
  <c r="B124" i="107" s="1"/>
  <c r="P119" i="72"/>
  <c r="Q119" i="72" s="1"/>
  <c r="O119" i="72"/>
  <c r="M119" i="72"/>
  <c r="N119" i="72" s="1"/>
  <c r="P118" i="72"/>
  <c r="Q118" i="72" s="1"/>
  <c r="O118" i="72"/>
  <c r="M118" i="72"/>
  <c r="N118" i="72" s="1"/>
  <c r="M114" i="72"/>
  <c r="N114" i="72" s="1"/>
  <c r="O114" i="72"/>
  <c r="P114" i="72"/>
  <c r="Q114" i="72" s="1"/>
  <c r="M112" i="72"/>
  <c r="N112" i="72" s="1"/>
  <c r="O112" i="72"/>
  <c r="P112" i="72"/>
  <c r="Q112" i="72" s="1"/>
  <c r="G31" i="17"/>
  <c r="E31" i="17"/>
  <c r="F154" i="72"/>
  <c r="N23" i="9"/>
  <c r="M23" i="9"/>
  <c r="L23" i="9"/>
  <c r="J23" i="9"/>
  <c r="I23" i="9"/>
  <c r="F155" i="72"/>
  <c r="F158" i="72"/>
  <c r="H31" i="17"/>
  <c r="D31" i="17"/>
  <c r="D13" i="17" s="1"/>
  <c r="D14" i="17" s="1"/>
  <c r="F159" i="72"/>
  <c r="G159" i="72" s="1"/>
  <c r="F156" i="72"/>
  <c r="D32" i="11"/>
  <c r="E259" i="107" s="1"/>
  <c r="F2" i="18"/>
  <c r="B52" i="11" s="1"/>
  <c r="D50" i="11"/>
  <c r="D152" i="72"/>
  <c r="F157" i="72"/>
  <c r="O41" i="72"/>
  <c r="M41" i="72"/>
  <c r="N41" i="72" s="1"/>
  <c r="P41" i="72"/>
  <c r="Q41" i="72" s="1"/>
  <c r="O23" i="72"/>
  <c r="P23" i="72"/>
  <c r="Q23" i="72" s="1"/>
  <c r="M23" i="72"/>
  <c r="N23" i="72" s="1"/>
  <c r="P61" i="72"/>
  <c r="Q61" i="72" s="1"/>
  <c r="M61" i="72"/>
  <c r="N61" i="72" s="1"/>
  <c r="O61" i="72"/>
  <c r="P37" i="72"/>
  <c r="Q37" i="72" s="1"/>
  <c r="M37" i="72"/>
  <c r="N37" i="72" s="1"/>
  <c r="O37" i="72"/>
  <c r="P6" i="72"/>
  <c r="Q6" i="72" s="1"/>
  <c r="M6" i="72"/>
  <c r="N6" i="72" s="1"/>
  <c r="O6" i="72"/>
  <c r="M27" i="72"/>
  <c r="N27" i="72" s="1"/>
  <c r="O27" i="72"/>
  <c r="P27" i="72"/>
  <c r="Q27" i="72" s="1"/>
  <c r="O33" i="72"/>
  <c r="M33" i="72"/>
  <c r="N33" i="72" s="1"/>
  <c r="P33" i="72"/>
  <c r="Q33" i="72" s="1"/>
  <c r="O79" i="72"/>
  <c r="P79" i="72"/>
  <c r="Q79" i="72" s="1"/>
  <c r="M79" i="72"/>
  <c r="N79" i="72" s="1"/>
  <c r="P24" i="72"/>
  <c r="Q24" i="72" s="1"/>
  <c r="M24" i="72"/>
  <c r="N24" i="72" s="1"/>
  <c r="O24" i="72"/>
  <c r="M51" i="72"/>
  <c r="N51" i="72" s="1"/>
  <c r="O51" i="72"/>
  <c r="P51" i="72"/>
  <c r="Q51" i="72" s="1"/>
  <c r="O7" i="72"/>
  <c r="P7" i="72"/>
  <c r="Q7" i="72" s="1"/>
  <c r="M7" i="72"/>
  <c r="N7" i="72" s="1"/>
  <c r="O34" i="72"/>
  <c r="P34" i="72"/>
  <c r="Q34" i="72" s="1"/>
  <c r="M34" i="72"/>
  <c r="N34" i="72" s="1"/>
  <c r="M67" i="72"/>
  <c r="N67" i="72" s="1"/>
  <c r="O67" i="72"/>
  <c r="P67" i="72"/>
  <c r="Q67" i="72" s="1"/>
  <c r="P32" i="72"/>
  <c r="Q32" i="72" s="1"/>
  <c r="M32" i="72"/>
  <c r="N32" i="72" s="1"/>
  <c r="O32" i="72"/>
  <c r="O10" i="72"/>
  <c r="P10" i="72"/>
  <c r="Q10" i="72" s="1"/>
  <c r="M10" i="72"/>
  <c r="N10" i="72" s="1"/>
  <c r="P60" i="72"/>
  <c r="Q60" i="72" s="1"/>
  <c r="M60" i="72"/>
  <c r="N60" i="72" s="1"/>
  <c r="O60" i="72"/>
  <c r="P28" i="72"/>
  <c r="Q28" i="72" s="1"/>
  <c r="M28" i="72"/>
  <c r="N28" i="72" s="1"/>
  <c r="O28" i="72"/>
  <c r="P55" i="72"/>
  <c r="Q55" i="72" s="1"/>
  <c r="M55" i="72"/>
  <c r="N55" i="72" s="1"/>
  <c r="O55" i="72"/>
  <c r="P38" i="72"/>
  <c r="Q38" i="72" s="1"/>
  <c r="M38" i="72"/>
  <c r="N38" i="72" s="1"/>
  <c r="O38" i="72"/>
  <c r="O57" i="72"/>
  <c r="P57" i="72"/>
  <c r="Q57" i="72" s="1"/>
  <c r="M57" i="72"/>
  <c r="N57" i="72" s="1"/>
  <c r="P29" i="72"/>
  <c r="Q29" i="72" s="1"/>
  <c r="M29" i="72"/>
  <c r="N29" i="72" s="1"/>
  <c r="O29" i="72"/>
  <c r="P20" i="72"/>
  <c r="Q20" i="72" s="1"/>
  <c r="M20" i="72"/>
  <c r="N20" i="72" s="1"/>
  <c r="O20" i="72"/>
  <c r="P47" i="72"/>
  <c r="Q47" i="72" s="1"/>
  <c r="O47" i="72"/>
  <c r="M47" i="72"/>
  <c r="N47" i="72" s="1"/>
  <c r="P30" i="72"/>
  <c r="Q30" i="72" s="1"/>
  <c r="M30" i="72"/>
  <c r="N30" i="72" s="1"/>
  <c r="O30" i="72"/>
  <c r="O71" i="72"/>
  <c r="P71" i="72"/>
  <c r="Q71" i="72" s="1"/>
  <c r="M71" i="72"/>
  <c r="N71" i="72" s="1"/>
  <c r="M59" i="72"/>
  <c r="N59" i="72" s="1"/>
  <c r="O59" i="72"/>
  <c r="P59" i="72"/>
  <c r="Q59" i="72" s="1"/>
  <c r="P53" i="72"/>
  <c r="Q53" i="72" s="1"/>
  <c r="M53" i="72"/>
  <c r="N53" i="72" s="1"/>
  <c r="O53" i="72"/>
  <c r="P21" i="72"/>
  <c r="Q21" i="72" s="1"/>
  <c r="M21" i="72"/>
  <c r="N21" i="72" s="1"/>
  <c r="O21" i="72"/>
  <c r="P44" i="72"/>
  <c r="Q44" i="72" s="1"/>
  <c r="M44" i="72"/>
  <c r="N44" i="72" s="1"/>
  <c r="O44" i="72"/>
  <c r="P8" i="72"/>
  <c r="Q8" i="72" s="1"/>
  <c r="M8" i="72"/>
  <c r="N8" i="72" s="1"/>
  <c r="O8" i="72"/>
  <c r="P39" i="72"/>
  <c r="Q39" i="72" s="1"/>
  <c r="M39" i="72"/>
  <c r="N39" i="72" s="1"/>
  <c r="O39" i="72"/>
  <c r="P54" i="72"/>
  <c r="Q54" i="72" s="1"/>
  <c r="M54" i="72"/>
  <c r="N54" i="72" s="1"/>
  <c r="O54" i="72"/>
  <c r="P22" i="72"/>
  <c r="Q22" i="72" s="1"/>
  <c r="M22" i="72"/>
  <c r="N22" i="72" s="1"/>
  <c r="O22" i="72"/>
  <c r="O73" i="72"/>
  <c r="M73" i="72"/>
  <c r="N73" i="72" s="1"/>
  <c r="P73" i="72"/>
  <c r="Q73" i="72" s="1"/>
  <c r="O66" i="72"/>
  <c r="P66" i="72"/>
  <c r="Q66" i="72" s="1"/>
  <c r="M66" i="72"/>
  <c r="N66" i="72" s="1"/>
  <c r="P68" i="72"/>
  <c r="Q68" i="72" s="1"/>
  <c r="M68" i="72"/>
  <c r="N68" i="72" s="1"/>
  <c r="O68" i="72"/>
  <c r="P70" i="72"/>
  <c r="Q70" i="72" s="1"/>
  <c r="M70" i="72"/>
  <c r="N70" i="72" s="1"/>
  <c r="O70" i="72"/>
  <c r="O82" i="72"/>
  <c r="P82" i="72"/>
  <c r="Q82" i="72" s="1"/>
  <c r="M82" i="72"/>
  <c r="N82" i="72" s="1"/>
  <c r="P56" i="72"/>
  <c r="Q56" i="72" s="1"/>
  <c r="M56" i="72"/>
  <c r="N56" i="72" s="1"/>
  <c r="O56" i="72"/>
  <c r="P84" i="72"/>
  <c r="Q84" i="72" s="1"/>
  <c r="M84" i="72"/>
  <c r="N84" i="72" s="1"/>
  <c r="O84" i="72"/>
  <c r="P52" i="72"/>
  <c r="Q52" i="72" s="1"/>
  <c r="M52" i="72"/>
  <c r="N52" i="72" s="1"/>
  <c r="O52" i="72"/>
  <c r="P85" i="72"/>
  <c r="Q85" i="72" s="1"/>
  <c r="M85" i="72"/>
  <c r="N85" i="72" s="1"/>
  <c r="O85" i="72"/>
  <c r="P80" i="72"/>
  <c r="Q80" i="72" s="1"/>
  <c r="M80" i="72"/>
  <c r="N80" i="72" s="1"/>
  <c r="O80" i="72"/>
  <c r="O25" i="72"/>
  <c r="M25" i="72"/>
  <c r="N25" i="72" s="1"/>
  <c r="P25" i="72"/>
  <c r="Q25" i="72" s="1"/>
  <c r="P48" i="72"/>
  <c r="Q48" i="72" s="1"/>
  <c r="M48" i="72"/>
  <c r="N48" i="72" s="1"/>
  <c r="O48" i="72"/>
  <c r="M16" i="72"/>
  <c r="N16" i="72" s="1"/>
  <c r="O16" i="72"/>
  <c r="M43" i="72"/>
  <c r="N43" i="72" s="1"/>
  <c r="O43" i="72"/>
  <c r="P43" i="72"/>
  <c r="Q43" i="72" s="1"/>
  <c r="O81" i="72"/>
  <c r="P81" i="72"/>
  <c r="Q81" i="72" s="1"/>
  <c r="M81" i="72"/>
  <c r="N81" i="72" s="1"/>
  <c r="O26" i="72"/>
  <c r="P26" i="72"/>
  <c r="Q26" i="72" s="1"/>
  <c r="M26" i="72"/>
  <c r="N26" i="72" s="1"/>
  <c r="M77" i="72"/>
  <c r="N77" i="72" s="1"/>
  <c r="O77" i="72"/>
  <c r="O49" i="72"/>
  <c r="M49" i="72"/>
  <c r="N49" i="72" s="1"/>
  <c r="P49" i="72"/>
  <c r="Q49" i="72" s="1"/>
  <c r="O17" i="72"/>
  <c r="M17" i="72"/>
  <c r="N17" i="72" s="1"/>
  <c r="P17" i="72"/>
  <c r="Q17" i="72" s="1"/>
  <c r="P40" i="72"/>
  <c r="Q40" i="72" s="1"/>
  <c r="M40" i="72"/>
  <c r="N40" i="72" s="1"/>
  <c r="O40" i="72"/>
  <c r="M4" i="72"/>
  <c r="N4" i="72" s="1"/>
  <c r="O4" i="72"/>
  <c r="M35" i="72"/>
  <c r="N35" i="72" s="1"/>
  <c r="O35" i="72"/>
  <c r="P35" i="72"/>
  <c r="Q35" i="72" s="1"/>
  <c r="O50" i="72"/>
  <c r="P50" i="72"/>
  <c r="Q50" i="72" s="1"/>
  <c r="M50" i="72"/>
  <c r="N50" i="72" s="1"/>
  <c r="O18" i="72"/>
  <c r="P18" i="72"/>
  <c r="Q18" i="72" s="1"/>
  <c r="M18" i="72"/>
  <c r="N18" i="72" s="1"/>
  <c r="P69" i="72"/>
  <c r="Q69" i="72" s="1"/>
  <c r="M69" i="72"/>
  <c r="N69" i="72" s="1"/>
  <c r="O69" i="72"/>
  <c r="P62" i="72"/>
  <c r="Q62" i="72" s="1"/>
  <c r="M62" i="72"/>
  <c r="N62" i="72" s="1"/>
  <c r="O62" i="72"/>
  <c r="P78" i="72"/>
  <c r="Q78" i="72" s="1"/>
  <c r="M78" i="72"/>
  <c r="N78" i="72" s="1"/>
  <c r="O78" i="72"/>
  <c r="O87" i="72"/>
  <c r="M87" i="72"/>
  <c r="N87" i="72" s="1"/>
  <c r="P5" i="72"/>
  <c r="Q5" i="72" s="1"/>
  <c r="M5" i="72"/>
  <c r="N5" i="72" s="1"/>
  <c r="O5" i="72"/>
  <c r="P42" i="72"/>
  <c r="Q42" i="72" s="1"/>
  <c r="O42" i="72"/>
  <c r="M42" i="72"/>
  <c r="N42" i="72" s="1"/>
  <c r="O58" i="72"/>
  <c r="P58" i="72"/>
  <c r="Q58" i="72" s="1"/>
  <c r="M58" i="72"/>
  <c r="N58" i="72" s="1"/>
  <c r="M83" i="72"/>
  <c r="N83" i="72" s="1"/>
  <c r="O83" i="72"/>
  <c r="P83" i="72"/>
  <c r="Q83" i="72" s="1"/>
  <c r="M19" i="72"/>
  <c r="N19" i="72" s="1"/>
  <c r="O19" i="72"/>
  <c r="P19" i="72"/>
  <c r="Q19" i="72" s="1"/>
  <c r="P45" i="72"/>
  <c r="Q45" i="72" s="1"/>
  <c r="M45" i="72"/>
  <c r="N45" i="72" s="1"/>
  <c r="O45" i="72"/>
  <c r="O9" i="72"/>
  <c r="P9" i="72"/>
  <c r="Q9" i="72" s="1"/>
  <c r="M9" i="72"/>
  <c r="N9" i="72" s="1"/>
  <c r="P36" i="72"/>
  <c r="Q36" i="72" s="1"/>
  <c r="M36" i="72"/>
  <c r="N36" i="72" s="1"/>
  <c r="O36" i="72"/>
  <c r="O31" i="72"/>
  <c r="P31" i="72"/>
  <c r="Q31" i="72" s="1"/>
  <c r="M31" i="72"/>
  <c r="N31" i="72" s="1"/>
  <c r="P46" i="72"/>
  <c r="Q46" i="72" s="1"/>
  <c r="M46" i="72"/>
  <c r="N46" i="72" s="1"/>
  <c r="O46" i="72"/>
  <c r="M14" i="72"/>
  <c r="N14" i="72" s="1"/>
  <c r="O14" i="72"/>
  <c r="O65" i="72"/>
  <c r="M65" i="72"/>
  <c r="N65" i="72" s="1"/>
  <c r="P72" i="72"/>
  <c r="Q72" i="72" s="1"/>
  <c r="M72" i="72"/>
  <c r="N72" i="72" s="1"/>
  <c r="O72" i="72"/>
  <c r="D47" i="11"/>
  <c r="P4" i="72"/>
  <c r="Q4" i="72" s="1"/>
  <c r="O3" i="72"/>
  <c r="M3" i="72"/>
  <c r="N3" i="72" s="1"/>
  <c r="J47" i="11"/>
  <c r="K274" i="107" s="1"/>
  <c r="I47" i="11"/>
  <c r="E50" i="11"/>
  <c r="J50" i="11"/>
  <c r="B18" i="11"/>
  <c r="C18" i="17"/>
  <c r="E24" i="11"/>
  <c r="F251" i="107" s="1"/>
  <c r="D24" i="11"/>
  <c r="E251" i="107" s="1"/>
  <c r="H24" i="11"/>
  <c r="I251" i="107" s="1"/>
  <c r="S302" i="107" s="1"/>
  <c r="T302" i="107" s="1"/>
  <c r="C24" i="11"/>
  <c r="D251" i="107" s="1"/>
  <c r="J24" i="11"/>
  <c r="K251" i="107" s="1"/>
  <c r="I24" i="11"/>
  <c r="J251" i="107" s="1"/>
  <c r="F24" i="11"/>
  <c r="G251" i="107" s="1"/>
  <c r="G24" i="11"/>
  <c r="H251" i="107" s="1"/>
  <c r="I50" i="11"/>
  <c r="C14" i="11"/>
  <c r="F50" i="11"/>
  <c r="D14" i="11"/>
  <c r="E241" i="107" s="1"/>
  <c r="B10" i="11"/>
  <c r="E14" i="11"/>
  <c r="D5" i="11"/>
  <c r="E5" i="11"/>
  <c r="F5" i="11"/>
  <c r="B9" i="9"/>
  <c r="F9" i="9" s="1"/>
  <c r="B7" i="9"/>
  <c r="F7" i="9" s="1"/>
  <c r="B6" i="9"/>
  <c r="F6" i="9" s="1"/>
  <c r="B10" i="9"/>
  <c r="F10" i="9" s="1"/>
  <c r="B11" i="9"/>
  <c r="F11" i="9" s="1"/>
  <c r="B8" i="9"/>
  <c r="F8" i="9" s="1"/>
  <c r="B5" i="9"/>
  <c r="F5" i="9" s="1"/>
  <c r="B4" i="9"/>
  <c r="F4" i="9" s="1"/>
  <c r="F10" i="11"/>
  <c r="D10" i="11"/>
  <c r="E10" i="11"/>
  <c r="C10" i="11"/>
  <c r="C7" i="9"/>
  <c r="C5" i="9"/>
  <c r="F14" i="11"/>
  <c r="J14" i="11"/>
  <c r="B14" i="11"/>
  <c r="I14" i="11"/>
  <c r="C50" i="11"/>
  <c r="C6" i="9"/>
  <c r="F43" i="11"/>
  <c r="G270" i="107" s="1"/>
  <c r="H38" i="11"/>
  <c r="I265" i="107" s="1"/>
  <c r="S305" i="107" s="1"/>
  <c r="T305" i="107" s="1"/>
  <c r="D43" i="11"/>
  <c r="E270" i="107" s="1"/>
  <c r="H29" i="11"/>
  <c r="I256" i="107" s="1"/>
  <c r="S303" i="107" s="1"/>
  <c r="T303" i="107" s="1"/>
  <c r="I38" i="11"/>
  <c r="J265" i="107" s="1"/>
  <c r="J38" i="11"/>
  <c r="K265" i="107" s="1"/>
  <c r="E29" i="11"/>
  <c r="F256" i="107" s="1"/>
  <c r="B29" i="11"/>
  <c r="C256" i="107" s="1"/>
  <c r="C43" i="11"/>
  <c r="D270" i="107" s="1"/>
  <c r="G38" i="11"/>
  <c r="H265" i="107" s="1"/>
  <c r="J43" i="11"/>
  <c r="K270" i="107" s="1"/>
  <c r="D38" i="11"/>
  <c r="E265" i="107" s="1"/>
  <c r="G29" i="11"/>
  <c r="H256" i="107" s="1"/>
  <c r="E43" i="11"/>
  <c r="F270" i="107" s="1"/>
  <c r="C38" i="11"/>
  <c r="D265" i="107" s="1"/>
  <c r="E38" i="11"/>
  <c r="F265" i="107" s="1"/>
  <c r="H43" i="11"/>
  <c r="I270" i="107" s="1"/>
  <c r="S306" i="107" s="1"/>
  <c r="T306" i="107" s="1"/>
  <c r="G43" i="11"/>
  <c r="H270" i="107" s="1"/>
  <c r="C29" i="11"/>
  <c r="D256" i="107" s="1"/>
  <c r="D29" i="11"/>
  <c r="E256" i="107" s="1"/>
  <c r="I29" i="11"/>
  <c r="J256" i="107" s="1"/>
  <c r="I43" i="11"/>
  <c r="J270" i="107" s="1"/>
  <c r="B43" i="11"/>
  <c r="C270" i="107" s="1"/>
  <c r="F29" i="11"/>
  <c r="G256" i="107" s="1"/>
  <c r="J29" i="11"/>
  <c r="K256" i="107" s="1"/>
  <c r="B24" i="11"/>
  <c r="C251" i="107" s="1"/>
  <c r="D4" i="11"/>
  <c r="E233" i="107" s="1"/>
  <c r="F38" i="11"/>
  <c r="G265" i="107" s="1"/>
  <c r="B38" i="11"/>
  <c r="C265" i="107" s="1"/>
  <c r="J4" i="11"/>
  <c r="K233" i="107" s="1"/>
  <c r="I4" i="11"/>
  <c r="J233" i="107" s="1"/>
  <c r="C4" i="11"/>
  <c r="D233" i="107" s="1"/>
  <c r="H4" i="11"/>
  <c r="I233" i="107" s="1"/>
  <c r="F4" i="11"/>
  <c r="G233" i="107" s="1"/>
  <c r="G4" i="11"/>
  <c r="H233" i="107" s="1"/>
  <c r="E4" i="11"/>
  <c r="F233" i="107" s="1"/>
  <c r="B4" i="11" l="1"/>
  <c r="C233" i="107" s="1"/>
  <c r="B115" i="107"/>
  <c r="H64" i="11"/>
  <c r="G64" i="11"/>
  <c r="E6" i="11"/>
  <c r="F235" i="107" s="1"/>
  <c r="F234" i="107"/>
  <c r="F6" i="11"/>
  <c r="G235" i="107" s="1"/>
  <c r="G234" i="107"/>
  <c r="D6" i="11"/>
  <c r="E235" i="107" s="1"/>
  <c r="E234" i="107"/>
  <c r="J46" i="11"/>
  <c r="K273" i="107" s="1"/>
  <c r="K241" i="107"/>
  <c r="N324" i="107" s="1"/>
  <c r="I46" i="11"/>
  <c r="J273" i="107" s="1"/>
  <c r="J241" i="107"/>
  <c r="N312" i="107" s="1"/>
  <c r="I64" i="11"/>
  <c r="J274" i="107"/>
  <c r="G69" i="11"/>
  <c r="D51" i="11"/>
  <c r="D64" i="11" s="1"/>
  <c r="E237" i="107"/>
  <c r="E51" i="11"/>
  <c r="E64" i="11" s="1"/>
  <c r="F237" i="107"/>
  <c r="E69" i="11"/>
  <c r="E274" i="107"/>
  <c r="C69" i="11"/>
  <c r="C274" i="107"/>
  <c r="F51" i="11"/>
  <c r="F64" i="11" s="1"/>
  <c r="G237" i="107"/>
  <c r="B23" i="107"/>
  <c r="I23" i="107" s="1"/>
  <c r="I27" i="107"/>
  <c r="I30" i="107"/>
  <c r="I26" i="107"/>
  <c r="I25" i="107"/>
  <c r="I24" i="107"/>
  <c r="I29" i="107"/>
  <c r="I31" i="107"/>
  <c r="I28" i="107"/>
  <c r="I32" i="107"/>
  <c r="H69" i="11"/>
  <c r="F69" i="11"/>
  <c r="C51" i="11"/>
  <c r="C64" i="11" s="1"/>
  <c r="D237" i="107"/>
  <c r="B51" i="11"/>
  <c r="B64" i="11" s="1"/>
  <c r="C237" i="107"/>
  <c r="C245" i="107"/>
  <c r="H13" i="17"/>
  <c r="H14" i="17" s="1"/>
  <c r="N29" i="9" s="1"/>
  <c r="H169" i="107"/>
  <c r="C241" i="107"/>
  <c r="E13" i="17"/>
  <c r="E14" i="17" s="1"/>
  <c r="E169" i="107"/>
  <c r="E46" i="11"/>
  <c r="F273" i="107" s="1"/>
  <c r="F241" i="107"/>
  <c r="G13" i="17"/>
  <c r="G14" i="17" s="1"/>
  <c r="G169" i="107"/>
  <c r="C46" i="11"/>
  <c r="D273" i="107" s="1"/>
  <c r="D241" i="107"/>
  <c r="F46" i="11"/>
  <c r="G273" i="107" s="1"/>
  <c r="G241" i="107"/>
  <c r="D165" i="72"/>
  <c r="G155" i="72"/>
  <c r="B46" i="11"/>
  <c r="F161" i="72"/>
  <c r="G161" i="72" s="1"/>
  <c r="K4" i="11"/>
  <c r="L233" i="107" s="1"/>
  <c r="B12" i="9"/>
  <c r="J64" i="11"/>
  <c r="J69" i="11"/>
  <c r="D46" i="11"/>
  <c r="F31" i="17"/>
  <c r="D6" i="9"/>
  <c r="E6" i="9" s="1"/>
  <c r="F153" i="72"/>
  <c r="G153" i="72" s="1"/>
  <c r="G156" i="72"/>
  <c r="J29" i="9"/>
  <c r="J39" i="9" s="1"/>
  <c r="J28" i="9"/>
  <c r="J38" i="9" s="1"/>
  <c r="G157" i="72"/>
  <c r="G158" i="72"/>
  <c r="B3" i="9"/>
  <c r="D5" i="9"/>
  <c r="E5" i="9" s="1"/>
  <c r="G160" i="72"/>
  <c r="D7" i="9"/>
  <c r="E7" i="9" s="1"/>
  <c r="H23" i="9"/>
  <c r="B185" i="107" s="1" a="1"/>
  <c r="B185" i="107" s="1"/>
  <c r="C48" i="11"/>
  <c r="D275" i="107" s="1"/>
  <c r="H48" i="11"/>
  <c r="I275" i="107" s="1"/>
  <c r="D48" i="11"/>
  <c r="E275" i="107" s="1"/>
  <c r="E48" i="11"/>
  <c r="F275" i="107" s="1"/>
  <c r="I48" i="11"/>
  <c r="J275" i="107" s="1"/>
  <c r="I69" i="11"/>
  <c r="J48" i="11"/>
  <c r="K275" i="107" s="1"/>
  <c r="B48" i="11"/>
  <c r="F48" i="11"/>
  <c r="G275" i="107" s="1"/>
  <c r="G48" i="11"/>
  <c r="H275" i="107" s="1"/>
  <c r="K28" i="9"/>
  <c r="K38" i="9" s="1"/>
  <c r="K27" i="11"/>
  <c r="L254" i="107" s="1"/>
  <c r="N339" i="107" s="1"/>
  <c r="K36" i="11"/>
  <c r="L263" i="107" s="1"/>
  <c r="N341" i="107" s="1"/>
  <c r="M353" i="107" s="1"/>
  <c r="K41" i="11"/>
  <c r="L268" i="107" s="1"/>
  <c r="N342" i="107" s="1"/>
  <c r="M354" i="107" s="1"/>
  <c r="K32" i="11"/>
  <c r="L259" i="107" s="1"/>
  <c r="N340" i="107" s="1"/>
  <c r="M352" i="107" s="1"/>
  <c r="K22" i="11"/>
  <c r="L88" i="72"/>
  <c r="L89" i="72"/>
  <c r="D69" i="11"/>
  <c r="D52" i="11"/>
  <c r="J52" i="11"/>
  <c r="F52" i="11"/>
  <c r="C52" i="11"/>
  <c r="I52" i="11"/>
  <c r="G52" i="11"/>
  <c r="H52" i="11"/>
  <c r="E52" i="11"/>
  <c r="O341" i="107" l="1"/>
  <c r="N28" i="9"/>
  <c r="N38" i="9" s="1"/>
  <c r="L41" i="11"/>
  <c r="M268" i="107" s="1"/>
  <c r="N354" i="107" s="1"/>
  <c r="O342" i="107"/>
  <c r="O340" i="107"/>
  <c r="M351" i="107"/>
  <c r="O339" i="107"/>
  <c r="L249" i="107"/>
  <c r="N338" i="107" s="1"/>
  <c r="C63" i="11"/>
  <c r="J63" i="11"/>
  <c r="I63" i="11"/>
  <c r="M324" i="107"/>
  <c r="M331" i="107" s="1"/>
  <c r="N319" i="107"/>
  <c r="F63" i="11"/>
  <c r="M336" i="107"/>
  <c r="N331" i="107"/>
  <c r="D63" i="11"/>
  <c r="E273" i="107"/>
  <c r="M28" i="9"/>
  <c r="M38" i="9" s="1"/>
  <c r="B63" i="11"/>
  <c r="C273" i="107"/>
  <c r="E63" i="11"/>
  <c r="F13" i="17"/>
  <c r="L32" i="11" s="1"/>
  <c r="F169" i="107"/>
  <c r="B65" i="11"/>
  <c r="C275" i="107"/>
  <c r="G154" i="72"/>
  <c r="D3" i="9"/>
  <c r="E3" i="9" s="1"/>
  <c r="F3" i="9"/>
  <c r="F12" i="9"/>
  <c r="D12" i="9"/>
  <c r="E12" i="9" s="1"/>
  <c r="M29" i="9"/>
  <c r="K10" i="11"/>
  <c r="L237" i="107" s="1"/>
  <c r="L36" i="11"/>
  <c r="O89" i="72"/>
  <c r="P89" i="72"/>
  <c r="Q89" i="72" s="1"/>
  <c r="M89" i="72"/>
  <c r="N89" i="72" s="1"/>
  <c r="P88" i="72"/>
  <c r="Q88" i="72" s="1"/>
  <c r="M88" i="72"/>
  <c r="N88" i="72" s="1"/>
  <c r="O88" i="72"/>
  <c r="J65" i="11"/>
  <c r="E65" i="11"/>
  <c r="H65" i="11"/>
  <c r="G65" i="11"/>
  <c r="D65" i="11"/>
  <c r="F65" i="11"/>
  <c r="C65" i="11"/>
  <c r="I65" i="11"/>
  <c r="K29" i="9"/>
  <c r="K39" i="9" s="1"/>
  <c r="L27" i="11"/>
  <c r="L22" i="11"/>
  <c r="M249" i="107" s="1"/>
  <c r="N350" i="107" s="1"/>
  <c r="E70" i="11"/>
  <c r="I70" i="11"/>
  <c r="F70" i="11"/>
  <c r="C70" i="11"/>
  <c r="G70" i="11"/>
  <c r="J70" i="11"/>
  <c r="D70" i="11"/>
  <c r="H70" i="11"/>
  <c r="L90" i="72"/>
  <c r="L28" i="9" l="1"/>
  <c r="L38" i="9" s="1"/>
  <c r="M366" i="107"/>
  <c r="D354" i="107"/>
  <c r="E354" i="107" s="1"/>
  <c r="O354" i="107"/>
  <c r="M362" i="107"/>
  <c r="D350" i="107"/>
  <c r="E350" i="107" s="1"/>
  <c r="M350" i="107"/>
  <c r="O350" i="107" s="1"/>
  <c r="O338" i="107"/>
  <c r="O324" i="107"/>
  <c r="O331" i="107" s="1"/>
  <c r="M343" i="107"/>
  <c r="M259" i="107"/>
  <c r="N352" i="107" s="1"/>
  <c r="M254" i="107"/>
  <c r="N351" i="107" s="1"/>
  <c r="M263" i="107"/>
  <c r="N353" i="107" s="1"/>
  <c r="F14" i="17"/>
  <c r="L29" i="9" s="1"/>
  <c r="L39" i="9" s="1"/>
  <c r="P90" i="72"/>
  <c r="Q90" i="72" s="1"/>
  <c r="O90" i="72"/>
  <c r="M90" i="72"/>
  <c r="N90" i="72" s="1"/>
  <c r="M27" i="11"/>
  <c r="K14" i="11"/>
  <c r="L241" i="107" s="1"/>
  <c r="N336" i="107" s="1"/>
  <c r="N39" i="9"/>
  <c r="M39" i="9"/>
  <c r="M36" i="11"/>
  <c r="G56" i="107" s="1" a="1"/>
  <c r="M22" i="11"/>
  <c r="M41" i="11"/>
  <c r="M365" i="107" l="1"/>
  <c r="D353" i="107"/>
  <c r="E353" i="107" s="1"/>
  <c r="O353" i="107"/>
  <c r="M364" i="107"/>
  <c r="D352" i="107"/>
  <c r="E352" i="107" s="1"/>
  <c r="O352" i="107"/>
  <c r="M363" i="107"/>
  <c r="D351" i="107"/>
  <c r="E351" i="107" s="1"/>
  <c r="O351" i="107"/>
  <c r="B60" i="102" a="1"/>
  <c r="I61" i="102" s="1"/>
  <c r="N249" i="107"/>
  <c r="N362" i="107" s="1"/>
  <c r="O362" i="107" s="1"/>
  <c r="D56" i="107" a="1"/>
  <c r="M348" i="107"/>
  <c r="O336" i="107"/>
  <c r="G56" i="107"/>
  <c r="G70" i="107" s="1"/>
  <c r="G78" i="107"/>
  <c r="G77" i="107"/>
  <c r="G76" i="107"/>
  <c r="G79" i="107"/>
  <c r="G75" i="107"/>
  <c r="G74" i="107"/>
  <c r="G71" i="107"/>
  <c r="G73" i="107"/>
  <c r="G72" i="107"/>
  <c r="B124" i="102" a="1"/>
  <c r="M125" i="102" s="1"/>
  <c r="N254" i="107"/>
  <c r="N363" i="107" s="1"/>
  <c r="E56" i="107" a="1"/>
  <c r="B77" i="102" a="1"/>
  <c r="M78" i="102" s="1"/>
  <c r="N268" i="107"/>
  <c r="N366" i="107" s="1"/>
  <c r="O366" i="107" s="1"/>
  <c r="H56" i="107" a="1"/>
  <c r="M32" i="11"/>
  <c r="B107" i="102" a="1"/>
  <c r="D108" i="102" s="1"/>
  <c r="N263" i="107"/>
  <c r="N365" i="107" s="1"/>
  <c r="O365" i="107" s="1"/>
  <c r="L91" i="72"/>
  <c r="L92" i="72"/>
  <c r="E78" i="102" l="1"/>
  <c r="D61" i="102"/>
  <c r="E61" i="102"/>
  <c r="J61" i="102"/>
  <c r="K61" i="102"/>
  <c r="H61" i="102"/>
  <c r="M61" i="102"/>
  <c r="G61" i="102"/>
  <c r="F61" i="102"/>
  <c r="B60" i="102"/>
  <c r="C61" i="102" s="1"/>
  <c r="L61" i="102"/>
  <c r="H78" i="102"/>
  <c r="L78" i="102"/>
  <c r="B77" i="102"/>
  <c r="C78" i="102" s="1"/>
  <c r="J125" i="102"/>
  <c r="D125" i="102"/>
  <c r="K125" i="102"/>
  <c r="I125" i="102"/>
  <c r="G125" i="102"/>
  <c r="B124" i="102"/>
  <c r="C125" i="102" s="1"/>
  <c r="O363" i="107"/>
  <c r="D56" i="107"/>
  <c r="D70" i="107" s="1"/>
  <c r="D71" i="107"/>
  <c r="D78" i="107"/>
  <c r="D75" i="107"/>
  <c r="D79" i="107"/>
  <c r="D73" i="107"/>
  <c r="D72" i="107"/>
  <c r="D77" i="107"/>
  <c r="D76" i="107"/>
  <c r="D74" i="107"/>
  <c r="K108" i="102"/>
  <c r="F125" i="102"/>
  <c r="E56" i="107"/>
  <c r="E70" i="107" s="1"/>
  <c r="E79" i="107"/>
  <c r="E75" i="107"/>
  <c r="E78" i="107"/>
  <c r="E73" i="107"/>
  <c r="E72" i="107"/>
  <c r="E77" i="107"/>
  <c r="E76" i="107"/>
  <c r="E74" i="107"/>
  <c r="E71" i="107"/>
  <c r="D78" i="102"/>
  <c r="J108" i="102"/>
  <c r="I78" i="102"/>
  <c r="J78" i="102"/>
  <c r="K78" i="102"/>
  <c r="F108" i="102"/>
  <c r="I108" i="102"/>
  <c r="G108" i="102"/>
  <c r="H108" i="102"/>
  <c r="G78" i="102"/>
  <c r="B92" i="102" a="1"/>
  <c r="N259" i="107"/>
  <c r="N364" i="107" s="1"/>
  <c r="O364" i="107" s="1"/>
  <c r="F56" i="107" a="1"/>
  <c r="F78" i="102"/>
  <c r="E108" i="102"/>
  <c r="E125" i="102"/>
  <c r="H125" i="102"/>
  <c r="H56" i="107"/>
  <c r="H70" i="107" s="1"/>
  <c r="H75" i="107"/>
  <c r="H76" i="107"/>
  <c r="H79" i="107"/>
  <c r="H77" i="107"/>
  <c r="H78" i="107"/>
  <c r="H72" i="107"/>
  <c r="H73" i="107"/>
  <c r="H74" i="107"/>
  <c r="H71" i="107"/>
  <c r="M108" i="102"/>
  <c r="B107" i="102"/>
  <c r="C108" i="102" s="1"/>
  <c r="L108" i="102"/>
  <c r="L125" i="102"/>
  <c r="P92" i="72"/>
  <c r="Q92" i="72" s="1"/>
  <c r="M92" i="72"/>
  <c r="N92" i="72" s="1"/>
  <c r="O92" i="72"/>
  <c r="M91" i="72"/>
  <c r="N91" i="72" s="1"/>
  <c r="O91" i="72"/>
  <c r="P91" i="72"/>
  <c r="Q91" i="72" s="1"/>
  <c r="H93" i="102" l="1"/>
  <c r="B92" i="102"/>
  <c r="C93" i="102" s="1"/>
  <c r="I93" i="102"/>
  <c r="L93" i="102"/>
  <c r="J93" i="102"/>
  <c r="G93" i="102"/>
  <c r="D93" i="102"/>
  <c r="K93" i="102"/>
  <c r="E93" i="102"/>
  <c r="M93" i="102"/>
  <c r="F93" i="102"/>
  <c r="F56" i="107"/>
  <c r="F70" i="107" s="1"/>
  <c r="F71" i="107"/>
  <c r="F74" i="107"/>
  <c r="F77" i="107"/>
  <c r="F75" i="107"/>
  <c r="F76" i="107"/>
  <c r="F79" i="107"/>
  <c r="F73" i="107"/>
  <c r="F72" i="107"/>
  <c r="F78" i="107"/>
  <c r="L93" i="72"/>
  <c r="L94" i="72"/>
  <c r="P93" i="72" l="1"/>
  <c r="Q93" i="72" s="1"/>
  <c r="M93" i="72"/>
  <c r="N93" i="72" s="1"/>
  <c r="O93" i="72"/>
  <c r="P94" i="72"/>
  <c r="Q94" i="72" s="1"/>
  <c r="M94" i="72"/>
  <c r="N94" i="72" s="1"/>
  <c r="O94" i="72"/>
  <c r="L95" i="72" l="1"/>
  <c r="L96" i="72"/>
  <c r="P96" i="72" l="1"/>
  <c r="Q96" i="72" s="1"/>
  <c r="M96" i="72"/>
  <c r="N96" i="72" s="1"/>
  <c r="O96" i="72"/>
  <c r="P95" i="72"/>
  <c r="Q95" i="72" s="1"/>
  <c r="M95" i="72"/>
  <c r="N95" i="72" s="1"/>
  <c r="O95" i="72"/>
  <c r="L97" i="72"/>
  <c r="O97" i="72" l="1"/>
  <c r="P97" i="72"/>
  <c r="Q97" i="72" s="1"/>
  <c r="M97" i="72"/>
  <c r="N97" i="72" s="1"/>
  <c r="L98" i="72"/>
  <c r="K159" i="72"/>
  <c r="M159" i="96" s="1"/>
  <c r="N159" i="96" s="1"/>
  <c r="O159" i="96" s="1"/>
  <c r="Q316" i="107" l="1"/>
  <c r="Q312" i="107"/>
  <c r="Q313" i="107"/>
  <c r="O98" i="72"/>
  <c r="P98" i="72"/>
  <c r="Q98" i="72" s="1"/>
  <c r="M98" i="72"/>
  <c r="N98" i="72" s="1"/>
  <c r="I5" i="11"/>
  <c r="C10" i="9"/>
  <c r="D10" i="9" s="1"/>
  <c r="E10" i="9" s="1"/>
  <c r="L99" i="72"/>
  <c r="L100" i="72"/>
  <c r="I6" i="11" l="1"/>
  <c r="J235" i="107" s="1"/>
  <c r="J234" i="107"/>
  <c r="P324" i="107"/>
  <c r="P328" i="107"/>
  <c r="P325" i="107"/>
  <c r="M99" i="72"/>
  <c r="N99" i="72" s="1"/>
  <c r="O99" i="72"/>
  <c r="P99" i="72"/>
  <c r="Q99" i="72" s="1"/>
  <c r="P100" i="72"/>
  <c r="Q100" i="72" s="1"/>
  <c r="M100" i="72"/>
  <c r="N100" i="72" s="1"/>
  <c r="O100" i="72"/>
  <c r="L101" i="72" l="1"/>
  <c r="L102" i="72"/>
  <c r="P102" i="72" l="1"/>
  <c r="Q102" i="72" s="1"/>
  <c r="M102" i="72"/>
  <c r="N102" i="72" s="1"/>
  <c r="O102" i="72"/>
  <c r="P101" i="72"/>
  <c r="Q101" i="72" s="1"/>
  <c r="M101" i="72"/>
  <c r="N101" i="72" s="1"/>
  <c r="O101" i="72"/>
  <c r="L103" i="72"/>
  <c r="L104" i="72"/>
  <c r="P104" i="72" l="1"/>
  <c r="Q104" i="72" s="1"/>
  <c r="M104" i="72"/>
  <c r="N104" i="72" s="1"/>
  <c r="O104" i="72"/>
  <c r="O103" i="72"/>
  <c r="P103" i="72"/>
  <c r="Q103" i="72" s="1"/>
  <c r="M103" i="72"/>
  <c r="N103" i="72" s="1"/>
  <c r="L105" i="72"/>
  <c r="O105" i="72" l="1"/>
  <c r="P105" i="72"/>
  <c r="Q105" i="72" s="1"/>
  <c r="M105" i="72"/>
  <c r="N105" i="72" s="1"/>
  <c r="L106" i="72"/>
  <c r="O106" i="72" l="1"/>
  <c r="P106" i="72"/>
  <c r="Q106" i="72" s="1"/>
  <c r="M106" i="72"/>
  <c r="N106" i="72" s="1"/>
  <c r="L107" i="72"/>
  <c r="M107" i="72" l="1"/>
  <c r="N107" i="72" s="1"/>
  <c r="O107" i="72"/>
  <c r="P107" i="72"/>
  <c r="Q107" i="72" s="1"/>
  <c r="L108" i="72"/>
  <c r="P108" i="72" l="1"/>
  <c r="Q108" i="72" s="1"/>
  <c r="M108" i="72"/>
  <c r="N108" i="72" s="1"/>
  <c r="O108" i="72"/>
  <c r="L109" i="72"/>
  <c r="P109" i="72" l="1"/>
  <c r="Q109" i="72" s="1"/>
  <c r="M109" i="72"/>
  <c r="N109" i="72" s="1"/>
  <c r="O109" i="72"/>
  <c r="L110" i="72"/>
  <c r="P111" i="72" s="1"/>
  <c r="Q111" i="72" s="1"/>
  <c r="K160" i="72"/>
  <c r="M160" i="96" s="1"/>
  <c r="N160" i="96" s="1"/>
  <c r="O160" i="96" s="1"/>
  <c r="Q324" i="107" l="1"/>
  <c r="Q328" i="107"/>
  <c r="Q325" i="107"/>
  <c r="P110" i="72"/>
  <c r="Q110" i="72" s="1"/>
  <c r="M110" i="72"/>
  <c r="N110" i="72" s="1"/>
  <c r="O110" i="72"/>
  <c r="J5" i="11"/>
  <c r="C11" i="9"/>
  <c r="D11" i="9" s="1"/>
  <c r="E11" i="9" s="1"/>
  <c r="P337" i="107" l="1"/>
  <c r="S337" i="107" s="1"/>
  <c r="T337" i="107" s="1"/>
  <c r="S325" i="107"/>
  <c r="T325" i="107" s="1"/>
  <c r="P340" i="107"/>
  <c r="S340" i="107" s="1"/>
  <c r="T340" i="107" s="1"/>
  <c r="S328" i="107"/>
  <c r="T328" i="107" s="1"/>
  <c r="J6" i="11"/>
  <c r="K235" i="107" s="1"/>
  <c r="K234" i="107"/>
  <c r="P336" i="107"/>
  <c r="S336" i="107" s="1"/>
  <c r="T336" i="107" s="1"/>
  <c r="S324" i="107"/>
  <c r="T324" i="107" s="1"/>
  <c r="K5" i="11"/>
  <c r="L234" i="107" s="1"/>
  <c r="K6" i="11" l="1"/>
  <c r="L235" i="107" s="1"/>
  <c r="L12" i="72"/>
  <c r="L13" i="72"/>
  <c r="L15" i="72"/>
  <c r="L11" i="72"/>
  <c r="K153" i="72"/>
  <c r="M153" i="96" l="1"/>
  <c r="N153" i="96" s="1"/>
  <c r="P13" i="72"/>
  <c r="Q13" i="72" s="1"/>
  <c r="M13" i="72"/>
  <c r="N13" i="72" s="1"/>
  <c r="O13" i="72"/>
  <c r="P14" i="72"/>
  <c r="Q14" i="72" s="1"/>
  <c r="M11" i="72"/>
  <c r="N11" i="72" s="1"/>
  <c r="O11" i="72"/>
  <c r="P11" i="72"/>
  <c r="Q11" i="72" s="1"/>
  <c r="P15" i="72"/>
  <c r="Q15" i="72" s="1"/>
  <c r="O15" i="72"/>
  <c r="M15" i="72"/>
  <c r="N15" i="72" s="1"/>
  <c r="P16" i="72"/>
  <c r="Q16" i="72" s="1"/>
  <c r="P12" i="72"/>
  <c r="Q12" i="72" s="1"/>
  <c r="M12" i="72"/>
  <c r="N12" i="72" s="1"/>
  <c r="O12" i="72"/>
  <c r="C5" i="11"/>
  <c r="C4" i="9"/>
  <c r="D4" i="9" s="1"/>
  <c r="E4" i="9" s="1"/>
  <c r="B5" i="11"/>
  <c r="B6" i="11" l="1"/>
  <c r="C235" i="107" s="1"/>
  <c r="C234" i="107"/>
  <c r="C6" i="11"/>
  <c r="D235" i="107" s="1"/>
  <c r="D234" i="107"/>
  <c r="C11" i="73"/>
  <c r="C9" i="17" s="1"/>
  <c r="C10" i="73"/>
  <c r="C8" i="17" s="1"/>
  <c r="E86" i="72"/>
  <c r="K86" i="72" s="1"/>
  <c r="E86" i="96"/>
  <c r="J86" i="96" s="1"/>
  <c r="C22" i="17" l="1"/>
  <c r="C23" i="17"/>
  <c r="C24" i="17"/>
  <c r="K86" i="96"/>
  <c r="L86" i="96" s="1"/>
  <c r="M86" i="96" s="1"/>
  <c r="L86" i="72"/>
  <c r="E74" i="72"/>
  <c r="K74" i="72" s="1"/>
  <c r="E74" i="96"/>
  <c r="J74" i="96" s="1"/>
  <c r="H18" i="11"/>
  <c r="G18" i="11"/>
  <c r="I245" i="107" l="1"/>
  <c r="N301" i="107" s="1"/>
  <c r="H245" i="107"/>
  <c r="C13" i="17"/>
  <c r="O87" i="96"/>
  <c r="P87" i="96" s="1"/>
  <c r="N86" i="96"/>
  <c r="O86" i="96"/>
  <c r="P86" i="96" s="1"/>
  <c r="K74" i="96"/>
  <c r="L74" i="72"/>
  <c r="P87" i="72"/>
  <c r="Q87" i="72" s="1"/>
  <c r="M86" i="72"/>
  <c r="N86" i="72" s="1"/>
  <c r="P86" i="72"/>
  <c r="Q86" i="72" s="1"/>
  <c r="O86" i="72"/>
  <c r="O301" i="107" l="1"/>
  <c r="M313" i="107"/>
  <c r="C14" i="17"/>
  <c r="O3" i="17"/>
  <c r="Q4" i="17" s="1"/>
  <c r="K18" i="11"/>
  <c r="L245" i="107" s="1"/>
  <c r="N337" i="107" s="1"/>
  <c r="K50" i="11"/>
  <c r="N74" i="96"/>
  <c r="O74" i="96"/>
  <c r="P74" i="96" s="1"/>
  <c r="L74" i="96"/>
  <c r="M74" i="96" s="1"/>
  <c r="P74" i="72"/>
  <c r="Q74" i="72" s="1"/>
  <c r="M74" i="72"/>
  <c r="N74" i="72" s="1"/>
  <c r="O74" i="72"/>
  <c r="L18" i="11"/>
  <c r="M349" i="107" l="1"/>
  <c r="M355" i="107" s="1"/>
  <c r="O337" i="107"/>
  <c r="O343" i="107" s="1"/>
  <c r="N343" i="107"/>
  <c r="M245" i="107"/>
  <c r="N349" i="107" s="1"/>
  <c r="O313" i="107"/>
  <c r="K46" i="11"/>
  <c r="Q5" i="17"/>
  <c r="Q6" i="17" s="1"/>
  <c r="Q7" i="17" s="1"/>
  <c r="Q8" i="17" s="1"/>
  <c r="Q9" i="17" s="1"/>
  <c r="Q10" i="17" s="1"/>
  <c r="Q11" i="17" s="1"/>
  <c r="Q12" i="17" s="1"/>
  <c r="Q13" i="17" s="1"/>
  <c r="Q14" i="17" s="1"/>
  <c r="Q15" i="17" s="1"/>
  <c r="R4" i="17" s="1"/>
  <c r="I29" i="9"/>
  <c r="I39" i="9" s="1"/>
  <c r="I28" i="9"/>
  <c r="I38" i="9" s="1"/>
  <c r="M18" i="11"/>
  <c r="C56" i="107" s="1" a="1"/>
  <c r="M361" i="107" l="1"/>
  <c r="D349" i="107"/>
  <c r="E349" i="107" s="1"/>
  <c r="O349" i="107"/>
  <c r="K63" i="11"/>
  <c r="L273" i="107"/>
  <c r="C56" i="107"/>
  <c r="C76" i="107"/>
  <c r="C75" i="107"/>
  <c r="C73" i="107"/>
  <c r="C72" i="107"/>
  <c r="C71" i="107"/>
  <c r="C78" i="107"/>
  <c r="C79" i="107"/>
  <c r="C77" i="107"/>
  <c r="C74" i="107"/>
  <c r="N245" i="107"/>
  <c r="N361" i="107" s="1"/>
  <c r="B45" i="102" a="1"/>
  <c r="R5" i="17"/>
  <c r="R6" i="17" s="1"/>
  <c r="R7" i="17" s="1"/>
  <c r="R8" i="17" s="1"/>
  <c r="R9" i="17" s="1"/>
  <c r="R10" i="17" s="1"/>
  <c r="R11" i="17" s="1"/>
  <c r="R12" i="17" s="1"/>
  <c r="R13" i="17" s="1"/>
  <c r="R14" i="17" s="1"/>
  <c r="R15" i="17" s="1"/>
  <c r="Q16" i="17"/>
  <c r="E123" i="96" a="1"/>
  <c r="E123" i="72" a="1"/>
  <c r="O361" i="107" l="1"/>
  <c r="C70" i="107"/>
  <c r="B45" i="102"/>
  <c r="C46" i="102" s="1"/>
  <c r="K46" i="102"/>
  <c r="D46" i="102"/>
  <c r="L46" i="102"/>
  <c r="E46" i="102"/>
  <c r="M46" i="102"/>
  <c r="F46" i="102"/>
  <c r="G46" i="102"/>
  <c r="H46" i="102"/>
  <c r="I46" i="102"/>
  <c r="J46" i="102"/>
  <c r="E123" i="96"/>
  <c r="J123" i="96" s="1"/>
  <c r="J133" i="96"/>
  <c r="J129" i="96"/>
  <c r="J131" i="96"/>
  <c r="J124" i="96"/>
  <c r="J127" i="96"/>
  <c r="J125" i="96"/>
  <c r="J126" i="96"/>
  <c r="J134" i="96"/>
  <c r="J130" i="96"/>
  <c r="J132" i="96"/>
  <c r="J128" i="96"/>
  <c r="E135" i="72" a="1"/>
  <c r="E135" i="96" a="1"/>
  <c r="R16" i="17"/>
  <c r="E123" i="72"/>
  <c r="K123" i="72" s="1"/>
  <c r="K128" i="72"/>
  <c r="K126" i="72"/>
  <c r="K127" i="72"/>
  <c r="K124" i="72"/>
  <c r="K129" i="72"/>
  <c r="K133" i="72"/>
  <c r="K125" i="72"/>
  <c r="K131" i="72"/>
  <c r="K130" i="72"/>
  <c r="K132" i="72"/>
  <c r="K134" i="72"/>
  <c r="K43" i="11"/>
  <c r="L270" i="107" s="1"/>
  <c r="K38" i="11"/>
  <c r="L265" i="107" s="1"/>
  <c r="K29" i="11"/>
  <c r="L256" i="107" s="1"/>
  <c r="K162" i="72" l="1"/>
  <c r="E135" i="72"/>
  <c r="K135" i="72" s="1"/>
  <c r="K137" i="72"/>
  <c r="K139" i="72"/>
  <c r="K140" i="72"/>
  <c r="K136" i="72"/>
  <c r="K141" i="72"/>
  <c r="K138" i="72"/>
  <c r="K143" i="72"/>
  <c r="K145" i="72"/>
  <c r="K142" i="72"/>
  <c r="K144" i="72"/>
  <c r="K146" i="72"/>
  <c r="E135" i="96"/>
  <c r="J135" i="96" s="1"/>
  <c r="J138" i="96"/>
  <c r="J146" i="96"/>
  <c r="J142" i="96"/>
  <c r="J143" i="96"/>
  <c r="J137" i="96"/>
  <c r="J140" i="96"/>
  <c r="J136" i="96"/>
  <c r="J139" i="96"/>
  <c r="J145" i="96"/>
  <c r="J144" i="96"/>
  <c r="J141" i="96"/>
  <c r="J162" i="96"/>
  <c r="K52" i="11"/>
  <c r="K24" i="11"/>
  <c r="K51" i="11"/>
  <c r="K48" i="11" l="1"/>
  <c r="L275" i="107" s="1"/>
  <c r="L251" i="107"/>
  <c r="J163" i="96"/>
  <c r="M162" i="96"/>
  <c r="N162" i="96" s="1"/>
  <c r="O162" i="96" s="1"/>
  <c r="L5" i="11"/>
  <c r="M234" i="107" s="1"/>
  <c r="C13" i="9"/>
  <c r="K163" i="72"/>
  <c r="K65" i="11" l="1"/>
  <c r="K70" i="11"/>
  <c r="G13" i="9"/>
  <c r="M163" i="96"/>
  <c r="N163" i="96" s="1"/>
  <c r="C14" i="9"/>
  <c r="M5" i="11"/>
  <c r="O163" i="96" l="1"/>
  <c r="N234" i="107"/>
  <c r="G14" i="9"/>
  <c r="K67" i="11"/>
  <c r="K47" i="11"/>
  <c r="L274" i="107" s="1"/>
  <c r="K69" i="11" l="1"/>
  <c r="K64" i="11"/>
  <c r="B11" i="73" l="1"/>
  <c r="B9" i="17" s="1"/>
  <c r="D300" i="107" s="1" a="1"/>
  <c r="C96" i="73"/>
  <c r="E75" i="96" s="1"/>
  <c r="J75" i="96" s="1"/>
  <c r="C97" i="73"/>
  <c r="E76" i="96" s="1"/>
  <c r="J76" i="96" s="1"/>
  <c r="K76" i="96" s="1"/>
  <c r="E76" i="72" l="1"/>
  <c r="K76" i="72" s="1"/>
  <c r="L76" i="72" s="1"/>
  <c r="O76" i="72" s="1"/>
  <c r="K75" i="96"/>
  <c r="N75" i="96" s="1"/>
  <c r="J158" i="96"/>
  <c r="E75" i="72"/>
  <c r="K75" i="72" s="1"/>
  <c r="L75" i="72" s="1"/>
  <c r="O77" i="96"/>
  <c r="P77" i="96" s="1"/>
  <c r="L76" i="96"/>
  <c r="M76" i="96" s="1"/>
  <c r="N76" i="96"/>
  <c r="H14" i="11"/>
  <c r="B10" i="73"/>
  <c r="B8" i="17" s="1"/>
  <c r="B23" i="17" s="1"/>
  <c r="C84" i="73"/>
  <c r="L9" i="17"/>
  <c r="I9" i="17"/>
  <c r="H50" i="11" s="1"/>
  <c r="D300" i="107"/>
  <c r="C315" i="107"/>
  <c r="E315" i="107" s="1"/>
  <c r="C318" i="107"/>
  <c r="E318" i="107" s="1"/>
  <c r="E302" i="107"/>
  <c r="E303" i="107"/>
  <c r="C313" i="107"/>
  <c r="E313" i="107" s="1"/>
  <c r="C316" i="107"/>
  <c r="E316" i="107" s="1"/>
  <c r="E304" i="107"/>
  <c r="E301" i="107"/>
  <c r="E305" i="107"/>
  <c r="C314" i="107"/>
  <c r="E314" i="107" s="1"/>
  <c r="C317" i="107"/>
  <c r="E317" i="107" s="1"/>
  <c r="E306" i="107"/>
  <c r="B24" i="17"/>
  <c r="C85" i="73"/>
  <c r="L75" i="96" l="1"/>
  <c r="M75" i="96" s="1"/>
  <c r="P77" i="72"/>
  <c r="Q77" i="72" s="1"/>
  <c r="M76" i="72"/>
  <c r="N76" i="72" s="1"/>
  <c r="P76" i="72"/>
  <c r="Q76" i="72" s="1"/>
  <c r="K158" i="72"/>
  <c r="H5" i="11" s="1"/>
  <c r="P75" i="72"/>
  <c r="Q75" i="72" s="1"/>
  <c r="O75" i="72"/>
  <c r="M75" i="72"/>
  <c r="N75" i="72" s="1"/>
  <c r="O76" i="96"/>
  <c r="P76" i="96" s="1"/>
  <c r="O75" i="96"/>
  <c r="P75" i="96" s="1"/>
  <c r="D307" i="107"/>
  <c r="E300" i="107"/>
  <c r="E307" i="107" s="1"/>
  <c r="C312" i="107"/>
  <c r="E64" i="72"/>
  <c r="K64" i="72" s="1"/>
  <c r="L64" i="72" s="1"/>
  <c r="E64" i="96"/>
  <c r="J64" i="96" s="1"/>
  <c r="K64" i="96" s="1"/>
  <c r="I241" i="107"/>
  <c r="N300" i="107" s="1"/>
  <c r="H46" i="11"/>
  <c r="E63" i="72"/>
  <c r="K63" i="72" s="1"/>
  <c r="E63" i="96"/>
  <c r="J63" i="96" s="1"/>
  <c r="B22" i="17"/>
  <c r="B33" i="17" s="1"/>
  <c r="B31" i="17" s="1"/>
  <c r="I8" i="17"/>
  <c r="G50" i="11" s="1"/>
  <c r="L8" i="17"/>
  <c r="G14" i="11"/>
  <c r="M158" i="96" l="1"/>
  <c r="N158" i="96" s="1"/>
  <c r="O158" i="96" s="1"/>
  <c r="Q304" i="107" s="1"/>
  <c r="C9" i="9"/>
  <c r="D9" i="9" s="1"/>
  <c r="E9" i="9" s="1"/>
  <c r="O64" i="72"/>
  <c r="P65" i="72"/>
  <c r="Q65" i="72" s="1"/>
  <c r="M64" i="72"/>
  <c r="N64" i="72" s="1"/>
  <c r="B169" i="107"/>
  <c r="B13" i="17"/>
  <c r="K150" i="72"/>
  <c r="K157" i="72"/>
  <c r="L63" i="72"/>
  <c r="P64" i="72" s="1"/>
  <c r="Q64" i="72" s="1"/>
  <c r="C319" i="107"/>
  <c r="E312" i="107"/>
  <c r="E319" i="107" s="1"/>
  <c r="L64" i="96"/>
  <c r="M64" i="96" s="1"/>
  <c r="N64" i="96"/>
  <c r="O65" i="96"/>
  <c r="P65" i="96" s="1"/>
  <c r="I234" i="107"/>
  <c r="H6" i="11"/>
  <c r="I235" i="107" s="1"/>
  <c r="K63" i="96"/>
  <c r="O64" i="96" s="1"/>
  <c r="P64" i="96" s="1"/>
  <c r="J150" i="96"/>
  <c r="J157" i="96"/>
  <c r="I273" i="107"/>
  <c r="H63" i="11"/>
  <c r="H241" i="107"/>
  <c r="G46" i="11"/>
  <c r="N307" i="107"/>
  <c r="O300" i="107"/>
  <c r="O307" i="107" s="1"/>
  <c r="M312" i="107"/>
  <c r="Q301" i="107" l="1"/>
  <c r="S301" i="107" s="1"/>
  <c r="T301" i="107" s="1"/>
  <c r="Q300" i="107"/>
  <c r="P312" i="107" s="1"/>
  <c r="S312" i="107" s="1"/>
  <c r="T312" i="107" s="1"/>
  <c r="L14" i="11"/>
  <c r="I13" i="17"/>
  <c r="L50" i="11" s="1"/>
  <c r="L13" i="17"/>
  <c r="Q17" i="17" s="1"/>
  <c r="Q18" i="17" s="1"/>
  <c r="B14" i="17"/>
  <c r="B143" i="107" s="1" a="1"/>
  <c r="H28" i="9"/>
  <c r="C115" i="107" a="1"/>
  <c r="G5" i="11"/>
  <c r="K167" i="72"/>
  <c r="L167" i="72" s="1"/>
  <c r="K165" i="72"/>
  <c r="L165" i="72" s="1"/>
  <c r="C8" i="9"/>
  <c r="D8" i="9" s="1"/>
  <c r="E8" i="9" s="1"/>
  <c r="M157" i="96"/>
  <c r="N157" i="96" s="1"/>
  <c r="F115" i="107" s="1" a="1"/>
  <c r="E115" i="107" a="1"/>
  <c r="E115" i="107" s="1"/>
  <c r="J165" i="96"/>
  <c r="K165" i="96" s="1"/>
  <c r="J167" i="96"/>
  <c r="K167" i="96" s="1"/>
  <c r="H273" i="107"/>
  <c r="G63" i="11"/>
  <c r="L63" i="96"/>
  <c r="M63" i="96" s="1"/>
  <c r="M123" i="96" s="1"/>
  <c r="S26" i="96" s="1"/>
  <c r="N63" i="96"/>
  <c r="N123" i="96" s="1"/>
  <c r="S28" i="96" s="1"/>
  <c r="O63" i="96"/>
  <c r="P63" i="96" s="1"/>
  <c r="P123" i="96" s="1"/>
  <c r="S27" i="96" s="1"/>
  <c r="M319" i="107"/>
  <c r="O312" i="107"/>
  <c r="O319" i="107" s="1"/>
  <c r="P316" i="107"/>
  <c r="S316" i="107" s="1"/>
  <c r="T316" i="107" s="1"/>
  <c r="S304" i="107"/>
  <c r="T304" i="107" s="1"/>
  <c r="O63" i="72"/>
  <c r="O123" i="72" s="1"/>
  <c r="T28" i="72" s="1"/>
  <c r="P63" i="72"/>
  <c r="Q63" i="72" s="1"/>
  <c r="Q123" i="72" s="1"/>
  <c r="T27" i="72" s="1"/>
  <c r="M63" i="72"/>
  <c r="N63" i="72" s="1"/>
  <c r="N123" i="72" s="1"/>
  <c r="T26" i="72" s="1"/>
  <c r="B104" i="107" s="1"/>
  <c r="P313" i="107" l="1"/>
  <c r="S313" i="107" s="1"/>
  <c r="T313" i="107" s="1"/>
  <c r="S300" i="107"/>
  <c r="T300" i="107" s="1"/>
  <c r="T30" i="72"/>
  <c r="B103" i="107" s="1"/>
  <c r="B143" i="107"/>
  <c r="I143" i="107" s="1"/>
  <c r="I150" i="107"/>
  <c r="E159" i="107"/>
  <c r="F160" i="107"/>
  <c r="G161" i="107"/>
  <c r="H162" i="107"/>
  <c r="B164" i="107"/>
  <c r="C165" i="107"/>
  <c r="D166" i="107"/>
  <c r="E167" i="107"/>
  <c r="I151" i="107"/>
  <c r="F159" i="107"/>
  <c r="G160" i="107"/>
  <c r="H161" i="107"/>
  <c r="B163" i="107"/>
  <c r="C164" i="107"/>
  <c r="D165" i="107"/>
  <c r="E166" i="107"/>
  <c r="F167" i="107"/>
  <c r="I144" i="107"/>
  <c r="I152" i="107"/>
  <c r="G159" i="107"/>
  <c r="H160" i="107"/>
  <c r="B162" i="107"/>
  <c r="C163" i="107"/>
  <c r="D164" i="107"/>
  <c r="E165" i="107"/>
  <c r="F166" i="107"/>
  <c r="G167" i="107"/>
  <c r="I145" i="107"/>
  <c r="I153" i="107"/>
  <c r="H159" i="107"/>
  <c r="B161" i="107"/>
  <c r="C162" i="107"/>
  <c r="D163" i="107"/>
  <c r="E164" i="107"/>
  <c r="F165" i="107"/>
  <c r="G166" i="107"/>
  <c r="H167" i="107"/>
  <c r="I146" i="107"/>
  <c r="I154" i="107"/>
  <c r="B160" i="107"/>
  <c r="C161" i="107"/>
  <c r="D162" i="107"/>
  <c r="E163" i="107"/>
  <c r="F164" i="107"/>
  <c r="G165" i="107"/>
  <c r="H166" i="107"/>
  <c r="I147" i="107"/>
  <c r="C160" i="107"/>
  <c r="D161" i="107"/>
  <c r="E162" i="107"/>
  <c r="F163" i="107"/>
  <c r="G164" i="107"/>
  <c r="H165" i="107"/>
  <c r="B167" i="107"/>
  <c r="I148" i="107"/>
  <c r="C159" i="107"/>
  <c r="D160" i="107"/>
  <c r="E161" i="107"/>
  <c r="F162" i="107"/>
  <c r="G163" i="107"/>
  <c r="H164" i="107"/>
  <c r="B166" i="107"/>
  <c r="C167" i="107"/>
  <c r="I149" i="107"/>
  <c r="D159" i="107"/>
  <c r="E160" i="107"/>
  <c r="F161" i="107"/>
  <c r="G162" i="107"/>
  <c r="H163" i="107"/>
  <c r="B165" i="107"/>
  <c r="C166" i="107"/>
  <c r="D167" i="107"/>
  <c r="G28" i="9"/>
  <c r="G38" i="9" s="1"/>
  <c r="H38" i="9"/>
  <c r="M14" i="11"/>
  <c r="B56" i="107" s="1" a="1"/>
  <c r="I14" i="17"/>
  <c r="M50" i="11" s="1"/>
  <c r="L14" i="17"/>
  <c r="R17" i="17" s="1"/>
  <c r="R18" i="17" s="1"/>
  <c r="H29" i="9"/>
  <c r="M241" i="107"/>
  <c r="N348" i="107" s="1"/>
  <c r="L46" i="11"/>
  <c r="H234" i="107"/>
  <c r="G6" i="11"/>
  <c r="H235" i="107" s="1"/>
  <c r="B174" i="107" a="1"/>
  <c r="C38" i="107"/>
  <c r="C86" i="107" s="1"/>
  <c r="C39" i="107"/>
  <c r="C87" i="107" s="1"/>
  <c r="C40" i="107"/>
  <c r="C88" i="107" s="1"/>
  <c r="C41" i="107"/>
  <c r="C89" i="107" s="1"/>
  <c r="C42" i="107"/>
  <c r="C90" i="107" s="1"/>
  <c r="C43" i="107"/>
  <c r="C91" i="107" s="1"/>
  <c r="C44" i="107"/>
  <c r="C92" i="107" s="1"/>
  <c r="C45" i="107"/>
  <c r="C93" i="107" s="1"/>
  <c r="C46" i="107"/>
  <c r="C94" i="107" s="1"/>
  <c r="G117" i="107"/>
  <c r="G121" i="107"/>
  <c r="D38" i="107"/>
  <c r="D86" i="107" s="1"/>
  <c r="D39" i="107"/>
  <c r="D87" i="107" s="1"/>
  <c r="D40" i="107"/>
  <c r="D88" i="107" s="1"/>
  <c r="D41" i="107"/>
  <c r="D89" i="107" s="1"/>
  <c r="D42" i="107"/>
  <c r="D90" i="107" s="1"/>
  <c r="D43" i="107"/>
  <c r="D91" i="107" s="1"/>
  <c r="D44" i="107"/>
  <c r="D92" i="107" s="1"/>
  <c r="D45" i="107"/>
  <c r="D93" i="107" s="1"/>
  <c r="D46" i="107"/>
  <c r="D94" i="107" s="1"/>
  <c r="E38" i="107"/>
  <c r="E86" i="107" s="1"/>
  <c r="E39" i="107"/>
  <c r="E87" i="107" s="1"/>
  <c r="E40" i="107"/>
  <c r="E88" i="107" s="1"/>
  <c r="E41" i="107"/>
  <c r="E89" i="107" s="1"/>
  <c r="E42" i="107"/>
  <c r="E90" i="107" s="1"/>
  <c r="E43" i="107"/>
  <c r="E91" i="107" s="1"/>
  <c r="E44" i="107"/>
  <c r="E92" i="107" s="1"/>
  <c r="E45" i="107"/>
  <c r="E93" i="107" s="1"/>
  <c r="E46" i="107"/>
  <c r="E94" i="107" s="1"/>
  <c r="G118" i="107"/>
  <c r="G122" i="107"/>
  <c r="F38" i="107"/>
  <c r="F86" i="107" s="1"/>
  <c r="F39" i="107"/>
  <c r="F87" i="107" s="1"/>
  <c r="F40" i="107"/>
  <c r="F88" i="107" s="1"/>
  <c r="F41" i="107"/>
  <c r="F89" i="107" s="1"/>
  <c r="F42" i="107"/>
  <c r="F90" i="107" s="1"/>
  <c r="F43" i="107"/>
  <c r="F91" i="107" s="1"/>
  <c r="F44" i="107"/>
  <c r="F92" i="107" s="1"/>
  <c r="F45" i="107"/>
  <c r="F93" i="107" s="1"/>
  <c r="F46" i="107"/>
  <c r="F94" i="107" s="1"/>
  <c r="F115" i="107"/>
  <c r="G38" i="107"/>
  <c r="G86" i="107" s="1"/>
  <c r="G39" i="107"/>
  <c r="G87" i="107" s="1"/>
  <c r="G40" i="107"/>
  <c r="G88" i="107" s="1"/>
  <c r="G41" i="107"/>
  <c r="G89" i="107" s="1"/>
  <c r="G42" i="107"/>
  <c r="G90" i="107" s="1"/>
  <c r="G43" i="107"/>
  <c r="G91" i="107" s="1"/>
  <c r="G44" i="107"/>
  <c r="G92" i="107" s="1"/>
  <c r="G45" i="107"/>
  <c r="G93" i="107" s="1"/>
  <c r="G46" i="107"/>
  <c r="G94" i="107" s="1"/>
  <c r="G119" i="107"/>
  <c r="G123" i="107"/>
  <c r="H38" i="107"/>
  <c r="H86" i="107" s="1"/>
  <c r="H39" i="107"/>
  <c r="H87" i="107" s="1"/>
  <c r="H40" i="107"/>
  <c r="H88" i="107" s="1"/>
  <c r="H41" i="107"/>
  <c r="H89" i="107" s="1"/>
  <c r="H42" i="107"/>
  <c r="H90" i="107" s="1"/>
  <c r="H43" i="107"/>
  <c r="H91" i="107" s="1"/>
  <c r="H44" i="107"/>
  <c r="H92" i="107" s="1"/>
  <c r="H45" i="107"/>
  <c r="H93" i="107" s="1"/>
  <c r="H46" i="107"/>
  <c r="H94" i="107" s="1"/>
  <c r="G116" i="107"/>
  <c r="G120" i="107"/>
  <c r="G124" i="107"/>
  <c r="B38" i="107"/>
  <c r="B39" i="107"/>
  <c r="B40" i="107"/>
  <c r="B41" i="107"/>
  <c r="B42" i="107"/>
  <c r="B43" i="107"/>
  <c r="B44" i="107"/>
  <c r="B45" i="107"/>
  <c r="B46" i="107"/>
  <c r="S30" i="96"/>
  <c r="D118" i="107"/>
  <c r="D122" i="107"/>
  <c r="D119" i="107"/>
  <c r="D123" i="107"/>
  <c r="D116" i="107"/>
  <c r="D120" i="107"/>
  <c r="D124" i="107"/>
  <c r="C115" i="107"/>
  <c r="D115" i="107" s="1"/>
  <c r="D117" i="107"/>
  <c r="D121" i="107"/>
  <c r="B159" i="107" l="1"/>
  <c r="B13" i="102" a="1"/>
  <c r="B13" i="102" s="1"/>
  <c r="N241" i="107"/>
  <c r="N360" i="107" s="1"/>
  <c r="M46" i="11"/>
  <c r="B141" i="102" s="1" a="1"/>
  <c r="B56" i="107"/>
  <c r="I63" i="107"/>
  <c r="B73" i="107"/>
  <c r="I64" i="107"/>
  <c r="B74" i="107"/>
  <c r="I57" i="107"/>
  <c r="I65" i="107"/>
  <c r="B75" i="107"/>
  <c r="I58" i="107"/>
  <c r="I66" i="107"/>
  <c r="B76" i="107"/>
  <c r="I59" i="107"/>
  <c r="I67" i="107"/>
  <c r="B77" i="107"/>
  <c r="I60" i="107"/>
  <c r="B78" i="107"/>
  <c r="I61" i="107"/>
  <c r="B71" i="107"/>
  <c r="B79" i="107"/>
  <c r="I62" i="107"/>
  <c r="B72" i="107"/>
  <c r="O38" i="9"/>
  <c r="H43" i="9" s="1"/>
  <c r="B32" i="102" a="1"/>
  <c r="B91" i="107"/>
  <c r="I43" i="107"/>
  <c r="B90" i="107"/>
  <c r="I42" i="107"/>
  <c r="B88" i="107"/>
  <c r="I40" i="107"/>
  <c r="M273" i="107"/>
  <c r="L63" i="11"/>
  <c r="I46" i="107"/>
  <c r="B94" i="107"/>
  <c r="I38" i="107"/>
  <c r="B86" i="107"/>
  <c r="C37" i="107"/>
  <c r="C85" i="107" s="1"/>
  <c r="D37" i="107"/>
  <c r="D85" i="107" s="1"/>
  <c r="E37" i="107"/>
  <c r="E85" i="107" s="1"/>
  <c r="F37" i="107"/>
  <c r="F85" i="107" s="1"/>
  <c r="G37" i="107"/>
  <c r="G85" i="107" s="1"/>
  <c r="G115" i="107"/>
  <c r="H37" i="107"/>
  <c r="H85" i="107" s="1"/>
  <c r="B37" i="107"/>
  <c r="M360" i="107"/>
  <c r="M367" i="107" s="1"/>
  <c r="O348" i="107"/>
  <c r="O355" i="107" s="1"/>
  <c r="D348" i="107"/>
  <c r="N355" i="107"/>
  <c r="B89" i="107"/>
  <c r="I41" i="107"/>
  <c r="B87" i="107"/>
  <c r="I39" i="107"/>
  <c r="I175" i="107"/>
  <c r="B192" i="107"/>
  <c r="B203" i="107" s="1"/>
  <c r="C192" i="107"/>
  <c r="C203" i="107" s="1"/>
  <c r="C191" i="107"/>
  <c r="C202" i="107" s="1"/>
  <c r="D192" i="107"/>
  <c r="D203" i="107" s="1"/>
  <c r="D191" i="107"/>
  <c r="D202" i="107" s="1"/>
  <c r="E192" i="107"/>
  <c r="E203" i="107" s="1"/>
  <c r="E191" i="107"/>
  <c r="E202" i="107" s="1"/>
  <c r="F192" i="107"/>
  <c r="F203" i="107" s="1"/>
  <c r="F191" i="107"/>
  <c r="F202" i="107" s="1"/>
  <c r="G192" i="107"/>
  <c r="G203" i="107" s="1"/>
  <c r="B174" i="107"/>
  <c r="G191" i="107"/>
  <c r="G202" i="107" s="1"/>
  <c r="H192" i="107"/>
  <c r="H203" i="107" s="1"/>
  <c r="H191" i="107"/>
  <c r="H202" i="107" s="1"/>
  <c r="H39" i="9"/>
  <c r="G29" i="9"/>
  <c r="G39" i="9" s="1"/>
  <c r="I45" i="107"/>
  <c r="B93" i="107"/>
  <c r="B92" i="107"/>
  <c r="I44" i="107"/>
  <c r="F7" i="107" l="1" a="1"/>
  <c r="G15" i="107" s="1"/>
  <c r="E16" i="102"/>
  <c r="L16" i="102"/>
  <c r="D16" i="102"/>
  <c r="C16" i="102"/>
  <c r="K16" i="102"/>
  <c r="J16" i="102"/>
  <c r="I16" i="102"/>
  <c r="G16" i="102"/>
  <c r="M16" i="102"/>
  <c r="F16" i="102"/>
  <c r="H16" i="102"/>
  <c r="H33" i="9"/>
  <c r="N273" i="107"/>
  <c r="M63" i="11"/>
  <c r="B191" i="107"/>
  <c r="B202" i="107" s="1"/>
  <c r="I174" i="107"/>
  <c r="D355" i="107"/>
  <c r="E348" i="107"/>
  <c r="E355" i="107" s="1"/>
  <c r="N367" i="107"/>
  <c r="O360" i="107"/>
  <c r="O367" i="107" s="1"/>
  <c r="D33" i="102"/>
  <c r="L33" i="102"/>
  <c r="E33" i="102"/>
  <c r="M33" i="102"/>
  <c r="H33" i="102"/>
  <c r="I33" i="102"/>
  <c r="B32" i="102"/>
  <c r="C33" i="102" s="1"/>
  <c r="J33" i="102"/>
  <c r="K33" i="102"/>
  <c r="F33" i="102"/>
  <c r="G33" i="102"/>
  <c r="M43" i="9"/>
  <c r="M33" i="9" s="1"/>
  <c r="N43" i="9"/>
  <c r="N33" i="9" s="1"/>
  <c r="I43" i="9"/>
  <c r="I33" i="9" s="1"/>
  <c r="J43" i="9"/>
  <c r="J33" i="9" s="1"/>
  <c r="L43" i="9"/>
  <c r="L33" i="9" s="1"/>
  <c r="K43" i="9"/>
  <c r="K33" i="9" s="1"/>
  <c r="I56" i="107"/>
  <c r="B70" i="107"/>
  <c r="H142" i="102"/>
  <c r="I142" i="102"/>
  <c r="B141" i="102"/>
  <c r="C142" i="102" s="1"/>
  <c r="J142" i="102"/>
  <c r="K142" i="102"/>
  <c r="D142" i="102"/>
  <c r="L142" i="102"/>
  <c r="E142" i="102"/>
  <c r="M142" i="102"/>
  <c r="F142" i="102"/>
  <c r="G142" i="102"/>
  <c r="I203" i="107"/>
  <c r="O39" i="9"/>
  <c r="H44" i="9" s="1"/>
  <c r="I37" i="107"/>
  <c r="B85" i="107"/>
  <c r="G16" i="107" l="1"/>
  <c r="G9" i="107"/>
  <c r="G18" i="107"/>
  <c r="G14" i="107"/>
  <c r="F7" i="107"/>
  <c r="G8" i="107" s="1"/>
  <c r="G11" i="107"/>
  <c r="G12" i="107"/>
  <c r="G10" i="107"/>
  <c r="G13" i="107"/>
  <c r="G17" i="107"/>
  <c r="I202" i="107"/>
  <c r="F47" i="107"/>
  <c r="F95" i="107" s="1"/>
  <c r="L33" i="11"/>
  <c r="D47" i="107"/>
  <c r="D95" i="107" s="1"/>
  <c r="B12" i="18"/>
  <c r="L23" i="11"/>
  <c r="C47" i="107"/>
  <c r="C95" i="107" s="1"/>
  <c r="L19" i="11"/>
  <c r="H47" i="107"/>
  <c r="H95" i="107" s="1"/>
  <c r="L42" i="11"/>
  <c r="E12" i="18"/>
  <c r="L43" i="11" s="1"/>
  <c r="G47" i="107"/>
  <c r="G95" i="107" s="1"/>
  <c r="L37" i="11"/>
  <c r="D12" i="18"/>
  <c r="L38" i="11" s="1"/>
  <c r="H34" i="9"/>
  <c r="M44" i="9"/>
  <c r="M34" i="9" s="1"/>
  <c r="I44" i="9"/>
  <c r="I34" i="9" s="1"/>
  <c r="N44" i="9"/>
  <c r="N34" i="9" s="1"/>
  <c r="J44" i="9"/>
  <c r="J34" i="9" s="1"/>
  <c r="K44" i="9"/>
  <c r="K34" i="9" s="1"/>
  <c r="L44" i="9"/>
  <c r="L34" i="9" s="1"/>
  <c r="B47" i="107"/>
  <c r="G33" i="9"/>
  <c r="L10" i="11" s="1"/>
  <c r="O33" i="9"/>
  <c r="L15" i="11"/>
  <c r="G43" i="9"/>
  <c r="E47" i="107"/>
  <c r="E95" i="107" s="1"/>
  <c r="L28" i="11"/>
  <c r="C12" i="18"/>
  <c r="L29" i="11" s="1"/>
  <c r="P33" i="9" l="1"/>
  <c r="B205" i="107" a="1"/>
  <c r="B95" i="107"/>
  <c r="I47" i="107"/>
  <c r="G44" i="9"/>
  <c r="E48" i="107"/>
  <c r="E96" i="107" s="1"/>
  <c r="C13" i="18"/>
  <c r="M29" i="11" s="1"/>
  <c r="N256" i="107" s="1"/>
  <c r="Q363" i="107" s="1"/>
  <c r="M28" i="11"/>
  <c r="N255" i="107" s="1"/>
  <c r="M250" i="107"/>
  <c r="H48" i="107"/>
  <c r="H96" i="107" s="1"/>
  <c r="E13" i="18"/>
  <c r="M43" i="11" s="1"/>
  <c r="N270" i="107" s="1"/>
  <c r="M42" i="11"/>
  <c r="N269" i="107" s="1"/>
  <c r="M265" i="107"/>
  <c r="M264" i="107"/>
  <c r="M256" i="107"/>
  <c r="Q351" i="107" s="1"/>
  <c r="M255" i="107"/>
  <c r="L24" i="11"/>
  <c r="F12" i="18"/>
  <c r="D48" i="107"/>
  <c r="D96" i="107" s="1"/>
  <c r="B13" i="18"/>
  <c r="M23" i="11"/>
  <c r="N250" i="107" s="1"/>
  <c r="M260" i="107"/>
  <c r="Q352" i="107" s="1"/>
  <c r="M242" i="107"/>
  <c r="Q348" i="107" s="1"/>
  <c r="L67" i="11"/>
  <c r="L47" i="11"/>
  <c r="M269" i="107"/>
  <c r="G48" i="107"/>
  <c r="G96" i="107" s="1"/>
  <c r="M37" i="11"/>
  <c r="N264" i="107" s="1"/>
  <c r="D13" i="18"/>
  <c r="M38" i="11" s="1"/>
  <c r="N265" i="107" s="1"/>
  <c r="F48" i="107"/>
  <c r="F96" i="107" s="1"/>
  <c r="M33" i="11"/>
  <c r="N260" i="107" s="1"/>
  <c r="Q364" i="107" s="1"/>
  <c r="M270" i="107"/>
  <c r="C48" i="107"/>
  <c r="C96" i="107" s="1"/>
  <c r="M19" i="11"/>
  <c r="N246" i="107" s="1"/>
  <c r="Q361" i="107" s="1"/>
  <c r="M237" i="107"/>
  <c r="L51" i="11"/>
  <c r="B48" i="107"/>
  <c r="G34" i="9"/>
  <c r="M10" i="11" s="1"/>
  <c r="B7" i="107" s="1" a="1"/>
  <c r="O34" i="9"/>
  <c r="M15" i="11"/>
  <c r="B34" i="102" s="1" a="1"/>
  <c r="M246" i="107"/>
  <c r="Q349" i="107" s="1"/>
  <c r="B47" i="102" l="1" a="1"/>
  <c r="F48" i="102" s="1"/>
  <c r="B18" i="102" a="1"/>
  <c r="J19" i="102" s="1"/>
  <c r="B62" i="102" a="1"/>
  <c r="F63" i="102" s="1"/>
  <c r="B81" i="102" a="1"/>
  <c r="G82" i="102" s="1"/>
  <c r="B109" i="102" a="1"/>
  <c r="L110" i="102" s="1"/>
  <c r="B126" i="102" a="1"/>
  <c r="E127" i="102" s="1"/>
  <c r="B96" i="107"/>
  <c r="I48" i="107"/>
  <c r="H54" i="11"/>
  <c r="L52" i="11"/>
  <c r="D9" i="107"/>
  <c r="D11" i="107"/>
  <c r="D13" i="107"/>
  <c r="D15" i="107"/>
  <c r="D17" i="107"/>
  <c r="C10" i="107"/>
  <c r="C12" i="107"/>
  <c r="C14" i="107"/>
  <c r="C16" i="107"/>
  <c r="C18" i="107"/>
  <c r="D8" i="107"/>
  <c r="D10" i="107"/>
  <c r="D12" i="107"/>
  <c r="D14" i="107"/>
  <c r="D16" i="107"/>
  <c r="D18" i="107"/>
  <c r="B7" i="107"/>
  <c r="D7" i="107" s="1"/>
  <c r="C9" i="107"/>
  <c r="C11" i="107"/>
  <c r="C13" i="107"/>
  <c r="C15" i="107"/>
  <c r="C17" i="107"/>
  <c r="M251" i="107"/>
  <c r="Q350" i="107" s="1"/>
  <c r="L48" i="11"/>
  <c r="B111" i="102" a="1"/>
  <c r="M274" i="107"/>
  <c r="L69" i="11"/>
  <c r="L64" i="11"/>
  <c r="Q365" i="107"/>
  <c r="Q353" i="107"/>
  <c r="G348" i="107"/>
  <c r="I348" i="107" s="1"/>
  <c r="J348" i="107" s="1"/>
  <c r="P360" i="107"/>
  <c r="S348" i="107"/>
  <c r="T348" i="107" s="1"/>
  <c r="B228" i="107" a="1"/>
  <c r="G349" i="107"/>
  <c r="I349" i="107" s="1"/>
  <c r="J349" i="107" s="1"/>
  <c r="S349" i="107"/>
  <c r="T349" i="107" s="1"/>
  <c r="P361" i="107"/>
  <c r="S361" i="107" s="1"/>
  <c r="T361" i="107" s="1"/>
  <c r="G352" i="107"/>
  <c r="I352" i="107" s="1"/>
  <c r="J352" i="107" s="1"/>
  <c r="P364" i="107"/>
  <c r="S364" i="107" s="1"/>
  <c r="T364" i="107" s="1"/>
  <c r="S352" i="107"/>
  <c r="T352" i="107" s="1"/>
  <c r="Q354" i="107"/>
  <c r="Q366" i="107"/>
  <c r="G35" i="102"/>
  <c r="H35" i="102"/>
  <c r="K35" i="102"/>
  <c r="D35" i="102"/>
  <c r="L35" i="102"/>
  <c r="E35" i="102"/>
  <c r="M35" i="102"/>
  <c r="F35" i="102"/>
  <c r="B34" i="102"/>
  <c r="C35" i="102" s="1"/>
  <c r="I35" i="102"/>
  <c r="J35" i="102"/>
  <c r="B94" i="102" a="1"/>
  <c r="N242" i="107"/>
  <c r="Q360" i="107" s="1"/>
  <c r="M67" i="11"/>
  <c r="M47" i="11"/>
  <c r="B143" i="102" s="1" a="1"/>
  <c r="P34" i="9"/>
  <c r="B79" i="102" a="1"/>
  <c r="B128" i="102" a="1"/>
  <c r="N237" i="107"/>
  <c r="M51" i="11"/>
  <c r="M24" i="11"/>
  <c r="F13" i="18"/>
  <c r="S351" i="107"/>
  <c r="T351" i="107" s="1"/>
  <c r="G351" i="107"/>
  <c r="I351" i="107" s="1"/>
  <c r="J351" i="107" s="1"/>
  <c r="P363" i="107"/>
  <c r="S363" i="107" s="1"/>
  <c r="T363" i="107" s="1"/>
  <c r="B205" i="107"/>
  <c r="I206" i="107"/>
  <c r="F208" i="107"/>
  <c r="B209" i="107"/>
  <c r="D209" i="107"/>
  <c r="G209" i="107"/>
  <c r="H208" i="107"/>
  <c r="F209" i="107"/>
  <c r="G208" i="107"/>
  <c r="E209" i="107"/>
  <c r="D208" i="107"/>
  <c r="C208" i="107"/>
  <c r="H209" i="107"/>
  <c r="C209" i="107"/>
  <c r="E208" i="107"/>
  <c r="M19" i="102" l="1"/>
  <c r="K127" i="102"/>
  <c r="D48" i="102"/>
  <c r="G110" i="102"/>
  <c r="F110" i="102"/>
  <c r="D110" i="102"/>
  <c r="I110" i="102"/>
  <c r="L19" i="102"/>
  <c r="E19" i="102"/>
  <c r="B18" i="102"/>
  <c r="C19" i="102" s="1"/>
  <c r="K19" i="102"/>
  <c r="K48" i="102"/>
  <c r="B109" i="102"/>
  <c r="C110" i="102" s="1"/>
  <c r="H110" i="102"/>
  <c r="M48" i="102"/>
  <c r="J48" i="102"/>
  <c r="I48" i="102"/>
  <c r="E48" i="102"/>
  <c r="I127" i="102"/>
  <c r="H48" i="102"/>
  <c r="L48" i="102"/>
  <c r="F127" i="102"/>
  <c r="G48" i="102"/>
  <c r="B47" i="102"/>
  <c r="C48" i="102" s="1"/>
  <c r="L127" i="102"/>
  <c r="I19" i="102"/>
  <c r="F19" i="102"/>
  <c r="E110" i="102"/>
  <c r="J82" i="102"/>
  <c r="H19" i="102"/>
  <c r="E82" i="102"/>
  <c r="F82" i="102"/>
  <c r="G19" i="102"/>
  <c r="I63" i="102"/>
  <c r="D19" i="102"/>
  <c r="B62" i="102"/>
  <c r="C63" i="102" s="1"/>
  <c r="D127" i="102"/>
  <c r="D82" i="102"/>
  <c r="K82" i="102"/>
  <c r="B126" i="102"/>
  <c r="C127" i="102" s="1"/>
  <c r="B81" i="102"/>
  <c r="C82" i="102" s="1"/>
  <c r="H82" i="102"/>
  <c r="G127" i="102"/>
  <c r="M63" i="102"/>
  <c r="H127" i="102"/>
  <c r="J127" i="102"/>
  <c r="M127" i="102"/>
  <c r="E12" i="107"/>
  <c r="C8" i="107"/>
  <c r="E8" i="107"/>
  <c r="G63" i="102"/>
  <c r="E63" i="102"/>
  <c r="D63" i="102"/>
  <c r="L63" i="102"/>
  <c r="K63" i="102"/>
  <c r="J63" i="102"/>
  <c r="E10" i="107"/>
  <c r="H63" i="102"/>
  <c r="E17" i="107"/>
  <c r="E15" i="107"/>
  <c r="M82" i="102"/>
  <c r="I82" i="102"/>
  <c r="K110" i="102"/>
  <c r="M110" i="102"/>
  <c r="L82" i="102"/>
  <c r="J110" i="102"/>
  <c r="S360" i="107"/>
  <c r="T360" i="107" s="1"/>
  <c r="E14" i="107"/>
  <c r="K144" i="102"/>
  <c r="D144" i="102"/>
  <c r="L144" i="102"/>
  <c r="E144" i="102"/>
  <c r="M144" i="102"/>
  <c r="F144" i="102"/>
  <c r="G144" i="102"/>
  <c r="H144" i="102"/>
  <c r="I144" i="102"/>
  <c r="B143" i="102"/>
  <c r="C144" i="102" s="1"/>
  <c r="J144" i="102"/>
  <c r="I205" i="107"/>
  <c r="B208" i="107"/>
  <c r="I208" i="107" s="1"/>
  <c r="E129" i="102"/>
  <c r="M129" i="102"/>
  <c r="F129" i="102"/>
  <c r="G129" i="102"/>
  <c r="H129" i="102"/>
  <c r="I129" i="102"/>
  <c r="B128" i="102"/>
  <c r="C129" i="102" s="1"/>
  <c r="J129" i="102"/>
  <c r="K129" i="102"/>
  <c r="D129" i="102"/>
  <c r="L129" i="102"/>
  <c r="G353" i="107"/>
  <c r="I353" i="107" s="1"/>
  <c r="J353" i="107" s="1"/>
  <c r="S353" i="107"/>
  <c r="T353" i="107" s="1"/>
  <c r="P365" i="107"/>
  <c r="S365" i="107" s="1"/>
  <c r="T365" i="107" s="1"/>
  <c r="K80" i="102"/>
  <c r="D80" i="102"/>
  <c r="L80" i="102"/>
  <c r="E80" i="102"/>
  <c r="M80" i="102"/>
  <c r="F80" i="102"/>
  <c r="G80" i="102"/>
  <c r="H80" i="102"/>
  <c r="I80" i="102"/>
  <c r="B79" i="102"/>
  <c r="C80" i="102" s="1"/>
  <c r="J80" i="102"/>
  <c r="N274" i="107"/>
  <c r="M69" i="11"/>
  <c r="M64" i="11"/>
  <c r="G112" i="102"/>
  <c r="H112" i="102"/>
  <c r="I112" i="102"/>
  <c r="B111" i="102"/>
  <c r="C112" i="102" s="1"/>
  <c r="J112" i="102"/>
  <c r="K112" i="102"/>
  <c r="D112" i="102"/>
  <c r="L112" i="102"/>
  <c r="E112" i="102"/>
  <c r="M112" i="102"/>
  <c r="F112" i="102"/>
  <c r="E13" i="107"/>
  <c r="H55" i="11"/>
  <c r="M52" i="11"/>
  <c r="S354" i="107"/>
  <c r="T354" i="107" s="1"/>
  <c r="P366" i="107"/>
  <c r="S366" i="107" s="1"/>
  <c r="T366" i="107" s="1"/>
  <c r="G354" i="107"/>
  <c r="I354" i="107" s="1"/>
  <c r="J354" i="107" s="1"/>
  <c r="B228" i="107"/>
  <c r="F228" i="107" s="1"/>
  <c r="F229" i="107"/>
  <c r="M275" i="107"/>
  <c r="L65" i="11"/>
  <c r="L70" i="11"/>
  <c r="E11" i="107"/>
  <c r="I209" i="107"/>
  <c r="N251" i="107"/>
  <c r="Q362" i="107" s="1"/>
  <c r="M48" i="11"/>
  <c r="B145" i="102" s="1" a="1"/>
  <c r="S350" i="107"/>
  <c r="T350" i="107" s="1"/>
  <c r="P362" i="107"/>
  <c r="G350" i="107"/>
  <c r="I350" i="107" s="1"/>
  <c r="J350" i="107" s="1"/>
  <c r="E18" i="107"/>
  <c r="E9" i="107"/>
  <c r="I95" i="102"/>
  <c r="B94" i="102"/>
  <c r="C95" i="102" s="1"/>
  <c r="J95" i="102"/>
  <c r="K95" i="102"/>
  <c r="D95" i="102"/>
  <c r="L95" i="102"/>
  <c r="E95" i="102"/>
  <c r="M95" i="102"/>
  <c r="F95" i="102"/>
  <c r="G95" i="102"/>
  <c r="H95" i="102"/>
  <c r="B64" i="102" a="1"/>
  <c r="E16" i="107"/>
  <c r="H65" i="102" l="1"/>
  <c r="I65" i="102"/>
  <c r="B64" i="102"/>
  <c r="C65" i="102" s="1"/>
  <c r="J65" i="102"/>
  <c r="K65" i="102"/>
  <c r="D65" i="102"/>
  <c r="L65" i="102"/>
  <c r="E65" i="102"/>
  <c r="M65" i="102"/>
  <c r="F65" i="102"/>
  <c r="G65" i="102"/>
  <c r="F146" i="102"/>
  <c r="G146" i="102"/>
  <c r="H146" i="102"/>
  <c r="I146" i="102"/>
  <c r="B145" i="102"/>
  <c r="C146" i="102" s="1"/>
  <c r="J146" i="102"/>
  <c r="K146" i="102"/>
  <c r="D146" i="102"/>
  <c r="L146" i="102"/>
  <c r="E146" i="102"/>
  <c r="M146" i="102"/>
  <c r="N275" i="107"/>
  <c r="M65" i="11"/>
  <c r="M70" i="11"/>
  <c r="S362" i="107"/>
  <c r="T362" i="10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tc={F80D7DE0-CD14-4F3A-81A2-5A4C5A1E44EA}</author>
  </authors>
  <commentList>
    <comment ref="D132" authorId="0" shapeId="0" xr:uid="{F80D7DE0-CD14-4F3A-81A2-5A4C5A1E44EA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generation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<sst xmlns="http://schemas.openxmlformats.org/spreadsheetml/2006/main" count="1311" uniqueCount="273">
  <si>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</si>
  <si>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</si>
  <si>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</si>
  <si>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</si>
  <si>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</si>
  <si>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</si>
  <si>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</si>
  <si>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</si>
  <si>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</si>
  <si>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</si>
  <si>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</si>
  <si>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</si>
  <si>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</si>
  <si>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</si>
  <si>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</si>
  <si>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</si>
  <si>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</si>
  <si>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</si>
  <si>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</si>
  <si>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</si>
  <si>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</si>
  <si>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</si>
  <si>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</si>
  <si>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</si>
  <si>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</si>
  <si>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</si>
  <si>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</si>
  <si>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</si>
  <si>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</si>
  <si>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</si>
  <si>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</si>
  <si>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</si>
  <si>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</si>
  <si>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</si>
  <si>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</si>
  <si>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</si>
  <si>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</si>
  <si>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</si>
  <si>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</si>
  <si>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</si>
  <si>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</si>
  <si>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</si>
  <si>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</si>
  <si>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</si>
  <si>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</si>
  <si>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</si>
  <si>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>Power Purchased</t>
  </si>
  <si>
    <t>MAPE</t>
  </si>
  <si>
    <t>Average Number of Customer/Connections</t>
  </si>
  <si>
    <t xml:space="preserve">Total Billed </t>
  </si>
  <si>
    <t>Input data</t>
  </si>
  <si>
    <t>Residential</t>
  </si>
  <si>
    <t>Year</t>
  </si>
  <si>
    <t>Check - must be zero</t>
  </si>
  <si>
    <t>2021 Actual</t>
  </si>
  <si>
    <t>2022 Actual</t>
  </si>
  <si>
    <t>Date</t>
  </si>
  <si>
    <t>General Service &lt; 50 kW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</si>
  <si>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</si>
  <si>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</si>
  <si>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</si>
  <si>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</si>
  <si>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</si>
  <si>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</si>
  <si>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</si>
  <si>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</si>
  <si>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</si>
  <si>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</si>
  <si>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</si>
  <si>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</si>
  <si>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</si>
  <si>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</si>
  <si>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</si>
  <si>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</si>
  <si>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</si>
  <si>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Average Customer / Connection Count</t>
  </si>
  <si>
    <t>Month</t>
  </si>
  <si>
    <t>Weather Normal</t>
  </si>
  <si>
    <t>Sentinel Lighting</t>
  </si>
  <si>
    <t>Street Lighting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</si>
  <si>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</si>
  <si>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</si>
  <si>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</si>
  <si>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</si>
  <si>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</si>
  <si>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</si>
  <si>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</si>
  <si>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2023 Actual</t>
  </si>
  <si>
    <t>Weather Normalization Factor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</si>
  <si>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</si>
  <si>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</si>
  <si>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</si>
  <si>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</si>
  <si>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</si>
  <si>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</si>
  <si>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2024 Actual</t>
  </si>
  <si>
    <t>2016 Actual</t>
  </si>
  <si>
    <t>2017 Actual</t>
  </si>
  <si>
    <t>2018 Actual</t>
  </si>
  <si>
    <t>2019 Actual</t>
  </si>
  <si>
    <t>2020 Actual</t>
  </si>
  <si>
    <t>HDD</t>
  </si>
  <si>
    <t>CDD</t>
  </si>
  <si>
    <t>Days in Month</t>
  </si>
  <si>
    <t>Spring/Fall Flag</t>
  </si>
  <si>
    <t>Non-Weather Normalized</t>
  </si>
  <si>
    <t>Weather Corrected &amp; Adjusted Forecast</t>
  </si>
  <si>
    <t>Sum of Squared Residuals</t>
  </si>
  <si>
    <t>Durbin-Watson Calculation</t>
  </si>
  <si>
    <t>Mean Absolute Percentage Error (MAPE)</t>
  </si>
  <si>
    <t>Sum of Squared Difference of Residuals</t>
  </si>
  <si>
    <t>2026 Bridge</t>
  </si>
  <si>
    <t>2027 Test</t>
  </si>
  <si>
    <t>Generation</t>
  </si>
  <si>
    <t>General Service &gt; 50 kW</t>
  </si>
  <si>
    <t>Additions</t>
  </si>
  <si>
    <t>Total Power Purchased</t>
  </si>
  <si>
    <t>Customers</t>
  </si>
  <si>
    <t>Total Customers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</si>
  <si>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</si>
  <si>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</si>
  <si>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</si>
  <si>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</si>
  <si>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</si>
  <si>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</si>
  <si>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</si>
  <si>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</si>
  <si>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</si>
  <si>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</si>
  <si>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</si>
  <si>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Unmetered Scatter Load</t>
  </si>
  <si>
    <t xml:space="preserve">Embedded Distributor </t>
  </si>
  <si>
    <t>Current_Company_Name</t>
  </si>
  <si>
    <t>Customer_or_Connections</t>
  </si>
  <si>
    <t>Rate_Class_-_Generic</t>
  </si>
  <si>
    <t>Annual_Billings_-_USoA_4080_-_Dollars</t>
  </si>
  <si>
    <t>Metered_Consumption_in_kWh</t>
  </si>
  <si>
    <t>Demand_in_kW</t>
  </si>
  <si>
    <t>E.L.K. Energy Inc.</t>
  </si>
  <si>
    <t>Connections</t>
  </si>
  <si>
    <t>Embedded Distributor(s)</t>
  </si>
  <si>
    <t>Sentinel Lighting Connections</t>
  </si>
  <si>
    <t>Street Lighting Connections</t>
  </si>
  <si>
    <t>Unmetered Scattered Load Connections</t>
  </si>
  <si>
    <t>General Service &gt;= 50 kW</t>
  </si>
  <si>
    <t>Large User</t>
  </si>
  <si>
    <t>Sub Transmission Customers</t>
  </si>
  <si>
    <t>excluded USL, SL and ST</t>
  </si>
  <si>
    <t>2025 Actual</t>
  </si>
  <si>
    <t>2025 Dec</t>
  </si>
  <si>
    <t>COVID</t>
  </si>
  <si>
    <t>10-year average</t>
  </si>
  <si>
    <t>Corrected values</t>
  </si>
  <si>
    <t>E.L.K. Energy Weather Normal Load Forecast for 2022 Rate Application</t>
  </si>
  <si>
    <t>Original</t>
  </si>
  <si>
    <t>IRR</t>
  </si>
  <si>
    <t xml:space="preserve">2011 Actual </t>
  </si>
  <si>
    <t xml:space="preserve">2012 Actual </t>
  </si>
  <si>
    <t xml:space="preserve">2013 Actual </t>
  </si>
  <si>
    <t xml:space="preserve">2014 Actual </t>
  </si>
  <si>
    <t xml:space="preserve">2015 Actual </t>
  </si>
  <si>
    <t xml:space="preserve">2016 Actual </t>
  </si>
  <si>
    <t xml:space="preserve">2017 Actual </t>
  </si>
  <si>
    <t xml:space="preserve">2018 Actual </t>
  </si>
  <si>
    <t xml:space="preserve">2019 Actual </t>
  </si>
  <si>
    <t xml:space="preserve">2020 Actual </t>
  </si>
  <si>
    <t xml:space="preserve">2021 Actual </t>
  </si>
  <si>
    <t>2022 Weather Normal</t>
  </si>
  <si>
    <t>Billed kWh</t>
  </si>
  <si>
    <t>GS&lt;50</t>
  </si>
  <si>
    <t>GS&gt;50</t>
  </si>
  <si>
    <t>Streetlights</t>
  </si>
  <si>
    <t>Unmetered Scattered Load</t>
  </si>
  <si>
    <t>Sentinel Lights</t>
  </si>
  <si>
    <t>Embedded Distributor</t>
  </si>
  <si>
    <t>Total of Above</t>
  </si>
  <si>
    <t>Total from Model</t>
  </si>
  <si>
    <t>Check should all be zero</t>
  </si>
  <si>
    <t>YOY Comparison</t>
  </si>
  <si>
    <t>% Difference (Predicted vs Actual)</t>
  </si>
  <si>
    <t>E.L.K. Energy 2022 vs 2026 Load Forecast Comparison</t>
  </si>
  <si>
    <t>2025 customer numbers are held constant which means the kW/kWh ratio should also be held constant at the 2025 ratio.</t>
  </si>
  <si>
    <t>Customer numbers are held constant which means the kW/kWh ratio should also be held constant.</t>
  </si>
  <si>
    <t>2-R Loss Factor</t>
  </si>
  <si>
    <t>Table 3-1: Summary of Load and Customer Forecast</t>
  </si>
  <si>
    <t>Billed Actual (GWh)</t>
  </si>
  <si>
    <t>Growth (GWh)</t>
  </si>
  <si>
    <t>Billed Weather Normal (GWh)</t>
  </si>
  <si>
    <t>Customer/ Connection Count</t>
  </si>
  <si>
    <t>Growth (Customer/ Connection Count)</t>
  </si>
  <si>
    <t>Billed Energy (GWh) and Customer Count/Connections</t>
  </si>
  <si>
    <t>2022 OEB-Approved</t>
  </si>
  <si>
    <t>Table 3-2: Billed Energy by Rate Class</t>
  </si>
  <si>
    <t xml:space="preserve">Street Lighting </t>
  </si>
  <si>
    <t xml:space="preserve">Total </t>
  </si>
  <si>
    <t>Billed Energy (GWh) - Actual</t>
  </si>
  <si>
    <t>Billed Energy (GWh) - Weather Normal</t>
  </si>
  <si>
    <t>Table 3-3: Number of Customers/Connections and Annual Normalized Usage By Rate Class</t>
  </si>
  <si>
    <t>Number of Customers/Connections</t>
  </si>
  <si>
    <t>Actual Annual Energy Usage per Customer/Connection (kWh per Customer/Connection)</t>
  </si>
  <si>
    <t>Normalized Annual Energy Usage per Customer/Connection (kWh per Customer/Connection)</t>
  </si>
  <si>
    <t>Table 3-4: Statistical Results</t>
  </si>
  <si>
    <t>F Test</t>
  </si>
  <si>
    <t>Durbin-Watson</t>
  </si>
  <si>
    <t>T-Stats by Coefficient</t>
  </si>
  <si>
    <t>Constant</t>
  </si>
  <si>
    <t>Table 3-5: Total System Purchases</t>
  </si>
  <si>
    <t>Actual</t>
  </si>
  <si>
    <t xml:space="preserve">Predicted </t>
  </si>
  <si>
    <t>Predicted Weather Normal</t>
  </si>
  <si>
    <t>Weather Normal Conversion Factor</t>
  </si>
  <si>
    <t>Actual Weather Normal</t>
  </si>
  <si>
    <t>Figure 3-1: Forecasted Purchases (GWh)</t>
  </si>
  <si>
    <t>Table 3-6: Historical Customers/Connections (Average)</t>
  </si>
  <si>
    <t>Number of Customers/ Connections</t>
  </si>
  <si>
    <t>Table 3-7: Growth Rate in Customers/Connections</t>
  </si>
  <si>
    <t xml:space="preserve">Growth Rate in Customers/Connections </t>
  </si>
  <si>
    <t>Geometric Mean</t>
  </si>
  <si>
    <t>Table 3-8: Customer/Connection Forecast</t>
  </si>
  <si>
    <t>Forecast Number of Customers/Connections</t>
  </si>
  <si>
    <t>Table 3-9: 2025 Actual Annual Usage Per Customer</t>
  </si>
  <si>
    <t>Annual kWh Usage per Customer/Connection</t>
  </si>
  <si>
    <t>Table 3-10: Forecast Annual kWh Usage per Customer/Connection</t>
  </si>
  <si>
    <t>Forecast Annual kWh Usage per Customer/Connection</t>
  </si>
  <si>
    <t>Table 3-11: Non-Normalized Weather Billed Energy Forecast</t>
  </si>
  <si>
    <t>Non-Normalized Weather Billed Energy Forecast (GWh)</t>
  </si>
  <si>
    <t>Table 3-12: Weather Senstitivity by Rate Class</t>
  </si>
  <si>
    <t xml:space="preserve">Weather Senstivitiy </t>
  </si>
  <si>
    <t>Table 3-13: Alignment of Non-Normal to Weather Normal Forecast</t>
  </si>
  <si>
    <t>Non-normalized Weather Billed Energy Forecast (GWh)</t>
  </si>
  <si>
    <t>Weather Adjustment (GWh)</t>
  </si>
  <si>
    <t>Weather Normalized Billed Energy Forecast (GWh)</t>
  </si>
  <si>
    <t>Table 3-15: kW Forecast by Applicable Rate Class</t>
  </si>
  <si>
    <t xml:space="preserve">2026 Bridge </t>
  </si>
  <si>
    <t>2026 Test</t>
  </si>
  <si>
    <t>Table 3-16: Forecast Summary</t>
  </si>
  <si>
    <t>Table 3-17: Standby Demand (kW)</t>
  </si>
  <si>
    <t xml:space="preserve">Large Use </t>
  </si>
  <si>
    <t xml:space="preserve">Table 3-18: E.L.K. 2022 OEB Approved Billing Determinants </t>
  </si>
  <si>
    <t xml:space="preserve">Billing Determinants </t>
  </si>
  <si>
    <t xml:space="preserve">Line No. </t>
  </si>
  <si>
    <t>Rate Class</t>
  </si>
  <si>
    <t>Customers/Connections</t>
  </si>
  <si>
    <t xml:space="preserve">Table 3-19: 2022 OEB Approved vs. 2022 Actual Billing Determinants </t>
  </si>
  <si>
    <t>Volumes</t>
  </si>
  <si>
    <t xml:space="preserve">2022 OEB Approved </t>
  </si>
  <si>
    <t xml:space="preserve">Variance </t>
  </si>
  <si>
    <t>Variance</t>
  </si>
  <si>
    <t>Table 3-20: 2022 OEB Approved vs. 2022 Weather Normal Billing Determinants</t>
  </si>
  <si>
    <t>2022 Normal</t>
  </si>
  <si>
    <t>Table 3-14: Average of 2016-2025 kW/KWh Ratio per Applicable Class</t>
  </si>
  <si>
    <t>2026 Bridge Weather Normal</t>
  </si>
  <si>
    <t>2027 Test Weather Normal</t>
  </si>
  <si>
    <t>2022 Board Approved</t>
  </si>
  <si>
    <t xml:space="preserve">Table 3-19: 2022 Actual vs. 2023 Actual Billing Determinants </t>
  </si>
  <si>
    <t>Table 3-20: 2022 Normalized vs. 2022 Normalized Billing Determinants</t>
  </si>
  <si>
    <t xml:space="preserve">Table 3-19: 2023 Actual vs. 2024 Actual Billing Determinants </t>
  </si>
  <si>
    <t>Table 3-20: 2023 Normalized vs. 2024 Normalized Billing Determinants</t>
  </si>
  <si>
    <t xml:space="preserve">Table 3-19: 2024 Actual vs. 2025 Actual Billing Determinants </t>
  </si>
  <si>
    <t>Table 3-20: 2024 Normalized vs. 2025 Normalized Billing Determinants</t>
  </si>
  <si>
    <t xml:space="preserve">2022 Normal </t>
  </si>
  <si>
    <t>2023 Normal</t>
  </si>
  <si>
    <t xml:space="preserve">2023 Normal </t>
  </si>
  <si>
    <t>2024 Normal</t>
  </si>
  <si>
    <t xml:space="preserve">2024 Normal </t>
  </si>
  <si>
    <t>2025 Normal</t>
  </si>
  <si>
    <t>2026 Normal</t>
  </si>
  <si>
    <t xml:space="preserve">Table 3-22: 2025 Normalized vs. 2026 Normalized Billing Determinants </t>
  </si>
  <si>
    <t xml:space="preserve">Table 3-23: 2026 Normalized vs. 2027 Normalized Billing Determinants </t>
  </si>
  <si>
    <t xml:space="preserve">Table 3-21: 2025 Actual vs. 2026 Normalized Billing Determinants </t>
  </si>
  <si>
    <t>2026 Actual</t>
  </si>
  <si>
    <t>2027 Actual</t>
  </si>
  <si>
    <t>ELK Energy Weather Normal Load Forecast for 2027 Rate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</si>
</sst>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#,##0.0_);\(#,##0.0\)"/>
    <numFmt numFmtId="181" formatCode="_(* #,##0.000_);_(* \(#,##0.000\);_(* &quot;-&quot;??_);_(@_)"/>
    <numFmt numFmtId="182" formatCode="#,##0_);\(#,##0\)"/>
    <numFmt numFmtId="183" formatCode="#,##0.0;\-#,##0.0"/>
    <numFmt numFmtId="184" formatCode="0.0"/>
    <numFmt numFmtId="185" formatCode="0.000%"/>
    <numFmt numFmtId="186" formatCode="_-* #,##0_-;\-* #,##0_-;_-* &quot;-&quot;??_-;_-@_-"/>
    <numFmt numFmtId="187" formatCode="_-* #,##0.0000_-;\-* #,##0.0000_-;_-* &quot;-&quot;??_-;_-@_-"/>
  </numFmts>
  <fonts count="9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name val="Calibri"/>
      <family val="2"/>
      <scheme val="minor"/>
    </font>
    <font>
      <sz val="10"/>
      <color theme="9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 style="medium">
        <color indexed="64"/>
      </top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95">
    <xf numFmtId="0" fontId="0" fillId="0" borderId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4" fillId="5" borderId="1" applyNumberFormat="0" applyProtection="0">
      <alignment horizontal="left" vertical="center"/>
    </xf>
    <xf numFmtId="0" fontId="16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4" fontId="16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6" fillId="0" borderId="0"/>
    <xf numFmtId="174" fontId="16" fillId="0" borderId="0"/>
    <xf numFmtId="173" fontId="16" fillId="0" borderId="0"/>
    <xf numFmtId="173" fontId="16" fillId="0" borderId="0"/>
    <xf numFmtId="173" fontId="16" fillId="0" borderId="0"/>
    <xf numFmtId="173" fontId="16" fillId="0" borderId="0"/>
    <xf numFmtId="175" fontId="16" fillId="0" borderId="0"/>
    <xf numFmtId="176" fontId="16" fillId="0" borderId="0"/>
    <xf numFmtId="175" fontId="16" fillId="0" borderId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13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33" borderId="0" applyNumberFormat="0" applyBorder="0" applyAlignment="0" applyProtection="0"/>
    <xf numFmtId="0" fontId="31" fillId="7" borderId="0" applyNumberFormat="0" applyBorder="0" applyAlignment="0" applyProtection="0"/>
    <xf numFmtId="0" fontId="35" fillId="10" borderId="10" applyNumberFormat="0" applyAlignment="0" applyProtection="0"/>
    <xf numFmtId="0" fontId="37" fillId="11" borderId="13" applyNumberFormat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6" borderId="0" applyNumberFormat="0" applyBorder="0" applyAlignment="0" applyProtection="0"/>
    <xf numFmtId="38" fontId="22" fillId="37" borderId="0" applyNumberFormat="0" applyBorder="0" applyAlignment="0" applyProtection="0"/>
    <xf numFmtId="38" fontId="22" fillId="37" borderId="0" applyNumberFormat="0" applyBorder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10" fontId="22" fillId="38" borderId="1" applyNumberFormat="0" applyBorder="0" applyAlignment="0" applyProtection="0"/>
    <xf numFmtId="10" fontId="22" fillId="38" borderId="1" applyNumberFormat="0" applyBorder="0" applyAlignment="0" applyProtection="0"/>
    <xf numFmtId="0" fontId="33" fillId="9" borderId="10" applyNumberFormat="0" applyAlignment="0" applyProtection="0"/>
    <xf numFmtId="0" fontId="36" fillId="0" borderId="12" applyNumberFormat="0" applyFill="0" applyAlignment="0" applyProtection="0"/>
    <xf numFmtId="177" fontId="16" fillId="0" borderId="0"/>
    <xf numFmtId="172" fontId="16" fillId="0" borderId="0"/>
    <xf numFmtId="177" fontId="16" fillId="0" borderId="0"/>
    <xf numFmtId="177" fontId="16" fillId="0" borderId="0"/>
    <xf numFmtId="177" fontId="16" fillId="0" borderId="0"/>
    <xf numFmtId="177" fontId="16" fillId="0" borderId="0"/>
    <xf numFmtId="0" fontId="32" fillId="8" borderId="0" applyNumberFormat="0" applyBorder="0" applyAlignment="0" applyProtection="0"/>
    <xf numFmtId="178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12" borderId="14" applyNumberFormat="0" applyFont="0" applyAlignment="0" applyProtection="0"/>
    <xf numFmtId="0" fontId="34" fillId="10" borderId="11" applyNumberFormat="0" applyAlignment="0" applyProtection="0"/>
    <xf numFmtId="10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1" fillId="0" borderId="0" applyNumberFormat="0" applyBorder="0" applyAlignment="0"/>
    <xf numFmtId="0" fontId="42" fillId="0" borderId="0" applyNumberFormat="0" applyBorder="0" applyAlignment="0"/>
    <xf numFmtId="0" fontId="43" fillId="0" borderId="0" applyNumberFormat="0" applyBorder="0" applyAlignment="0"/>
    <xf numFmtId="0" fontId="44" fillId="0" borderId="16">
      <alignment horizontal="center" vertical="center"/>
    </xf>
    <xf numFmtId="0" fontId="26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45" fillId="0" borderId="0"/>
    <xf numFmtId="166" fontId="45" fillId="0" borderId="0" applyFont="0" applyFill="0" applyBorder="0" applyAlignment="0" applyProtection="0"/>
    <xf numFmtId="0" fontId="45" fillId="0" borderId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4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28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5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1" fillId="10" borderId="10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0" fontId="52" fillId="11" borderId="13" applyNumberFormat="0" applyAlignment="0" applyProtection="0"/>
    <xf numFmtId="43" fontId="45" fillId="0" borderId="0" applyFont="0" applyFill="0" applyBorder="0" applyAlignment="0" applyProtection="0"/>
    <xf numFmtId="166" fontId="4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8" fillId="9" borderId="10" applyNumberFormat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59" fillId="0" borderId="12" applyNumberFormat="0" applyFill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47" fillId="0" borderId="0"/>
    <xf numFmtId="0" fontId="4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41" fillId="12" borderId="14" applyNumberFormat="0" applyFon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0" fontId="61" fillId="10" borderId="11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" fillId="0" borderId="0"/>
    <xf numFmtId="0" fontId="11" fillId="0" borderId="0"/>
    <xf numFmtId="0" fontId="16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5" borderId="1" applyNumberFormat="0" applyProtection="0">
      <alignment horizontal="left" vertical="center"/>
    </xf>
    <xf numFmtId="0" fontId="16" fillId="5" borderId="1" applyNumberFormat="0" applyProtection="0">
      <alignment horizontal="left"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45" fillId="0" borderId="0"/>
    <xf numFmtId="166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0" fontId="11" fillId="0" borderId="0"/>
    <xf numFmtId="0" fontId="11" fillId="0" borderId="0"/>
    <xf numFmtId="9" fontId="45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44" borderId="0" applyNumberFormat="0" applyBorder="0" applyAlignment="0" applyProtection="0"/>
    <xf numFmtId="0" fontId="48" fillId="47" borderId="0" applyNumberFormat="0" applyBorder="0" applyAlignment="0" applyProtection="0"/>
    <xf numFmtId="0" fontId="48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5" fillId="56" borderId="0" applyNumberFormat="0" applyBorder="0" applyAlignment="0" applyProtection="0"/>
    <xf numFmtId="0" fontId="65" fillId="57" borderId="0" applyNumberFormat="0" applyBorder="0" applyAlignment="0" applyProtection="0"/>
    <xf numFmtId="0" fontId="67" fillId="59" borderId="17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76" fillId="61" borderId="0" applyNumberFormat="0" applyBorder="0" applyAlignment="0" applyProtection="0"/>
    <xf numFmtId="0" fontId="78" fillId="0" borderId="0" applyNumberFormat="0" applyFill="0" applyBorder="0" applyAlignment="0" applyProtection="0"/>
    <xf numFmtId="0" fontId="79" fillId="0" borderId="25" applyNumberFormat="0" applyFill="0" applyAlignment="0" applyProtection="0"/>
    <xf numFmtId="0" fontId="80" fillId="0" borderId="0" applyNumberFormat="0" applyFill="0" applyBorder="0" applyAlignment="0" applyProtection="0"/>
    <xf numFmtId="0" fontId="16" fillId="0" borderId="0"/>
    <xf numFmtId="0" fontId="28" fillId="0" borderId="8" applyNumberFormat="0" applyFill="0" applyAlignment="0" applyProtection="0"/>
    <xf numFmtId="0" fontId="27" fillId="0" borderId="7" applyNumberFormat="0" applyFill="0" applyAlignment="0" applyProtection="0"/>
    <xf numFmtId="0" fontId="11" fillId="0" borderId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3" fillId="9" borderId="10" applyNumberFormat="0" applyAlignment="0" applyProtection="0"/>
    <xf numFmtId="0" fontId="34" fillId="10" borderId="11" applyNumberFormat="0" applyAlignment="0" applyProtection="0"/>
    <xf numFmtId="0" fontId="35" fillId="10" borderId="10" applyNumberFormat="0" applyAlignment="0" applyProtection="0"/>
    <xf numFmtId="0" fontId="36" fillId="0" borderId="12" applyNumberFormat="0" applyFill="0" applyAlignment="0" applyProtection="0"/>
    <xf numFmtId="0" fontId="37" fillId="11" borderId="13" applyNumberFormat="0" applyAlignment="0" applyProtection="0"/>
    <xf numFmtId="0" fontId="38" fillId="0" borderId="0" applyNumberFormat="0" applyFill="0" applyBorder="0" applyAlignment="0" applyProtection="0"/>
    <xf numFmtId="0" fontId="11" fillId="12" borderId="14" applyNumberFormat="0" applyFont="0" applyAlignment="0" applyProtection="0"/>
    <xf numFmtId="0" fontId="39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4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0" fillId="3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1" fillId="0" borderId="0"/>
    <xf numFmtId="0" fontId="11" fillId="0" borderId="0"/>
    <xf numFmtId="0" fontId="77" fillId="59" borderId="24" applyNumberFormat="0" applyAlignment="0" applyProtection="0"/>
    <xf numFmtId="0" fontId="68" fillId="60" borderId="18" applyNumberFormat="0" applyAlignment="0" applyProtection="0"/>
    <xf numFmtId="0" fontId="74" fillId="46" borderId="17" applyNumberFormat="0" applyAlignment="0" applyProtection="0"/>
    <xf numFmtId="0" fontId="16" fillId="62" borderId="23" applyNumberFormat="0" applyFont="0" applyAlignment="0" applyProtection="0"/>
    <xf numFmtId="0" fontId="70" fillId="43" borderId="0" applyNumberFormat="0" applyBorder="0" applyAlignment="0" applyProtection="0"/>
    <xf numFmtId="0" fontId="66" fillId="42" borderId="0" applyNumberFormat="0" applyBorder="0" applyAlignment="0" applyProtection="0"/>
    <xf numFmtId="0" fontId="73" fillId="0" borderId="21" applyNumberFormat="0" applyFill="0" applyAlignment="0" applyProtection="0"/>
    <xf numFmtId="0" fontId="72" fillId="0" borderId="20" applyNumberFormat="0" applyFill="0" applyAlignment="0" applyProtection="0"/>
    <xf numFmtId="0" fontId="69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5" fillId="5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65" fillId="58" borderId="0" applyNumberFormat="0" applyBorder="0" applyAlignment="0" applyProtection="0"/>
    <xf numFmtId="0" fontId="65" fillId="52" borderId="0" applyNumberFormat="0" applyBorder="0" applyAlignment="0" applyProtection="0"/>
    <xf numFmtId="43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45" fillId="0" borderId="0"/>
    <xf numFmtId="0" fontId="75" fillId="0" borderId="22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73" fillId="0" borderId="0" applyNumberForma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0"/>
    <xf numFmtId="0" fontId="16" fillId="0" borderId="0"/>
    <xf numFmtId="0" fontId="74" fillId="46" borderId="17" applyNumberFormat="0" applyAlignment="0" applyProtection="0"/>
    <xf numFmtId="0" fontId="74" fillId="46" borderId="17" applyNumberFormat="0" applyAlignment="0" applyProtection="0"/>
    <xf numFmtId="0" fontId="74" fillId="46" borderId="1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4" fillId="46" borderId="17" applyNumberFormat="0" applyAlignment="0" applyProtection="0"/>
    <xf numFmtId="0" fontId="16" fillId="0" borderId="0"/>
    <xf numFmtId="0" fontId="45" fillId="0" borderId="0"/>
    <xf numFmtId="0" fontId="11" fillId="0" borderId="0"/>
    <xf numFmtId="0" fontId="11" fillId="0" borderId="0"/>
    <xf numFmtId="9" fontId="45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1" fillId="0" borderId="0"/>
    <xf numFmtId="0" fontId="16" fillId="0" borderId="0"/>
    <xf numFmtId="9" fontId="45" fillId="0" borderId="0" applyFont="0" applyFill="0" applyBorder="0" applyAlignment="0" applyProtection="0"/>
    <xf numFmtId="0" fontId="45" fillId="0" borderId="0"/>
    <xf numFmtId="9" fontId="16" fillId="0" borderId="0" applyFont="0" applyFill="0" applyBorder="0" applyAlignment="0" applyProtection="0"/>
    <xf numFmtId="0" fontId="16" fillId="0" borderId="0"/>
    <xf numFmtId="9" fontId="45" fillId="0" borderId="0" applyFont="0" applyFill="0" applyBorder="0" applyAlignment="0" applyProtection="0"/>
    <xf numFmtId="0" fontId="45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6" fillId="0" borderId="0"/>
    <xf numFmtId="0" fontId="11" fillId="0" borderId="0"/>
    <xf numFmtId="0" fontId="11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1" fillId="0" borderId="0"/>
    <xf numFmtId="44" fontId="4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45" fillId="0" borderId="0"/>
    <xf numFmtId="43" fontId="45" fillId="0" borderId="0" applyFont="0" applyFill="0" applyBorder="0" applyAlignment="0" applyProtection="0"/>
    <xf numFmtId="0" fontId="11" fillId="0" borderId="0"/>
    <xf numFmtId="0" fontId="11" fillId="0" borderId="0"/>
    <xf numFmtId="9" fontId="45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5" fillId="0" borderId="0"/>
    <xf numFmtId="9" fontId="4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1" fillId="0" borderId="0"/>
    <xf numFmtId="0" fontId="63" fillId="0" borderId="0" applyNumberFormat="0" applyFill="0" applyBorder="0" applyAlignment="0" applyProtection="0"/>
    <xf numFmtId="0" fontId="81" fillId="0" borderId="0"/>
    <xf numFmtId="0" fontId="10" fillId="0" borderId="0"/>
    <xf numFmtId="0" fontId="83" fillId="0" borderId="0"/>
    <xf numFmtId="179" fontId="85" fillId="0" borderId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89" fillId="0" borderId="0"/>
    <xf numFmtId="0" fontId="9" fillId="0" borderId="0"/>
    <xf numFmtId="0" fontId="16" fillId="0" borderId="0"/>
    <xf numFmtId="0" fontId="16" fillId="0" borderId="0"/>
    <xf numFmtId="0" fontId="79" fillId="0" borderId="45" applyNumberFormat="0" applyFill="0" applyAlignment="0" applyProtection="0"/>
    <xf numFmtId="0" fontId="67" fillId="59" borderId="37" applyNumberFormat="0" applyAlignment="0" applyProtection="0"/>
    <xf numFmtId="0" fontId="77" fillId="59" borderId="44" applyNumberFormat="0" applyAlignment="0" applyProtection="0"/>
    <xf numFmtId="0" fontId="74" fillId="46" borderId="42" applyNumberFormat="0" applyAlignment="0" applyProtection="0"/>
    <xf numFmtId="0" fontId="67" fillId="59" borderId="42" applyNumberFormat="0" applyAlignment="0" applyProtection="0"/>
    <xf numFmtId="0" fontId="74" fillId="46" borderId="37" applyNumberFormat="0" applyAlignment="0" applyProtection="0"/>
    <xf numFmtId="0" fontId="16" fillId="62" borderId="38" applyNumberFormat="0" applyFont="0" applyAlignment="0" applyProtection="0"/>
    <xf numFmtId="0" fontId="77" fillId="59" borderId="39" applyNumberFormat="0" applyAlignment="0" applyProtection="0"/>
    <xf numFmtId="0" fontId="79" fillId="0" borderId="40" applyNumberFormat="0" applyFill="0" applyAlignment="0" applyProtection="0"/>
    <xf numFmtId="0" fontId="16" fillId="0" borderId="0"/>
    <xf numFmtId="0" fontId="8" fillId="0" borderId="0"/>
    <xf numFmtId="0" fontId="74" fillId="46" borderId="42" applyNumberFormat="0" applyAlignment="0" applyProtection="0"/>
    <xf numFmtId="0" fontId="16" fillId="62" borderId="43" applyNumberFormat="0" applyFont="0" applyAlignment="0" applyProtection="0"/>
    <xf numFmtId="0" fontId="8" fillId="12" borderId="14" applyNumberFormat="0" applyFont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74" fillId="46" borderId="42" applyNumberFormat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5" fontId="16" fillId="0" borderId="0" applyFont="0" applyFill="0" applyBorder="0" applyAlignment="0" applyProtection="0"/>
    <xf numFmtId="10" fontId="22" fillId="38" borderId="41" applyNumberFormat="0" applyBorder="0" applyAlignment="0" applyProtection="0"/>
    <xf numFmtId="0" fontId="16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62" borderId="38" applyNumberFormat="0" applyFont="0" applyAlignment="0" applyProtection="0"/>
    <xf numFmtId="0" fontId="16" fillId="0" borderId="0"/>
    <xf numFmtId="0" fontId="8" fillId="0" borderId="0"/>
    <xf numFmtId="0" fontId="8" fillId="12" borderId="14" applyNumberFormat="0" applyFont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0" borderId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/>
    <xf numFmtId="0" fontId="16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12" borderId="14" applyNumberFormat="0" applyFont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4" fillId="46" borderId="42" applyNumberFormat="0" applyAlignment="0" applyProtection="0"/>
    <xf numFmtId="10" fontId="22" fillId="38" borderId="36" applyNumberFormat="0" applyBorder="0" applyAlignment="0" applyProtection="0"/>
    <xf numFmtId="0" fontId="16" fillId="0" borderId="0"/>
    <xf numFmtId="0" fontId="74" fillId="46" borderId="42" applyNumberFormat="0" applyAlignment="0" applyProtection="0"/>
    <xf numFmtId="0" fontId="16" fillId="62" borderId="43" applyNumberFormat="0" applyFont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6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10" fontId="22" fillId="38" borderId="49" applyNumberFormat="0" applyBorder="0" applyAlignment="0" applyProtection="0"/>
    <xf numFmtId="10" fontId="22" fillId="38" borderId="49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5" borderId="49" applyNumberFormat="0" applyProtection="0">
      <alignment horizontal="left" vertical="center"/>
    </xf>
    <xf numFmtId="44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4" fillId="0" borderId="0"/>
    <xf numFmtId="0" fontId="3" fillId="0" borderId="0"/>
  </cellStyleXfs>
  <cellXfs count="345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7" fillId="0" borderId="0" xfId="0" applyNumberFormat="1" applyFont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3" fontId="16" fillId="0" borderId="0" xfId="1" applyNumberFormat="1" applyAlignment="1">
      <alignment horizontal="center"/>
    </xf>
    <xf numFmtId="167" fontId="17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9" fillId="0" borderId="0" xfId="0" applyFont="1"/>
    <xf numFmtId="3" fontId="0" fillId="2" borderId="0" xfId="0" applyNumberFormat="1" applyFill="1" applyAlignment="1">
      <alignment horizontal="center"/>
    </xf>
    <xf numFmtId="17" fontId="19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9" fillId="0" borderId="0" xfId="0" applyNumberFormat="1" applyFont="1"/>
    <xf numFmtId="0" fontId="20" fillId="0" borderId="0" xfId="0" applyFont="1"/>
    <xf numFmtId="167" fontId="0" fillId="0" borderId="0" xfId="0" applyNumberFormat="1" applyAlignment="1">
      <alignment horizontal="center" wrapText="1"/>
    </xf>
    <xf numFmtId="0" fontId="19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7" fillId="4" borderId="1" xfId="0" applyNumberFormat="1" applyFont="1" applyFill="1" applyBorder="1" applyAlignment="1">
      <alignment horizontal="center"/>
    </xf>
    <xf numFmtId="3" fontId="23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7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16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9" fontId="0" fillId="0" borderId="0" xfId="2" applyFont="1" applyAlignment="1">
      <alignment horizontal="center"/>
    </xf>
    <xf numFmtId="3" fontId="16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16" fillId="0" borderId="0" xfId="736" applyFont="1"/>
    <xf numFmtId="0" fontId="16" fillId="0" borderId="0" xfId="736" applyFont="1" applyAlignment="1">
      <alignment horizontal="center" vertical="center"/>
    </xf>
    <xf numFmtId="0" fontId="16" fillId="0" borderId="0" xfId="736" applyFont="1" applyAlignment="1">
      <alignment vertical="center"/>
    </xf>
    <xf numFmtId="0" fontId="16" fillId="0" borderId="0" xfId="736" applyFont="1" applyAlignment="1">
      <alignment horizontal="center"/>
    </xf>
    <xf numFmtId="0" fontId="16" fillId="0" borderId="0" xfId="1526" applyFont="1"/>
    <xf numFmtId="0" fontId="82" fillId="40" borderId="1" xfId="1524" applyFont="1" applyFill="1" applyBorder="1" applyAlignment="1">
      <alignment horizontal="center" vertical="center" wrapText="1"/>
    </xf>
    <xf numFmtId="0" fontId="84" fillId="0" borderId="0" xfId="1526" applyFont="1" applyAlignment="1">
      <alignment horizontal="left" vertical="center"/>
    </xf>
    <xf numFmtId="0" fontId="82" fillId="0" borderId="0" xfId="1524" applyFont="1" applyAlignment="1">
      <alignment horizontal="center" vertical="center" wrapText="1"/>
    </xf>
    <xf numFmtId="0" fontId="16" fillId="0" borderId="1" xfId="1526" applyFont="1" applyBorder="1" applyAlignment="1">
      <alignment horizontal="center"/>
    </xf>
    <xf numFmtId="0" fontId="19" fillId="0" borderId="1" xfId="1526" applyFont="1" applyBorder="1" applyAlignment="1">
      <alignment horizontal="center"/>
    </xf>
    <xf numFmtId="17" fontId="16" fillId="0" borderId="1" xfId="1526" applyNumberFormat="1" applyFont="1" applyBorder="1" applyAlignment="1">
      <alignment horizontal="left"/>
    </xf>
    <xf numFmtId="0" fontId="16" fillId="4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2" fontId="18" fillId="0" borderId="1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7" fillId="0" borderId="0" xfId="0" applyFont="1"/>
    <xf numFmtId="0" fontId="82" fillId="67" borderId="6" xfId="1524" applyFont="1" applyFill="1" applyBorder="1" applyAlignment="1">
      <alignment horizontal="center" vertical="center" wrapText="1"/>
    </xf>
    <xf numFmtId="0" fontId="19" fillId="68" borderId="1" xfId="736" applyFont="1" applyFill="1" applyBorder="1" applyAlignment="1">
      <alignment horizontal="center"/>
    </xf>
    <xf numFmtId="0" fontId="82" fillId="40" borderId="6" xfId="1524" applyFont="1" applyFill="1" applyBorder="1" applyAlignment="1">
      <alignment horizontal="center" vertical="center" wrapText="1"/>
    </xf>
    <xf numFmtId="0" fontId="82" fillId="67" borderId="26" xfId="1524" applyFont="1" applyFill="1" applyBorder="1" applyAlignment="1">
      <alignment horizontal="center" vertical="center" wrapText="1"/>
    </xf>
    <xf numFmtId="1" fontId="82" fillId="67" borderId="27" xfId="1524" applyNumberFormat="1" applyFont="1" applyFill="1" applyBorder="1" applyAlignment="1">
      <alignment horizontal="center" vertical="center" wrapText="1"/>
    </xf>
    <xf numFmtId="0" fontId="82" fillId="67" borderId="28" xfId="1524" applyFont="1" applyFill="1" applyBorder="1" applyAlignment="1">
      <alignment horizontal="center" vertical="center" wrapText="1"/>
    </xf>
    <xf numFmtId="0" fontId="82" fillId="67" borderId="27" xfId="1524" applyFont="1" applyFill="1" applyBorder="1" applyAlignment="1">
      <alignment horizontal="center" vertical="center" wrapText="1"/>
    </xf>
    <xf numFmtId="0" fontId="82" fillId="67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16" fillId="0" borderId="0" xfId="736" applyNumberFormat="1" applyFont="1"/>
    <xf numFmtId="3" fontId="0" fillId="69" borderId="0" xfId="0" applyNumberFormat="1" applyFill="1" applyAlignment="1">
      <alignment horizontal="center"/>
    </xf>
    <xf numFmtId="3" fontId="17" fillId="69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37" fontId="16" fillId="0" borderId="36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23" fillId="0" borderId="0" xfId="736" applyFont="1"/>
    <xf numFmtId="180" fontId="17" fillId="0" borderId="1" xfId="0" applyNumberFormat="1" applyFont="1" applyBorder="1" applyAlignment="1">
      <alignment horizontal="center"/>
    </xf>
    <xf numFmtId="37" fontId="16" fillId="4" borderId="36" xfId="0" applyNumberFormat="1" applyFont="1" applyFill="1" applyBorder="1" applyAlignment="1">
      <alignment horizontal="center"/>
    </xf>
    <xf numFmtId="3" fontId="19" fillId="0" borderId="0" xfId="0" applyNumberFormat="1" applyFont="1" applyAlignment="1">
      <alignment horizontal="left"/>
    </xf>
    <xf numFmtId="10" fontId="0" fillId="0" borderId="0" xfId="2" applyNumberFormat="1" applyFont="1" applyAlignment="1">
      <alignment horizontal="center"/>
    </xf>
    <xf numFmtId="37" fontId="16" fillId="0" borderId="0" xfId="736" applyNumberFormat="1" applyFont="1"/>
    <xf numFmtId="0" fontId="19" fillId="0" borderId="0" xfId="0" applyFont="1" applyAlignment="1">
      <alignment horizontal="center" vertical="center" wrapText="1"/>
    </xf>
    <xf numFmtId="172" fontId="16" fillId="0" borderId="0" xfId="1" applyNumberFormat="1" applyFont="1"/>
    <xf numFmtId="9" fontId="0" fillId="3" borderId="0" xfId="0" applyNumberFormat="1" applyFill="1" applyAlignment="1">
      <alignment horizontal="center"/>
    </xf>
    <xf numFmtId="167" fontId="0" fillId="70" borderId="0" xfId="2" applyNumberFormat="1" applyFont="1" applyFill="1"/>
    <xf numFmtId="167" fontId="0" fillId="0" borderId="0" xfId="2" applyNumberFormat="1" applyFont="1"/>
    <xf numFmtId="3" fontId="16" fillId="0" borderId="0" xfId="736" applyNumberFormat="1" applyFont="1"/>
    <xf numFmtId="167" fontId="16" fillId="0" borderId="0" xfId="2" applyNumberFormat="1" applyFont="1"/>
    <xf numFmtId="10" fontId="16" fillId="0" borderId="0" xfId="2" applyNumberFormat="1" applyFont="1"/>
    <xf numFmtId="167" fontId="0" fillId="0" borderId="0" xfId="0" applyNumberFormat="1"/>
    <xf numFmtId="16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182" fontId="17" fillId="0" borderId="1" xfId="0" applyNumberFormat="1" applyFont="1" applyBorder="1" applyAlignment="1">
      <alignment horizontal="center"/>
    </xf>
    <xf numFmtId="1" fontId="16" fillId="0" borderId="0" xfId="1526" applyNumberFormat="1" applyFont="1" applyAlignment="1">
      <alignment horizontal="center"/>
    </xf>
    <xf numFmtId="3" fontId="18" fillId="0" borderId="49" xfId="0" applyNumberFormat="1" applyFont="1" applyBorder="1" applyAlignment="1">
      <alignment horizontal="center" vertical="center" wrapText="1"/>
    </xf>
    <xf numFmtId="37" fontId="17" fillId="0" borderId="49" xfId="0" applyNumberFormat="1" applyFont="1" applyBorder="1" applyAlignment="1">
      <alignment horizontal="center"/>
    </xf>
    <xf numFmtId="37" fontId="16" fillId="0" borderId="1" xfId="0" applyNumberFormat="1" applyFont="1" applyBorder="1" applyAlignment="1">
      <alignment horizontal="center"/>
    </xf>
    <xf numFmtId="0" fontId="23" fillId="0" borderId="0" xfId="0" applyFont="1"/>
    <xf numFmtId="0" fontId="23" fillId="0" borderId="0" xfId="736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7" fontId="0" fillId="0" borderId="0" xfId="0" applyNumberFormat="1"/>
    <xf numFmtId="10" fontId="0" fillId="0" borderId="0" xfId="2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6" fillId="0" borderId="52" xfId="0" applyFont="1" applyBorder="1" applyAlignment="1">
      <alignment horizontal="right"/>
    </xf>
    <xf numFmtId="10" fontId="0" fillId="0" borderId="0" xfId="2" applyNumberFormat="1" applyFont="1"/>
    <xf numFmtId="37" fontId="17" fillId="71" borderId="49" xfId="0" applyNumberFormat="1" applyFont="1" applyFill="1" applyBorder="1" applyAlignment="1">
      <alignment horizontal="center"/>
    </xf>
    <xf numFmtId="0" fontId="0" fillId="0" borderId="2" xfId="0" applyBorder="1"/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Continuous"/>
    </xf>
    <xf numFmtId="181" fontId="0" fillId="0" borderId="0" xfId="1" applyNumberFormat="1" applyFont="1" applyBorder="1"/>
    <xf numFmtId="172" fontId="16" fillId="64" borderId="31" xfId="1" applyNumberFormat="1" applyFont="1" applyFill="1" applyBorder="1" applyAlignment="1">
      <alignment horizontal="center"/>
    </xf>
    <xf numFmtId="172" fontId="16" fillId="64" borderId="5" xfId="1" applyNumberFormat="1" applyFont="1" applyFill="1" applyBorder="1" applyAlignment="1">
      <alignment horizontal="center"/>
    </xf>
    <xf numFmtId="172" fontId="16" fillId="64" borderId="32" xfId="1" applyNumberFormat="1" applyFont="1" applyFill="1" applyBorder="1" applyAlignment="1">
      <alignment horizontal="center"/>
    </xf>
    <xf numFmtId="172" fontId="16" fillId="64" borderId="4" xfId="1" applyNumberFormat="1" applyFont="1" applyFill="1" applyBorder="1" applyAlignment="1">
      <alignment horizontal="center"/>
    </xf>
    <xf numFmtId="172" fontId="16" fillId="65" borderId="31" xfId="1" applyNumberFormat="1" applyFont="1" applyFill="1" applyBorder="1" applyAlignment="1">
      <alignment horizontal="center"/>
    </xf>
    <xf numFmtId="172" fontId="16" fillId="65" borderId="5" xfId="1" applyNumberFormat="1" applyFont="1" applyFill="1" applyBorder="1" applyAlignment="1">
      <alignment horizontal="center"/>
    </xf>
    <xf numFmtId="172" fontId="16" fillId="65" borderId="32" xfId="1" applyNumberFormat="1" applyFont="1" applyFill="1" applyBorder="1" applyAlignment="1">
      <alignment horizontal="center"/>
    </xf>
    <xf numFmtId="172" fontId="16" fillId="65" borderId="4" xfId="1" applyNumberFormat="1" applyFont="1" applyFill="1" applyBorder="1" applyAlignment="1">
      <alignment horizontal="center"/>
    </xf>
    <xf numFmtId="172" fontId="16" fillId="65" borderId="26" xfId="1" applyNumberFormat="1" applyFont="1" applyFill="1" applyBorder="1" applyAlignment="1">
      <alignment horizontal="center"/>
    </xf>
    <xf numFmtId="172" fontId="16" fillId="65" borderId="28" xfId="1" applyNumberFormat="1" applyFont="1" applyFill="1" applyBorder="1" applyAlignment="1">
      <alignment horizontal="center"/>
    </xf>
    <xf numFmtId="172" fontId="16" fillId="65" borderId="29" xfId="1" applyNumberFormat="1" applyFont="1" applyFill="1" applyBorder="1" applyAlignment="1">
      <alignment horizontal="center"/>
    </xf>
    <xf numFmtId="172" fontId="16" fillId="65" borderId="33" xfId="1" applyNumberFormat="1" applyFont="1" applyFill="1" applyBorder="1" applyAlignment="1">
      <alignment horizontal="center"/>
    </xf>
    <xf numFmtId="172" fontId="16" fillId="65" borderId="53" xfId="1" applyNumberFormat="1" applyFont="1" applyFill="1" applyBorder="1" applyAlignment="1">
      <alignment horizontal="center"/>
    </xf>
    <xf numFmtId="172" fontId="16" fillId="65" borderId="49" xfId="1" applyNumberFormat="1" applyFont="1" applyFill="1" applyBorder="1" applyAlignment="1">
      <alignment horizontal="center"/>
    </xf>
    <xf numFmtId="172" fontId="16" fillId="0" borderId="54" xfId="1" applyNumberFormat="1" applyFont="1" applyBorder="1" applyAlignment="1">
      <alignment horizontal="center"/>
    </xf>
    <xf numFmtId="172" fontId="16" fillId="0" borderId="55" xfId="1" applyNumberFormat="1" applyFont="1" applyBorder="1" applyAlignment="1">
      <alignment horizontal="left"/>
    </xf>
    <xf numFmtId="172" fontId="23" fillId="0" borderId="56" xfId="1" applyNumberFormat="1" applyFont="1" applyBorder="1" applyAlignment="1">
      <alignment horizontal="center"/>
    </xf>
    <xf numFmtId="172" fontId="16" fillId="64" borderId="57" xfId="1" applyNumberFormat="1" applyFont="1" applyFill="1" applyBorder="1" applyAlignment="1">
      <alignment horizontal="center"/>
    </xf>
    <xf numFmtId="172" fontId="16" fillId="65" borderId="57" xfId="1" applyNumberFormat="1" applyFont="1" applyFill="1" applyBorder="1" applyAlignment="1">
      <alignment horizontal="center"/>
    </xf>
    <xf numFmtId="172" fontId="16" fillId="65" borderId="58" xfId="1" applyNumberFormat="1" applyFont="1" applyFill="1" applyBorder="1" applyAlignment="1">
      <alignment horizontal="center"/>
    </xf>
    <xf numFmtId="172" fontId="16" fillId="65" borderId="59" xfId="1" applyNumberFormat="1" applyFont="1" applyFill="1" applyBorder="1" applyAlignment="1">
      <alignment horizontal="center"/>
    </xf>
    <xf numFmtId="172" fontId="16" fillId="0" borderId="60" xfId="1" applyNumberFormat="1" applyFont="1" applyBorder="1" applyAlignment="1">
      <alignment horizontal="left"/>
    </xf>
    <xf numFmtId="172" fontId="16" fillId="0" borderId="61" xfId="1" applyNumberFormat="1" applyFont="1" applyBorder="1" applyAlignment="1">
      <alignment horizontal="center"/>
    </xf>
    <xf numFmtId="172" fontId="23" fillId="0" borderId="62" xfId="1" applyNumberFormat="1" applyFont="1" applyBorder="1" applyAlignment="1">
      <alignment horizontal="center"/>
    </xf>
    <xf numFmtId="172" fontId="23" fillId="0" borderId="60" xfId="1" applyNumberFormat="1" applyFont="1" applyBorder="1" applyAlignment="1">
      <alignment horizontal="center"/>
    </xf>
    <xf numFmtId="172" fontId="16" fillId="0" borderId="56" xfId="1" applyNumberFormat="1" applyFont="1" applyBorder="1" applyAlignment="1">
      <alignment horizontal="center"/>
    </xf>
    <xf numFmtId="172" fontId="23" fillId="0" borderId="3" xfId="1" applyNumberFormat="1" applyFont="1" applyBorder="1" applyAlignment="1">
      <alignment horizontal="center"/>
    </xf>
    <xf numFmtId="172" fontId="16" fillId="0" borderId="56" xfId="1" applyNumberFormat="1" applyFont="1" applyBorder="1" applyAlignment="1">
      <alignment horizontal="left"/>
    </xf>
    <xf numFmtId="172" fontId="16" fillId="0" borderId="63" xfId="1" applyNumberFormat="1" applyFont="1" applyBorder="1" applyAlignment="1">
      <alignment horizontal="left"/>
    </xf>
    <xf numFmtId="172" fontId="16" fillId="64" borderId="49" xfId="1" applyNumberFormat="1" applyFont="1" applyFill="1" applyBorder="1" applyAlignment="1">
      <alignment horizontal="center"/>
    </xf>
    <xf numFmtId="172" fontId="23" fillId="0" borderId="64" xfId="1" applyNumberFormat="1" applyFont="1" applyBorder="1" applyAlignment="1">
      <alignment horizontal="center"/>
    </xf>
    <xf numFmtId="172" fontId="16" fillId="0" borderId="54" xfId="1" applyNumberFormat="1" applyFont="1" applyBorder="1" applyAlignment="1">
      <alignment horizontal="left"/>
    </xf>
    <xf numFmtId="172" fontId="23" fillId="64" borderId="49" xfId="1" applyNumberFormat="1" applyFont="1" applyFill="1" applyBorder="1" applyAlignment="1">
      <alignment horizontal="center"/>
    </xf>
    <xf numFmtId="172" fontId="23" fillId="65" borderId="49" xfId="1" applyNumberFormat="1" applyFont="1" applyFill="1" applyBorder="1" applyAlignment="1">
      <alignment horizontal="center"/>
    </xf>
    <xf numFmtId="172" fontId="23" fillId="65" borderId="4" xfId="1" applyNumberFormat="1" applyFont="1" applyFill="1" applyBorder="1" applyAlignment="1">
      <alignment horizontal="center"/>
    </xf>
    <xf numFmtId="1" fontId="23" fillId="0" borderId="0" xfId="0" applyNumberFormat="1" applyFont="1"/>
    <xf numFmtId="1" fontId="16" fillId="63" borderId="49" xfId="736" applyNumberFormat="1" applyFont="1" applyFill="1" applyBorder="1" applyAlignment="1">
      <alignment horizontal="center"/>
    </xf>
    <xf numFmtId="172" fontId="90" fillId="72" borderId="32" xfId="1" applyNumberFormat="1" applyFont="1" applyFill="1" applyBorder="1" applyAlignment="1">
      <alignment horizontal="center"/>
    </xf>
    <xf numFmtId="172" fontId="90" fillId="72" borderId="51" xfId="1" applyNumberFormat="1" applyFont="1" applyFill="1" applyBorder="1" applyAlignment="1">
      <alignment horizontal="center"/>
    </xf>
    <xf numFmtId="172" fontId="90" fillId="72" borderId="49" xfId="1" applyNumberFormat="1" applyFont="1" applyFill="1" applyBorder="1" applyAlignment="1">
      <alignment horizontal="center"/>
    </xf>
    <xf numFmtId="172" fontId="90" fillId="72" borderId="4" xfId="1" applyNumberFormat="1" applyFont="1" applyFill="1" applyBorder="1" applyAlignment="1">
      <alignment horizontal="center"/>
    </xf>
    <xf numFmtId="1" fontId="90" fillId="72" borderId="49" xfId="736" applyNumberFormat="1" applyFont="1" applyFill="1" applyBorder="1" applyAlignment="1">
      <alignment horizontal="center"/>
    </xf>
    <xf numFmtId="172" fontId="90" fillId="72" borderId="31" xfId="1" applyNumberFormat="1" applyFont="1" applyFill="1" applyBorder="1" applyAlignment="1">
      <alignment horizontal="center"/>
    </xf>
    <xf numFmtId="0" fontId="18" fillId="0" borderId="49" xfId="0" applyFont="1" applyBorder="1" applyAlignment="1">
      <alignment horizontal="center" vertical="center" wrapText="1"/>
    </xf>
    <xf numFmtId="37" fontId="16" fillId="0" borderId="49" xfId="0" applyNumberFormat="1" applyFont="1" applyBorder="1" applyAlignment="1">
      <alignment horizontal="center"/>
    </xf>
    <xf numFmtId="183" fontId="16" fillId="0" borderId="49" xfId="0" applyNumberFormat="1" applyFont="1" applyBorder="1" applyAlignment="1">
      <alignment horizontal="center"/>
    </xf>
    <xf numFmtId="1" fontId="91" fillId="72" borderId="0" xfId="0" applyNumberFormat="1" applyFont="1" applyFill="1"/>
    <xf numFmtId="167" fontId="0" fillId="0" borderId="0" xfId="2" applyNumberFormat="1" applyFont="1" applyAlignment="1">
      <alignment horizontal="center" wrapText="1"/>
    </xf>
    <xf numFmtId="0" fontId="25" fillId="0" borderId="0" xfId="1693" applyFont="1"/>
    <xf numFmtId="0" fontId="4" fillId="0" borderId="0" xfId="1693"/>
    <xf numFmtId="0" fontId="4" fillId="0" borderId="65" xfId="1693" applyBorder="1"/>
    <xf numFmtId="0" fontId="25" fillId="0" borderId="0" xfId="1693" applyFont="1" applyAlignment="1">
      <alignment horizontal="center" vertical="center"/>
    </xf>
    <xf numFmtId="0" fontId="25" fillId="0" borderId="65" xfId="1693" applyFont="1" applyBorder="1"/>
    <xf numFmtId="3" fontId="4" fillId="0" borderId="0" xfId="1693" applyNumberFormat="1"/>
    <xf numFmtId="3" fontId="4" fillId="0" borderId="65" xfId="1693" applyNumberFormat="1" applyBorder="1"/>
    <xf numFmtId="10" fontId="4" fillId="0" borderId="0" xfId="1693" applyNumberFormat="1"/>
    <xf numFmtId="10" fontId="25" fillId="0" borderId="0" xfId="1693" applyNumberFormat="1" applyFont="1"/>
    <xf numFmtId="0" fontId="25" fillId="0" borderId="49" xfId="1693" applyFont="1" applyBorder="1" applyAlignment="1">
      <alignment horizontal="center"/>
    </xf>
    <xf numFmtId="0" fontId="25" fillId="40" borderId="49" xfId="1693" applyFont="1" applyFill="1" applyBorder="1"/>
    <xf numFmtId="3" fontId="4" fillId="40" borderId="49" xfId="1693" applyNumberFormat="1" applyFill="1" applyBorder="1"/>
    <xf numFmtId="0" fontId="4" fillId="40" borderId="49" xfId="1693" applyFill="1" applyBorder="1"/>
    <xf numFmtId="10" fontId="4" fillId="40" borderId="49" xfId="1693" applyNumberFormat="1" applyFill="1" applyBorder="1"/>
    <xf numFmtId="10" fontId="25" fillId="40" borderId="49" xfId="1693" applyNumberFormat="1" applyFont="1" applyFill="1" applyBorder="1"/>
    <xf numFmtId="0" fontId="25" fillId="73" borderId="49" xfId="1693" applyFont="1" applyFill="1" applyBorder="1"/>
    <xf numFmtId="172" fontId="4" fillId="73" borderId="49" xfId="1" applyNumberFormat="1" applyFont="1" applyFill="1" applyBorder="1"/>
    <xf numFmtId="10" fontId="4" fillId="73" borderId="49" xfId="2" applyNumberFormat="1" applyFont="1" applyFill="1" applyBorder="1"/>
    <xf numFmtId="0" fontId="25" fillId="40" borderId="49" xfId="1693" applyFont="1" applyFill="1" applyBorder="1" applyAlignment="1">
      <alignment horizontal="center" vertical="center"/>
    </xf>
    <xf numFmtId="0" fontId="25" fillId="40" borderId="5" xfId="1693" applyFont="1" applyFill="1" applyBorder="1"/>
    <xf numFmtId="3" fontId="4" fillId="40" borderId="5" xfId="1693" applyNumberFormat="1" applyFill="1" applyBorder="1"/>
    <xf numFmtId="0" fontId="4" fillId="0" borderId="49" xfId="1693" applyBorder="1"/>
    <xf numFmtId="167" fontId="4" fillId="73" borderId="49" xfId="2" applyNumberFormat="1" applyFont="1" applyFill="1" applyBorder="1"/>
    <xf numFmtId="0" fontId="25" fillId="0" borderId="49" xfId="1693" applyFont="1" applyBorder="1" applyAlignment="1">
      <alignment horizontal="center" vertical="center"/>
    </xf>
    <xf numFmtId="0" fontId="25" fillId="73" borderId="49" xfId="1693" applyFont="1" applyFill="1" applyBorder="1" applyAlignment="1">
      <alignment horizontal="center" vertical="center"/>
    </xf>
    <xf numFmtId="0" fontId="4" fillId="73" borderId="49" xfId="1693" applyFill="1" applyBorder="1"/>
    <xf numFmtId="0" fontId="25" fillId="40" borderId="5" xfId="1693" applyFont="1" applyFill="1" applyBorder="1" applyAlignment="1">
      <alignment horizontal="center" vertical="center"/>
    </xf>
    <xf numFmtId="0" fontId="25" fillId="40" borderId="49" xfId="1693" applyFont="1" applyFill="1" applyBorder="1" applyAlignment="1">
      <alignment horizontal="center"/>
    </xf>
    <xf numFmtId="0" fontId="25" fillId="73" borderId="49" xfId="1693" applyFont="1" applyFill="1" applyBorder="1" applyAlignment="1">
      <alignment horizontal="center"/>
    </xf>
    <xf numFmtId="10" fontId="4" fillId="73" borderId="49" xfId="1693" applyNumberFormat="1" applyFill="1" applyBorder="1"/>
    <xf numFmtId="3" fontId="4" fillId="73" borderId="49" xfId="1693" applyNumberFormat="1" applyFill="1" applyBorder="1"/>
    <xf numFmtId="0" fontId="4" fillId="40" borderId="5" xfId="1693" applyFill="1" applyBorder="1"/>
    <xf numFmtId="0" fontId="25" fillId="40" borderId="5" xfId="1693" applyFont="1" applyFill="1" applyBorder="1" applyAlignment="1">
      <alignment horizontal="center"/>
    </xf>
    <xf numFmtId="0" fontId="25" fillId="0" borderId="5" xfId="1693" applyFont="1" applyBorder="1" applyAlignment="1">
      <alignment horizontal="center" vertical="center"/>
    </xf>
    <xf numFmtId="0" fontId="25" fillId="40" borderId="66" xfId="1693" applyFont="1" applyFill="1" applyBorder="1"/>
    <xf numFmtId="3" fontId="4" fillId="40" borderId="66" xfId="1693" applyNumberFormat="1" applyFill="1" applyBorder="1"/>
    <xf numFmtId="10" fontId="4" fillId="40" borderId="66" xfId="1693" applyNumberFormat="1" applyFill="1" applyBorder="1"/>
    <xf numFmtId="0" fontId="25" fillId="73" borderId="66" xfId="1693" applyFont="1" applyFill="1" applyBorder="1" applyAlignment="1">
      <alignment horizontal="center" vertical="center"/>
    </xf>
    <xf numFmtId="0" fontId="4" fillId="73" borderId="66" xfId="1693" applyFill="1" applyBorder="1"/>
    <xf numFmtId="0" fontId="25" fillId="40" borderId="66" xfId="1693" applyFont="1" applyFill="1" applyBorder="1" applyAlignment="1">
      <alignment horizontal="center"/>
    </xf>
    <xf numFmtId="0" fontId="4" fillId="40" borderId="66" xfId="1693" applyFill="1" applyBorder="1"/>
    <xf numFmtId="0" fontId="25" fillId="73" borderId="66" xfId="1693" applyFont="1" applyFill="1" applyBorder="1" applyAlignment="1">
      <alignment horizontal="center"/>
    </xf>
    <xf numFmtId="0" fontId="25" fillId="40" borderId="66" xfId="1693" applyFont="1" applyFill="1" applyBorder="1" applyAlignment="1">
      <alignment horizontal="center" vertical="center"/>
    </xf>
    <xf numFmtId="172" fontId="4" fillId="73" borderId="66" xfId="1" applyNumberFormat="1" applyFont="1" applyFill="1" applyBorder="1"/>
    <xf numFmtId="10" fontId="4" fillId="73" borderId="66" xfId="2" applyNumberFormat="1" applyFont="1" applyFill="1" applyBorder="1"/>
    <xf numFmtId="0" fontId="25" fillId="0" borderId="66" xfId="1693" applyFont="1" applyBorder="1" applyAlignment="1">
      <alignment horizontal="center" vertical="center"/>
    </xf>
    <xf numFmtId="10" fontId="25" fillId="0" borderId="65" xfId="1693" applyNumberFormat="1" applyFont="1" applyBorder="1"/>
    <xf numFmtId="1" fontId="4" fillId="73" borderId="49" xfId="1693" applyNumberFormat="1" applyFill="1" applyBorder="1"/>
    <xf numFmtId="1" fontId="4" fillId="73" borderId="66" xfId="1693" applyNumberFormat="1" applyFill="1" applyBorder="1"/>
    <xf numFmtId="172" fontId="90" fillId="72" borderId="5" xfId="1" applyNumberFormat="1" applyFont="1" applyFill="1" applyBorder="1" applyAlignment="1">
      <alignment horizontal="center"/>
    </xf>
    <xf numFmtId="3" fontId="90" fillId="72" borderId="0" xfId="0" applyNumberFormat="1" applyFont="1" applyFill="1" applyAlignment="1">
      <alignment horizontal="center"/>
    </xf>
    <xf numFmtId="3" fontId="90" fillId="72" borderId="0" xfId="0" applyNumberFormat="1" applyFont="1" applyFill="1" applyAlignment="1">
      <alignment horizontal="center" wrapText="1"/>
    </xf>
    <xf numFmtId="0" fontId="90" fillId="0" borderId="0" xfId="736" applyFont="1"/>
    <xf numFmtId="0" fontId="3" fillId="0" borderId="0" xfId="1694"/>
    <xf numFmtId="0" fontId="3" fillId="0" borderId="0" xfId="1694" applyAlignment="1">
      <alignment horizontal="center" vertical="center" wrapText="1"/>
    </xf>
    <xf numFmtId="0" fontId="3" fillId="0" borderId="49" xfId="1694" applyBorder="1"/>
    <xf numFmtId="0" fontId="3" fillId="0" borderId="49" xfId="1694" applyBorder="1" applyAlignment="1">
      <alignment horizontal="left"/>
    </xf>
    <xf numFmtId="0" fontId="3" fillId="0" borderId="0" xfId="1694" applyAlignment="1">
      <alignment wrapText="1"/>
    </xf>
    <xf numFmtId="0" fontId="25" fillId="0" borderId="0" xfId="1694" applyFont="1"/>
    <xf numFmtId="166" fontId="3" fillId="0" borderId="49" xfId="1" applyFont="1" applyBorder="1"/>
    <xf numFmtId="173" fontId="3" fillId="0" borderId="49" xfId="1" applyNumberFormat="1" applyFont="1" applyBorder="1"/>
    <xf numFmtId="0" fontId="25" fillId="74" borderId="49" xfId="1694" applyFont="1" applyFill="1" applyBorder="1" applyAlignment="1">
      <alignment horizontal="center" vertical="center" wrapText="1"/>
    </xf>
    <xf numFmtId="0" fontId="25" fillId="74" borderId="49" xfId="1694" applyFont="1" applyFill="1" applyBorder="1"/>
    <xf numFmtId="172" fontId="3" fillId="0" borderId="49" xfId="1" applyNumberFormat="1" applyFont="1" applyBorder="1"/>
    <xf numFmtId="0" fontId="3" fillId="0" borderId="70" xfId="1694" applyBorder="1"/>
    <xf numFmtId="0" fontId="25" fillId="74" borderId="70" xfId="1694" applyFont="1" applyFill="1" applyBorder="1"/>
    <xf numFmtId="2" fontId="3" fillId="0" borderId="49" xfId="1694" applyNumberFormat="1" applyBorder="1"/>
    <xf numFmtId="184" fontId="3" fillId="0" borderId="49" xfId="1694" applyNumberFormat="1" applyBorder="1"/>
    <xf numFmtId="0" fontId="25" fillId="0" borderId="70" xfId="1694" applyFont="1" applyBorder="1"/>
    <xf numFmtId="0" fontId="3" fillId="0" borderId="70" xfId="1694" applyBorder="1" applyAlignment="1">
      <alignment horizontal="left"/>
    </xf>
    <xf numFmtId="43" fontId="3" fillId="0" borderId="70" xfId="1694" applyNumberFormat="1" applyBorder="1"/>
    <xf numFmtId="10" fontId="3" fillId="0" borderId="49" xfId="2" applyNumberFormat="1" applyFont="1" applyBorder="1"/>
    <xf numFmtId="169" fontId="3" fillId="0" borderId="70" xfId="1694" applyNumberFormat="1" applyBorder="1"/>
    <xf numFmtId="2" fontId="3" fillId="0" borderId="70" xfId="1694" applyNumberFormat="1" applyBorder="1"/>
    <xf numFmtId="4" fontId="3" fillId="0" borderId="49" xfId="1694" applyNumberFormat="1" applyBorder="1"/>
    <xf numFmtId="172" fontId="3" fillId="0" borderId="49" xfId="1694" applyNumberFormat="1" applyBorder="1"/>
    <xf numFmtId="0" fontId="25" fillId="0" borderId="0" xfId="1694" applyFont="1" applyAlignment="1">
      <alignment horizontal="center" vertical="center" wrapText="1"/>
    </xf>
    <xf numFmtId="0" fontId="25" fillId="0" borderId="0" xfId="1694" applyFont="1" applyAlignment="1">
      <alignment vertical="center" wrapText="1"/>
    </xf>
    <xf numFmtId="0" fontId="25" fillId="74" borderId="70" xfId="1694" applyFont="1" applyFill="1" applyBorder="1" applyAlignment="1">
      <alignment horizontal="center" vertical="center" wrapText="1"/>
    </xf>
    <xf numFmtId="10" fontId="3" fillId="0" borderId="70" xfId="2" applyNumberFormat="1" applyFont="1" applyBorder="1"/>
    <xf numFmtId="172" fontId="3" fillId="0" borderId="70" xfId="1" applyNumberFormat="1" applyFont="1" applyBorder="1"/>
    <xf numFmtId="172" fontId="3" fillId="0" borderId="70" xfId="1694" applyNumberFormat="1" applyBorder="1"/>
    <xf numFmtId="0" fontId="25" fillId="74" borderId="70" xfId="1694" applyFont="1" applyFill="1" applyBorder="1" applyAlignment="1">
      <alignment horizontal="center" vertical="center"/>
    </xf>
    <xf numFmtId="166" fontId="3" fillId="0" borderId="70" xfId="1694" applyNumberFormat="1" applyBorder="1"/>
    <xf numFmtId="4" fontId="3" fillId="0" borderId="70" xfId="1694" applyNumberFormat="1" applyBorder="1"/>
    <xf numFmtId="0" fontId="25" fillId="0" borderId="0" xfId="1694" applyFont="1" applyAlignment="1">
      <alignment wrapText="1"/>
    </xf>
    <xf numFmtId="43" fontId="3" fillId="0" borderId="49" xfId="1" applyNumberFormat="1" applyFont="1" applyBorder="1"/>
    <xf numFmtId="172" fontId="3" fillId="0" borderId="70" xfId="1" applyNumberFormat="1" applyFont="1" applyBorder="1" applyAlignment="1"/>
    <xf numFmtId="184" fontId="16" fillId="63" borderId="49" xfId="75" applyNumberFormat="1" applyFill="1" applyBorder="1" applyAlignment="1">
      <alignment horizontal="right" vertical="center"/>
    </xf>
    <xf numFmtId="2" fontId="0" fillId="0" borderId="0" xfId="0" applyNumberFormat="1"/>
    <xf numFmtId="10" fontId="25" fillId="0" borderId="70" xfId="2" applyNumberFormat="1" applyFont="1" applyBorder="1"/>
    <xf numFmtId="0" fontId="25" fillId="74" borderId="70" xfId="1694" applyFont="1" applyFill="1" applyBorder="1" applyAlignment="1">
      <alignment wrapText="1"/>
    </xf>
    <xf numFmtId="3" fontId="25" fillId="74" borderId="70" xfId="1694" applyNumberFormat="1" applyFont="1" applyFill="1" applyBorder="1" applyAlignment="1">
      <alignment horizontal="center" vertical="center" wrapText="1"/>
    </xf>
    <xf numFmtId="166" fontId="3" fillId="0" borderId="70" xfId="1" applyFont="1" applyBorder="1" applyAlignment="1">
      <alignment horizontal="center" vertical="center"/>
    </xf>
    <xf numFmtId="10" fontId="3" fillId="0" borderId="70" xfId="2" applyNumberFormat="1" applyFont="1" applyBorder="1" applyAlignment="1">
      <alignment horizontal="right"/>
    </xf>
    <xf numFmtId="0" fontId="38" fillId="0" borderId="0" xfId="1694" applyFont="1"/>
    <xf numFmtId="172" fontId="38" fillId="0" borderId="49" xfId="1" applyNumberFormat="1" applyFont="1" applyBorder="1"/>
    <xf numFmtId="0" fontId="2" fillId="0" borderId="70" xfId="1694" applyFont="1" applyBorder="1"/>
    <xf numFmtId="172" fontId="25" fillId="74" borderId="49" xfId="1694" applyNumberFormat="1" applyFont="1" applyFill="1" applyBorder="1"/>
    <xf numFmtId="172" fontId="3" fillId="4" borderId="70" xfId="1" applyNumberFormat="1" applyFont="1" applyFill="1" applyBorder="1"/>
    <xf numFmtId="10" fontId="3" fillId="4" borderId="70" xfId="2" applyNumberFormat="1" applyFont="1" applyFill="1" applyBorder="1"/>
    <xf numFmtId="0" fontId="25" fillId="4" borderId="70" xfId="1694" applyFont="1" applyFill="1" applyBorder="1"/>
    <xf numFmtId="172" fontId="3" fillId="4" borderId="70" xfId="1" applyNumberFormat="1" applyFont="1" applyFill="1" applyBorder="1" applyAlignment="1"/>
    <xf numFmtId="169" fontId="1" fillId="0" borderId="49" xfId="1694" applyNumberFormat="1" applyFont="1" applyBorder="1" applyAlignment="1">
      <alignment horizontal="center"/>
    </xf>
    <xf numFmtId="0" fontId="92" fillId="74" borderId="49" xfId="1694" applyFont="1" applyFill="1" applyBorder="1" applyAlignment="1">
      <alignment horizontal="center" vertical="center" wrapText="1"/>
    </xf>
    <xf numFmtId="185" fontId="0" fillId="0" borderId="0" xfId="0" applyNumberFormat="1" applyAlignment="1">
      <alignment horizontal="center"/>
    </xf>
    <xf numFmtId="9" fontId="3" fillId="0" borderId="0" xfId="2" applyFont="1"/>
    <xf numFmtId="3" fontId="3" fillId="0" borderId="0" xfId="1694" applyNumberFormat="1"/>
    <xf numFmtId="167" fontId="3" fillId="0" borderId="0" xfId="2" applyNumberFormat="1" applyFont="1"/>
    <xf numFmtId="0" fontId="0" fillId="0" borderId="48" xfId="0" applyBorder="1"/>
    <xf numFmtId="0" fontId="0" fillId="0" borderId="75" xfId="0" applyBorder="1"/>
    <xf numFmtId="0" fontId="0" fillId="75" borderId="0" xfId="0" applyFill="1"/>
    <xf numFmtId="0" fontId="0" fillId="75" borderId="48" xfId="0" applyFill="1" applyBorder="1"/>
    <xf numFmtId="1" fontId="90" fillId="0" borderId="74" xfId="0" applyNumberFormat="1" applyFont="1" applyBorder="1"/>
    <xf numFmtId="1" fontId="90" fillId="0" borderId="76" xfId="0" applyNumberFormat="1" applyFont="1" applyBorder="1"/>
    <xf numFmtId="0" fontId="93" fillId="0" borderId="48" xfId="0" applyFont="1" applyBorder="1"/>
    <xf numFmtId="1" fontId="93" fillId="0" borderId="48" xfId="0" applyNumberFormat="1" applyFont="1" applyBorder="1"/>
    <xf numFmtId="186" fontId="3" fillId="0" borderId="70" xfId="1694" applyNumberFormat="1" applyBorder="1"/>
    <xf numFmtId="172" fontId="0" fillId="0" borderId="0" xfId="1" applyNumberFormat="1" applyFont="1"/>
    <xf numFmtId="172" fontId="0" fillId="0" borderId="2" xfId="1" applyNumberFormat="1" applyFont="1" applyBorder="1"/>
    <xf numFmtId="0" fontId="0" fillId="0" borderId="48" xfId="0" applyBorder="1" applyAlignment="1">
      <alignment horizontal="right"/>
    </xf>
    <xf numFmtId="0" fontId="0" fillId="0" borderId="74" xfId="0" applyBorder="1" applyAlignment="1">
      <alignment horizontal="right"/>
    </xf>
    <xf numFmtId="0" fontId="19" fillId="4" borderId="0" xfId="0" applyFont="1" applyFill="1" applyAlignment="1">
      <alignment horizontal="center" wrapText="1"/>
    </xf>
    <xf numFmtId="9" fontId="4" fillId="0" borderId="0" xfId="2" applyFont="1"/>
    <xf numFmtId="10" fontId="4" fillId="0" borderId="0" xfId="2" applyNumberFormat="1" applyFont="1"/>
    <xf numFmtId="187" fontId="4" fillId="0" borderId="0" xfId="1693" applyNumberFormat="1"/>
    <xf numFmtId="0" fontId="25" fillId="74" borderId="68" xfId="1694" applyFont="1" applyFill="1" applyBorder="1" applyAlignment="1">
      <alignment horizontal="center" vertical="center"/>
    </xf>
    <xf numFmtId="0" fontId="25" fillId="74" borderId="71" xfId="1694" applyFont="1" applyFill="1" applyBorder="1" applyAlignment="1">
      <alignment horizontal="center" vertical="center"/>
    </xf>
    <xf numFmtId="0" fontId="25" fillId="74" borderId="49" xfId="1694" applyFont="1" applyFill="1" applyBorder="1" applyAlignment="1">
      <alignment horizontal="center" vertical="center"/>
    </xf>
    <xf numFmtId="0" fontId="25" fillId="0" borderId="67" xfId="1694" applyFont="1" applyBorder="1" applyAlignment="1">
      <alignment horizontal="left"/>
    </xf>
    <xf numFmtId="0" fontId="25" fillId="0" borderId="5" xfId="1694" applyFont="1" applyBorder="1" applyAlignment="1">
      <alignment horizontal="left"/>
    </xf>
    <xf numFmtId="0" fontId="25" fillId="0" borderId="70" xfId="1694" applyFont="1" applyBorder="1" applyAlignment="1">
      <alignment horizontal="left"/>
    </xf>
    <xf numFmtId="0" fontId="25" fillId="0" borderId="49" xfId="1694" applyFont="1" applyBorder="1" applyAlignment="1">
      <alignment horizontal="left" vertical="center" wrapText="1"/>
    </xf>
    <xf numFmtId="0" fontId="25" fillId="74" borderId="70" xfId="1694" applyFont="1" applyFill="1" applyBorder="1" applyAlignment="1">
      <alignment horizontal="center"/>
    </xf>
    <xf numFmtId="0" fontId="3" fillId="0" borderId="68" xfId="1694" applyBorder="1" applyAlignment="1">
      <alignment horizontal="center"/>
    </xf>
    <xf numFmtId="0" fontId="3" fillId="0" borderId="69" xfId="1694" applyBorder="1" applyAlignment="1">
      <alignment horizontal="center"/>
    </xf>
    <xf numFmtId="0" fontId="3" fillId="0" borderId="71" xfId="1694" applyBorder="1" applyAlignment="1">
      <alignment horizontal="center"/>
    </xf>
    <xf numFmtId="0" fontId="25" fillId="0" borderId="68" xfId="1694" applyFont="1" applyBorder="1" applyAlignment="1">
      <alignment horizontal="left"/>
    </xf>
    <xf numFmtId="0" fontId="25" fillId="0" borderId="69" xfId="1694" applyFont="1" applyBorder="1" applyAlignment="1">
      <alignment horizontal="left"/>
    </xf>
    <xf numFmtId="0" fontId="25" fillId="0" borderId="71" xfId="1694" applyFont="1" applyBorder="1" applyAlignment="1">
      <alignment horizontal="left"/>
    </xf>
    <xf numFmtId="0" fontId="25" fillId="0" borderId="70" xfId="1694" applyFont="1" applyBorder="1" applyAlignment="1">
      <alignment horizontal="left" vertical="center" wrapText="1"/>
    </xf>
    <xf numFmtId="0" fontId="25" fillId="0" borderId="4" xfId="1694" applyFont="1" applyBorder="1" applyAlignment="1">
      <alignment horizontal="left"/>
    </xf>
    <xf numFmtId="0" fontId="25" fillId="0" borderId="49" xfId="1694" applyFont="1" applyBorder="1" applyAlignment="1">
      <alignment horizontal="left"/>
    </xf>
    <xf numFmtId="0" fontId="3" fillId="0" borderId="67" xfId="1694" applyBorder="1" applyAlignment="1">
      <alignment horizontal="center"/>
    </xf>
    <xf numFmtId="0" fontId="3" fillId="0" borderId="4" xfId="1694" applyBorder="1" applyAlignment="1">
      <alignment horizontal="center"/>
    </xf>
    <xf numFmtId="0" fontId="3" fillId="0" borderId="5" xfId="1694" applyBorder="1" applyAlignment="1">
      <alignment horizontal="center"/>
    </xf>
    <xf numFmtId="0" fontId="3" fillId="0" borderId="70" xfId="1694" applyBorder="1" applyAlignment="1">
      <alignment horizontal="center"/>
    </xf>
    <xf numFmtId="0" fontId="88" fillId="66" borderId="48" xfId="1524" applyFont="1" applyFill="1" applyBorder="1" applyAlignment="1">
      <alignment horizontal="center" vertical="center"/>
    </xf>
    <xf numFmtId="0" fontId="88" fillId="66" borderId="0" xfId="1524" applyFont="1" applyFill="1" applyAlignment="1">
      <alignment horizontal="center" vertical="center"/>
    </xf>
    <xf numFmtId="0" fontId="88" fillId="66" borderId="48" xfId="1524" applyFont="1" applyFill="1" applyBorder="1" applyAlignment="1">
      <alignment horizontal="center" vertical="center" wrapText="1"/>
    </xf>
    <xf numFmtId="0" fontId="88" fillId="66" borderId="0" xfId="1524" applyFont="1" applyFill="1" applyAlignment="1">
      <alignment horizontal="center" vertical="center" wrapText="1"/>
    </xf>
    <xf numFmtId="0" fontId="88" fillId="66" borderId="1" xfId="1524" applyFont="1" applyFill="1" applyBorder="1" applyAlignment="1">
      <alignment horizontal="center" vertical="center" wrapText="1"/>
    </xf>
    <xf numFmtId="0" fontId="88" fillId="66" borderId="46" xfId="1524" applyFont="1" applyFill="1" applyBorder="1" applyAlignment="1">
      <alignment horizontal="center" vertical="center" wrapText="1"/>
    </xf>
    <xf numFmtId="0" fontId="88" fillId="66" borderId="47" xfId="1524" applyFont="1" applyFill="1" applyBorder="1" applyAlignment="1">
      <alignment horizontal="center" vertical="center" wrapText="1"/>
    </xf>
    <xf numFmtId="0" fontId="82" fillId="67" borderId="35" xfId="1524" applyFont="1" applyFill="1" applyBorder="1" applyAlignment="1">
      <alignment horizontal="center" vertical="center" wrapText="1"/>
    </xf>
    <xf numFmtId="0" fontId="82" fillId="67" borderId="30" xfId="1524" applyFont="1" applyFill="1" applyBorder="1" applyAlignment="1">
      <alignment horizontal="center" vertical="center" wrapText="1"/>
    </xf>
    <xf numFmtId="0" fontId="82" fillId="67" borderId="34" xfId="1524" applyFont="1" applyFill="1" applyBorder="1" applyAlignment="1">
      <alignment horizontal="center" vertical="center" wrapText="1"/>
    </xf>
    <xf numFmtId="0" fontId="82" fillId="67" borderId="50" xfId="1524" applyFont="1" applyFill="1" applyBorder="1" applyAlignment="1">
      <alignment horizontal="center" vertical="center" wrapText="1"/>
    </xf>
    <xf numFmtId="0" fontId="82" fillId="67" borderId="51" xfId="1524" applyFont="1" applyFill="1" applyBorder="1" applyAlignment="1">
      <alignment horizontal="center" vertical="center" wrapText="1"/>
    </xf>
    <xf numFmtId="0" fontId="0" fillId="39" borderId="0" xfId="0" applyFill="1" applyAlignment="1">
      <alignment horizontal="center"/>
    </xf>
    <xf numFmtId="3" fontId="16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" fontId="25" fillId="0" borderId="49" xfId="1693" applyNumberFormat="1" applyFont="1" applyBorder="1" applyAlignment="1">
      <alignment horizontal="center"/>
    </xf>
    <xf numFmtId="0" fontId="25" fillId="0" borderId="49" xfId="1693" applyFont="1" applyBorder="1" applyAlignment="1">
      <alignment horizontal="center"/>
    </xf>
    <xf numFmtId="3" fontId="25" fillId="0" borderId="49" xfId="1693" applyNumberFormat="1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</cellXfs>
  <cellStyles count="1695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2 5" xfId="1660" xr:uid="{EC0795E5-C8FD-47AF-AB77-A4137C399007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2 5" xfId="1661" xr:uid="{D0EC5C76-0E3C-4936-AC61-4888DBA50622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2 5" xfId="1662" xr:uid="{DE62C564-A721-4C64-B3FA-96DBF241B38A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2 5" xfId="1663" xr:uid="{A1E3281C-8400-4B8B-8114-73795916A8F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2 5" xfId="1664" xr:uid="{AD466CB0-72B1-42AD-B619-31BC441F6E5F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2 5" xfId="1665" xr:uid="{C2F27849-CF9A-49E0-A363-92D4B81A6FC6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2 5" xfId="1666" xr:uid="{9C44016D-7AD4-4041-B4D8-04A86084D939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2 5" xfId="1667" xr:uid="{E8CC7B8A-3320-498D-8AE0-F31297DA0191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2 5" xfId="1668" xr:uid="{28687D4E-60EC-48E8-8EC8-9F41B8C12548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2 5" xfId="1669" xr:uid="{F66B13E2-0199-4786-814F-FF3EE142EB9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2 5" xfId="1670" xr:uid="{5A259F63-A8D2-4089-9012-015811707E0F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2 5" xfId="1671" xr:uid="{930A8FEA-8774-4751-BB80-79116B9CE2A4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12" xfId="1655" xr:uid="{E26F9B59-C36A-42BF-A5F0-FE86BC082EFA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2 7" xfId="1658" xr:uid="{6E794781-1110-4CEF-8ED7-730EBD53C505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2 6" xfId="1672" xr:uid="{E9BC8BD7-58C1-45B0-A650-E5CCDD80D7FE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 7" xfId="1659" xr:uid="{F04C9971-4AFF-457E-B31A-DE458769CC17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11" xfId="1673" xr:uid="{FE5530FD-2DEB-4A76-81E5-FCA0CF962FFC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5 3" xfId="1674" xr:uid="{49EDE8A3-1547-476F-A4E9-48E208EA297A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6 7" xfId="1692" xr:uid="{E245D9F1-1FB7-4EDF-B502-4FCDD0D8FBED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2 8" xfId="1675" xr:uid="{193D88CC-348A-44DD-91E5-F7802F86AA39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4 3" xfId="1676" xr:uid="{2D93BB58-2322-48BD-9631-BDA22426F13F}"/>
    <cellStyle name="Currency 5" xfId="485" xr:uid="{C7B28150-23F3-45C8-963D-555E5B2F35A2}"/>
    <cellStyle name="Currency 6" xfId="1651" xr:uid="{1D36D290-9B8D-4366-9EA3-7B24D5CEBF63}"/>
    <cellStyle name="Currency 7" xfId="1690" xr:uid="{FE98B554-2163-4FC2-BE78-A31C7B3D36D1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2 2" xfId="1678" xr:uid="{F5F6F937-D579-4DAF-846C-7AB2420AE396}"/>
    <cellStyle name="Input [yellow] 3" xfId="1573" xr:uid="{D16E7B25-5563-4B06-ACDF-0D7B628DC97A}"/>
    <cellStyle name="Input [yellow] 4" xfId="1644" xr:uid="{35359276-7EED-4A9F-A48F-A426D1C05BF9}"/>
    <cellStyle name="Input [yellow] 5" xfId="1677" xr:uid="{436EA433-99AA-40E2-9E1B-6B0F4F9A9711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 9" xfId="1679" xr:uid="{493B3F0E-722E-4AA5-B49D-D36724F4D1DD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 7" xfId="1680" xr:uid="{5791F73E-FAFE-4239-88B2-F93D904341D6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3 5" xfId="1691" xr:uid="{4D54D615-96DF-4743-B8B1-A2362D9B6B00}"/>
    <cellStyle name="Normal 5 2 4" xfId="844" xr:uid="{E5ED4AF3-FB2C-445E-AD98-836387592AA0}"/>
    <cellStyle name="Normal 5 2 5" xfId="1575" xr:uid="{342AFFB9-C072-4776-8B05-33A2D52D4255}"/>
    <cellStyle name="Normal 5 2 6" xfId="1682" xr:uid="{40B68877-20AE-4B8A-8C1F-6D0511736011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 6" xfId="1681" xr:uid="{6526147D-F718-44C6-ACFA-D269FAF2CA30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56" xfId="1654" xr:uid="{187E4ED3-96C3-458D-9BC8-1C81CE0182D4}"/>
    <cellStyle name="Normal 57" xfId="1656" xr:uid="{215ABBCB-4A06-46A7-90D3-E0D5F1983758}"/>
    <cellStyle name="Normal 58" xfId="1657" xr:uid="{79907F63-2E08-4616-ABD6-7A6778D12A6B}"/>
    <cellStyle name="Normal 59" xfId="1693" xr:uid="{C08E7A32-A9BE-449E-8252-A9405B49D54C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6 5" xfId="1683" xr:uid="{A05E58FD-726C-4351-989E-60152B0DD238}"/>
    <cellStyle name="Normal 60" xfId="1694" xr:uid="{C3E8F6ED-9B37-4E78-B451-A15E5C215319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2 5" xfId="1684" xr:uid="{9D03BA61-E0C6-45B2-A4CB-58C35478DAFC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 7" xfId="1685" xr:uid="{4BA4E7F8-BA4C-4E39-A024-3715EF8B11A8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2 6" xfId="1687" xr:uid="{70DDB6C9-8C33-4898-A829-00ADA9BA3DA5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 7" xfId="1686" xr:uid="{B7BAF8B7-3856-4014-B85A-08DFEF3AB05D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 5" xfId="1688" xr:uid="{A361605A-B0BC-42D8-9195-73D4606977B9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 23 4" xfId="1689" xr:uid="{4D5D5E27-F6C4-4F4C-A2DE-F7F8F113456E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CCFFCC"/>
      <color rgb="FF00FF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0991683268507"/>
          <c:y val="4.4579647747387527E-2"/>
          <c:w val="0.84665699920040116"/>
          <c:h val="0.77440964425844039"/>
        </c:manualLayout>
      </c:layout>
      <c:lineChart>
        <c:grouping val="standard"/>
        <c:varyColors val="0"/>
        <c:ser>
          <c:idx val="2"/>
          <c:order val="2"/>
          <c:tx>
            <c:strRef>
              <c:f>'Power Purchased Model'!$D$2</c:f>
              <c:strCache>
                <c:ptCount val="1"/>
                <c:pt idx="0">
                  <c:v>Total Power Purchased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'Power Purchased Model'!$A$3:$A$146</c:f>
              <c:numCache>
                <c:formatCode>mmm\-yy</c:formatCode>
                <c:ptCount val="144"/>
                <c:pt idx="0">
                  <c:v>42400</c:v>
                </c:pt>
                <c:pt idx="1">
                  <c:v>42429</c:v>
                </c:pt>
                <c:pt idx="2">
                  <c:v>42460</c:v>
                </c:pt>
                <c:pt idx="3">
                  <c:v>42490</c:v>
                </c:pt>
                <c:pt idx="4">
                  <c:v>42521</c:v>
                </c:pt>
                <c:pt idx="5">
                  <c:v>42551</c:v>
                </c:pt>
                <c:pt idx="6">
                  <c:v>42582</c:v>
                </c:pt>
                <c:pt idx="7">
                  <c:v>42613</c:v>
                </c:pt>
                <c:pt idx="8">
                  <c:v>42643</c:v>
                </c:pt>
                <c:pt idx="9">
                  <c:v>42674</c:v>
                </c:pt>
                <c:pt idx="10">
                  <c:v>42704</c:v>
                </c:pt>
                <c:pt idx="11">
                  <c:v>42735</c:v>
                </c:pt>
                <c:pt idx="12">
                  <c:v>42766</c:v>
                </c:pt>
                <c:pt idx="13">
                  <c:v>42794</c:v>
                </c:pt>
                <c:pt idx="14">
                  <c:v>42825</c:v>
                </c:pt>
                <c:pt idx="15">
                  <c:v>42855</c:v>
                </c:pt>
                <c:pt idx="16">
                  <c:v>42886</c:v>
                </c:pt>
                <c:pt idx="17">
                  <c:v>42916</c:v>
                </c:pt>
                <c:pt idx="18">
                  <c:v>42947</c:v>
                </c:pt>
                <c:pt idx="19">
                  <c:v>42978</c:v>
                </c:pt>
                <c:pt idx="20">
                  <c:v>43008</c:v>
                </c:pt>
                <c:pt idx="21">
                  <c:v>43039</c:v>
                </c:pt>
                <c:pt idx="22">
                  <c:v>43069</c:v>
                </c:pt>
                <c:pt idx="23">
                  <c:v>43100</c:v>
                </c:pt>
                <c:pt idx="24">
                  <c:v>43131</c:v>
                </c:pt>
                <c:pt idx="25">
                  <c:v>43159</c:v>
                </c:pt>
                <c:pt idx="26">
                  <c:v>43190</c:v>
                </c:pt>
                <c:pt idx="27">
                  <c:v>43220</c:v>
                </c:pt>
                <c:pt idx="28">
                  <c:v>43251</c:v>
                </c:pt>
                <c:pt idx="29">
                  <c:v>43281</c:v>
                </c:pt>
                <c:pt idx="30">
                  <c:v>43312</c:v>
                </c:pt>
                <c:pt idx="31">
                  <c:v>43343</c:v>
                </c:pt>
                <c:pt idx="32">
                  <c:v>43373</c:v>
                </c:pt>
                <c:pt idx="33">
                  <c:v>43404</c:v>
                </c:pt>
                <c:pt idx="34">
                  <c:v>43434</c:v>
                </c:pt>
                <c:pt idx="35">
                  <c:v>43465</c:v>
                </c:pt>
                <c:pt idx="36">
                  <c:v>43496</c:v>
                </c:pt>
                <c:pt idx="37">
                  <c:v>43524</c:v>
                </c:pt>
                <c:pt idx="38">
                  <c:v>43555</c:v>
                </c:pt>
                <c:pt idx="39">
                  <c:v>43585</c:v>
                </c:pt>
                <c:pt idx="40">
                  <c:v>43616</c:v>
                </c:pt>
                <c:pt idx="41">
                  <c:v>43646</c:v>
                </c:pt>
                <c:pt idx="42">
                  <c:v>43677</c:v>
                </c:pt>
                <c:pt idx="43">
                  <c:v>43708</c:v>
                </c:pt>
                <c:pt idx="44">
                  <c:v>43738</c:v>
                </c:pt>
                <c:pt idx="45">
                  <c:v>43769</c:v>
                </c:pt>
                <c:pt idx="46">
                  <c:v>43799</c:v>
                </c:pt>
                <c:pt idx="47">
                  <c:v>43830</c:v>
                </c:pt>
                <c:pt idx="48">
                  <c:v>43861</c:v>
                </c:pt>
                <c:pt idx="49">
                  <c:v>43890</c:v>
                </c:pt>
                <c:pt idx="50">
                  <c:v>43921</c:v>
                </c:pt>
                <c:pt idx="51">
                  <c:v>43951</c:v>
                </c:pt>
                <c:pt idx="52">
                  <c:v>43982</c:v>
                </c:pt>
                <c:pt idx="53">
                  <c:v>44012</c:v>
                </c:pt>
                <c:pt idx="54">
                  <c:v>44043</c:v>
                </c:pt>
                <c:pt idx="55">
                  <c:v>44074</c:v>
                </c:pt>
                <c:pt idx="56">
                  <c:v>44104</c:v>
                </c:pt>
                <c:pt idx="57">
                  <c:v>44135</c:v>
                </c:pt>
                <c:pt idx="58">
                  <c:v>44165</c:v>
                </c:pt>
                <c:pt idx="59">
                  <c:v>44196</c:v>
                </c:pt>
                <c:pt idx="60">
                  <c:v>44227</c:v>
                </c:pt>
                <c:pt idx="61">
                  <c:v>44255</c:v>
                </c:pt>
                <c:pt idx="62">
                  <c:v>44286</c:v>
                </c:pt>
                <c:pt idx="63">
                  <c:v>44316</c:v>
                </c:pt>
                <c:pt idx="64">
                  <c:v>44347</c:v>
                </c:pt>
                <c:pt idx="65">
                  <c:v>44377</c:v>
                </c:pt>
                <c:pt idx="66">
                  <c:v>44408</c:v>
                </c:pt>
                <c:pt idx="67">
                  <c:v>44439</c:v>
                </c:pt>
                <c:pt idx="68">
                  <c:v>44469</c:v>
                </c:pt>
                <c:pt idx="69">
                  <c:v>44500</c:v>
                </c:pt>
                <c:pt idx="70">
                  <c:v>44530</c:v>
                </c:pt>
                <c:pt idx="71">
                  <c:v>44561</c:v>
                </c:pt>
                <c:pt idx="72">
                  <c:v>44592</c:v>
                </c:pt>
                <c:pt idx="73">
                  <c:v>44620</c:v>
                </c:pt>
                <c:pt idx="74">
                  <c:v>44651</c:v>
                </c:pt>
                <c:pt idx="75">
                  <c:v>44681</c:v>
                </c:pt>
                <c:pt idx="76">
                  <c:v>44712</c:v>
                </c:pt>
                <c:pt idx="77">
                  <c:v>44742</c:v>
                </c:pt>
                <c:pt idx="78">
                  <c:v>44773</c:v>
                </c:pt>
                <c:pt idx="79">
                  <c:v>44804</c:v>
                </c:pt>
                <c:pt idx="80">
                  <c:v>44834</c:v>
                </c:pt>
                <c:pt idx="81">
                  <c:v>44865</c:v>
                </c:pt>
                <c:pt idx="82">
                  <c:v>44895</c:v>
                </c:pt>
                <c:pt idx="83">
                  <c:v>44926</c:v>
                </c:pt>
                <c:pt idx="84">
                  <c:v>44957</c:v>
                </c:pt>
                <c:pt idx="85">
                  <c:v>44985</c:v>
                </c:pt>
                <c:pt idx="86">
                  <c:v>45016</c:v>
                </c:pt>
                <c:pt idx="87">
                  <c:v>45046</c:v>
                </c:pt>
                <c:pt idx="88">
                  <c:v>45077</c:v>
                </c:pt>
                <c:pt idx="89">
                  <c:v>45107</c:v>
                </c:pt>
                <c:pt idx="90">
                  <c:v>45138</c:v>
                </c:pt>
                <c:pt idx="91">
                  <c:v>45169</c:v>
                </c:pt>
                <c:pt idx="92">
                  <c:v>45199</c:v>
                </c:pt>
                <c:pt idx="93">
                  <c:v>45230</c:v>
                </c:pt>
                <c:pt idx="94">
                  <c:v>45260</c:v>
                </c:pt>
                <c:pt idx="95">
                  <c:v>45291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</c:numCache>
            </c:numRef>
          </c:cat>
          <c:val>
            <c:numRef>
              <c:f>'Power Purchased Model'!$D$3:$D$146</c:f>
              <c:numCache>
                <c:formatCode>#,##0_);\(#,##0\)</c:formatCode>
                <c:ptCount val="144"/>
                <c:pt idx="0">
                  <c:v>22462864.690000001</c:v>
                </c:pt>
                <c:pt idx="1">
                  <c:v>20252371.940000001</c:v>
                </c:pt>
                <c:pt idx="2">
                  <c:v>19577050.66</c:v>
                </c:pt>
                <c:pt idx="3">
                  <c:v>18034270.890000001</c:v>
                </c:pt>
                <c:pt idx="4">
                  <c:v>18519124.079999998</c:v>
                </c:pt>
                <c:pt idx="5">
                  <c:v>21862180.850000001</c:v>
                </c:pt>
                <c:pt idx="6">
                  <c:v>26064692.030000001</c:v>
                </c:pt>
                <c:pt idx="7">
                  <c:v>27083263.440000001</c:v>
                </c:pt>
                <c:pt idx="8">
                  <c:v>20464104.100000001</c:v>
                </c:pt>
                <c:pt idx="9">
                  <c:v>17163758.600000001</c:v>
                </c:pt>
                <c:pt idx="10">
                  <c:v>18089928.670000002</c:v>
                </c:pt>
                <c:pt idx="11">
                  <c:v>21704164.09</c:v>
                </c:pt>
                <c:pt idx="12">
                  <c:v>21500915.940000001</c:v>
                </c:pt>
                <c:pt idx="13">
                  <c:v>18235798.280000001</c:v>
                </c:pt>
                <c:pt idx="14">
                  <c:v>19847793.539999999</c:v>
                </c:pt>
                <c:pt idx="15">
                  <c:v>16420084.67</c:v>
                </c:pt>
                <c:pt idx="16">
                  <c:v>17732974.140000001</c:v>
                </c:pt>
                <c:pt idx="17">
                  <c:v>21201683.949999999</c:v>
                </c:pt>
                <c:pt idx="18">
                  <c:v>24866070.170000002</c:v>
                </c:pt>
                <c:pt idx="19">
                  <c:v>21670126.190000001</c:v>
                </c:pt>
                <c:pt idx="20">
                  <c:v>18373867.850000001</c:v>
                </c:pt>
                <c:pt idx="21">
                  <c:v>16690856.65</c:v>
                </c:pt>
                <c:pt idx="22">
                  <c:v>17572402.039999999</c:v>
                </c:pt>
                <c:pt idx="23">
                  <c:v>20388360.739999998</c:v>
                </c:pt>
                <c:pt idx="24">
                  <c:v>21837774.039999999</c:v>
                </c:pt>
                <c:pt idx="25">
                  <c:v>17891108.989999998</c:v>
                </c:pt>
                <c:pt idx="26">
                  <c:v>18822892.620000001</c:v>
                </c:pt>
                <c:pt idx="27">
                  <c:v>16955792.240000002</c:v>
                </c:pt>
                <c:pt idx="28">
                  <c:v>17786902.91</c:v>
                </c:pt>
                <c:pt idx="29">
                  <c:v>20382911.52</c:v>
                </c:pt>
                <c:pt idx="30">
                  <c:v>25298246.199999999</c:v>
                </c:pt>
                <c:pt idx="31">
                  <c:v>27006110.34</c:v>
                </c:pt>
                <c:pt idx="32">
                  <c:v>21835752.59</c:v>
                </c:pt>
                <c:pt idx="33">
                  <c:v>18953949.890000001</c:v>
                </c:pt>
                <c:pt idx="34">
                  <c:v>18509403.969999999</c:v>
                </c:pt>
                <c:pt idx="35">
                  <c:v>19883019.579999998</c:v>
                </c:pt>
                <c:pt idx="36">
                  <c:v>21853356.219999999</c:v>
                </c:pt>
                <c:pt idx="37">
                  <c:v>19108916.73</c:v>
                </c:pt>
                <c:pt idx="38">
                  <c:v>21054035.109999999</c:v>
                </c:pt>
                <c:pt idx="39">
                  <c:v>17966358.489999998</c:v>
                </c:pt>
                <c:pt idx="40">
                  <c:v>17934405.329999998</c:v>
                </c:pt>
                <c:pt idx="41">
                  <c:v>20178414.199999999</c:v>
                </c:pt>
                <c:pt idx="42">
                  <c:v>28556289.98</c:v>
                </c:pt>
                <c:pt idx="43">
                  <c:v>25466708.98</c:v>
                </c:pt>
                <c:pt idx="44">
                  <c:v>21057928.670000002</c:v>
                </c:pt>
                <c:pt idx="45">
                  <c:v>18104987.43</c:v>
                </c:pt>
                <c:pt idx="46">
                  <c:v>20028649.059999999</c:v>
                </c:pt>
                <c:pt idx="47">
                  <c:v>21558465.780000001</c:v>
                </c:pt>
                <c:pt idx="48">
                  <c:v>22085790.559999999</c:v>
                </c:pt>
                <c:pt idx="49">
                  <c:v>20612007.280000001</c:v>
                </c:pt>
                <c:pt idx="50">
                  <c:v>20076080.940000001</c:v>
                </c:pt>
                <c:pt idx="51">
                  <c:v>17682406.989999998</c:v>
                </c:pt>
                <c:pt idx="52">
                  <c:v>18530589.140000001</c:v>
                </c:pt>
                <c:pt idx="53">
                  <c:v>23065659.539999999</c:v>
                </c:pt>
                <c:pt idx="54">
                  <c:v>29134612.27</c:v>
                </c:pt>
                <c:pt idx="55">
                  <c:v>26501727.140000001</c:v>
                </c:pt>
                <c:pt idx="56">
                  <c:v>19276538.740000002</c:v>
                </c:pt>
                <c:pt idx="57">
                  <c:v>17437759.789999999</c:v>
                </c:pt>
                <c:pt idx="58">
                  <c:v>18610604.960000001</c:v>
                </c:pt>
                <c:pt idx="59">
                  <c:v>20982690.16</c:v>
                </c:pt>
                <c:pt idx="60">
                  <c:v>20995116.91</c:v>
                </c:pt>
                <c:pt idx="61">
                  <c:v>19823382.140000001</c:v>
                </c:pt>
                <c:pt idx="62">
                  <c:v>19321362.48</c:v>
                </c:pt>
                <c:pt idx="63">
                  <c:v>16903766.009999998</c:v>
                </c:pt>
                <c:pt idx="64">
                  <c:v>18396375.82</c:v>
                </c:pt>
                <c:pt idx="65">
                  <c:v>24298471.460000001</c:v>
                </c:pt>
                <c:pt idx="66">
                  <c:v>24791523.16</c:v>
                </c:pt>
                <c:pt idx="67">
                  <c:v>27197777.760000002</c:v>
                </c:pt>
                <c:pt idx="68">
                  <c:v>20428074.48</c:v>
                </c:pt>
                <c:pt idx="69">
                  <c:v>18428290.579999998</c:v>
                </c:pt>
                <c:pt idx="70">
                  <c:v>19173407.420000002</c:v>
                </c:pt>
                <c:pt idx="71">
                  <c:v>20119949.539999999</c:v>
                </c:pt>
                <c:pt idx="72">
                  <c:v>22195763.289999999</c:v>
                </c:pt>
                <c:pt idx="73">
                  <c:v>19714760.890000001</c:v>
                </c:pt>
                <c:pt idx="74">
                  <c:v>19777585.75</c:v>
                </c:pt>
                <c:pt idx="75">
                  <c:v>17528426.43</c:v>
                </c:pt>
                <c:pt idx="76">
                  <c:v>17930310.699999999</c:v>
                </c:pt>
                <c:pt idx="77">
                  <c:v>21699354.68</c:v>
                </c:pt>
                <c:pt idx="78">
                  <c:v>25124609.25</c:v>
                </c:pt>
                <c:pt idx="79">
                  <c:v>24769309.84</c:v>
                </c:pt>
                <c:pt idx="80">
                  <c:v>19934570.010000002</c:v>
                </c:pt>
                <c:pt idx="81">
                  <c:v>17114354.649999999</c:v>
                </c:pt>
                <c:pt idx="82">
                  <c:v>18396845.77</c:v>
                </c:pt>
                <c:pt idx="83">
                  <c:v>21192583.899999999</c:v>
                </c:pt>
                <c:pt idx="84">
                  <c:v>21021690.93</c:v>
                </c:pt>
                <c:pt idx="85">
                  <c:v>18837403.57</c:v>
                </c:pt>
                <c:pt idx="86">
                  <c:v>20675402.530000001</c:v>
                </c:pt>
                <c:pt idx="87">
                  <c:v>17653599.469999999</c:v>
                </c:pt>
                <c:pt idx="88">
                  <c:v>17475819.850000001</c:v>
                </c:pt>
                <c:pt idx="89">
                  <c:v>20055498.919999998</c:v>
                </c:pt>
                <c:pt idx="90">
                  <c:v>24455930.459999997</c:v>
                </c:pt>
                <c:pt idx="91">
                  <c:v>22676995</c:v>
                </c:pt>
                <c:pt idx="92">
                  <c:v>20188763.130000003</c:v>
                </c:pt>
                <c:pt idx="93">
                  <c:v>18592107.649999999</c:v>
                </c:pt>
                <c:pt idx="94">
                  <c:v>18500501.18</c:v>
                </c:pt>
                <c:pt idx="95">
                  <c:v>20602536.23</c:v>
                </c:pt>
                <c:pt idx="96">
                  <c:v>22991783.129999999</c:v>
                </c:pt>
                <c:pt idx="97">
                  <c:v>19909618.18</c:v>
                </c:pt>
                <c:pt idx="98">
                  <c:v>19769289.739999998</c:v>
                </c:pt>
                <c:pt idx="99">
                  <c:v>18297046.260000002</c:v>
                </c:pt>
                <c:pt idx="100">
                  <c:v>19477491.039999999</c:v>
                </c:pt>
                <c:pt idx="101">
                  <c:v>23588924.969999999</c:v>
                </c:pt>
                <c:pt idx="102">
                  <c:v>26790209.760000002</c:v>
                </c:pt>
                <c:pt idx="103">
                  <c:v>25861036.030000001</c:v>
                </c:pt>
                <c:pt idx="104">
                  <c:v>21076307.850000001</c:v>
                </c:pt>
                <c:pt idx="105">
                  <c:v>18033862.059999999</c:v>
                </c:pt>
                <c:pt idx="106">
                  <c:v>18404281.809999999</c:v>
                </c:pt>
                <c:pt idx="107">
                  <c:v>21228382.489999998</c:v>
                </c:pt>
                <c:pt idx="108">
                  <c:v>23926179.079999998</c:v>
                </c:pt>
                <c:pt idx="109">
                  <c:v>19907689.393333338</c:v>
                </c:pt>
                <c:pt idx="110">
                  <c:v>20228779.876666665</c:v>
                </c:pt>
                <c:pt idx="111">
                  <c:v>17855399.329999998</c:v>
                </c:pt>
                <c:pt idx="112">
                  <c:v>17778609.603333335</c:v>
                </c:pt>
                <c:pt idx="113">
                  <c:v>22776523.77</c:v>
                </c:pt>
                <c:pt idx="114">
                  <c:v>28102766.048864566</c:v>
                </c:pt>
                <c:pt idx="115">
                  <c:v>24670960.87446877</c:v>
                </c:pt>
                <c:pt idx="116">
                  <c:v>20384897.329999998</c:v>
                </c:pt>
                <c:pt idx="117">
                  <c:v>18368645.043333337</c:v>
                </c:pt>
                <c:pt idx="118">
                  <c:v>19256682.163333334</c:v>
                </c:pt>
                <c:pt idx="119">
                  <c:v>22775840.99666667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F9-4A5D-9BB5-BAC7AE54A4C6}"/>
            </c:ext>
          </c:extLst>
        </c:ser>
        <c:ser>
          <c:idx val="8"/>
          <c:order val="8"/>
          <c:tx>
            <c:strRef>
              <c:f>'Power Purchased Model'!$J$2</c:f>
              <c:strCache>
                <c:ptCount val="1"/>
                <c:pt idx="0">
                  <c:v>COVID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'Power Purchased Model'!$A$3:$A$146</c:f>
              <c:numCache>
                <c:formatCode>mmm\-yy</c:formatCode>
                <c:ptCount val="144"/>
                <c:pt idx="0">
                  <c:v>42400</c:v>
                </c:pt>
                <c:pt idx="1">
                  <c:v>42429</c:v>
                </c:pt>
                <c:pt idx="2">
                  <c:v>42460</c:v>
                </c:pt>
                <c:pt idx="3">
                  <c:v>42490</c:v>
                </c:pt>
                <c:pt idx="4">
                  <c:v>42521</c:v>
                </c:pt>
                <c:pt idx="5">
                  <c:v>42551</c:v>
                </c:pt>
                <c:pt idx="6">
                  <c:v>42582</c:v>
                </c:pt>
                <c:pt idx="7">
                  <c:v>42613</c:v>
                </c:pt>
                <c:pt idx="8">
                  <c:v>42643</c:v>
                </c:pt>
                <c:pt idx="9">
                  <c:v>42674</c:v>
                </c:pt>
                <c:pt idx="10">
                  <c:v>42704</c:v>
                </c:pt>
                <c:pt idx="11">
                  <c:v>42735</c:v>
                </c:pt>
                <c:pt idx="12">
                  <c:v>42766</c:v>
                </c:pt>
                <c:pt idx="13">
                  <c:v>42794</c:v>
                </c:pt>
                <c:pt idx="14">
                  <c:v>42825</c:v>
                </c:pt>
                <c:pt idx="15">
                  <c:v>42855</c:v>
                </c:pt>
                <c:pt idx="16">
                  <c:v>42886</c:v>
                </c:pt>
                <c:pt idx="17">
                  <c:v>42916</c:v>
                </c:pt>
                <c:pt idx="18">
                  <c:v>42947</c:v>
                </c:pt>
                <c:pt idx="19">
                  <c:v>42978</c:v>
                </c:pt>
                <c:pt idx="20">
                  <c:v>43008</c:v>
                </c:pt>
                <c:pt idx="21">
                  <c:v>43039</c:v>
                </c:pt>
                <c:pt idx="22">
                  <c:v>43069</c:v>
                </c:pt>
                <c:pt idx="23">
                  <c:v>43100</c:v>
                </c:pt>
                <c:pt idx="24">
                  <c:v>43131</c:v>
                </c:pt>
                <c:pt idx="25">
                  <c:v>43159</c:v>
                </c:pt>
                <c:pt idx="26">
                  <c:v>43190</c:v>
                </c:pt>
                <c:pt idx="27">
                  <c:v>43220</c:v>
                </c:pt>
                <c:pt idx="28">
                  <c:v>43251</c:v>
                </c:pt>
                <c:pt idx="29">
                  <c:v>43281</c:v>
                </c:pt>
                <c:pt idx="30">
                  <c:v>43312</c:v>
                </c:pt>
                <c:pt idx="31">
                  <c:v>43343</c:v>
                </c:pt>
                <c:pt idx="32">
                  <c:v>43373</c:v>
                </c:pt>
                <c:pt idx="33">
                  <c:v>43404</c:v>
                </c:pt>
                <c:pt idx="34">
                  <c:v>43434</c:v>
                </c:pt>
                <c:pt idx="35">
                  <c:v>43465</c:v>
                </c:pt>
                <c:pt idx="36">
                  <c:v>43496</c:v>
                </c:pt>
                <c:pt idx="37">
                  <c:v>43524</c:v>
                </c:pt>
                <c:pt idx="38">
                  <c:v>43555</c:v>
                </c:pt>
                <c:pt idx="39">
                  <c:v>43585</c:v>
                </c:pt>
                <c:pt idx="40">
                  <c:v>43616</c:v>
                </c:pt>
                <c:pt idx="41">
                  <c:v>43646</c:v>
                </c:pt>
                <c:pt idx="42">
                  <c:v>43677</c:v>
                </c:pt>
                <c:pt idx="43">
                  <c:v>43708</c:v>
                </c:pt>
                <c:pt idx="44">
                  <c:v>43738</c:v>
                </c:pt>
                <c:pt idx="45">
                  <c:v>43769</c:v>
                </c:pt>
                <c:pt idx="46">
                  <c:v>43799</c:v>
                </c:pt>
                <c:pt idx="47">
                  <c:v>43830</c:v>
                </c:pt>
                <c:pt idx="48">
                  <c:v>43861</c:v>
                </c:pt>
                <c:pt idx="49">
                  <c:v>43890</c:v>
                </c:pt>
                <c:pt idx="50">
                  <c:v>43921</c:v>
                </c:pt>
                <c:pt idx="51">
                  <c:v>43951</c:v>
                </c:pt>
                <c:pt idx="52">
                  <c:v>43982</c:v>
                </c:pt>
                <c:pt idx="53">
                  <c:v>44012</c:v>
                </c:pt>
                <c:pt idx="54">
                  <c:v>44043</c:v>
                </c:pt>
                <c:pt idx="55">
                  <c:v>44074</c:v>
                </c:pt>
                <c:pt idx="56">
                  <c:v>44104</c:v>
                </c:pt>
                <c:pt idx="57">
                  <c:v>44135</c:v>
                </c:pt>
                <c:pt idx="58">
                  <c:v>44165</c:v>
                </c:pt>
                <c:pt idx="59">
                  <c:v>44196</c:v>
                </c:pt>
                <c:pt idx="60">
                  <c:v>44227</c:v>
                </c:pt>
                <c:pt idx="61">
                  <c:v>44255</c:v>
                </c:pt>
                <c:pt idx="62">
                  <c:v>44286</c:v>
                </c:pt>
                <c:pt idx="63">
                  <c:v>44316</c:v>
                </c:pt>
                <c:pt idx="64">
                  <c:v>44347</c:v>
                </c:pt>
                <c:pt idx="65">
                  <c:v>44377</c:v>
                </c:pt>
                <c:pt idx="66">
                  <c:v>44408</c:v>
                </c:pt>
                <c:pt idx="67">
                  <c:v>44439</c:v>
                </c:pt>
                <c:pt idx="68">
                  <c:v>44469</c:v>
                </c:pt>
                <c:pt idx="69">
                  <c:v>44500</c:v>
                </c:pt>
                <c:pt idx="70">
                  <c:v>44530</c:v>
                </c:pt>
                <c:pt idx="71">
                  <c:v>44561</c:v>
                </c:pt>
                <c:pt idx="72">
                  <c:v>44592</c:v>
                </c:pt>
                <c:pt idx="73">
                  <c:v>44620</c:v>
                </c:pt>
                <c:pt idx="74">
                  <c:v>44651</c:v>
                </c:pt>
                <c:pt idx="75">
                  <c:v>44681</c:v>
                </c:pt>
                <c:pt idx="76">
                  <c:v>44712</c:v>
                </c:pt>
                <c:pt idx="77">
                  <c:v>44742</c:v>
                </c:pt>
                <c:pt idx="78">
                  <c:v>44773</c:v>
                </c:pt>
                <c:pt idx="79">
                  <c:v>44804</c:v>
                </c:pt>
                <c:pt idx="80">
                  <c:v>44834</c:v>
                </c:pt>
                <c:pt idx="81">
                  <c:v>44865</c:v>
                </c:pt>
                <c:pt idx="82">
                  <c:v>44895</c:v>
                </c:pt>
                <c:pt idx="83">
                  <c:v>44926</c:v>
                </c:pt>
                <c:pt idx="84">
                  <c:v>44957</c:v>
                </c:pt>
                <c:pt idx="85">
                  <c:v>44985</c:v>
                </c:pt>
                <c:pt idx="86">
                  <c:v>45016</c:v>
                </c:pt>
                <c:pt idx="87">
                  <c:v>45046</c:v>
                </c:pt>
                <c:pt idx="88">
                  <c:v>45077</c:v>
                </c:pt>
                <c:pt idx="89">
                  <c:v>45107</c:v>
                </c:pt>
                <c:pt idx="90">
                  <c:v>45138</c:v>
                </c:pt>
                <c:pt idx="91">
                  <c:v>45169</c:v>
                </c:pt>
                <c:pt idx="92">
                  <c:v>45199</c:v>
                </c:pt>
                <c:pt idx="93">
                  <c:v>45230</c:v>
                </c:pt>
                <c:pt idx="94">
                  <c:v>45260</c:v>
                </c:pt>
                <c:pt idx="95">
                  <c:v>45291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</c:numCache>
            </c:numRef>
          </c:cat>
          <c:val>
            <c:numRef>
              <c:f>'Power Purchased Model'!$J$3:$J$146</c:f>
            </c:numRef>
          </c:val>
          <c:smooth val="0"/>
          <c:extLst>
            <c:ext xmlns:c16="http://schemas.microsoft.com/office/drawing/2014/chart" uri="{C3380CC4-5D6E-409C-BE32-E72D297353CC}">
              <c16:uniqueId val="{00000008-07F9-4A5D-9BB5-BAC7AE54A4C6}"/>
            </c:ext>
          </c:extLst>
        </c:ser>
        <c:ser>
          <c:idx val="9"/>
          <c:order val="9"/>
          <c:tx>
            <c:strRef>
              <c:f>'Power Purchased Model'!$K$2</c:f>
              <c:strCache>
                <c:ptCount val="1"/>
                <c:pt idx="0">
                  <c:v>Predicted Purchases 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'Power Purchased Model'!$A$3:$A$146</c:f>
              <c:numCache>
                <c:formatCode>mmm\-yy</c:formatCode>
                <c:ptCount val="144"/>
                <c:pt idx="0">
                  <c:v>42400</c:v>
                </c:pt>
                <c:pt idx="1">
                  <c:v>42429</c:v>
                </c:pt>
                <c:pt idx="2">
                  <c:v>42460</c:v>
                </c:pt>
                <c:pt idx="3">
                  <c:v>42490</c:v>
                </c:pt>
                <c:pt idx="4">
                  <c:v>42521</c:v>
                </c:pt>
                <c:pt idx="5">
                  <c:v>42551</c:v>
                </c:pt>
                <c:pt idx="6">
                  <c:v>42582</c:v>
                </c:pt>
                <c:pt idx="7">
                  <c:v>42613</c:v>
                </c:pt>
                <c:pt idx="8">
                  <c:v>42643</c:v>
                </c:pt>
                <c:pt idx="9">
                  <c:v>42674</c:v>
                </c:pt>
                <c:pt idx="10">
                  <c:v>42704</c:v>
                </c:pt>
                <c:pt idx="11">
                  <c:v>42735</c:v>
                </c:pt>
                <c:pt idx="12">
                  <c:v>42766</c:v>
                </c:pt>
                <c:pt idx="13">
                  <c:v>42794</c:v>
                </c:pt>
                <c:pt idx="14">
                  <c:v>42825</c:v>
                </c:pt>
                <c:pt idx="15">
                  <c:v>42855</c:v>
                </c:pt>
                <c:pt idx="16">
                  <c:v>42886</c:v>
                </c:pt>
                <c:pt idx="17">
                  <c:v>42916</c:v>
                </c:pt>
                <c:pt idx="18">
                  <c:v>42947</c:v>
                </c:pt>
                <c:pt idx="19">
                  <c:v>42978</c:v>
                </c:pt>
                <c:pt idx="20">
                  <c:v>43008</c:v>
                </c:pt>
                <c:pt idx="21">
                  <c:v>43039</c:v>
                </c:pt>
                <c:pt idx="22">
                  <c:v>43069</c:v>
                </c:pt>
                <c:pt idx="23">
                  <c:v>43100</c:v>
                </c:pt>
                <c:pt idx="24">
                  <c:v>43131</c:v>
                </c:pt>
                <c:pt idx="25">
                  <c:v>43159</c:v>
                </c:pt>
                <c:pt idx="26">
                  <c:v>43190</c:v>
                </c:pt>
                <c:pt idx="27">
                  <c:v>43220</c:v>
                </c:pt>
                <c:pt idx="28">
                  <c:v>43251</c:v>
                </c:pt>
                <c:pt idx="29">
                  <c:v>43281</c:v>
                </c:pt>
                <c:pt idx="30">
                  <c:v>43312</c:v>
                </c:pt>
                <c:pt idx="31">
                  <c:v>43343</c:v>
                </c:pt>
                <c:pt idx="32">
                  <c:v>43373</c:v>
                </c:pt>
                <c:pt idx="33">
                  <c:v>43404</c:v>
                </c:pt>
                <c:pt idx="34">
                  <c:v>43434</c:v>
                </c:pt>
                <c:pt idx="35">
                  <c:v>43465</c:v>
                </c:pt>
                <c:pt idx="36">
                  <c:v>43496</c:v>
                </c:pt>
                <c:pt idx="37">
                  <c:v>43524</c:v>
                </c:pt>
                <c:pt idx="38">
                  <c:v>43555</c:v>
                </c:pt>
                <c:pt idx="39">
                  <c:v>43585</c:v>
                </c:pt>
                <c:pt idx="40">
                  <c:v>43616</c:v>
                </c:pt>
                <c:pt idx="41">
                  <c:v>43646</c:v>
                </c:pt>
                <c:pt idx="42">
                  <c:v>43677</c:v>
                </c:pt>
                <c:pt idx="43">
                  <c:v>43708</c:v>
                </c:pt>
                <c:pt idx="44">
                  <c:v>43738</c:v>
                </c:pt>
                <c:pt idx="45">
                  <c:v>43769</c:v>
                </c:pt>
                <c:pt idx="46">
                  <c:v>43799</c:v>
                </c:pt>
                <c:pt idx="47">
                  <c:v>43830</c:v>
                </c:pt>
                <c:pt idx="48">
                  <c:v>43861</c:v>
                </c:pt>
                <c:pt idx="49">
                  <c:v>43890</c:v>
                </c:pt>
                <c:pt idx="50">
                  <c:v>43921</c:v>
                </c:pt>
                <c:pt idx="51">
                  <c:v>43951</c:v>
                </c:pt>
                <c:pt idx="52">
                  <c:v>43982</c:v>
                </c:pt>
                <c:pt idx="53">
                  <c:v>44012</c:v>
                </c:pt>
                <c:pt idx="54">
                  <c:v>44043</c:v>
                </c:pt>
                <c:pt idx="55">
                  <c:v>44074</c:v>
                </c:pt>
                <c:pt idx="56">
                  <c:v>44104</c:v>
                </c:pt>
                <c:pt idx="57">
                  <c:v>44135</c:v>
                </c:pt>
                <c:pt idx="58">
                  <c:v>44165</c:v>
                </c:pt>
                <c:pt idx="59">
                  <c:v>44196</c:v>
                </c:pt>
                <c:pt idx="60">
                  <c:v>44227</c:v>
                </c:pt>
                <c:pt idx="61">
                  <c:v>44255</c:v>
                </c:pt>
                <c:pt idx="62">
                  <c:v>44286</c:v>
                </c:pt>
                <c:pt idx="63">
                  <c:v>44316</c:v>
                </c:pt>
                <c:pt idx="64">
                  <c:v>44347</c:v>
                </c:pt>
                <c:pt idx="65">
                  <c:v>44377</c:v>
                </c:pt>
                <c:pt idx="66">
                  <c:v>44408</c:v>
                </c:pt>
                <c:pt idx="67">
                  <c:v>44439</c:v>
                </c:pt>
                <c:pt idx="68">
                  <c:v>44469</c:v>
                </c:pt>
                <c:pt idx="69">
                  <c:v>44500</c:v>
                </c:pt>
                <c:pt idx="70">
                  <c:v>44530</c:v>
                </c:pt>
                <c:pt idx="71">
                  <c:v>44561</c:v>
                </c:pt>
                <c:pt idx="72">
                  <c:v>44592</c:v>
                </c:pt>
                <c:pt idx="73">
                  <c:v>44620</c:v>
                </c:pt>
                <c:pt idx="74">
                  <c:v>44651</c:v>
                </c:pt>
                <c:pt idx="75">
                  <c:v>44681</c:v>
                </c:pt>
                <c:pt idx="76">
                  <c:v>44712</c:v>
                </c:pt>
                <c:pt idx="77">
                  <c:v>44742</c:v>
                </c:pt>
                <c:pt idx="78">
                  <c:v>44773</c:v>
                </c:pt>
                <c:pt idx="79">
                  <c:v>44804</c:v>
                </c:pt>
                <c:pt idx="80">
                  <c:v>44834</c:v>
                </c:pt>
                <c:pt idx="81">
                  <c:v>44865</c:v>
                </c:pt>
                <c:pt idx="82">
                  <c:v>44895</c:v>
                </c:pt>
                <c:pt idx="83">
                  <c:v>44926</c:v>
                </c:pt>
                <c:pt idx="84">
                  <c:v>44957</c:v>
                </c:pt>
                <c:pt idx="85">
                  <c:v>44985</c:v>
                </c:pt>
                <c:pt idx="86">
                  <c:v>45016</c:v>
                </c:pt>
                <c:pt idx="87">
                  <c:v>45046</c:v>
                </c:pt>
                <c:pt idx="88">
                  <c:v>45077</c:v>
                </c:pt>
                <c:pt idx="89">
                  <c:v>45107</c:v>
                </c:pt>
                <c:pt idx="90">
                  <c:v>45138</c:v>
                </c:pt>
                <c:pt idx="91">
                  <c:v>45169</c:v>
                </c:pt>
                <c:pt idx="92">
                  <c:v>45199</c:v>
                </c:pt>
                <c:pt idx="93">
                  <c:v>45230</c:v>
                </c:pt>
                <c:pt idx="94">
                  <c:v>45260</c:v>
                </c:pt>
                <c:pt idx="95">
                  <c:v>45291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</c:numCache>
            </c:numRef>
          </c:cat>
          <c:val>
            <c:numRef>
              <c:f>'Power Purchased Model'!$K$3:$K$146</c:f>
              <c:numCache>
                <c:formatCode>#,##0_);\(#,##0\)</c:formatCode>
                <c:ptCount val="144"/>
                <c:pt idx="0">
                  <c:v>21349646.926356368</c:v>
                </c:pt>
                <c:pt idx="1">
                  <c:v>19316660.237047177</c:v>
                </c:pt>
                <c:pt idx="2">
                  <c:v>18387012.849657893</c:v>
                </c:pt>
                <c:pt idx="3">
                  <c:v>17159235.594745167</c:v>
                </c:pt>
                <c:pt idx="4">
                  <c:v>18639377.850516364</c:v>
                </c:pt>
                <c:pt idx="5">
                  <c:v>22090379.478045743</c:v>
                </c:pt>
                <c:pt idx="6">
                  <c:v>26946072.358634122</c:v>
                </c:pt>
                <c:pt idx="7">
                  <c:v>26265418.673551075</c:v>
                </c:pt>
                <c:pt idx="8">
                  <c:v>19993899.45510076</c:v>
                </c:pt>
                <c:pt idx="9">
                  <c:v>17684524.894534219</c:v>
                </c:pt>
                <c:pt idx="10">
                  <c:v>17053278.290496312</c:v>
                </c:pt>
                <c:pt idx="11">
                  <c:v>21320634.80733585</c:v>
                </c:pt>
                <c:pt idx="12">
                  <c:v>21027717.202023949</c:v>
                </c:pt>
                <c:pt idx="13">
                  <c:v>17911383.154665045</c:v>
                </c:pt>
                <c:pt idx="14">
                  <c:v>19093121.255835202</c:v>
                </c:pt>
                <c:pt idx="15">
                  <c:v>16439951.407468529</c:v>
                </c:pt>
                <c:pt idx="16">
                  <c:v>17687349.389941875</c:v>
                </c:pt>
                <c:pt idx="17">
                  <c:v>22226949.887472246</c:v>
                </c:pt>
                <c:pt idx="18">
                  <c:v>24789727.930308465</c:v>
                </c:pt>
                <c:pt idx="19">
                  <c:v>21809239.213251129</c:v>
                </c:pt>
                <c:pt idx="20">
                  <c:v>19997788.03115695</c:v>
                </c:pt>
                <c:pt idx="21">
                  <c:v>17492864.957897469</c:v>
                </c:pt>
                <c:pt idx="22">
                  <c:v>17443406.878645781</c:v>
                </c:pt>
                <c:pt idx="23">
                  <c:v>21495695.295789726</c:v>
                </c:pt>
                <c:pt idx="24">
                  <c:v>22227289.598886803</c:v>
                </c:pt>
                <c:pt idx="25">
                  <c:v>18895887.451832306</c:v>
                </c:pt>
                <c:pt idx="26">
                  <c:v>19502428.758508675</c:v>
                </c:pt>
                <c:pt idx="27">
                  <c:v>17946688.41901616</c:v>
                </c:pt>
                <c:pt idx="28">
                  <c:v>19294517.243458468</c:v>
                </c:pt>
                <c:pt idx="29">
                  <c:v>22085783.14629009</c:v>
                </c:pt>
                <c:pt idx="30">
                  <c:v>26530371.521958239</c:v>
                </c:pt>
                <c:pt idx="31">
                  <c:v>25039175.2872658</c:v>
                </c:pt>
                <c:pt idx="32">
                  <c:v>18989004.92128703</c:v>
                </c:pt>
                <c:pt idx="33">
                  <c:v>18802068.101162974</c:v>
                </c:pt>
                <c:pt idx="34">
                  <c:v>18441786.537083726</c:v>
                </c:pt>
                <c:pt idx="35">
                  <c:v>21143750.023294341</c:v>
                </c:pt>
                <c:pt idx="36">
                  <c:v>22544712.488501087</c:v>
                </c:pt>
                <c:pt idx="37">
                  <c:v>19403781.209798694</c:v>
                </c:pt>
                <c:pt idx="38">
                  <c:v>19966804.337944288</c:v>
                </c:pt>
                <c:pt idx="39">
                  <c:v>17485829.680993013</c:v>
                </c:pt>
                <c:pt idx="40">
                  <c:v>17938957.948791288</c:v>
                </c:pt>
                <c:pt idx="41">
                  <c:v>20644684.094099745</c:v>
                </c:pt>
                <c:pt idx="42">
                  <c:v>27745338.345417049</c:v>
                </c:pt>
                <c:pt idx="43">
                  <c:v>24580409.737713303</c:v>
                </c:pt>
                <c:pt idx="44">
                  <c:v>20104306.850881744</c:v>
                </c:pt>
                <c:pt idx="45">
                  <c:v>18201683.11000463</c:v>
                </c:pt>
                <c:pt idx="46">
                  <c:v>18853183.464394912</c:v>
                </c:pt>
                <c:pt idx="47">
                  <c:v>21384858.425919864</c:v>
                </c:pt>
                <c:pt idx="48">
                  <c:v>21722560.755629234</c:v>
                </c:pt>
                <c:pt idx="49">
                  <c:v>20230082.457637116</c:v>
                </c:pt>
                <c:pt idx="50">
                  <c:v>19292235.993133344</c:v>
                </c:pt>
                <c:pt idx="51">
                  <c:v>17979945.174117357</c:v>
                </c:pt>
                <c:pt idx="52">
                  <c:v>19061960.326515976</c:v>
                </c:pt>
                <c:pt idx="53">
                  <c:v>23444514.047989588</c:v>
                </c:pt>
                <c:pt idx="54">
                  <c:v>29207528.142337032</c:v>
                </c:pt>
                <c:pt idx="55">
                  <c:v>24432233.391085111</c:v>
                </c:pt>
                <c:pt idx="56">
                  <c:v>18992136.795400847</c:v>
                </c:pt>
                <c:pt idx="57">
                  <c:v>18184087.528588589</c:v>
                </c:pt>
                <c:pt idx="58">
                  <c:v>17906763.777511068</c:v>
                </c:pt>
                <c:pt idx="59">
                  <c:v>21635524.398567677</c:v>
                </c:pt>
                <c:pt idx="60">
                  <c:v>22106786.979525521</c:v>
                </c:pt>
                <c:pt idx="61">
                  <c:v>20068946.921842463</c:v>
                </c:pt>
                <c:pt idx="62">
                  <c:v>19214160.407420039</c:v>
                </c:pt>
                <c:pt idx="63">
                  <c:v>17558133.219030451</c:v>
                </c:pt>
                <c:pt idx="64">
                  <c:v>19289380.806219153</c:v>
                </c:pt>
                <c:pt idx="65">
                  <c:v>24761512.96067844</c:v>
                </c:pt>
                <c:pt idx="66">
                  <c:v>25243241.229422785</c:v>
                </c:pt>
                <c:pt idx="67">
                  <c:v>25645202.067070253</c:v>
                </c:pt>
                <c:pt idx="68">
                  <c:v>20421327.134679273</c:v>
                </c:pt>
                <c:pt idx="69">
                  <c:v>18928691.358834222</c:v>
                </c:pt>
                <c:pt idx="70">
                  <c:v>18596268.35017781</c:v>
                </c:pt>
                <c:pt idx="71">
                  <c:v>21303277.422305033</c:v>
                </c:pt>
                <c:pt idx="72">
                  <c:v>23086752.044029266</c:v>
                </c:pt>
                <c:pt idx="73">
                  <c:v>19769225.25824545</c:v>
                </c:pt>
                <c:pt idx="74">
                  <c:v>19572257.007701337</c:v>
                </c:pt>
                <c:pt idx="75">
                  <c:v>18103849.430775851</c:v>
                </c:pt>
                <c:pt idx="76">
                  <c:v>19552404.315328594</c:v>
                </c:pt>
                <c:pt idx="77">
                  <c:v>22542860.114582729</c:v>
                </c:pt>
                <c:pt idx="78">
                  <c:v>26647284.422473103</c:v>
                </c:pt>
                <c:pt idx="79">
                  <c:v>24905454.12600074</c:v>
                </c:pt>
                <c:pt idx="80">
                  <c:v>20884648.336892787</c:v>
                </c:pt>
                <c:pt idx="81">
                  <c:v>17853287.49853443</c:v>
                </c:pt>
                <c:pt idx="82">
                  <c:v>18253659.206289586</c:v>
                </c:pt>
                <c:pt idx="83">
                  <c:v>21761655.042678997</c:v>
                </c:pt>
                <c:pt idx="84">
                  <c:v>21766783.298272967</c:v>
                </c:pt>
                <c:pt idx="85">
                  <c:v>18982827.223170888</c:v>
                </c:pt>
                <c:pt idx="86">
                  <c:v>19780470.096438948</c:v>
                </c:pt>
                <c:pt idx="87">
                  <c:v>17875575.621693488</c:v>
                </c:pt>
                <c:pt idx="88">
                  <c:v>18280779.56649055</c:v>
                </c:pt>
                <c:pt idx="89">
                  <c:v>21120821.121611197</c:v>
                </c:pt>
                <c:pt idx="90">
                  <c:v>25300260.632782549</c:v>
                </c:pt>
                <c:pt idx="91">
                  <c:v>21536343.561613213</c:v>
                </c:pt>
                <c:pt idx="92">
                  <c:v>19550194.795960739</c:v>
                </c:pt>
                <c:pt idx="93">
                  <c:v>18675291.51575337</c:v>
                </c:pt>
                <c:pt idx="94">
                  <c:v>18518635.136589088</c:v>
                </c:pt>
                <c:pt idx="95">
                  <c:v>21026974.26324971</c:v>
                </c:pt>
                <c:pt idx="96">
                  <c:v>21833328.732128948</c:v>
                </c:pt>
                <c:pt idx="97">
                  <c:v>19235236.420159191</c:v>
                </c:pt>
                <c:pt idx="98">
                  <c:v>19433908.183372304</c:v>
                </c:pt>
                <c:pt idx="99">
                  <c:v>17612594.340180639</c:v>
                </c:pt>
                <c:pt idx="100">
                  <c:v>19054979.219241098</c:v>
                </c:pt>
                <c:pt idx="101">
                  <c:v>23601962.43742457</c:v>
                </c:pt>
                <c:pt idx="102">
                  <c:v>25365236.607045092</c:v>
                </c:pt>
                <c:pt idx="103">
                  <c:v>24595369.722285084</c:v>
                </c:pt>
                <c:pt idx="104">
                  <c:v>20159303.058856722</c:v>
                </c:pt>
                <c:pt idx="105">
                  <c:v>18153828.874493413</c:v>
                </c:pt>
                <c:pt idx="106">
                  <c:v>18145871.559759099</c:v>
                </c:pt>
                <c:pt idx="107">
                  <c:v>21842789.205722596</c:v>
                </c:pt>
                <c:pt idx="108">
                  <c:v>23041526.856508512</c:v>
                </c:pt>
                <c:pt idx="109">
                  <c:v>19986370.538388528</c:v>
                </c:pt>
                <c:pt idx="110">
                  <c:v>19400892.172265276</c:v>
                </c:pt>
                <c:pt idx="111">
                  <c:v>17831270.64269767</c:v>
                </c:pt>
                <c:pt idx="112">
                  <c:v>18212854.00473373</c:v>
                </c:pt>
                <c:pt idx="113">
                  <c:v>24030838.168735787</c:v>
                </c:pt>
                <c:pt idx="114">
                  <c:v>27834809.082724094</c:v>
                </c:pt>
                <c:pt idx="115">
                  <c:v>23962766.607897107</c:v>
                </c:pt>
                <c:pt idx="116">
                  <c:v>19838171.613949094</c:v>
                </c:pt>
                <c:pt idx="117">
                  <c:v>18833975.194628537</c:v>
                </c:pt>
                <c:pt idx="118">
                  <c:v>18769224.527054921</c:v>
                </c:pt>
                <c:pt idx="119">
                  <c:v>22534445.471888989</c:v>
                </c:pt>
                <c:pt idx="120">
                  <c:v>22497549.699707072</c:v>
                </c:pt>
                <c:pt idx="121">
                  <c:v>19588664.899318077</c:v>
                </c:pt>
                <c:pt idx="122">
                  <c:v>19817821.508325912</c:v>
                </c:pt>
                <c:pt idx="123">
                  <c:v>18066145.161632039</c:v>
                </c:pt>
                <c:pt idx="124">
                  <c:v>19181451.838662013</c:v>
                </c:pt>
                <c:pt idx="125">
                  <c:v>23148596.84853974</c:v>
                </c:pt>
                <c:pt idx="126">
                  <c:v>27067936.441621102</c:v>
                </c:pt>
                <c:pt idx="127">
                  <c:v>24797506.356540468</c:v>
                </c:pt>
                <c:pt idx="128">
                  <c:v>20426831.524479955</c:v>
                </c:pt>
                <c:pt idx="129">
                  <c:v>18828204.651501358</c:v>
                </c:pt>
                <c:pt idx="130">
                  <c:v>18758815.671421781</c:v>
                </c:pt>
                <c:pt idx="131">
                  <c:v>22119014.524309896</c:v>
                </c:pt>
                <c:pt idx="132">
                  <c:v>22646861.462659199</c:v>
                </c:pt>
                <c:pt idx="133">
                  <c:v>19726753.526662838</c:v>
                </c:pt>
                <c:pt idx="134">
                  <c:v>19944674.774570085</c:v>
                </c:pt>
                <c:pt idx="135">
                  <c:v>18181750.829535425</c:v>
                </c:pt>
                <c:pt idx="136">
                  <c:v>19285797.659226313</c:v>
                </c:pt>
                <c:pt idx="137">
                  <c:v>23241670.560997479</c:v>
                </c:pt>
                <c:pt idx="138">
                  <c:v>27149725.773424529</c:v>
                </c:pt>
                <c:pt idx="139">
                  <c:v>24867999.023350399</c:v>
                </c:pt>
                <c:pt idx="140">
                  <c:v>20486015.230154682</c:v>
                </c:pt>
                <c:pt idx="141">
                  <c:v>18876067.088085495</c:v>
                </c:pt>
                <c:pt idx="142">
                  <c:v>18795344.519135099</c:v>
                </c:pt>
                <c:pt idx="143">
                  <c:v>22144197.451536179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7F9-4A5D-9BB5-BAC7AE54A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197888"/>
        <c:axId val="39120364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'Power Purchased Model'!$B$2</c15:sqref>
                        </c15:formulaRef>
                      </c:ext>
                    </c:extLst>
                    <c:strCache>
                      <c:ptCount val="1"/>
                      <c:pt idx="0">
                        <c:v>Power Purchased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'Power Purchased Model'!$B$3:$B$146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22228058.690000001</c:v>
                      </c:pt>
                      <c:pt idx="1">
                        <c:v>19954896.940000001</c:v>
                      </c:pt>
                      <c:pt idx="2">
                        <c:v>19222037.66</c:v>
                      </c:pt>
                      <c:pt idx="3">
                        <c:v>17539922.890000001</c:v>
                      </c:pt>
                      <c:pt idx="4">
                        <c:v>17888192.079999998</c:v>
                      </c:pt>
                      <c:pt idx="5">
                        <c:v>21176370.850000001</c:v>
                      </c:pt>
                      <c:pt idx="6">
                        <c:v>25410950.030000001</c:v>
                      </c:pt>
                      <c:pt idx="7">
                        <c:v>26478809.440000001</c:v>
                      </c:pt>
                      <c:pt idx="8">
                        <c:v>19964495.100000001</c:v>
                      </c:pt>
                      <c:pt idx="9">
                        <c:v>16743811.6</c:v>
                      </c:pt>
                      <c:pt idx="10">
                        <c:v>17780990.670000002</c:v>
                      </c:pt>
                      <c:pt idx="11">
                        <c:v>21570625.09</c:v>
                      </c:pt>
                      <c:pt idx="12">
                        <c:v>21358692.940000001</c:v>
                      </c:pt>
                      <c:pt idx="13">
                        <c:v>17924355.280000001</c:v>
                      </c:pt>
                      <c:pt idx="14">
                        <c:v>19428992.539999999</c:v>
                      </c:pt>
                      <c:pt idx="15">
                        <c:v>15946371.67</c:v>
                      </c:pt>
                      <c:pt idx="16">
                        <c:v>16906557.140000001</c:v>
                      </c:pt>
                      <c:pt idx="17">
                        <c:v>20456312.949999999</c:v>
                      </c:pt>
                      <c:pt idx="18">
                        <c:v>24127924.170000002</c:v>
                      </c:pt>
                      <c:pt idx="19">
                        <c:v>20981874.190000001</c:v>
                      </c:pt>
                      <c:pt idx="20">
                        <c:v>17752578.850000001</c:v>
                      </c:pt>
                      <c:pt idx="21">
                        <c:v>16267869.65</c:v>
                      </c:pt>
                      <c:pt idx="22">
                        <c:v>17286540.039999999</c:v>
                      </c:pt>
                      <c:pt idx="23">
                        <c:v>20215407.739999998</c:v>
                      </c:pt>
                      <c:pt idx="24">
                        <c:v>21585922.039999999</c:v>
                      </c:pt>
                      <c:pt idx="25">
                        <c:v>17656172.989999998</c:v>
                      </c:pt>
                      <c:pt idx="26">
                        <c:v>18248162.620000001</c:v>
                      </c:pt>
                      <c:pt idx="27">
                        <c:v>16369500.24</c:v>
                      </c:pt>
                      <c:pt idx="28">
                        <c:v>17055234.91</c:v>
                      </c:pt>
                      <c:pt idx="29">
                        <c:v>19672642.52</c:v>
                      </c:pt>
                      <c:pt idx="30">
                        <c:v>24519316.199999999</c:v>
                      </c:pt>
                      <c:pt idx="31">
                        <c:v>26369599.34</c:v>
                      </c:pt>
                      <c:pt idx="32">
                        <c:v>21334916.59</c:v>
                      </c:pt>
                      <c:pt idx="33">
                        <c:v>18577883.890000001</c:v>
                      </c:pt>
                      <c:pt idx="34">
                        <c:v>18327764.969999999</c:v>
                      </c:pt>
                      <c:pt idx="35">
                        <c:v>19674279.579999998</c:v>
                      </c:pt>
                      <c:pt idx="36">
                        <c:v>21603461.219999999</c:v>
                      </c:pt>
                      <c:pt idx="37">
                        <c:v>18823324.73</c:v>
                      </c:pt>
                      <c:pt idx="38">
                        <c:v>20551304.109999999</c:v>
                      </c:pt>
                      <c:pt idx="39">
                        <c:v>17411654.489999998</c:v>
                      </c:pt>
                      <c:pt idx="40">
                        <c:v>17354971.329999998</c:v>
                      </c:pt>
                      <c:pt idx="41">
                        <c:v>19464198.199999999</c:v>
                      </c:pt>
                      <c:pt idx="42">
                        <c:v>27748687.98</c:v>
                      </c:pt>
                      <c:pt idx="43">
                        <c:v>24726190.98</c:v>
                      </c:pt>
                      <c:pt idx="44">
                        <c:v>20533052.670000002</c:v>
                      </c:pt>
                      <c:pt idx="45">
                        <c:v>17673930.43</c:v>
                      </c:pt>
                      <c:pt idx="46">
                        <c:v>19817492.059999999</c:v>
                      </c:pt>
                      <c:pt idx="47">
                        <c:v>21339148.780000001</c:v>
                      </c:pt>
                      <c:pt idx="48">
                        <c:v>21900522.559999999</c:v>
                      </c:pt>
                      <c:pt idx="49">
                        <c:v>20284919.280000001</c:v>
                      </c:pt>
                      <c:pt idx="50">
                        <c:v>19635489.940000001</c:v>
                      </c:pt>
                      <c:pt idx="51">
                        <c:v>17063911.989999998</c:v>
                      </c:pt>
                      <c:pt idx="52">
                        <c:v>17813698.140000001</c:v>
                      </c:pt>
                      <c:pt idx="53">
                        <c:v>22200151.539999999</c:v>
                      </c:pt>
                      <c:pt idx="54">
                        <c:v>28312518.27</c:v>
                      </c:pt>
                      <c:pt idx="55">
                        <c:v>25759720.140000001</c:v>
                      </c:pt>
                      <c:pt idx="56">
                        <c:v>18691559.740000002</c:v>
                      </c:pt>
                      <c:pt idx="57">
                        <c:v>17010847.789999999</c:v>
                      </c:pt>
                      <c:pt idx="58">
                        <c:v>18253420.960000001</c:v>
                      </c:pt>
                      <c:pt idx="59">
                        <c:v>20812449.16</c:v>
                      </c:pt>
                      <c:pt idx="60">
                        <c:v>20791460.91</c:v>
                      </c:pt>
                      <c:pt idx="61">
                        <c:v>19464197.140000001</c:v>
                      </c:pt>
                      <c:pt idx="62">
                        <c:v>18626681.48</c:v>
                      </c:pt>
                      <c:pt idx="63">
                        <c:v>16318058.01</c:v>
                      </c:pt>
                      <c:pt idx="64">
                        <c:v>17668256.82</c:v>
                      </c:pt>
                      <c:pt idx="65">
                        <c:v>23582804.460000001</c:v>
                      </c:pt>
                      <c:pt idx="66">
                        <c:v>24086129.16</c:v>
                      </c:pt>
                      <c:pt idx="67">
                        <c:v>26473436.760000002</c:v>
                      </c:pt>
                      <c:pt idx="68">
                        <c:v>19829635.48</c:v>
                      </c:pt>
                      <c:pt idx="69">
                        <c:v>18061641.579999998</c:v>
                      </c:pt>
                      <c:pt idx="70">
                        <c:v>18852663.420000002</c:v>
                      </c:pt>
                      <c:pt idx="71">
                        <c:v>19904377.539999999</c:v>
                      </c:pt>
                      <c:pt idx="72">
                        <c:v>21934558.289999999</c:v>
                      </c:pt>
                      <c:pt idx="73">
                        <c:v>19400472.890000001</c:v>
                      </c:pt>
                      <c:pt idx="74">
                        <c:v>19279913.75</c:v>
                      </c:pt>
                      <c:pt idx="75">
                        <c:v>16999155.43</c:v>
                      </c:pt>
                      <c:pt idx="76">
                        <c:v>17255063.699999999</c:v>
                      </c:pt>
                      <c:pt idx="77">
                        <c:v>20945313.68</c:v>
                      </c:pt>
                      <c:pt idx="78">
                        <c:v>24398422.25</c:v>
                      </c:pt>
                      <c:pt idx="79">
                        <c:v>24085257.84</c:v>
                      </c:pt>
                      <c:pt idx="80">
                        <c:v>19367767.010000002</c:v>
                      </c:pt>
                      <c:pt idx="81">
                        <c:v>16627474.65</c:v>
                      </c:pt>
                      <c:pt idx="82">
                        <c:v>18072262.77</c:v>
                      </c:pt>
                      <c:pt idx="83">
                        <c:v>21044908.899999999</c:v>
                      </c:pt>
                      <c:pt idx="84">
                        <c:v>20870941.93</c:v>
                      </c:pt>
                      <c:pt idx="85">
                        <c:v>18386953.57</c:v>
                      </c:pt>
                      <c:pt idx="86">
                        <c:v>20208578.530000001</c:v>
                      </c:pt>
                      <c:pt idx="87">
                        <c:v>17081228.469999999</c:v>
                      </c:pt>
                      <c:pt idx="88">
                        <c:v>16769771.85</c:v>
                      </c:pt>
                      <c:pt idx="89">
                        <c:v>19325508.919999998</c:v>
                      </c:pt>
                      <c:pt idx="90">
                        <c:v>23824387.459999997</c:v>
                      </c:pt>
                      <c:pt idx="91">
                        <c:v>22076100</c:v>
                      </c:pt>
                      <c:pt idx="92">
                        <c:v>19646111.130000003</c:v>
                      </c:pt>
                      <c:pt idx="93">
                        <c:v>17738587.649999999</c:v>
                      </c:pt>
                      <c:pt idx="94">
                        <c:v>18187804.18</c:v>
                      </c:pt>
                      <c:pt idx="95">
                        <c:v>20289839.23</c:v>
                      </c:pt>
                      <c:pt idx="96">
                        <c:v>22991783.129999999</c:v>
                      </c:pt>
                      <c:pt idx="97">
                        <c:v>19909618.18</c:v>
                      </c:pt>
                      <c:pt idx="98">
                        <c:v>19769289.739999998</c:v>
                      </c:pt>
                      <c:pt idx="99">
                        <c:v>18297046.260000002</c:v>
                      </c:pt>
                      <c:pt idx="100">
                        <c:v>19477491.039999999</c:v>
                      </c:pt>
                      <c:pt idx="101">
                        <c:v>23588924.969999999</c:v>
                      </c:pt>
                      <c:pt idx="102">
                        <c:v>26790209.760000002</c:v>
                      </c:pt>
                      <c:pt idx="103">
                        <c:v>25861036.030000001</c:v>
                      </c:pt>
                      <c:pt idx="104">
                        <c:v>21076307.850000001</c:v>
                      </c:pt>
                      <c:pt idx="105">
                        <c:v>18033862.059999999</c:v>
                      </c:pt>
                      <c:pt idx="106">
                        <c:v>18404281.809999999</c:v>
                      </c:pt>
                      <c:pt idx="107">
                        <c:v>21228382.489999998</c:v>
                      </c:pt>
                      <c:pt idx="108">
                        <c:v>23926179.079999998</c:v>
                      </c:pt>
                      <c:pt idx="109">
                        <c:v>19907689.393333338</c:v>
                      </c:pt>
                      <c:pt idx="110">
                        <c:v>20228779.876666665</c:v>
                      </c:pt>
                      <c:pt idx="111">
                        <c:v>17855399.329999998</c:v>
                      </c:pt>
                      <c:pt idx="112">
                        <c:v>17778609.603333335</c:v>
                      </c:pt>
                      <c:pt idx="113">
                        <c:v>22776523.77</c:v>
                      </c:pt>
                      <c:pt idx="114">
                        <c:v>28102766.048864566</c:v>
                      </c:pt>
                      <c:pt idx="115">
                        <c:v>24670960.87446877</c:v>
                      </c:pt>
                      <c:pt idx="116">
                        <c:v>20384897.329999998</c:v>
                      </c:pt>
                      <c:pt idx="117">
                        <c:v>18368645.043333337</c:v>
                      </c:pt>
                      <c:pt idx="118">
                        <c:v>19256682.163333334</c:v>
                      </c:pt>
                      <c:pt idx="119">
                        <c:v>22775840.99666667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07F9-4A5D-9BB5-BAC7AE54A4C6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Model'!$C$2</c15:sqref>
                        </c15:formulaRef>
                      </c:ext>
                    </c:extLst>
                    <c:strCache>
                      <c:ptCount val="1"/>
                      <c:pt idx="0">
                        <c:v>Additions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Model'!$C$3:$C$146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234806</c:v>
                      </c:pt>
                      <c:pt idx="1">
                        <c:v>297475</c:v>
                      </c:pt>
                      <c:pt idx="2">
                        <c:v>355013</c:v>
                      </c:pt>
                      <c:pt idx="3">
                        <c:v>494348</c:v>
                      </c:pt>
                      <c:pt idx="4">
                        <c:v>630932</c:v>
                      </c:pt>
                      <c:pt idx="5">
                        <c:v>685810</c:v>
                      </c:pt>
                      <c:pt idx="6">
                        <c:v>653742</c:v>
                      </c:pt>
                      <c:pt idx="7">
                        <c:v>604454</c:v>
                      </c:pt>
                      <c:pt idx="8">
                        <c:v>499609</c:v>
                      </c:pt>
                      <c:pt idx="9">
                        <c:v>419947</c:v>
                      </c:pt>
                      <c:pt idx="10">
                        <c:v>308938</c:v>
                      </c:pt>
                      <c:pt idx="11">
                        <c:v>133539</c:v>
                      </c:pt>
                      <c:pt idx="12">
                        <c:v>142223</c:v>
                      </c:pt>
                      <c:pt idx="13">
                        <c:v>311443</c:v>
                      </c:pt>
                      <c:pt idx="14">
                        <c:v>418801</c:v>
                      </c:pt>
                      <c:pt idx="15">
                        <c:v>473713</c:v>
                      </c:pt>
                      <c:pt idx="16">
                        <c:v>826417</c:v>
                      </c:pt>
                      <c:pt idx="17">
                        <c:v>745371</c:v>
                      </c:pt>
                      <c:pt idx="18">
                        <c:v>738146</c:v>
                      </c:pt>
                      <c:pt idx="19">
                        <c:v>688252</c:v>
                      </c:pt>
                      <c:pt idx="20">
                        <c:v>621289</c:v>
                      </c:pt>
                      <c:pt idx="21">
                        <c:v>422987</c:v>
                      </c:pt>
                      <c:pt idx="22">
                        <c:v>285862</c:v>
                      </c:pt>
                      <c:pt idx="23">
                        <c:v>172953</c:v>
                      </c:pt>
                      <c:pt idx="24">
                        <c:v>251852</c:v>
                      </c:pt>
                      <c:pt idx="25">
                        <c:v>234936</c:v>
                      </c:pt>
                      <c:pt idx="26">
                        <c:v>574730</c:v>
                      </c:pt>
                      <c:pt idx="27">
                        <c:v>586292</c:v>
                      </c:pt>
                      <c:pt idx="28">
                        <c:v>731668</c:v>
                      </c:pt>
                      <c:pt idx="29">
                        <c:v>710269</c:v>
                      </c:pt>
                      <c:pt idx="30">
                        <c:v>778930</c:v>
                      </c:pt>
                      <c:pt idx="31">
                        <c:v>636511</c:v>
                      </c:pt>
                      <c:pt idx="32">
                        <c:v>500836</c:v>
                      </c:pt>
                      <c:pt idx="33">
                        <c:v>376066</c:v>
                      </c:pt>
                      <c:pt idx="34">
                        <c:v>181639</c:v>
                      </c:pt>
                      <c:pt idx="35">
                        <c:v>208740</c:v>
                      </c:pt>
                      <c:pt idx="36">
                        <c:v>249895</c:v>
                      </c:pt>
                      <c:pt idx="37">
                        <c:v>285592</c:v>
                      </c:pt>
                      <c:pt idx="38">
                        <c:v>502731</c:v>
                      </c:pt>
                      <c:pt idx="39">
                        <c:v>554704</c:v>
                      </c:pt>
                      <c:pt idx="40">
                        <c:v>579434</c:v>
                      </c:pt>
                      <c:pt idx="41">
                        <c:v>714216</c:v>
                      </c:pt>
                      <c:pt idx="42">
                        <c:v>807602</c:v>
                      </c:pt>
                      <c:pt idx="43">
                        <c:v>740518</c:v>
                      </c:pt>
                      <c:pt idx="44">
                        <c:v>524876</c:v>
                      </c:pt>
                      <c:pt idx="45">
                        <c:v>431057</c:v>
                      </c:pt>
                      <c:pt idx="46">
                        <c:v>211157</c:v>
                      </c:pt>
                      <c:pt idx="47">
                        <c:v>219317</c:v>
                      </c:pt>
                      <c:pt idx="48">
                        <c:v>185268</c:v>
                      </c:pt>
                      <c:pt idx="49">
                        <c:v>327088</c:v>
                      </c:pt>
                      <c:pt idx="50">
                        <c:v>440591</c:v>
                      </c:pt>
                      <c:pt idx="51">
                        <c:v>618495</c:v>
                      </c:pt>
                      <c:pt idx="52">
                        <c:v>716891</c:v>
                      </c:pt>
                      <c:pt idx="53">
                        <c:v>865508</c:v>
                      </c:pt>
                      <c:pt idx="54">
                        <c:v>822094</c:v>
                      </c:pt>
                      <c:pt idx="55">
                        <c:v>742007</c:v>
                      </c:pt>
                      <c:pt idx="56">
                        <c:v>584979</c:v>
                      </c:pt>
                      <c:pt idx="57">
                        <c:v>426912</c:v>
                      </c:pt>
                      <c:pt idx="58">
                        <c:v>357184</c:v>
                      </c:pt>
                      <c:pt idx="59">
                        <c:v>170241</c:v>
                      </c:pt>
                      <c:pt idx="60">
                        <c:v>203656</c:v>
                      </c:pt>
                      <c:pt idx="61">
                        <c:v>359185</c:v>
                      </c:pt>
                      <c:pt idx="62">
                        <c:v>694681</c:v>
                      </c:pt>
                      <c:pt idx="63">
                        <c:v>585708</c:v>
                      </c:pt>
                      <c:pt idx="64">
                        <c:v>728119</c:v>
                      </c:pt>
                      <c:pt idx="65">
                        <c:v>715667</c:v>
                      </c:pt>
                      <c:pt idx="66">
                        <c:v>705394</c:v>
                      </c:pt>
                      <c:pt idx="67">
                        <c:v>724341</c:v>
                      </c:pt>
                      <c:pt idx="68">
                        <c:v>598439</c:v>
                      </c:pt>
                      <c:pt idx="69">
                        <c:v>366649</c:v>
                      </c:pt>
                      <c:pt idx="70">
                        <c:v>320744</c:v>
                      </c:pt>
                      <c:pt idx="71">
                        <c:v>215572</c:v>
                      </c:pt>
                      <c:pt idx="72">
                        <c:v>261205</c:v>
                      </c:pt>
                      <c:pt idx="73">
                        <c:v>314288</c:v>
                      </c:pt>
                      <c:pt idx="74">
                        <c:v>497672</c:v>
                      </c:pt>
                      <c:pt idx="75">
                        <c:v>529271</c:v>
                      </c:pt>
                      <c:pt idx="76">
                        <c:v>675247</c:v>
                      </c:pt>
                      <c:pt idx="77">
                        <c:v>754041</c:v>
                      </c:pt>
                      <c:pt idx="78">
                        <c:v>726187</c:v>
                      </c:pt>
                      <c:pt idx="79">
                        <c:v>684052</c:v>
                      </c:pt>
                      <c:pt idx="80">
                        <c:v>566803</c:v>
                      </c:pt>
                      <c:pt idx="81">
                        <c:v>486880</c:v>
                      </c:pt>
                      <c:pt idx="82">
                        <c:v>324583</c:v>
                      </c:pt>
                      <c:pt idx="83">
                        <c:v>147675</c:v>
                      </c:pt>
                      <c:pt idx="84">
                        <c:v>150749</c:v>
                      </c:pt>
                      <c:pt idx="85">
                        <c:v>450450</c:v>
                      </c:pt>
                      <c:pt idx="86">
                        <c:v>466824</c:v>
                      </c:pt>
                      <c:pt idx="87">
                        <c:v>572371</c:v>
                      </c:pt>
                      <c:pt idx="88">
                        <c:v>706048</c:v>
                      </c:pt>
                      <c:pt idx="89">
                        <c:v>729990</c:v>
                      </c:pt>
                      <c:pt idx="90">
                        <c:v>631543</c:v>
                      </c:pt>
                      <c:pt idx="91">
                        <c:v>600895</c:v>
                      </c:pt>
                      <c:pt idx="92">
                        <c:v>542652</c:v>
                      </c:pt>
                      <c:pt idx="93">
                        <c:v>853520</c:v>
                      </c:pt>
                      <c:pt idx="94">
                        <c:v>312697</c:v>
                      </c:pt>
                      <c:pt idx="95">
                        <c:v>312697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7F9-4A5D-9BB5-BAC7AE54A4C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Model'!$E$2</c15:sqref>
                        </c15:formulaRef>
                      </c:ext>
                    </c:extLst>
                    <c:strCache>
                      <c:ptCount val="1"/>
                      <c:pt idx="0">
                        <c:v>Customers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Model'!$E$3:$E$146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11667.5</c:v>
                      </c:pt>
                      <c:pt idx="1">
                        <c:v>11667.5</c:v>
                      </c:pt>
                      <c:pt idx="2">
                        <c:v>11667.5</c:v>
                      </c:pt>
                      <c:pt idx="3">
                        <c:v>11667.5</c:v>
                      </c:pt>
                      <c:pt idx="4">
                        <c:v>11667.5</c:v>
                      </c:pt>
                      <c:pt idx="5">
                        <c:v>11667.5</c:v>
                      </c:pt>
                      <c:pt idx="6">
                        <c:v>11667.5</c:v>
                      </c:pt>
                      <c:pt idx="7">
                        <c:v>11667.5</c:v>
                      </c:pt>
                      <c:pt idx="8">
                        <c:v>11667.5</c:v>
                      </c:pt>
                      <c:pt idx="9">
                        <c:v>11667.5</c:v>
                      </c:pt>
                      <c:pt idx="10">
                        <c:v>11667.5</c:v>
                      </c:pt>
                      <c:pt idx="11">
                        <c:v>11667.5</c:v>
                      </c:pt>
                      <c:pt idx="12">
                        <c:v>11718.5</c:v>
                      </c:pt>
                      <c:pt idx="13">
                        <c:v>11718.5</c:v>
                      </c:pt>
                      <c:pt idx="14">
                        <c:v>11718.5</c:v>
                      </c:pt>
                      <c:pt idx="15">
                        <c:v>11718.5</c:v>
                      </c:pt>
                      <c:pt idx="16">
                        <c:v>11718.5</c:v>
                      </c:pt>
                      <c:pt idx="17">
                        <c:v>11718.5</c:v>
                      </c:pt>
                      <c:pt idx="18">
                        <c:v>11718.5</c:v>
                      </c:pt>
                      <c:pt idx="19">
                        <c:v>11718.5</c:v>
                      </c:pt>
                      <c:pt idx="20">
                        <c:v>11718.5</c:v>
                      </c:pt>
                      <c:pt idx="21">
                        <c:v>11718.5</c:v>
                      </c:pt>
                      <c:pt idx="22">
                        <c:v>11718.5</c:v>
                      </c:pt>
                      <c:pt idx="23">
                        <c:v>11718.5</c:v>
                      </c:pt>
                      <c:pt idx="24">
                        <c:v>12013</c:v>
                      </c:pt>
                      <c:pt idx="25">
                        <c:v>12013</c:v>
                      </c:pt>
                      <c:pt idx="26">
                        <c:v>12013</c:v>
                      </c:pt>
                      <c:pt idx="27">
                        <c:v>12013</c:v>
                      </c:pt>
                      <c:pt idx="28">
                        <c:v>12013</c:v>
                      </c:pt>
                      <c:pt idx="29">
                        <c:v>12013</c:v>
                      </c:pt>
                      <c:pt idx="30">
                        <c:v>12013</c:v>
                      </c:pt>
                      <c:pt idx="31">
                        <c:v>12013</c:v>
                      </c:pt>
                      <c:pt idx="32">
                        <c:v>12013</c:v>
                      </c:pt>
                      <c:pt idx="33">
                        <c:v>12013</c:v>
                      </c:pt>
                      <c:pt idx="34">
                        <c:v>12013</c:v>
                      </c:pt>
                      <c:pt idx="35">
                        <c:v>12013</c:v>
                      </c:pt>
                      <c:pt idx="36">
                        <c:v>12261.5</c:v>
                      </c:pt>
                      <c:pt idx="37">
                        <c:v>12261.5</c:v>
                      </c:pt>
                      <c:pt idx="38">
                        <c:v>12261.5</c:v>
                      </c:pt>
                      <c:pt idx="39">
                        <c:v>12261.5</c:v>
                      </c:pt>
                      <c:pt idx="40">
                        <c:v>12261.5</c:v>
                      </c:pt>
                      <c:pt idx="41">
                        <c:v>12261.5</c:v>
                      </c:pt>
                      <c:pt idx="42">
                        <c:v>12261.5</c:v>
                      </c:pt>
                      <c:pt idx="43">
                        <c:v>12261.5</c:v>
                      </c:pt>
                      <c:pt idx="44">
                        <c:v>12261.5</c:v>
                      </c:pt>
                      <c:pt idx="45">
                        <c:v>12261.5</c:v>
                      </c:pt>
                      <c:pt idx="46">
                        <c:v>12261.5</c:v>
                      </c:pt>
                      <c:pt idx="47">
                        <c:v>12261.5</c:v>
                      </c:pt>
                      <c:pt idx="48">
                        <c:v>12375.5</c:v>
                      </c:pt>
                      <c:pt idx="49">
                        <c:v>12375.5</c:v>
                      </c:pt>
                      <c:pt idx="50">
                        <c:v>12375.5</c:v>
                      </c:pt>
                      <c:pt idx="51">
                        <c:v>12375.5</c:v>
                      </c:pt>
                      <c:pt idx="52">
                        <c:v>12375.5</c:v>
                      </c:pt>
                      <c:pt idx="53">
                        <c:v>12375.5</c:v>
                      </c:pt>
                      <c:pt idx="54">
                        <c:v>12375.5</c:v>
                      </c:pt>
                      <c:pt idx="55">
                        <c:v>12375.5</c:v>
                      </c:pt>
                      <c:pt idx="56">
                        <c:v>12375.5</c:v>
                      </c:pt>
                      <c:pt idx="57">
                        <c:v>12375.5</c:v>
                      </c:pt>
                      <c:pt idx="58">
                        <c:v>12375.5</c:v>
                      </c:pt>
                      <c:pt idx="59">
                        <c:v>12375.5</c:v>
                      </c:pt>
                      <c:pt idx="60">
                        <c:v>12439.25</c:v>
                      </c:pt>
                      <c:pt idx="61">
                        <c:v>12439.25</c:v>
                      </c:pt>
                      <c:pt idx="62">
                        <c:v>12439.25</c:v>
                      </c:pt>
                      <c:pt idx="63">
                        <c:v>12439.25</c:v>
                      </c:pt>
                      <c:pt idx="64">
                        <c:v>12439.25</c:v>
                      </c:pt>
                      <c:pt idx="65">
                        <c:v>12439.25</c:v>
                      </c:pt>
                      <c:pt idx="66">
                        <c:v>12439.25</c:v>
                      </c:pt>
                      <c:pt idx="67">
                        <c:v>12439.25</c:v>
                      </c:pt>
                      <c:pt idx="68">
                        <c:v>12439.25</c:v>
                      </c:pt>
                      <c:pt idx="69">
                        <c:v>12439.25</c:v>
                      </c:pt>
                      <c:pt idx="70">
                        <c:v>12439.25</c:v>
                      </c:pt>
                      <c:pt idx="71">
                        <c:v>12439.25</c:v>
                      </c:pt>
                      <c:pt idx="72">
                        <c:v>12439.125</c:v>
                      </c:pt>
                      <c:pt idx="73">
                        <c:v>12439.125</c:v>
                      </c:pt>
                      <c:pt idx="74">
                        <c:v>12439.125</c:v>
                      </c:pt>
                      <c:pt idx="75">
                        <c:v>12439.125</c:v>
                      </c:pt>
                      <c:pt idx="76">
                        <c:v>12439.125</c:v>
                      </c:pt>
                      <c:pt idx="77">
                        <c:v>12439.125</c:v>
                      </c:pt>
                      <c:pt idx="78">
                        <c:v>12439.125</c:v>
                      </c:pt>
                      <c:pt idx="79">
                        <c:v>12439.125</c:v>
                      </c:pt>
                      <c:pt idx="80">
                        <c:v>12439.125</c:v>
                      </c:pt>
                      <c:pt idx="81">
                        <c:v>12439.125</c:v>
                      </c:pt>
                      <c:pt idx="82">
                        <c:v>12439.125</c:v>
                      </c:pt>
                      <c:pt idx="83">
                        <c:v>12439.125</c:v>
                      </c:pt>
                      <c:pt idx="84">
                        <c:v>12485.375</c:v>
                      </c:pt>
                      <c:pt idx="85">
                        <c:v>12485.375</c:v>
                      </c:pt>
                      <c:pt idx="86">
                        <c:v>12485.375</c:v>
                      </c:pt>
                      <c:pt idx="87">
                        <c:v>12485.375</c:v>
                      </c:pt>
                      <c:pt idx="88">
                        <c:v>12485.375</c:v>
                      </c:pt>
                      <c:pt idx="89">
                        <c:v>12485.375</c:v>
                      </c:pt>
                      <c:pt idx="90">
                        <c:v>12485.375</c:v>
                      </c:pt>
                      <c:pt idx="91">
                        <c:v>12485.375</c:v>
                      </c:pt>
                      <c:pt idx="92">
                        <c:v>12485.375</c:v>
                      </c:pt>
                      <c:pt idx="93">
                        <c:v>12485.375</c:v>
                      </c:pt>
                      <c:pt idx="94">
                        <c:v>12485.375</c:v>
                      </c:pt>
                      <c:pt idx="95">
                        <c:v>12485.375</c:v>
                      </c:pt>
                      <c:pt idx="96">
                        <c:v>12564.5</c:v>
                      </c:pt>
                      <c:pt idx="97">
                        <c:v>12564.5</c:v>
                      </c:pt>
                      <c:pt idx="98">
                        <c:v>12564.5</c:v>
                      </c:pt>
                      <c:pt idx="99">
                        <c:v>12564.5</c:v>
                      </c:pt>
                      <c:pt idx="100">
                        <c:v>12564.5</c:v>
                      </c:pt>
                      <c:pt idx="101">
                        <c:v>12564.5</c:v>
                      </c:pt>
                      <c:pt idx="102">
                        <c:v>12564.5</c:v>
                      </c:pt>
                      <c:pt idx="103">
                        <c:v>12564.5</c:v>
                      </c:pt>
                      <c:pt idx="104">
                        <c:v>12564.5</c:v>
                      </c:pt>
                      <c:pt idx="105">
                        <c:v>12564.5</c:v>
                      </c:pt>
                      <c:pt idx="106">
                        <c:v>12564.5</c:v>
                      </c:pt>
                      <c:pt idx="107">
                        <c:v>12564.5</c:v>
                      </c:pt>
                      <c:pt idx="108">
                        <c:v>12628.5</c:v>
                      </c:pt>
                      <c:pt idx="109">
                        <c:v>12628.5</c:v>
                      </c:pt>
                      <c:pt idx="110">
                        <c:v>12628.5</c:v>
                      </c:pt>
                      <c:pt idx="111">
                        <c:v>12628.5</c:v>
                      </c:pt>
                      <c:pt idx="112">
                        <c:v>12628.5</c:v>
                      </c:pt>
                      <c:pt idx="113">
                        <c:v>12628.5</c:v>
                      </c:pt>
                      <c:pt idx="114">
                        <c:v>12628.5</c:v>
                      </c:pt>
                      <c:pt idx="115">
                        <c:v>12628.5</c:v>
                      </c:pt>
                      <c:pt idx="116">
                        <c:v>12628.5</c:v>
                      </c:pt>
                      <c:pt idx="117">
                        <c:v>12628.5</c:v>
                      </c:pt>
                      <c:pt idx="118">
                        <c:v>12628.5</c:v>
                      </c:pt>
                      <c:pt idx="119">
                        <c:v>12628.5</c:v>
                      </c:pt>
                      <c:pt idx="120">
                        <c:v>12640.38198827998</c:v>
                      </c:pt>
                      <c:pt idx="121">
                        <c:v>12652.275156165257</c:v>
                      </c:pt>
                      <c:pt idx="122">
                        <c:v>12664.179514174572</c:v>
                      </c:pt>
                      <c:pt idx="123">
                        <c:v>12676.095072836566</c:v>
                      </c:pt>
                      <c:pt idx="124">
                        <c:v>12688.021842689785</c:v>
                      </c:pt>
                      <c:pt idx="125">
                        <c:v>12699.959834282687</c:v>
                      </c:pt>
                      <c:pt idx="126">
                        <c:v>12711.909058173662</c:v>
                      </c:pt>
                      <c:pt idx="127">
                        <c:v>12723.869524931028</c:v>
                      </c:pt>
                      <c:pt idx="128">
                        <c:v>12735.84124513305</c:v>
                      </c:pt>
                      <c:pt idx="129">
                        <c:v>12747.824229367943</c:v>
                      </c:pt>
                      <c:pt idx="130">
                        <c:v>12759.81848823389</c:v>
                      </c:pt>
                      <c:pt idx="131">
                        <c:v>12771.824032339038</c:v>
                      </c:pt>
                      <c:pt idx="132">
                        <c:v>12773.696254536617</c:v>
                      </c:pt>
                      <c:pt idx="133">
                        <c:v>12775.568751183324</c:v>
                      </c:pt>
                      <c:pt idx="134">
                        <c:v>12777.441522319388</c:v>
                      </c:pt>
                      <c:pt idx="135">
                        <c:v>12779.31456798505</c:v>
                      </c:pt>
                      <c:pt idx="136">
                        <c:v>12781.187888220549</c:v>
                      </c:pt>
                      <c:pt idx="137">
                        <c:v>12783.061483066138</c:v>
                      </c:pt>
                      <c:pt idx="138">
                        <c:v>12784.93535256207</c:v>
                      </c:pt>
                      <c:pt idx="139">
                        <c:v>12786.809496748607</c:v>
                      </c:pt>
                      <c:pt idx="140">
                        <c:v>12788.683915666015</c:v>
                      </c:pt>
                      <c:pt idx="141">
                        <c:v>12790.558609354568</c:v>
                      </c:pt>
                      <c:pt idx="142">
                        <c:v>12792.433577854545</c:v>
                      </c:pt>
                      <c:pt idx="143">
                        <c:v>12794.308821206228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7F9-4A5D-9BB5-BAC7AE54A4C6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Model'!$F$2</c15:sqref>
                        </c15:formulaRef>
                      </c:ext>
                    </c:extLst>
                    <c:strCache>
                      <c:ptCount val="1"/>
                      <c:pt idx="0">
                        <c:v>Days in Month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Model'!$F$3:$F$146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31</c:v>
                      </c:pt>
                      <c:pt idx="1">
                        <c:v>29</c:v>
                      </c:pt>
                      <c:pt idx="2">
                        <c:v>31</c:v>
                      </c:pt>
                      <c:pt idx="3">
                        <c:v>30</c:v>
                      </c:pt>
                      <c:pt idx="4">
                        <c:v>31</c:v>
                      </c:pt>
                      <c:pt idx="5">
                        <c:v>30</c:v>
                      </c:pt>
                      <c:pt idx="6">
                        <c:v>31</c:v>
                      </c:pt>
                      <c:pt idx="7">
                        <c:v>31</c:v>
                      </c:pt>
                      <c:pt idx="8">
                        <c:v>30</c:v>
                      </c:pt>
                      <c:pt idx="9">
                        <c:v>31</c:v>
                      </c:pt>
                      <c:pt idx="10">
                        <c:v>30</c:v>
                      </c:pt>
                      <c:pt idx="11">
                        <c:v>31</c:v>
                      </c:pt>
                      <c:pt idx="12">
                        <c:v>31</c:v>
                      </c:pt>
                      <c:pt idx="13">
                        <c:v>28</c:v>
                      </c:pt>
                      <c:pt idx="14">
                        <c:v>31</c:v>
                      </c:pt>
                      <c:pt idx="15">
                        <c:v>30</c:v>
                      </c:pt>
                      <c:pt idx="16">
                        <c:v>31</c:v>
                      </c:pt>
                      <c:pt idx="17">
                        <c:v>30</c:v>
                      </c:pt>
                      <c:pt idx="18">
                        <c:v>31</c:v>
                      </c:pt>
                      <c:pt idx="19">
                        <c:v>31</c:v>
                      </c:pt>
                      <c:pt idx="20">
                        <c:v>30</c:v>
                      </c:pt>
                      <c:pt idx="21">
                        <c:v>31</c:v>
                      </c:pt>
                      <c:pt idx="22">
                        <c:v>30</c:v>
                      </c:pt>
                      <c:pt idx="23">
                        <c:v>31</c:v>
                      </c:pt>
                      <c:pt idx="24">
                        <c:v>31</c:v>
                      </c:pt>
                      <c:pt idx="25">
                        <c:v>28</c:v>
                      </c:pt>
                      <c:pt idx="26">
                        <c:v>31</c:v>
                      </c:pt>
                      <c:pt idx="27">
                        <c:v>30</c:v>
                      </c:pt>
                      <c:pt idx="28">
                        <c:v>31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31</c:v>
                      </c:pt>
                      <c:pt idx="32">
                        <c:v>30</c:v>
                      </c:pt>
                      <c:pt idx="33">
                        <c:v>31</c:v>
                      </c:pt>
                      <c:pt idx="34">
                        <c:v>30</c:v>
                      </c:pt>
                      <c:pt idx="35">
                        <c:v>31</c:v>
                      </c:pt>
                      <c:pt idx="36">
                        <c:v>31</c:v>
                      </c:pt>
                      <c:pt idx="37">
                        <c:v>28</c:v>
                      </c:pt>
                      <c:pt idx="38">
                        <c:v>31</c:v>
                      </c:pt>
                      <c:pt idx="39">
                        <c:v>30</c:v>
                      </c:pt>
                      <c:pt idx="40">
                        <c:v>31</c:v>
                      </c:pt>
                      <c:pt idx="41">
                        <c:v>30</c:v>
                      </c:pt>
                      <c:pt idx="42">
                        <c:v>31</c:v>
                      </c:pt>
                      <c:pt idx="43">
                        <c:v>31</c:v>
                      </c:pt>
                      <c:pt idx="44">
                        <c:v>30</c:v>
                      </c:pt>
                      <c:pt idx="45">
                        <c:v>31</c:v>
                      </c:pt>
                      <c:pt idx="46">
                        <c:v>30</c:v>
                      </c:pt>
                      <c:pt idx="47">
                        <c:v>31</c:v>
                      </c:pt>
                      <c:pt idx="48">
                        <c:v>31</c:v>
                      </c:pt>
                      <c:pt idx="49">
                        <c:v>29</c:v>
                      </c:pt>
                      <c:pt idx="50">
                        <c:v>31</c:v>
                      </c:pt>
                      <c:pt idx="51">
                        <c:v>30</c:v>
                      </c:pt>
                      <c:pt idx="52">
                        <c:v>31</c:v>
                      </c:pt>
                      <c:pt idx="53">
                        <c:v>30</c:v>
                      </c:pt>
                      <c:pt idx="54">
                        <c:v>31</c:v>
                      </c:pt>
                      <c:pt idx="55">
                        <c:v>31</c:v>
                      </c:pt>
                      <c:pt idx="56">
                        <c:v>30</c:v>
                      </c:pt>
                      <c:pt idx="57">
                        <c:v>31</c:v>
                      </c:pt>
                      <c:pt idx="58">
                        <c:v>30</c:v>
                      </c:pt>
                      <c:pt idx="59">
                        <c:v>31</c:v>
                      </c:pt>
                      <c:pt idx="60">
                        <c:v>31</c:v>
                      </c:pt>
                      <c:pt idx="61">
                        <c:v>28</c:v>
                      </c:pt>
                      <c:pt idx="62">
                        <c:v>31</c:v>
                      </c:pt>
                      <c:pt idx="63">
                        <c:v>30</c:v>
                      </c:pt>
                      <c:pt idx="64">
                        <c:v>31</c:v>
                      </c:pt>
                      <c:pt idx="65">
                        <c:v>30</c:v>
                      </c:pt>
                      <c:pt idx="66">
                        <c:v>31</c:v>
                      </c:pt>
                      <c:pt idx="67">
                        <c:v>31</c:v>
                      </c:pt>
                      <c:pt idx="68">
                        <c:v>30</c:v>
                      </c:pt>
                      <c:pt idx="69">
                        <c:v>31</c:v>
                      </c:pt>
                      <c:pt idx="70">
                        <c:v>30</c:v>
                      </c:pt>
                      <c:pt idx="71">
                        <c:v>31</c:v>
                      </c:pt>
                      <c:pt idx="72">
                        <c:v>31</c:v>
                      </c:pt>
                      <c:pt idx="73">
                        <c:v>28</c:v>
                      </c:pt>
                      <c:pt idx="74">
                        <c:v>31</c:v>
                      </c:pt>
                      <c:pt idx="75">
                        <c:v>30</c:v>
                      </c:pt>
                      <c:pt idx="76">
                        <c:v>31</c:v>
                      </c:pt>
                      <c:pt idx="77">
                        <c:v>30</c:v>
                      </c:pt>
                      <c:pt idx="78">
                        <c:v>31</c:v>
                      </c:pt>
                      <c:pt idx="79">
                        <c:v>31</c:v>
                      </c:pt>
                      <c:pt idx="80">
                        <c:v>30</c:v>
                      </c:pt>
                      <c:pt idx="81">
                        <c:v>31</c:v>
                      </c:pt>
                      <c:pt idx="82">
                        <c:v>30</c:v>
                      </c:pt>
                      <c:pt idx="83">
                        <c:v>31</c:v>
                      </c:pt>
                      <c:pt idx="84">
                        <c:v>31</c:v>
                      </c:pt>
                      <c:pt idx="85">
                        <c:v>28</c:v>
                      </c:pt>
                      <c:pt idx="86">
                        <c:v>31</c:v>
                      </c:pt>
                      <c:pt idx="87">
                        <c:v>30</c:v>
                      </c:pt>
                      <c:pt idx="88">
                        <c:v>31</c:v>
                      </c:pt>
                      <c:pt idx="89">
                        <c:v>30</c:v>
                      </c:pt>
                      <c:pt idx="90">
                        <c:v>31</c:v>
                      </c:pt>
                      <c:pt idx="91">
                        <c:v>31</c:v>
                      </c:pt>
                      <c:pt idx="92">
                        <c:v>30</c:v>
                      </c:pt>
                      <c:pt idx="93">
                        <c:v>31</c:v>
                      </c:pt>
                      <c:pt idx="94">
                        <c:v>30</c:v>
                      </c:pt>
                      <c:pt idx="95">
                        <c:v>31</c:v>
                      </c:pt>
                      <c:pt idx="96">
                        <c:v>31</c:v>
                      </c:pt>
                      <c:pt idx="97">
                        <c:v>29</c:v>
                      </c:pt>
                      <c:pt idx="98">
                        <c:v>31</c:v>
                      </c:pt>
                      <c:pt idx="99">
                        <c:v>30</c:v>
                      </c:pt>
                      <c:pt idx="100">
                        <c:v>31</c:v>
                      </c:pt>
                      <c:pt idx="101">
                        <c:v>30</c:v>
                      </c:pt>
                      <c:pt idx="102">
                        <c:v>31</c:v>
                      </c:pt>
                      <c:pt idx="103">
                        <c:v>31</c:v>
                      </c:pt>
                      <c:pt idx="104">
                        <c:v>30</c:v>
                      </c:pt>
                      <c:pt idx="105">
                        <c:v>31</c:v>
                      </c:pt>
                      <c:pt idx="106">
                        <c:v>30</c:v>
                      </c:pt>
                      <c:pt idx="107">
                        <c:v>31</c:v>
                      </c:pt>
                      <c:pt idx="108">
                        <c:v>31</c:v>
                      </c:pt>
                      <c:pt idx="109">
                        <c:v>28</c:v>
                      </c:pt>
                      <c:pt idx="110">
                        <c:v>31</c:v>
                      </c:pt>
                      <c:pt idx="111">
                        <c:v>30</c:v>
                      </c:pt>
                      <c:pt idx="112">
                        <c:v>31</c:v>
                      </c:pt>
                      <c:pt idx="113">
                        <c:v>30</c:v>
                      </c:pt>
                      <c:pt idx="114">
                        <c:v>31</c:v>
                      </c:pt>
                      <c:pt idx="115">
                        <c:v>31</c:v>
                      </c:pt>
                      <c:pt idx="116">
                        <c:v>30</c:v>
                      </c:pt>
                      <c:pt idx="117">
                        <c:v>31</c:v>
                      </c:pt>
                      <c:pt idx="118">
                        <c:v>30</c:v>
                      </c:pt>
                      <c:pt idx="119">
                        <c:v>31</c:v>
                      </c:pt>
                      <c:pt idx="120">
                        <c:v>31</c:v>
                      </c:pt>
                      <c:pt idx="121">
                        <c:v>28</c:v>
                      </c:pt>
                      <c:pt idx="122">
                        <c:v>31</c:v>
                      </c:pt>
                      <c:pt idx="123">
                        <c:v>30</c:v>
                      </c:pt>
                      <c:pt idx="124">
                        <c:v>31</c:v>
                      </c:pt>
                      <c:pt idx="125">
                        <c:v>30</c:v>
                      </c:pt>
                      <c:pt idx="126">
                        <c:v>31</c:v>
                      </c:pt>
                      <c:pt idx="127">
                        <c:v>31</c:v>
                      </c:pt>
                      <c:pt idx="128">
                        <c:v>30</c:v>
                      </c:pt>
                      <c:pt idx="129">
                        <c:v>31</c:v>
                      </c:pt>
                      <c:pt idx="130">
                        <c:v>30</c:v>
                      </c:pt>
                      <c:pt idx="131">
                        <c:v>31</c:v>
                      </c:pt>
                      <c:pt idx="132">
                        <c:v>31</c:v>
                      </c:pt>
                      <c:pt idx="133">
                        <c:v>28</c:v>
                      </c:pt>
                      <c:pt idx="134">
                        <c:v>31</c:v>
                      </c:pt>
                      <c:pt idx="135">
                        <c:v>30</c:v>
                      </c:pt>
                      <c:pt idx="136">
                        <c:v>31</c:v>
                      </c:pt>
                      <c:pt idx="137">
                        <c:v>30</c:v>
                      </c:pt>
                      <c:pt idx="138">
                        <c:v>31</c:v>
                      </c:pt>
                      <c:pt idx="139">
                        <c:v>31</c:v>
                      </c:pt>
                      <c:pt idx="140">
                        <c:v>30</c:v>
                      </c:pt>
                      <c:pt idx="141">
                        <c:v>31</c:v>
                      </c:pt>
                      <c:pt idx="142">
                        <c:v>30</c:v>
                      </c:pt>
                      <c:pt idx="143">
                        <c:v>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7F9-4A5D-9BB5-BAC7AE54A4C6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Model'!$G$2</c15:sqref>
                        </c15:formulaRef>
                      </c:ext>
                    </c:extLst>
                    <c:strCache>
                      <c:ptCount val="1"/>
                      <c:pt idx="0">
                        <c:v>Spring/Fall Flag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Model'!$G$3:$G$146</c15:sqref>
                        </c15:formulaRef>
                      </c:ext>
                    </c:extLst>
                    <c:numCache>
                      <c:formatCode>#,##0.0_);\(#,##0.0\)</c:formatCode>
                      <c:ptCount val="144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</c:v>
                      </c:pt>
                      <c:pt idx="22">
                        <c:v>1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8">
                        <c:v>1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1</c:v>
                      </c:pt>
                      <c:pt idx="39">
                        <c:v>1</c:v>
                      </c:pt>
                      <c:pt idx="40">
                        <c:v>1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1</c:v>
                      </c:pt>
                      <c:pt idx="58">
                        <c:v>1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1</c:v>
                      </c:pt>
                      <c:pt idx="63">
                        <c:v>1</c:v>
                      </c:pt>
                      <c:pt idx="64">
                        <c:v>1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1</c:v>
                      </c:pt>
                      <c:pt idx="75">
                        <c:v>1</c:v>
                      </c:pt>
                      <c:pt idx="76">
                        <c:v>1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1</c:v>
                      </c:pt>
                      <c:pt idx="82">
                        <c:v>1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1</c:v>
                      </c:pt>
                      <c:pt idx="87">
                        <c:v>1</c:v>
                      </c:pt>
                      <c:pt idx="88">
                        <c:v>1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1</c:v>
                      </c:pt>
                      <c:pt idx="94">
                        <c:v>1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1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1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1</c:v>
                      </c:pt>
                      <c:pt idx="118">
                        <c:v>1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1</c:v>
                      </c:pt>
                      <c:pt idx="123">
                        <c:v>1</c:v>
                      </c:pt>
                      <c:pt idx="124">
                        <c:v>1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1</c:v>
                      </c:pt>
                      <c:pt idx="130">
                        <c:v>1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1</c:v>
                      </c:pt>
                      <c:pt idx="135">
                        <c:v>1</c:v>
                      </c:pt>
                      <c:pt idx="136">
                        <c:v>1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1</c:v>
                      </c:pt>
                      <c:pt idx="142">
                        <c:v>1</c:v>
                      </c:pt>
                      <c:pt idx="143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7F9-4A5D-9BB5-BAC7AE54A4C6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Model'!$H$2</c15:sqref>
                        </c15:formulaRef>
                      </c:ext>
                    </c:extLst>
                    <c:strCache>
                      <c:ptCount val="1"/>
                      <c:pt idx="0">
                        <c:v>HDD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Model'!$H$3:$H$146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627.79999999999995</c:v>
                      </c:pt>
                      <c:pt idx="1">
                        <c:v>550.20000000000005</c:v>
                      </c:pt>
                      <c:pt idx="2">
                        <c:v>404.4</c:v>
                      </c:pt>
                      <c:pt idx="3">
                        <c:v>332.1</c:v>
                      </c:pt>
                      <c:pt idx="4">
                        <c:v>126.6</c:v>
                      </c:pt>
                      <c:pt idx="5">
                        <c:v>6.8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19.399999999999999</c:v>
                      </c:pt>
                      <c:pt idx="9">
                        <c:v>173.2</c:v>
                      </c:pt>
                      <c:pt idx="10">
                        <c:v>315.3</c:v>
                      </c:pt>
                      <c:pt idx="11">
                        <c:v>623.20000000000005</c:v>
                      </c:pt>
                      <c:pt idx="12">
                        <c:v>567.70000000000005</c:v>
                      </c:pt>
                      <c:pt idx="13">
                        <c:v>440.7</c:v>
                      </c:pt>
                      <c:pt idx="14">
                        <c:v>507.3</c:v>
                      </c:pt>
                      <c:pt idx="15">
                        <c:v>200.5</c:v>
                      </c:pt>
                      <c:pt idx="16">
                        <c:v>132.30000000000001</c:v>
                      </c:pt>
                      <c:pt idx="17">
                        <c:v>9.1999999999999993</c:v>
                      </c:pt>
                      <c:pt idx="18">
                        <c:v>0</c:v>
                      </c:pt>
                      <c:pt idx="19">
                        <c:v>6.7</c:v>
                      </c:pt>
                      <c:pt idx="20">
                        <c:v>47.5</c:v>
                      </c:pt>
                      <c:pt idx="21">
                        <c:v>151.6</c:v>
                      </c:pt>
                      <c:pt idx="22">
                        <c:v>368.1</c:v>
                      </c:pt>
                      <c:pt idx="23">
                        <c:v>641.9</c:v>
                      </c:pt>
                      <c:pt idx="24">
                        <c:v>705.6</c:v>
                      </c:pt>
                      <c:pt idx="25">
                        <c:v>544.5</c:v>
                      </c:pt>
                      <c:pt idx="26">
                        <c:v>519.9</c:v>
                      </c:pt>
                      <c:pt idx="27">
                        <c:v>395.6</c:v>
                      </c:pt>
                      <c:pt idx="28">
                        <c:v>62.9</c:v>
                      </c:pt>
                      <c:pt idx="29">
                        <c:v>7.6</c:v>
                      </c:pt>
                      <c:pt idx="30">
                        <c:v>0.2</c:v>
                      </c:pt>
                      <c:pt idx="31">
                        <c:v>0</c:v>
                      </c:pt>
                      <c:pt idx="32">
                        <c:v>39.200000000000003</c:v>
                      </c:pt>
                      <c:pt idx="33">
                        <c:v>242.3</c:v>
                      </c:pt>
                      <c:pt idx="34">
                        <c:v>474.09999999999997</c:v>
                      </c:pt>
                      <c:pt idx="35">
                        <c:v>533.79999999999995</c:v>
                      </c:pt>
                      <c:pt idx="36">
                        <c:v>711.8</c:v>
                      </c:pt>
                      <c:pt idx="37">
                        <c:v>580.9</c:v>
                      </c:pt>
                      <c:pt idx="38">
                        <c:v>549.4</c:v>
                      </c:pt>
                      <c:pt idx="39">
                        <c:v>278.39999999999998</c:v>
                      </c:pt>
                      <c:pt idx="40">
                        <c:v>139.5</c:v>
                      </c:pt>
                      <c:pt idx="41">
                        <c:v>23.9</c:v>
                      </c:pt>
                      <c:pt idx="42">
                        <c:v>0</c:v>
                      </c:pt>
                      <c:pt idx="43">
                        <c:v>0.4</c:v>
                      </c:pt>
                      <c:pt idx="44">
                        <c:v>14.7</c:v>
                      </c:pt>
                      <c:pt idx="45">
                        <c:v>204.1</c:v>
                      </c:pt>
                      <c:pt idx="46">
                        <c:v>495.2</c:v>
                      </c:pt>
                      <c:pt idx="47">
                        <c:v>527.9</c:v>
                      </c:pt>
                      <c:pt idx="48">
                        <c:v>561.20000000000005</c:v>
                      </c:pt>
                      <c:pt idx="49">
                        <c:v>569.29999999999995</c:v>
                      </c:pt>
                      <c:pt idx="50">
                        <c:v>422.2</c:v>
                      </c:pt>
                      <c:pt idx="51">
                        <c:v>336.5</c:v>
                      </c:pt>
                      <c:pt idx="52">
                        <c:v>160.5</c:v>
                      </c:pt>
                      <c:pt idx="53">
                        <c:v>10.8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62</c:v>
                      </c:pt>
                      <c:pt idx="57">
                        <c:v>239.7</c:v>
                      </c:pt>
                      <c:pt idx="58">
                        <c:v>313</c:v>
                      </c:pt>
                      <c:pt idx="59">
                        <c:v>547.4</c:v>
                      </c:pt>
                      <c:pt idx="60">
                        <c:v>610.79999999999995</c:v>
                      </c:pt>
                      <c:pt idx="61">
                        <c:v>654.79999999999995</c:v>
                      </c:pt>
                      <c:pt idx="62">
                        <c:v>398.5</c:v>
                      </c:pt>
                      <c:pt idx="63">
                        <c:v>254.9</c:v>
                      </c:pt>
                      <c:pt idx="64">
                        <c:v>140.19999999999999</c:v>
                      </c:pt>
                      <c:pt idx="65">
                        <c:v>6.9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33.4</c:v>
                      </c:pt>
                      <c:pt idx="69">
                        <c:v>123.8</c:v>
                      </c:pt>
                      <c:pt idx="70">
                        <c:v>422.9</c:v>
                      </c:pt>
                      <c:pt idx="71">
                        <c:v>483.4</c:v>
                      </c:pt>
                      <c:pt idx="72">
                        <c:v>766.2</c:v>
                      </c:pt>
                      <c:pt idx="73">
                        <c:v>607.29999999999995</c:v>
                      </c:pt>
                      <c:pt idx="74">
                        <c:v>455.3</c:v>
                      </c:pt>
                      <c:pt idx="75">
                        <c:v>333.8</c:v>
                      </c:pt>
                      <c:pt idx="76">
                        <c:v>92.7</c:v>
                      </c:pt>
                      <c:pt idx="77">
                        <c:v>4.4000000000000004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47.4</c:v>
                      </c:pt>
                      <c:pt idx="81">
                        <c:v>181.9</c:v>
                      </c:pt>
                      <c:pt idx="82">
                        <c:v>368.6</c:v>
                      </c:pt>
                      <c:pt idx="83">
                        <c:v>556.1</c:v>
                      </c:pt>
                      <c:pt idx="84">
                        <c:v>548.70000000000005</c:v>
                      </c:pt>
                      <c:pt idx="85">
                        <c:v>474.4</c:v>
                      </c:pt>
                      <c:pt idx="86">
                        <c:v>480.1</c:v>
                      </c:pt>
                      <c:pt idx="87">
                        <c:v>263.89999999999998</c:v>
                      </c:pt>
                      <c:pt idx="88">
                        <c:v>122.5</c:v>
                      </c:pt>
                      <c:pt idx="89">
                        <c:v>14.6</c:v>
                      </c:pt>
                      <c:pt idx="90">
                        <c:v>0</c:v>
                      </c:pt>
                      <c:pt idx="91">
                        <c:v>7.4</c:v>
                      </c:pt>
                      <c:pt idx="92">
                        <c:v>23.9</c:v>
                      </c:pt>
                      <c:pt idx="93">
                        <c:v>191</c:v>
                      </c:pt>
                      <c:pt idx="94">
                        <c:v>402.4</c:v>
                      </c:pt>
                      <c:pt idx="95">
                        <c:v>431.4</c:v>
                      </c:pt>
                      <c:pt idx="96">
                        <c:v>545.20000000000005</c:v>
                      </c:pt>
                      <c:pt idx="97">
                        <c:v>378</c:v>
                      </c:pt>
                      <c:pt idx="98">
                        <c:v>411.1</c:v>
                      </c:pt>
                      <c:pt idx="99">
                        <c:v>215.8</c:v>
                      </c:pt>
                      <c:pt idx="100">
                        <c:v>53.6</c:v>
                      </c:pt>
                      <c:pt idx="101">
                        <c:v>7.3</c:v>
                      </c:pt>
                      <c:pt idx="102">
                        <c:v>0.5</c:v>
                      </c:pt>
                      <c:pt idx="103">
                        <c:v>4.2</c:v>
                      </c:pt>
                      <c:pt idx="104">
                        <c:v>17.2</c:v>
                      </c:pt>
                      <c:pt idx="105">
                        <c:v>163.1</c:v>
                      </c:pt>
                      <c:pt idx="106">
                        <c:v>313.10000000000002</c:v>
                      </c:pt>
                      <c:pt idx="107">
                        <c:v>546.70000000000005</c:v>
                      </c:pt>
                      <c:pt idx="108">
                        <c:v>725.4</c:v>
                      </c:pt>
                      <c:pt idx="109">
                        <c:v>608.1</c:v>
                      </c:pt>
                      <c:pt idx="110">
                        <c:v>394.5</c:v>
                      </c:pt>
                      <c:pt idx="111">
                        <c:v>264.60000000000002</c:v>
                      </c:pt>
                      <c:pt idx="112">
                        <c:v>137.30000000000001</c:v>
                      </c:pt>
                      <c:pt idx="113">
                        <c:v>8.6999999999999993</c:v>
                      </c:pt>
                      <c:pt idx="114">
                        <c:v>0</c:v>
                      </c:pt>
                      <c:pt idx="115">
                        <c:v>13.2</c:v>
                      </c:pt>
                      <c:pt idx="116">
                        <c:v>21.2</c:v>
                      </c:pt>
                      <c:pt idx="117">
                        <c:v>167.8</c:v>
                      </c:pt>
                      <c:pt idx="118">
                        <c:v>413.6</c:v>
                      </c:pt>
                      <c:pt idx="119">
                        <c:v>645</c:v>
                      </c:pt>
                      <c:pt idx="120">
                        <c:v>637.03999999999985</c:v>
                      </c:pt>
                      <c:pt idx="121">
                        <c:v>540.82000000000005</c:v>
                      </c:pt>
                      <c:pt idx="122">
                        <c:v>454.27</c:v>
                      </c:pt>
                      <c:pt idx="123">
                        <c:v>287.61</c:v>
                      </c:pt>
                      <c:pt idx="124">
                        <c:v>116.80999999999999</c:v>
                      </c:pt>
                      <c:pt idx="125">
                        <c:v>10.02</c:v>
                      </c:pt>
                      <c:pt idx="126">
                        <c:v>6.9999999999999993E-2</c:v>
                      </c:pt>
                      <c:pt idx="127">
                        <c:v>3.19</c:v>
                      </c:pt>
                      <c:pt idx="128">
                        <c:v>32.589999999999996</c:v>
                      </c:pt>
                      <c:pt idx="129">
                        <c:v>183.84999999999997</c:v>
                      </c:pt>
                      <c:pt idx="130">
                        <c:v>388.63</c:v>
                      </c:pt>
                      <c:pt idx="131">
                        <c:v>553.67999999999995</c:v>
                      </c:pt>
                      <c:pt idx="132">
                        <c:v>637.03999999999985</c:v>
                      </c:pt>
                      <c:pt idx="133">
                        <c:v>540.82000000000005</c:v>
                      </c:pt>
                      <c:pt idx="134">
                        <c:v>454.27</c:v>
                      </c:pt>
                      <c:pt idx="135">
                        <c:v>287.61</c:v>
                      </c:pt>
                      <c:pt idx="136">
                        <c:v>116.80999999999999</c:v>
                      </c:pt>
                      <c:pt idx="137">
                        <c:v>10.02</c:v>
                      </c:pt>
                      <c:pt idx="138">
                        <c:v>6.9999999999999993E-2</c:v>
                      </c:pt>
                      <c:pt idx="139">
                        <c:v>3.19</c:v>
                      </c:pt>
                      <c:pt idx="140">
                        <c:v>32.589999999999996</c:v>
                      </c:pt>
                      <c:pt idx="141">
                        <c:v>183.84999999999997</c:v>
                      </c:pt>
                      <c:pt idx="142">
                        <c:v>388.63</c:v>
                      </c:pt>
                      <c:pt idx="143">
                        <c:v>553.67999999999995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7F9-4A5D-9BB5-BAC7AE54A4C6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Model'!$I$2</c15:sqref>
                        </c15:formulaRef>
                      </c:ext>
                    </c:extLst>
                    <c:strCache>
                      <c:ptCount val="1"/>
                      <c:pt idx="0">
                        <c:v>CDD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Model'!$A$3:$A$146</c15:sqref>
                        </c15:formulaRef>
                      </c:ext>
                    </c:extLst>
                    <c:numCache>
                      <c:formatCode>mmm\-yy</c:formatCode>
                      <c:ptCount val="144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  <c:pt idx="120">
                        <c:v>46053</c:v>
                      </c:pt>
                      <c:pt idx="121">
                        <c:v>46081</c:v>
                      </c:pt>
                      <c:pt idx="122">
                        <c:v>46112</c:v>
                      </c:pt>
                      <c:pt idx="123">
                        <c:v>46142</c:v>
                      </c:pt>
                      <c:pt idx="124">
                        <c:v>46173</c:v>
                      </c:pt>
                      <c:pt idx="125">
                        <c:v>46203</c:v>
                      </c:pt>
                      <c:pt idx="126">
                        <c:v>46234</c:v>
                      </c:pt>
                      <c:pt idx="127">
                        <c:v>46265</c:v>
                      </c:pt>
                      <c:pt idx="128">
                        <c:v>46295</c:v>
                      </c:pt>
                      <c:pt idx="129">
                        <c:v>46326</c:v>
                      </c:pt>
                      <c:pt idx="130">
                        <c:v>46356</c:v>
                      </c:pt>
                      <c:pt idx="131">
                        <c:v>46387</c:v>
                      </c:pt>
                      <c:pt idx="132">
                        <c:v>46418</c:v>
                      </c:pt>
                      <c:pt idx="133">
                        <c:v>46446</c:v>
                      </c:pt>
                      <c:pt idx="134">
                        <c:v>46477</c:v>
                      </c:pt>
                      <c:pt idx="135">
                        <c:v>46507</c:v>
                      </c:pt>
                      <c:pt idx="136">
                        <c:v>46538</c:v>
                      </c:pt>
                      <c:pt idx="137">
                        <c:v>46568</c:v>
                      </c:pt>
                      <c:pt idx="138">
                        <c:v>46599</c:v>
                      </c:pt>
                      <c:pt idx="139">
                        <c:v>46630</c:v>
                      </c:pt>
                      <c:pt idx="140">
                        <c:v>46660</c:v>
                      </c:pt>
                      <c:pt idx="141">
                        <c:v>46691</c:v>
                      </c:pt>
                      <c:pt idx="142">
                        <c:v>46721</c:v>
                      </c:pt>
                      <c:pt idx="143">
                        <c:v>46752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Model'!$I$3:$I$146</c15:sqref>
                        </c15:formulaRef>
                      </c:ext>
                    </c:extLst>
                    <c:numCache>
                      <c:formatCode>#,##0_);\(#,##0\)</c:formatCode>
                      <c:ptCount val="14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37.4</c:v>
                      </c:pt>
                      <c:pt idx="5">
                        <c:v>101.3</c:v>
                      </c:pt>
                      <c:pt idx="6">
                        <c:v>178.3</c:v>
                      </c:pt>
                      <c:pt idx="7">
                        <c:v>165.6</c:v>
                      </c:pt>
                      <c:pt idx="8">
                        <c:v>60.7</c:v>
                      </c:pt>
                      <c:pt idx="9">
                        <c:v>14.1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1</c:v>
                      </c:pt>
                      <c:pt idx="16">
                        <c:v>17.899999999999999</c:v>
                      </c:pt>
                      <c:pt idx="17">
                        <c:v>102.5</c:v>
                      </c:pt>
                      <c:pt idx="18">
                        <c:v>137</c:v>
                      </c:pt>
                      <c:pt idx="19">
                        <c:v>80.599999999999994</c:v>
                      </c:pt>
                      <c:pt idx="20">
                        <c:v>56.4</c:v>
                      </c:pt>
                      <c:pt idx="21">
                        <c:v>12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49.9</c:v>
                      </c:pt>
                      <c:pt idx="29">
                        <c:v>93.9</c:v>
                      </c:pt>
                      <c:pt idx="30">
                        <c:v>163.30000000000001</c:v>
                      </c:pt>
                      <c:pt idx="31">
                        <c:v>135.5</c:v>
                      </c:pt>
                      <c:pt idx="32">
                        <c:v>32.4</c:v>
                      </c:pt>
                      <c:pt idx="33">
                        <c:v>19.600000000000001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10.4</c:v>
                      </c:pt>
                      <c:pt idx="41">
                        <c:v>59.9</c:v>
                      </c:pt>
                      <c:pt idx="42">
                        <c:v>180.8</c:v>
                      </c:pt>
                      <c:pt idx="43">
                        <c:v>121.7</c:v>
                      </c:pt>
                      <c:pt idx="44">
                        <c:v>50.9</c:v>
                      </c:pt>
                      <c:pt idx="45">
                        <c:v>7.7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26.5</c:v>
                      </c:pt>
                      <c:pt idx="53">
                        <c:v>111.3</c:v>
                      </c:pt>
                      <c:pt idx="54">
                        <c:v>205.7</c:v>
                      </c:pt>
                      <c:pt idx="55">
                        <c:v>116.6</c:v>
                      </c:pt>
                      <c:pt idx="56">
                        <c:v>22.2</c:v>
                      </c:pt>
                      <c:pt idx="57">
                        <c:v>0.8</c:v>
                      </c:pt>
                      <c:pt idx="58">
                        <c:v>1.4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0.4</c:v>
                      </c:pt>
                      <c:pt idx="64">
                        <c:v>31.8</c:v>
                      </c:pt>
                      <c:pt idx="65">
                        <c:v>135</c:v>
                      </c:pt>
                      <c:pt idx="66">
                        <c:v>130.4</c:v>
                      </c:pt>
                      <c:pt idx="67">
                        <c:v>137.9</c:v>
                      </c:pt>
                      <c:pt idx="68">
                        <c:v>50.9</c:v>
                      </c:pt>
                      <c:pt idx="69">
                        <c:v>27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1.3</c:v>
                      </c:pt>
                      <c:pt idx="76">
                        <c:v>42.3</c:v>
                      </c:pt>
                      <c:pt idx="77">
                        <c:v>93.9</c:v>
                      </c:pt>
                      <c:pt idx="78">
                        <c:v>156.6</c:v>
                      </c:pt>
                      <c:pt idx="79">
                        <c:v>124.1</c:v>
                      </c:pt>
                      <c:pt idx="80">
                        <c:v>57.9</c:v>
                      </c:pt>
                      <c:pt idx="81">
                        <c:v>0.1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4.3</c:v>
                      </c:pt>
                      <c:pt idx="88">
                        <c:v>14.1</c:v>
                      </c:pt>
                      <c:pt idx="89">
                        <c:v>65.2</c:v>
                      </c:pt>
                      <c:pt idx="90">
                        <c:v>130.5</c:v>
                      </c:pt>
                      <c:pt idx="91">
                        <c:v>59.4</c:v>
                      </c:pt>
                      <c:pt idx="92">
                        <c:v>34.799999999999997</c:v>
                      </c:pt>
                      <c:pt idx="93">
                        <c:v>13.4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3.4</c:v>
                      </c:pt>
                      <c:pt idx="100">
                        <c:v>35</c:v>
                      </c:pt>
                      <c:pt idx="101">
                        <c:v>110.7</c:v>
                      </c:pt>
                      <c:pt idx="102">
                        <c:v>130</c:v>
                      </c:pt>
                      <c:pt idx="103">
                        <c:v>115.2</c:v>
                      </c:pt>
                      <c:pt idx="104">
                        <c:v>45.3</c:v>
                      </c:pt>
                      <c:pt idx="105">
                        <c:v>5.3</c:v>
                      </c:pt>
                      <c:pt idx="106">
                        <c:v>1.9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0.4</c:v>
                      </c:pt>
                      <c:pt idx="112">
                        <c:v>8.1</c:v>
                      </c:pt>
                      <c:pt idx="113">
                        <c:v>117.2</c:v>
                      </c:pt>
                      <c:pt idx="114">
                        <c:v>174.8</c:v>
                      </c:pt>
                      <c:pt idx="115">
                        <c:v>101</c:v>
                      </c:pt>
                      <c:pt idx="116">
                        <c:v>37.5</c:v>
                      </c:pt>
                      <c:pt idx="117">
                        <c:v>16.100000000000001</c:v>
                      </c:pt>
                      <c:pt idx="118">
                        <c:v>0.36666666666666664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1.08</c:v>
                      </c:pt>
                      <c:pt idx="124">
                        <c:v>27.339999999999996</c:v>
                      </c:pt>
                      <c:pt idx="125">
                        <c:v>99.090000000000018</c:v>
                      </c:pt>
                      <c:pt idx="126">
                        <c:v>158.74</c:v>
                      </c:pt>
                      <c:pt idx="127">
                        <c:v>115.75999999999999</c:v>
                      </c:pt>
                      <c:pt idx="128">
                        <c:v>44.9</c:v>
                      </c:pt>
                      <c:pt idx="129">
                        <c:v>11.61</c:v>
                      </c:pt>
                      <c:pt idx="130">
                        <c:v>0.36666666666666664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1.08</c:v>
                      </c:pt>
                      <c:pt idx="136">
                        <c:v>27.339999999999996</c:v>
                      </c:pt>
                      <c:pt idx="137">
                        <c:v>99.090000000000018</c:v>
                      </c:pt>
                      <c:pt idx="138">
                        <c:v>158.74</c:v>
                      </c:pt>
                      <c:pt idx="139">
                        <c:v>115.75999999999999</c:v>
                      </c:pt>
                      <c:pt idx="140">
                        <c:v>44.9</c:v>
                      </c:pt>
                      <c:pt idx="141">
                        <c:v>11.61</c:v>
                      </c:pt>
                      <c:pt idx="142">
                        <c:v>0.36666666666666664</c:v>
                      </c:pt>
                      <c:pt idx="143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07F9-4A5D-9BB5-BAC7AE54A4C6}"/>
                  </c:ext>
                </c:extLst>
              </c15:ser>
            </c15:filteredLineSeries>
          </c:ext>
        </c:extLst>
      </c:lineChart>
      <c:dateAx>
        <c:axId val="3911978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203648"/>
        <c:crosses val="autoZero"/>
        <c:auto val="1"/>
        <c:lblOffset val="100"/>
        <c:baseTimeUnit val="months"/>
      </c:dateAx>
      <c:valAx>
        <c:axId val="39120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9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942975</xdr:colOff>
      <xdr:row>125</xdr:row>
      <xdr:rowOff>114300</xdr:rowOff>
    </xdr:from>
    <xdr:to>
      <xdr:col>18</xdr:col>
      <xdr:colOff>28574</xdr:colOff>
      <xdr:row>148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C5671C-FFB0-C1CA-6B93-F46D832A5A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32" dT="2026-03-13T19:25:17.77" personId="{00000000-0000-0000-0000-000000000000}" id="{F80D7DE0-CD14-4F3A-81A2-5A4C5A1E44EA}">
    <text>Includes generation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A1EB-6001-4B4A-8C06-FDD0734A0B1A}">
  <dimension ref="A1:Y367"/>
  <sheetViews>
    <sheetView tabSelected="1" zoomScale="70" zoomScaleNormal="70" workbookViewId="0">
      <selection activeCell="P90" sqref="P90"/>
    </sheetView>
  </sheetViews>
  <sheetFormatPr defaultColWidth="8.85546875" defaultRowHeight="15" x14ac:dyDescent="0.25"/>
  <cols>
    <col min="1" max="1" width="22.140625" style="230" customWidth="1"/>
    <col min="2" max="2" width="14.85546875" style="230" customWidth="1"/>
    <col min="3" max="3" width="14.28515625" style="230" customWidth="1"/>
    <col min="4" max="4" width="13.28515625" style="230" customWidth="1"/>
    <col min="5" max="5" width="13.5703125" style="230" customWidth="1"/>
    <col min="6" max="6" width="14.5703125" style="230" customWidth="1"/>
    <col min="7" max="7" width="15" style="230" bestFit="1" customWidth="1"/>
    <col min="8" max="8" width="12.5703125" style="230" customWidth="1"/>
    <col min="9" max="9" width="14.140625" style="230" customWidth="1"/>
    <col min="10" max="10" width="11.7109375" style="230" customWidth="1"/>
    <col min="11" max="11" width="12.5703125" style="230" customWidth="1"/>
    <col min="12" max="12" width="14.5703125" style="230" customWidth="1"/>
    <col min="13" max="13" width="15" style="230" customWidth="1"/>
    <col min="14" max="14" width="15.140625" style="230" customWidth="1"/>
    <col min="15" max="15" width="8.85546875" style="230"/>
    <col min="16" max="16" width="14" style="230" customWidth="1"/>
    <col min="17" max="17" width="13.85546875" style="230" customWidth="1"/>
    <col min="18" max="18" width="8.85546875" style="230"/>
    <col min="19" max="19" width="12.140625" style="230" customWidth="1"/>
    <col min="20" max="16384" width="8.85546875" style="230"/>
  </cols>
  <sheetData>
    <row r="1" spans="1:7" x14ac:dyDescent="0.25">
      <c r="A1" s="235" t="s">
        <v>184</v>
      </c>
    </row>
    <row r="2" spans="1:7" s="231" customFormat="1" ht="60" x14ac:dyDescent="0.2">
      <c r="A2" s="238" t="s">
        <v>52</v>
      </c>
      <c r="B2" s="238" t="s">
        <v>185</v>
      </c>
      <c r="C2" s="238" t="s">
        <v>186</v>
      </c>
      <c r="D2" s="238" t="s">
        <v>187</v>
      </c>
      <c r="E2" s="238" t="s">
        <v>186</v>
      </c>
      <c r="F2" s="238" t="s">
        <v>188</v>
      </c>
      <c r="G2" s="238" t="s">
        <v>189</v>
      </c>
    </row>
    <row r="3" spans="1:7" x14ac:dyDescent="0.25">
      <c r="A3" s="306" t="s">
        <v>190</v>
      </c>
      <c r="B3" s="318"/>
      <c r="C3" s="318"/>
      <c r="D3" s="318"/>
      <c r="E3" s="318"/>
      <c r="F3" s="318"/>
      <c r="G3" s="307"/>
    </row>
    <row r="4" spans="1:7" x14ac:dyDescent="0.25">
      <c r="A4" s="232"/>
      <c r="B4" s="237"/>
      <c r="C4" s="237"/>
      <c r="D4" s="237"/>
      <c r="E4" s="237"/>
      <c r="F4" s="237"/>
      <c r="G4" s="237"/>
    </row>
    <row r="5" spans="1:7" x14ac:dyDescent="0.25">
      <c r="A5" s="232" t="s">
        <v>191</v>
      </c>
      <c r="B5" s="265">
        <f>B274/1000000</f>
        <v>244.79724156182331</v>
      </c>
      <c r="C5" s="237"/>
      <c r="D5" s="237"/>
      <c r="E5" s="237"/>
      <c r="F5" s="240">
        <f>B273</f>
        <v>15591.327836858323</v>
      </c>
      <c r="G5" s="237"/>
    </row>
    <row r="6" spans="1:7" x14ac:dyDescent="0.25">
      <c r="A6" s="232"/>
      <c r="B6" s="237"/>
      <c r="C6" s="237"/>
      <c r="D6" s="237"/>
      <c r="E6" s="237"/>
      <c r="F6" s="237"/>
      <c r="G6" s="237"/>
    </row>
    <row r="7" spans="1:7" x14ac:dyDescent="0.25">
      <c r="A7" s="233">
        <v>2016</v>
      </c>
      <c r="B7" s="237" cm="1">
        <f t="array" ref="B7:B18">TRANSPOSE('Load Forecast Summary'!B10:M10)/1000000</f>
        <v>238.66722100000001</v>
      </c>
      <c r="C7" s="237"/>
      <c r="D7" s="263">
        <f t="shared" ref="D7:D18" si="0">B7*F115</f>
        <v>233.72993810286317</v>
      </c>
      <c r="E7" s="237"/>
      <c r="F7" s="240" cm="1">
        <f t="array" ref="F7:F18">TRANSPOSE('Load Forecast Summary'!B46:M46)</f>
        <v>14740</v>
      </c>
      <c r="G7" s="237"/>
    </row>
    <row r="8" spans="1:7" x14ac:dyDescent="0.25">
      <c r="A8" s="233">
        <v>2017</v>
      </c>
      <c r="B8" s="237">
        <v>219.82087000000001</v>
      </c>
      <c r="C8" s="237">
        <f>B8-B7</f>
        <v>-18.846350999999999</v>
      </c>
      <c r="D8" s="263">
        <f t="shared" si="0"/>
        <v>223.16460334942761</v>
      </c>
      <c r="E8" s="237">
        <f>D8-D7</f>
        <v>-10.565334753435565</v>
      </c>
      <c r="F8" s="240">
        <v>14754</v>
      </c>
      <c r="G8" s="237">
        <f>F8-F7</f>
        <v>14</v>
      </c>
    </row>
    <row r="9" spans="1:7" x14ac:dyDescent="0.25">
      <c r="A9" s="233">
        <v>2018</v>
      </c>
      <c r="B9" s="237">
        <v>246.42660100000001</v>
      </c>
      <c r="C9" s="237">
        <f t="shared" ref="C9:C18" si="1">B9-B8</f>
        <v>26.605730999999992</v>
      </c>
      <c r="D9" s="263">
        <f t="shared" si="0"/>
        <v>242.55135896058158</v>
      </c>
      <c r="E9" s="237">
        <f t="shared" ref="E9:E18" si="2">D9-D8</f>
        <v>19.386755611153973</v>
      </c>
      <c r="F9" s="240">
        <v>15072.5</v>
      </c>
      <c r="G9" s="237">
        <f t="shared" ref="G9:G18" si="3">F9-F8</f>
        <v>318.5</v>
      </c>
    </row>
    <row r="10" spans="1:7" x14ac:dyDescent="0.25">
      <c r="A10" s="233">
        <v>2019</v>
      </c>
      <c r="B10" s="237">
        <v>242.876722</v>
      </c>
      <c r="C10" s="237">
        <f t="shared" si="1"/>
        <v>-3.5498790000000042</v>
      </c>
      <c r="D10" s="263">
        <f t="shared" si="0"/>
        <v>242.35937335457447</v>
      </c>
      <c r="E10" s="237">
        <f t="shared" si="2"/>
        <v>-0.19198560600710834</v>
      </c>
      <c r="F10" s="240">
        <v>15358.5</v>
      </c>
      <c r="G10" s="237">
        <f t="shared" si="3"/>
        <v>286</v>
      </c>
    </row>
    <row r="11" spans="1:7" x14ac:dyDescent="0.25">
      <c r="A11" s="233">
        <v>2020</v>
      </c>
      <c r="B11" s="237">
        <v>239.10277600000001</v>
      </c>
      <c r="C11" s="237">
        <f t="shared" si="1"/>
        <v>-3.7739459999999951</v>
      </c>
      <c r="D11" s="263">
        <f t="shared" si="0"/>
        <v>237.71688542209426</v>
      </c>
      <c r="E11" s="237">
        <f t="shared" si="2"/>
        <v>-4.6424879324802077</v>
      </c>
      <c r="F11" s="240">
        <v>15523.5</v>
      </c>
      <c r="G11" s="237">
        <f t="shared" si="3"/>
        <v>165</v>
      </c>
    </row>
    <row r="12" spans="1:7" x14ac:dyDescent="0.25">
      <c r="A12" s="233">
        <v>2021</v>
      </c>
      <c r="B12" s="237">
        <v>242.792191</v>
      </c>
      <c r="C12" s="237">
        <f t="shared" si="1"/>
        <v>3.6894149999999968</v>
      </c>
      <c r="D12" s="263">
        <f t="shared" si="0"/>
        <v>240.46772581160357</v>
      </c>
      <c r="E12" s="237">
        <f t="shared" si="2"/>
        <v>2.7508403895093068</v>
      </c>
      <c r="F12" s="240">
        <v>15635.25</v>
      </c>
      <c r="G12" s="237">
        <f t="shared" si="3"/>
        <v>111.75</v>
      </c>
    </row>
    <row r="13" spans="1:7" x14ac:dyDescent="0.25">
      <c r="A13" s="233">
        <v>2022</v>
      </c>
      <c r="B13" s="237">
        <v>237.86065456</v>
      </c>
      <c r="C13" s="237">
        <f t="shared" si="1"/>
        <v>-4.9315364400000021</v>
      </c>
      <c r="D13" s="263">
        <f t="shared" si="0"/>
        <v>235.771450143972</v>
      </c>
      <c r="E13" s="237">
        <f t="shared" si="2"/>
        <v>-4.6962756676315678</v>
      </c>
      <c r="F13" s="240">
        <v>15676.125</v>
      </c>
      <c r="G13" s="237">
        <f t="shared" si="3"/>
        <v>40.875</v>
      </c>
    </row>
    <row r="14" spans="1:7" x14ac:dyDescent="0.25">
      <c r="A14" s="233">
        <v>2023</v>
      </c>
      <c r="B14" s="237">
        <v>234.10453949999999</v>
      </c>
      <c r="C14" s="237">
        <f t="shared" si="1"/>
        <v>-3.7561150600000133</v>
      </c>
      <c r="D14" s="263">
        <f t="shared" si="0"/>
        <v>242.71718787442956</v>
      </c>
      <c r="E14" s="237">
        <f t="shared" si="2"/>
        <v>6.9457377304575516</v>
      </c>
      <c r="F14" s="240">
        <v>15750.375</v>
      </c>
      <c r="G14" s="237">
        <f t="shared" si="3"/>
        <v>74.25</v>
      </c>
    </row>
    <row r="15" spans="1:7" x14ac:dyDescent="0.25">
      <c r="A15" s="233">
        <v>2024</v>
      </c>
      <c r="B15" s="237">
        <v>239.60580973000003</v>
      </c>
      <c r="C15" s="237">
        <f t="shared" si="1"/>
        <v>5.5012702300000456</v>
      </c>
      <c r="D15" s="263">
        <f t="shared" si="0"/>
        <v>243.58344394694393</v>
      </c>
      <c r="E15" s="237">
        <f t="shared" si="2"/>
        <v>0.86625607251437486</v>
      </c>
      <c r="F15" s="240">
        <v>15824.5</v>
      </c>
      <c r="G15" s="237">
        <f t="shared" si="3"/>
        <v>74.125</v>
      </c>
    </row>
    <row r="16" spans="1:7" x14ac:dyDescent="0.25">
      <c r="A16" s="233">
        <v>2025</v>
      </c>
      <c r="B16" s="237">
        <v>237.58816168999999</v>
      </c>
      <c r="C16" s="237">
        <f t="shared" si="1"/>
        <v>-2.0176480400000401</v>
      </c>
      <c r="D16" s="263">
        <f t="shared" si="0"/>
        <v>236.63491656151598</v>
      </c>
      <c r="E16" s="237">
        <f t="shared" si="2"/>
        <v>-6.9485273854279512</v>
      </c>
      <c r="F16" s="240">
        <v>15889</v>
      </c>
      <c r="G16" s="237">
        <f t="shared" si="3"/>
        <v>64.5</v>
      </c>
    </row>
    <row r="17" spans="1:9" x14ac:dyDescent="0.25">
      <c r="A17" s="233" t="s">
        <v>111</v>
      </c>
      <c r="B17" s="237">
        <v>240.4259611667386</v>
      </c>
      <c r="C17" s="237">
        <f t="shared" si="1"/>
        <v>2.8377994767386099</v>
      </c>
      <c r="D17" s="263">
        <f t="shared" si="0"/>
        <v>240.4259611667386</v>
      </c>
      <c r="E17" s="237">
        <f t="shared" si="2"/>
        <v>3.7910446052226234</v>
      </c>
      <c r="F17" s="240">
        <v>15989.33702828467</v>
      </c>
      <c r="G17" s="237">
        <f t="shared" si="3"/>
        <v>100.33702828466994</v>
      </c>
    </row>
    <row r="18" spans="1:9" x14ac:dyDescent="0.25">
      <c r="A18" s="233" t="s">
        <v>112</v>
      </c>
      <c r="B18" s="237">
        <v>241.41709170779774</v>
      </c>
      <c r="C18" s="237">
        <f t="shared" si="1"/>
        <v>0.99113054105913534</v>
      </c>
      <c r="D18" s="263">
        <f t="shared" si="0"/>
        <v>241.41709170779774</v>
      </c>
      <c r="E18" s="237">
        <f t="shared" si="2"/>
        <v>0.99113054105913534</v>
      </c>
      <c r="F18" s="240">
        <v>16090.341276984602</v>
      </c>
      <c r="G18" s="237">
        <f t="shared" si="3"/>
        <v>101.00424869993185</v>
      </c>
    </row>
    <row r="20" spans="1:9" x14ac:dyDescent="0.25">
      <c r="A20" s="235" t="s">
        <v>192</v>
      </c>
    </row>
    <row r="21" spans="1:9" s="234" customFormat="1" ht="45" x14ac:dyDescent="0.25">
      <c r="A21" s="238" t="s">
        <v>52</v>
      </c>
      <c r="B21" s="238" t="s">
        <v>51</v>
      </c>
      <c r="C21" s="238" t="s">
        <v>57</v>
      </c>
      <c r="D21" s="238" t="s">
        <v>114</v>
      </c>
      <c r="E21" s="238" t="s">
        <v>174</v>
      </c>
      <c r="F21" s="238" t="s">
        <v>172</v>
      </c>
      <c r="G21" s="238" t="s">
        <v>78</v>
      </c>
      <c r="H21" s="238" t="s">
        <v>193</v>
      </c>
      <c r="I21" s="238" t="s">
        <v>194</v>
      </c>
    </row>
    <row r="22" spans="1:9" x14ac:dyDescent="0.25">
      <c r="A22" s="319" t="s">
        <v>195</v>
      </c>
      <c r="B22" s="319"/>
      <c r="C22" s="319"/>
      <c r="D22" s="319"/>
      <c r="E22" s="319"/>
      <c r="F22" s="319"/>
      <c r="G22" s="319"/>
      <c r="H22" s="319"/>
      <c r="I22" s="319"/>
    </row>
    <row r="23" spans="1:9" x14ac:dyDescent="0.25">
      <c r="A23" s="233">
        <f>A7</f>
        <v>2016</v>
      </c>
      <c r="B23" s="244" cm="1">
        <f t="array" ref="B23:B32">TRANSPOSE('Load Forecast Summary'!B15:K15)/1000000</f>
        <v>91.479319000000004</v>
      </c>
      <c r="C23" s="244" cm="1">
        <f t="array" ref="C23:C32">TRANSPOSE('Load Forecast Summary'!B19:K19)/1000000</f>
        <v>28.315731</v>
      </c>
      <c r="D23" s="244" cm="1">
        <f t="array" ref="D23:D32">TRANSPOSE('Load Forecast Summary'!B23:K23)/1000000</f>
        <v>59.051958999999997</v>
      </c>
      <c r="E23" s="244" cm="1">
        <f t="array" ref="E23:E32">TRANSPOSE('Load Forecast Summary'!B28:K28)/1000000</f>
        <v>57.823878999999998</v>
      </c>
      <c r="F23" s="244" cm="1">
        <f t="array" ref="F23:F32">TRANSPOSE('Load Forecast Summary'!B33:K33)/1000000</f>
        <v>0.25705899999999998</v>
      </c>
      <c r="G23" s="244" cm="1">
        <f t="array" ref="G23:G32">TRANSPOSE('Load Forecast Summary'!B37:K37)/1000000</f>
        <v>0.15368999999999999</v>
      </c>
      <c r="H23" s="244" cm="1">
        <f t="array" ref="H23:H32">TRANSPOSE('Load Forecast Summary'!B42:K42)/1000000</f>
        <v>1.5855840000000001</v>
      </c>
      <c r="I23" s="244">
        <f>SUM(B23:H23)</f>
        <v>238.66722100000004</v>
      </c>
    </row>
    <row r="24" spans="1:9" x14ac:dyDescent="0.25">
      <c r="A24" s="233">
        <f t="shared" ref="A24:A31" si="4">A8</f>
        <v>2017</v>
      </c>
      <c r="B24" s="244">
        <v>86.529651000000001</v>
      </c>
      <c r="C24" s="244">
        <v>27.228066999999999</v>
      </c>
      <c r="D24" s="244">
        <v>47.449869999999997</v>
      </c>
      <c r="E24" s="244">
        <v>56.843411000000003</v>
      </c>
      <c r="F24" s="244">
        <v>0.255469</v>
      </c>
      <c r="G24" s="244">
        <v>0.15279499999999999</v>
      </c>
      <c r="H24" s="244">
        <v>1.361607</v>
      </c>
      <c r="I24" s="244">
        <f t="shared" ref="I24:I32" si="5">SUM(B24:H24)</f>
        <v>219.82086999999999</v>
      </c>
    </row>
    <row r="25" spans="1:9" x14ac:dyDescent="0.25">
      <c r="A25" s="233">
        <f t="shared" si="4"/>
        <v>2018</v>
      </c>
      <c r="B25" s="244">
        <v>94.517190999999997</v>
      </c>
      <c r="C25" s="244">
        <v>28.692744999999999</v>
      </c>
      <c r="D25" s="244">
        <v>59.787962</v>
      </c>
      <c r="E25" s="244">
        <v>61.680653</v>
      </c>
      <c r="F25" s="244">
        <v>0.249143</v>
      </c>
      <c r="G25" s="244">
        <v>0.149558</v>
      </c>
      <c r="H25" s="244">
        <v>1.3493489999999999</v>
      </c>
      <c r="I25" s="244">
        <f t="shared" si="5"/>
        <v>246.42660100000001</v>
      </c>
    </row>
    <row r="26" spans="1:9" x14ac:dyDescent="0.25">
      <c r="A26" s="233">
        <f t="shared" si="4"/>
        <v>2019</v>
      </c>
      <c r="B26" s="244">
        <v>92.484568999999993</v>
      </c>
      <c r="C26" s="244">
        <v>28.348056</v>
      </c>
      <c r="D26" s="244">
        <v>59.632441999999998</v>
      </c>
      <c r="E26" s="244">
        <v>60.666328999999998</v>
      </c>
      <c r="F26" s="244">
        <v>0.24688499999999999</v>
      </c>
      <c r="G26" s="244">
        <v>0.14465700000000001</v>
      </c>
      <c r="H26" s="244">
        <v>1.3537840000000001</v>
      </c>
      <c r="I26" s="244">
        <f t="shared" si="5"/>
        <v>242.87672199999994</v>
      </c>
    </row>
    <row r="27" spans="1:9" x14ac:dyDescent="0.25">
      <c r="A27" s="233">
        <f t="shared" si="4"/>
        <v>2020</v>
      </c>
      <c r="B27" s="244">
        <v>98.305959000000001</v>
      </c>
      <c r="C27" s="244">
        <v>26.410288000000001</v>
      </c>
      <c r="D27" s="244">
        <v>52.047649</v>
      </c>
      <c r="E27" s="244">
        <v>60.666328999999998</v>
      </c>
      <c r="F27" s="244">
        <v>0.24688499999999999</v>
      </c>
      <c r="G27" s="244">
        <v>0.14199800000000001</v>
      </c>
      <c r="H27" s="244">
        <v>1.283668</v>
      </c>
      <c r="I27" s="244">
        <f t="shared" si="5"/>
        <v>239.10277600000001</v>
      </c>
    </row>
    <row r="28" spans="1:9" x14ac:dyDescent="0.25">
      <c r="A28" s="233">
        <f t="shared" si="4"/>
        <v>2021</v>
      </c>
      <c r="B28" s="244">
        <v>106.359838</v>
      </c>
      <c r="C28" s="244">
        <v>27.377213000000001</v>
      </c>
      <c r="D28" s="244">
        <v>56.544701000000003</v>
      </c>
      <c r="E28" s="244">
        <v>50.859468999999997</v>
      </c>
      <c r="F28" s="244">
        <v>0.248173</v>
      </c>
      <c r="G28" s="244">
        <v>0.137713</v>
      </c>
      <c r="H28" s="244">
        <v>1.2650840000000001</v>
      </c>
      <c r="I28" s="244">
        <f t="shared" si="5"/>
        <v>242.792191</v>
      </c>
    </row>
    <row r="29" spans="1:9" x14ac:dyDescent="0.25">
      <c r="A29" s="233">
        <f t="shared" si="4"/>
        <v>2022</v>
      </c>
      <c r="B29" s="244">
        <v>105.839455</v>
      </c>
      <c r="C29" s="244">
        <v>29.663799999999998</v>
      </c>
      <c r="D29" s="244">
        <v>55.678001560000006</v>
      </c>
      <c r="E29" s="244">
        <v>45.020625000000003</v>
      </c>
      <c r="F29" s="244">
        <v>0.248448</v>
      </c>
      <c r="G29" s="244">
        <v>0.13847899999999999</v>
      </c>
      <c r="H29" s="244">
        <v>1.271846</v>
      </c>
      <c r="I29" s="244">
        <f t="shared" si="5"/>
        <v>237.86065456</v>
      </c>
    </row>
    <row r="30" spans="1:9" x14ac:dyDescent="0.25">
      <c r="A30" s="233">
        <f t="shared" si="4"/>
        <v>2023</v>
      </c>
      <c r="B30" s="244">
        <v>96.458582030000002</v>
      </c>
      <c r="C30" s="244">
        <v>28.828610309999998</v>
      </c>
      <c r="D30" s="244">
        <v>59.808297880000005</v>
      </c>
      <c r="E30" s="244">
        <v>47.43581081</v>
      </c>
      <c r="F30" s="244">
        <v>0.248859</v>
      </c>
      <c r="G30" s="244">
        <v>0.13672145000000002</v>
      </c>
      <c r="H30" s="244">
        <v>1.18765802</v>
      </c>
      <c r="I30" s="244">
        <f t="shared" si="5"/>
        <v>234.10453950000002</v>
      </c>
    </row>
    <row r="31" spans="1:9" x14ac:dyDescent="0.25">
      <c r="A31" s="233">
        <f t="shared" si="4"/>
        <v>2024</v>
      </c>
      <c r="B31" s="244">
        <v>101.36397892000001</v>
      </c>
      <c r="C31" s="244">
        <v>30.766203079999997</v>
      </c>
      <c r="D31" s="244">
        <v>59.377098680000003</v>
      </c>
      <c r="E31" s="244">
        <v>46.518193750000002</v>
      </c>
      <c r="F31" s="244">
        <v>0.25086323999999999</v>
      </c>
      <c r="G31" s="244">
        <v>0.13721959</v>
      </c>
      <c r="H31" s="244">
        <v>1.1922524699999999</v>
      </c>
      <c r="I31" s="244">
        <f t="shared" si="5"/>
        <v>239.60580973</v>
      </c>
    </row>
    <row r="32" spans="1:9" x14ac:dyDescent="0.25">
      <c r="A32" s="233">
        <f>A16</f>
        <v>2025</v>
      </c>
      <c r="B32" s="244">
        <v>104.66154374</v>
      </c>
      <c r="C32" s="244">
        <v>31.96451884</v>
      </c>
      <c r="D32" s="244">
        <v>57.467167930000002</v>
      </c>
      <c r="E32" s="244">
        <v>41.943487750000003</v>
      </c>
      <c r="F32" s="244">
        <v>0.23501272000000001</v>
      </c>
      <c r="G32" s="244">
        <v>0.11725278</v>
      </c>
      <c r="H32" s="244">
        <v>1.1991779299999998</v>
      </c>
      <c r="I32" s="244">
        <f t="shared" si="5"/>
        <v>237.58816168999999</v>
      </c>
    </row>
    <row r="33" spans="1:9" x14ac:dyDescent="0.25">
      <c r="A33" s="320"/>
      <c r="B33" s="321"/>
      <c r="C33" s="321"/>
      <c r="D33" s="321"/>
      <c r="E33" s="321"/>
      <c r="F33" s="321"/>
      <c r="G33" s="321"/>
      <c r="H33" s="321"/>
      <c r="I33" s="322"/>
    </row>
    <row r="34" spans="1:9" x14ac:dyDescent="0.25">
      <c r="A34" s="306" t="s">
        <v>196</v>
      </c>
      <c r="B34" s="318"/>
      <c r="C34" s="318"/>
      <c r="D34" s="318"/>
      <c r="E34" s="318"/>
      <c r="F34" s="318"/>
      <c r="G34" s="318"/>
      <c r="H34" s="318"/>
      <c r="I34" s="307"/>
    </row>
    <row r="35" spans="1:9" x14ac:dyDescent="0.25">
      <c r="A35" s="232" t="s">
        <v>191</v>
      </c>
      <c r="B35" s="244">
        <f>B242/1000000</f>
        <v>104.79435585497116</v>
      </c>
      <c r="C35" s="244">
        <f>B246/1000000</f>
        <v>27.600720733051222</v>
      </c>
      <c r="D35" s="244">
        <f>B250/1000000</f>
        <v>59.877626807052394</v>
      </c>
      <c r="E35" s="244">
        <f>B255/1000000</f>
        <v>50.859468999999997</v>
      </c>
      <c r="F35" s="244">
        <f>B260/1000000</f>
        <v>0.248173</v>
      </c>
      <c r="G35" s="244">
        <f>B264/1000000</f>
        <v>0.137713</v>
      </c>
      <c r="H35" s="244">
        <f>B269/1000000</f>
        <v>1.2791831667485716</v>
      </c>
      <c r="I35" s="244">
        <f>B274/1000000</f>
        <v>244.79724156182331</v>
      </c>
    </row>
    <row r="36" spans="1:9" x14ac:dyDescent="0.25">
      <c r="A36" s="320"/>
      <c r="B36" s="321"/>
      <c r="C36" s="321"/>
      <c r="D36" s="321"/>
      <c r="E36" s="321"/>
      <c r="F36" s="321"/>
      <c r="G36" s="321"/>
      <c r="H36" s="321"/>
      <c r="I36" s="322"/>
    </row>
    <row r="37" spans="1:9" x14ac:dyDescent="0.25">
      <c r="A37" s="233">
        <f>A7</f>
        <v>2016</v>
      </c>
      <c r="B37" s="244">
        <f t="shared" ref="B37:H37" si="6">B23*$F$115</f>
        <v>89.58689625653318</v>
      </c>
      <c r="C37" s="244">
        <f t="shared" si="6"/>
        <v>27.729966546044142</v>
      </c>
      <c r="D37" s="244">
        <f t="shared" si="6"/>
        <v>57.830357533357351</v>
      </c>
      <c r="E37" s="244">
        <f t="shared" si="6"/>
        <v>56.627682691027978</v>
      </c>
      <c r="F37" s="244">
        <f t="shared" si="6"/>
        <v>0.25174124836683753</v>
      </c>
      <c r="G37" s="244">
        <f t="shared" si="6"/>
        <v>0.15051063165070766</v>
      </c>
      <c r="H37" s="244">
        <f t="shared" si="6"/>
        <v>1.5527831958829832</v>
      </c>
      <c r="I37" s="244">
        <f>SUM(B37:H37)</f>
        <v>233.7299381028632</v>
      </c>
    </row>
    <row r="38" spans="1:9" x14ac:dyDescent="0.25">
      <c r="A38" s="233">
        <f t="shared" ref="A38:A48" si="7">A8</f>
        <v>2017</v>
      </c>
      <c r="B38" s="244">
        <f t="shared" ref="B38:H38" si="8">B24*$F$116</f>
        <v>87.845868517304126</v>
      </c>
      <c r="C38" s="244">
        <f t="shared" si="8"/>
        <v>27.642237845872593</v>
      </c>
      <c r="D38" s="244">
        <f t="shared" si="8"/>
        <v>48.171638195826922</v>
      </c>
      <c r="E38" s="244">
        <f t="shared" si="8"/>
        <v>57.70806597591708</v>
      </c>
      <c r="F38" s="244">
        <f t="shared" si="8"/>
        <v>0.25935498323282463</v>
      </c>
      <c r="G38" s="244">
        <f t="shared" si="8"/>
        <v>0.15511919122499965</v>
      </c>
      <c r="H38" s="244">
        <f t="shared" si="8"/>
        <v>1.382318640049073</v>
      </c>
      <c r="I38" s="244">
        <f t="shared" ref="I38:I48" si="9">SUM(B38:H38)</f>
        <v>223.16460334942758</v>
      </c>
    </row>
    <row r="39" spans="1:9" x14ac:dyDescent="0.25">
      <c r="A39" s="233">
        <f t="shared" si="7"/>
        <v>2018</v>
      </c>
      <c r="B39" s="244">
        <f t="shared" ref="B39:H39" si="10">B25*$F$117</f>
        <v>93.030837698349174</v>
      </c>
      <c r="C39" s="244">
        <f t="shared" si="10"/>
        <v>28.241530191212725</v>
      </c>
      <c r="D39" s="244">
        <f t="shared" si="10"/>
        <v>58.847751718912889</v>
      </c>
      <c r="E39" s="244">
        <f t="shared" si="10"/>
        <v>60.710678741724287</v>
      </c>
      <c r="F39" s="244">
        <f t="shared" si="10"/>
        <v>0.2452250405609262</v>
      </c>
      <c r="G39" s="244">
        <f t="shared" si="10"/>
        <v>0.1472060889377225</v>
      </c>
      <c r="H39" s="244">
        <f t="shared" si="10"/>
        <v>1.3281294808838506</v>
      </c>
      <c r="I39" s="244">
        <f t="shared" si="9"/>
        <v>242.55135896058161</v>
      </c>
    </row>
    <row r="40" spans="1:9" x14ac:dyDescent="0.25">
      <c r="A40" s="233">
        <f t="shared" si="7"/>
        <v>2019</v>
      </c>
      <c r="B40" s="244">
        <f t="shared" ref="B40:H40" si="11">B26*$F$118</f>
        <v>92.287568784825339</v>
      </c>
      <c r="C40" s="244">
        <f t="shared" si="11"/>
        <v>28.287672163083563</v>
      </c>
      <c r="D40" s="244">
        <f t="shared" si="11"/>
        <v>59.505419686630191</v>
      </c>
      <c r="E40" s="244">
        <f t="shared" si="11"/>
        <v>60.537104416957867</v>
      </c>
      <c r="F40" s="244">
        <f t="shared" si="11"/>
        <v>0.24635911337210867</v>
      </c>
      <c r="G40" s="244">
        <f t="shared" si="11"/>
        <v>0.1443488679468948</v>
      </c>
      <c r="H40" s="244">
        <f t="shared" si="11"/>
        <v>1.3509003217584981</v>
      </c>
      <c r="I40" s="244">
        <f t="shared" si="9"/>
        <v>242.35937335457444</v>
      </c>
    </row>
    <row r="41" spans="1:9" x14ac:dyDescent="0.25">
      <c r="A41" s="233">
        <f t="shared" si="7"/>
        <v>2020</v>
      </c>
      <c r="B41" s="244">
        <f t="shared" ref="B41:H41" si="12">B27*$F$119</f>
        <v>97.736156739192765</v>
      </c>
      <c r="C41" s="244">
        <f t="shared" si="12"/>
        <v>26.257208349854171</v>
      </c>
      <c r="D41" s="244">
        <f t="shared" si="12"/>
        <v>51.745969749102287</v>
      </c>
      <c r="E41" s="244">
        <f t="shared" si="12"/>
        <v>60.314694045509846</v>
      </c>
      <c r="F41" s="244">
        <f t="shared" si="12"/>
        <v>0.24545400199550063</v>
      </c>
      <c r="G41" s="244">
        <f t="shared" si="12"/>
        <v>0.14117494937058592</v>
      </c>
      <c r="H41" s="244">
        <f t="shared" si="12"/>
        <v>1.2762275870691226</v>
      </c>
      <c r="I41" s="244">
        <f t="shared" si="9"/>
        <v>237.71688542209426</v>
      </c>
    </row>
    <row r="42" spans="1:9" x14ac:dyDescent="0.25">
      <c r="A42" s="233">
        <f t="shared" si="7"/>
        <v>2021</v>
      </c>
      <c r="B42" s="244">
        <f t="shared" ref="B42:H42" si="13">B28*$F$120</f>
        <v>105.34156084760805</v>
      </c>
      <c r="C42" s="244">
        <f t="shared" si="13"/>
        <v>27.115106635245404</v>
      </c>
      <c r="D42" s="244">
        <f t="shared" si="13"/>
        <v>56.003348378560936</v>
      </c>
      <c r="E42" s="244">
        <f t="shared" si="13"/>
        <v>50.372546151683075</v>
      </c>
      <c r="F42" s="244">
        <f t="shared" si="13"/>
        <v>0.24579701955011846</v>
      </c>
      <c r="G42" s="244">
        <f t="shared" si="13"/>
        <v>0.13639455119334282</v>
      </c>
      <c r="H42" s="244">
        <f t="shared" si="13"/>
        <v>1.2529722277626578</v>
      </c>
      <c r="I42" s="244">
        <f t="shared" si="9"/>
        <v>240.46772581160357</v>
      </c>
    </row>
    <row r="43" spans="1:9" x14ac:dyDescent="0.25">
      <c r="A43" s="233">
        <f t="shared" si="7"/>
        <v>2022</v>
      </c>
      <c r="B43" s="244">
        <f t="shared" ref="B43:H43" si="14">B29*$F$121</f>
        <v>104.90983401167374</v>
      </c>
      <c r="C43" s="244">
        <f t="shared" si="14"/>
        <v>29.403253580203028</v>
      </c>
      <c r="D43" s="244">
        <f t="shared" si="14"/>
        <v>55.188964283322434</v>
      </c>
      <c r="E43" s="244">
        <f t="shared" si="14"/>
        <v>44.625194790088528</v>
      </c>
      <c r="F43" s="244">
        <f t="shared" si="14"/>
        <v>0.24626580362240449</v>
      </c>
      <c r="G43" s="244">
        <f t="shared" si="14"/>
        <v>0.13726269569417726</v>
      </c>
      <c r="H43" s="244">
        <f t="shared" si="14"/>
        <v>1.2606749793676773</v>
      </c>
      <c r="I43" s="244">
        <f t="shared" si="9"/>
        <v>235.77145014397198</v>
      </c>
    </row>
    <row r="44" spans="1:9" x14ac:dyDescent="0.25">
      <c r="A44" s="233">
        <f t="shared" si="7"/>
        <v>2023</v>
      </c>
      <c r="B44" s="244">
        <f t="shared" ref="B44:H44" si="15">B30*$F$122</f>
        <v>100.00726951591892</v>
      </c>
      <c r="C44" s="244">
        <f t="shared" si="15"/>
        <v>29.889207786041187</v>
      </c>
      <c r="D44" s="244">
        <f t="shared" si="15"/>
        <v>62.008630434907943</v>
      </c>
      <c r="E44" s="244">
        <f t="shared" si="15"/>
        <v>49.180962611562968</v>
      </c>
      <c r="F44" s="244">
        <f t="shared" si="15"/>
        <v>0.25801446134385048</v>
      </c>
      <c r="G44" s="244">
        <f t="shared" si="15"/>
        <v>0.1417513984862922</v>
      </c>
      <c r="H44" s="244">
        <f t="shared" si="15"/>
        <v>1.2313516661684085</v>
      </c>
      <c r="I44" s="244">
        <f t="shared" si="9"/>
        <v>242.71718787442958</v>
      </c>
    </row>
    <row r="45" spans="1:9" x14ac:dyDescent="0.25">
      <c r="A45" s="233">
        <f t="shared" si="7"/>
        <v>2024</v>
      </c>
      <c r="B45" s="244">
        <f t="shared" ref="B45:H45" si="16">B31*$F$123</f>
        <v>103.0466961770319</v>
      </c>
      <c r="C45" s="244">
        <f t="shared" si="16"/>
        <v>31.276944878098938</v>
      </c>
      <c r="D45" s="244">
        <f t="shared" si="16"/>
        <v>60.362802572900435</v>
      </c>
      <c r="E45" s="244">
        <f t="shared" si="16"/>
        <v>47.290430280403541</v>
      </c>
      <c r="F45" s="244">
        <f t="shared" si="16"/>
        <v>0.25502775591187132</v>
      </c>
      <c r="G45" s="244">
        <f t="shared" si="16"/>
        <v>0.13949753700401488</v>
      </c>
      <c r="H45" s="244">
        <f t="shared" si="16"/>
        <v>1.2120447455931993</v>
      </c>
      <c r="I45" s="244">
        <f t="shared" si="9"/>
        <v>243.5834439469439</v>
      </c>
    </row>
    <row r="46" spans="1:9" x14ac:dyDescent="0.25">
      <c r="A46" s="233">
        <f t="shared" si="7"/>
        <v>2025</v>
      </c>
      <c r="B46" s="244">
        <f t="shared" ref="B46:H46" si="17">B32*$F$124</f>
        <v>104.24162337864821</v>
      </c>
      <c r="C46" s="244">
        <f t="shared" si="17"/>
        <v>31.836271617361348</v>
      </c>
      <c r="D46" s="244">
        <f t="shared" si="17"/>
        <v>57.236599632794515</v>
      </c>
      <c r="E46" s="244">
        <f t="shared" si="17"/>
        <v>41.775203164249113</v>
      </c>
      <c r="F46" s="244">
        <f t="shared" si="17"/>
        <v>0.23406980799260765</v>
      </c>
      <c r="G46" s="244">
        <f t="shared" si="17"/>
        <v>0.11678234140347579</v>
      </c>
      <c r="H46" s="244">
        <f t="shared" si="17"/>
        <v>1.1943666190667153</v>
      </c>
      <c r="I46" s="244">
        <f t="shared" si="9"/>
        <v>236.63491656151598</v>
      </c>
    </row>
    <row r="47" spans="1:9" x14ac:dyDescent="0.25">
      <c r="A47" s="232" t="str">
        <f t="shared" si="7"/>
        <v>2026 Bridge</v>
      </c>
      <c r="B47" s="244">
        <f>'Rate Class Energy Model'!H33/1000000</f>
        <v>106.44081326250607</v>
      </c>
      <c r="C47" s="244">
        <f>'Rate Class Energy Model'!I33/1000000</f>
        <v>32.562364810462569</v>
      </c>
      <c r="D47" s="244">
        <f>'Rate Class Energy Model'!J33/1000000</f>
        <v>57.923465548459639</v>
      </c>
      <c r="E47" s="244">
        <f>'Rate Class Energy Model'!K33/1000000</f>
        <v>41.943487750000003</v>
      </c>
      <c r="F47" s="244">
        <f>'Rate Class Energy Model'!L33/1000000</f>
        <v>0.23043103626851477</v>
      </c>
      <c r="G47" s="244">
        <f>'Rate Class Energy Model'!M33/1000000</f>
        <v>0.11725278</v>
      </c>
      <c r="H47" s="244">
        <f>'Rate Class Energy Model'!N33/1000000</f>
        <v>1.2081459790418247</v>
      </c>
      <c r="I47" s="244">
        <f t="shared" si="9"/>
        <v>240.42596116673863</v>
      </c>
    </row>
    <row r="48" spans="1:9" x14ac:dyDescent="0.25">
      <c r="A48" s="232" t="str">
        <f t="shared" si="7"/>
        <v>2027 Test</v>
      </c>
      <c r="B48" s="244">
        <f>'Rate Class Energy Model'!H34/1000000</f>
        <v>107.1370964970441</v>
      </c>
      <c r="C48" s="244">
        <f>'Rate Class Energy Model'!I34/1000000</f>
        <v>32.830261665889743</v>
      </c>
      <c r="D48" s="244">
        <f>'Rate Class Energy Model'!J34/1000000</f>
        <v>57.945873244628132</v>
      </c>
      <c r="E48" s="244">
        <f>'Rate Class Energy Model'!K34/1000000</f>
        <v>41.943487750000003</v>
      </c>
      <c r="F48" s="244">
        <f>'Rate Class Energy Model'!L34/1000000</f>
        <v>0.22593867462059744</v>
      </c>
      <c r="G48" s="244">
        <f>'Rate Class Energy Model'!M34/1000000</f>
        <v>0.11725278</v>
      </c>
      <c r="H48" s="244">
        <f>'Rate Class Energy Model'!N34/1000000</f>
        <v>1.2171810956151683</v>
      </c>
      <c r="I48" s="244">
        <f t="shared" si="9"/>
        <v>241.41709170779774</v>
      </c>
    </row>
    <row r="50" spans="1:9" x14ac:dyDescent="0.25">
      <c r="A50" s="235" t="s">
        <v>197</v>
      </c>
    </row>
    <row r="51" spans="1:9" ht="45" x14ac:dyDescent="0.25">
      <c r="A51" s="238" t="s">
        <v>52</v>
      </c>
      <c r="B51" s="238" t="s">
        <v>51</v>
      </c>
      <c r="C51" s="238" t="s">
        <v>57</v>
      </c>
      <c r="D51" s="238" t="s">
        <v>114</v>
      </c>
      <c r="E51" s="238" t="str">
        <f>E21</f>
        <v>Embedded Distributor</v>
      </c>
      <c r="F51" s="238" t="s">
        <v>172</v>
      </c>
      <c r="G51" s="238" t="s">
        <v>78</v>
      </c>
      <c r="H51" s="238" t="s">
        <v>193</v>
      </c>
      <c r="I51" s="238" t="s">
        <v>194</v>
      </c>
    </row>
    <row r="52" spans="1:9" x14ac:dyDescent="0.25">
      <c r="A52" s="319" t="s">
        <v>198</v>
      </c>
      <c r="B52" s="319"/>
      <c r="C52" s="319"/>
      <c r="D52" s="319"/>
      <c r="E52" s="319"/>
      <c r="F52" s="319"/>
      <c r="G52" s="319"/>
      <c r="H52" s="319"/>
      <c r="I52" s="319"/>
    </row>
    <row r="53" spans="1:9" x14ac:dyDescent="0.25">
      <c r="A53" s="233"/>
      <c r="B53" s="232"/>
      <c r="C53" s="232"/>
      <c r="D53" s="232"/>
      <c r="E53" s="232"/>
      <c r="F53" s="232"/>
      <c r="G53" s="232"/>
      <c r="H53" s="232"/>
      <c r="I53" s="232"/>
    </row>
    <row r="54" spans="1:9" x14ac:dyDescent="0.25">
      <c r="A54" s="233" t="s">
        <v>191</v>
      </c>
      <c r="B54" s="240">
        <f>B241</f>
        <v>11107.255282547578</v>
      </c>
      <c r="C54" s="240">
        <f>B245</f>
        <v>1201.1211073293689</v>
      </c>
      <c r="D54" s="240">
        <f>B249</f>
        <v>102.11147413793219</v>
      </c>
      <c r="E54" s="240">
        <f>B254</f>
        <v>6</v>
      </c>
      <c r="F54" s="240">
        <f>B259</f>
        <v>30.916666666666657</v>
      </c>
      <c r="G54" s="273">
        <f>B263</f>
        <v>17</v>
      </c>
      <c r="H54" s="240">
        <f>B268</f>
        <v>3126.9233061767768</v>
      </c>
      <c r="I54" s="240">
        <f>B273</f>
        <v>15591.327836858323</v>
      </c>
    </row>
    <row r="55" spans="1:9" x14ac:dyDescent="0.25">
      <c r="A55" s="233"/>
      <c r="B55" s="232"/>
      <c r="C55" s="232"/>
      <c r="D55" s="232"/>
      <c r="E55" s="232"/>
      <c r="F55" s="232"/>
      <c r="G55" s="232"/>
      <c r="H55" s="232"/>
      <c r="I55" s="232"/>
    </row>
    <row r="56" spans="1:9" x14ac:dyDescent="0.25">
      <c r="A56" s="233">
        <f t="shared" ref="A56:A63" si="18">A37</f>
        <v>2016</v>
      </c>
      <c r="B56" s="240" cm="1">
        <f t="array" ref="B56:B67">TRANSPOSE('Load Forecast Summary'!B14:M14)</f>
        <v>10277</v>
      </c>
      <c r="C56" s="240" cm="1">
        <f t="array" ref="C56:C67">TRANSPOSE('Load Forecast Summary'!B18:M18)</f>
        <v>1283</v>
      </c>
      <c r="D56" s="240" cm="1">
        <f t="array" ref="D56:D67">TRANSPOSE('Load Forecast Summary'!B22:M22)</f>
        <v>101.5</v>
      </c>
      <c r="E56" s="240" cm="1">
        <f t="array" ref="E56:E67">TRANSPOSE('Load Forecast Summary'!B27:M27)</f>
        <v>6</v>
      </c>
      <c r="F56" s="240" cm="1">
        <f t="array" ref="F56:F67">TRANSPOSE('Load Forecast Summary'!B32:M32)</f>
        <v>30</v>
      </c>
      <c r="G56" s="240" cm="1">
        <f t="array" ref="G56:G67">TRANSPOSE('Load Forecast Summary'!B36:M36)</f>
        <v>73</v>
      </c>
      <c r="H56" s="240" cm="1">
        <f t="array" ref="H56:H67">TRANSPOSE('Load Forecast Summary'!B41:M41)</f>
        <v>2969.5</v>
      </c>
      <c r="I56" s="240">
        <f>SUM(B56:H56)</f>
        <v>14740</v>
      </c>
    </row>
    <row r="57" spans="1:9" x14ac:dyDescent="0.25">
      <c r="A57" s="233">
        <f t="shared" si="18"/>
        <v>2017</v>
      </c>
      <c r="B57" s="240">
        <v>10374.5</v>
      </c>
      <c r="C57" s="240">
        <v>1224.5</v>
      </c>
      <c r="D57" s="240">
        <v>113.5</v>
      </c>
      <c r="E57" s="240">
        <v>6</v>
      </c>
      <c r="F57" s="240">
        <v>30.5</v>
      </c>
      <c r="G57" s="240">
        <v>73</v>
      </c>
      <c r="H57" s="240">
        <v>2932</v>
      </c>
      <c r="I57" s="240">
        <f t="shared" ref="I57:I67" si="19">SUM(B57:H57)</f>
        <v>14754</v>
      </c>
    </row>
    <row r="58" spans="1:9" x14ac:dyDescent="0.25">
      <c r="A58" s="233">
        <f t="shared" si="18"/>
        <v>2018</v>
      </c>
      <c r="B58" s="240">
        <v>10659.5</v>
      </c>
      <c r="C58" s="240">
        <v>1237</v>
      </c>
      <c r="D58" s="240">
        <v>110.5</v>
      </c>
      <c r="E58" s="240">
        <v>6</v>
      </c>
      <c r="F58" s="240">
        <v>31.5</v>
      </c>
      <c r="G58" s="240">
        <v>73</v>
      </c>
      <c r="H58" s="240">
        <v>2955</v>
      </c>
      <c r="I58" s="240">
        <f t="shared" si="19"/>
        <v>15072.5</v>
      </c>
    </row>
    <row r="59" spans="1:9" x14ac:dyDescent="0.25">
      <c r="A59" s="233">
        <f t="shared" si="18"/>
        <v>2019</v>
      </c>
      <c r="B59" s="240">
        <v>10922.5</v>
      </c>
      <c r="C59" s="240">
        <v>1237</v>
      </c>
      <c r="D59" s="240">
        <v>96</v>
      </c>
      <c r="E59" s="240">
        <v>6</v>
      </c>
      <c r="F59" s="240">
        <v>32</v>
      </c>
      <c r="G59" s="240">
        <v>73</v>
      </c>
      <c r="H59" s="240">
        <v>2992</v>
      </c>
      <c r="I59" s="240">
        <f t="shared" si="19"/>
        <v>15358.5</v>
      </c>
    </row>
    <row r="60" spans="1:9" x14ac:dyDescent="0.25">
      <c r="A60" s="233">
        <f t="shared" si="18"/>
        <v>2020</v>
      </c>
      <c r="B60" s="240">
        <v>11019.5</v>
      </c>
      <c r="C60" s="240">
        <v>1252</v>
      </c>
      <c r="D60" s="240">
        <v>98</v>
      </c>
      <c r="E60" s="240">
        <v>6</v>
      </c>
      <c r="F60" s="240">
        <v>32</v>
      </c>
      <c r="G60" s="240">
        <v>73</v>
      </c>
      <c r="H60" s="240">
        <v>3043</v>
      </c>
      <c r="I60" s="240">
        <f t="shared" si="19"/>
        <v>15523.5</v>
      </c>
    </row>
    <row r="61" spans="1:9" x14ac:dyDescent="0.25">
      <c r="A61" s="233">
        <f t="shared" si="18"/>
        <v>2021</v>
      </c>
      <c r="B61" s="240">
        <v>11096</v>
      </c>
      <c r="C61" s="240">
        <v>1236.25</v>
      </c>
      <c r="D61" s="240">
        <v>101</v>
      </c>
      <c r="E61" s="240">
        <v>6</v>
      </c>
      <c r="F61" s="240">
        <v>31.5</v>
      </c>
      <c r="G61" s="240">
        <v>73</v>
      </c>
      <c r="H61" s="240">
        <v>3091.5</v>
      </c>
      <c r="I61" s="240">
        <f t="shared" si="19"/>
        <v>15635.25</v>
      </c>
    </row>
    <row r="62" spans="1:9" x14ac:dyDescent="0.25">
      <c r="A62" s="233">
        <f t="shared" si="18"/>
        <v>2022</v>
      </c>
      <c r="B62" s="240">
        <v>11136</v>
      </c>
      <c r="C62" s="240">
        <v>1199.125</v>
      </c>
      <c r="D62" s="240">
        <v>98</v>
      </c>
      <c r="E62" s="240">
        <v>6</v>
      </c>
      <c r="F62" s="240">
        <v>31</v>
      </c>
      <c r="G62" s="240">
        <v>73</v>
      </c>
      <c r="H62" s="240">
        <v>3133</v>
      </c>
      <c r="I62" s="240">
        <f t="shared" si="19"/>
        <v>15676.125</v>
      </c>
    </row>
    <row r="63" spans="1:9" x14ac:dyDescent="0.25">
      <c r="A63" s="233">
        <f t="shared" si="18"/>
        <v>2023</v>
      </c>
      <c r="B63" s="240">
        <v>11213.5</v>
      </c>
      <c r="C63" s="240">
        <v>1174.375</v>
      </c>
      <c r="D63" s="240">
        <v>91.5</v>
      </c>
      <c r="E63" s="240">
        <v>6</v>
      </c>
      <c r="F63" s="240">
        <v>30</v>
      </c>
      <c r="G63" s="240">
        <v>73</v>
      </c>
      <c r="H63" s="240">
        <v>3162</v>
      </c>
      <c r="I63" s="240">
        <f t="shared" si="19"/>
        <v>15750.375</v>
      </c>
    </row>
    <row r="64" spans="1:9" x14ac:dyDescent="0.25">
      <c r="A64" s="233">
        <f>A45</f>
        <v>2024</v>
      </c>
      <c r="B64" s="240">
        <v>11298.5</v>
      </c>
      <c r="C64" s="240">
        <v>1170</v>
      </c>
      <c r="D64" s="240">
        <v>90</v>
      </c>
      <c r="E64" s="240">
        <v>6</v>
      </c>
      <c r="F64" s="240">
        <v>29</v>
      </c>
      <c r="G64" s="240">
        <v>73</v>
      </c>
      <c r="H64" s="240">
        <v>3158</v>
      </c>
      <c r="I64" s="240">
        <f t="shared" si="19"/>
        <v>15824.5</v>
      </c>
    </row>
    <row r="65" spans="1:9" x14ac:dyDescent="0.25">
      <c r="A65" s="233">
        <f>A46</f>
        <v>2025</v>
      </c>
      <c r="B65" s="240">
        <v>11354.5</v>
      </c>
      <c r="C65" s="240">
        <v>1179</v>
      </c>
      <c r="D65" s="240">
        <v>89</v>
      </c>
      <c r="E65" s="240">
        <v>6</v>
      </c>
      <c r="F65" s="240">
        <v>29</v>
      </c>
      <c r="G65" s="240">
        <v>73</v>
      </c>
      <c r="H65" s="240">
        <v>3158.5</v>
      </c>
      <c r="I65" s="240">
        <f t="shared" si="19"/>
        <v>15889</v>
      </c>
    </row>
    <row r="66" spans="1:9" x14ac:dyDescent="0.25">
      <c r="A66" s="233" t="str">
        <f>A47</f>
        <v>2026 Bridge</v>
      </c>
      <c r="B66" s="240">
        <v>11422.71233211763</v>
      </c>
      <c r="C66" s="240">
        <v>1188.0692307692307</v>
      </c>
      <c r="D66" s="240">
        <v>89</v>
      </c>
      <c r="E66" s="240">
        <v>6</v>
      </c>
      <c r="F66" s="240">
        <v>28.434631333090945</v>
      </c>
      <c r="G66" s="240">
        <v>73</v>
      </c>
      <c r="H66" s="240">
        <v>3182.1208340647199</v>
      </c>
      <c r="I66" s="240">
        <f t="shared" si="19"/>
        <v>15989.33702828467</v>
      </c>
    </row>
    <row r="67" spans="1:9" x14ac:dyDescent="0.25">
      <c r="A67" s="233" t="str">
        <f>A48</f>
        <v>2027 Test</v>
      </c>
      <c r="B67" s="240">
        <v>11491.334450861965</v>
      </c>
      <c r="C67" s="240">
        <v>1197.2082248520708</v>
      </c>
      <c r="D67" s="240">
        <v>89</v>
      </c>
      <c r="E67" s="240">
        <v>6</v>
      </c>
      <c r="F67" s="240">
        <v>27.880284794786114</v>
      </c>
      <c r="G67" s="240">
        <v>73</v>
      </c>
      <c r="H67" s="240">
        <v>3205.9183164757792</v>
      </c>
      <c r="I67" s="240">
        <f t="shared" si="19"/>
        <v>16090.341276984602</v>
      </c>
    </row>
    <row r="68" spans="1:9" x14ac:dyDescent="0.25">
      <c r="A68" s="323"/>
      <c r="B68" s="323"/>
      <c r="C68" s="323"/>
      <c r="D68" s="323"/>
      <c r="E68" s="323"/>
      <c r="F68" s="323"/>
      <c r="G68" s="323"/>
      <c r="H68" s="323"/>
    </row>
    <row r="69" spans="1:9" x14ac:dyDescent="0.25">
      <c r="A69" s="314" t="s">
        <v>199</v>
      </c>
      <c r="B69" s="315"/>
      <c r="C69" s="315"/>
      <c r="D69" s="315"/>
      <c r="E69" s="315"/>
      <c r="F69" s="315"/>
      <c r="G69" s="315"/>
      <c r="H69" s="316"/>
    </row>
    <row r="70" spans="1:9" x14ac:dyDescent="0.25">
      <c r="A70" s="246">
        <f>A56</f>
        <v>2016</v>
      </c>
      <c r="B70" s="294">
        <f>B23*1000000/B56</f>
        <v>8901.3641140410618</v>
      </c>
      <c r="C70" s="294">
        <f t="shared" ref="C70:G70" si="20">C23*1000000/C56</f>
        <v>22069.93842556508</v>
      </c>
      <c r="D70" s="294">
        <f t="shared" si="20"/>
        <v>581792.69950738922</v>
      </c>
      <c r="E70" s="294">
        <f t="shared" si="20"/>
        <v>9637313.166666666</v>
      </c>
      <c r="F70" s="294">
        <f t="shared" si="20"/>
        <v>8568.6333333333332</v>
      </c>
      <c r="G70" s="294">
        <f t="shared" si="20"/>
        <v>2105.3424657534247</v>
      </c>
      <c r="H70" s="294">
        <f>H23*1000000/H56</f>
        <v>533.95655834315539</v>
      </c>
    </row>
    <row r="71" spans="1:9" x14ac:dyDescent="0.25">
      <c r="A71" s="246">
        <f t="shared" ref="A71:A79" si="21">A57</f>
        <v>2017</v>
      </c>
      <c r="B71" s="294">
        <f t="shared" ref="B71:H71" si="22">B24*1000000/B57</f>
        <v>8340.609282375055</v>
      </c>
      <c r="C71" s="294">
        <f t="shared" si="22"/>
        <v>22236.069416088198</v>
      </c>
      <c r="D71" s="294">
        <f t="shared" si="22"/>
        <v>418060.52863436122</v>
      </c>
      <c r="E71" s="294">
        <f t="shared" si="22"/>
        <v>9473901.833333334</v>
      </c>
      <c r="F71" s="294">
        <f t="shared" si="22"/>
        <v>8376.0327868852455</v>
      </c>
      <c r="G71" s="294">
        <f t="shared" si="22"/>
        <v>2093.0821917808221</v>
      </c>
      <c r="H71" s="294">
        <f t="shared" si="22"/>
        <v>464.39529331514325</v>
      </c>
    </row>
    <row r="72" spans="1:9" x14ac:dyDescent="0.25">
      <c r="A72" s="246">
        <f t="shared" si="21"/>
        <v>2018</v>
      </c>
      <c r="B72" s="294">
        <f t="shared" ref="B72:H72" si="23">B25*1000000/B58</f>
        <v>8866.9441343402596</v>
      </c>
      <c r="C72" s="294">
        <f t="shared" si="23"/>
        <v>23195.428455941794</v>
      </c>
      <c r="D72" s="294">
        <f t="shared" si="23"/>
        <v>541067.5294117647</v>
      </c>
      <c r="E72" s="294">
        <f t="shared" si="23"/>
        <v>10280108.833333334</v>
      </c>
      <c r="F72" s="294">
        <f t="shared" si="23"/>
        <v>7909.3015873015875</v>
      </c>
      <c r="G72" s="294">
        <f t="shared" si="23"/>
        <v>2048.7397260273974</v>
      </c>
      <c r="H72" s="294">
        <f t="shared" si="23"/>
        <v>456.63248730964466</v>
      </c>
    </row>
    <row r="73" spans="1:9" x14ac:dyDescent="0.25">
      <c r="A73" s="246">
        <f t="shared" si="21"/>
        <v>2019</v>
      </c>
      <c r="B73" s="294">
        <f t="shared" ref="B73:H73" si="24">B26*1000000/B59</f>
        <v>8467.3443808651864</v>
      </c>
      <c r="C73" s="294">
        <f t="shared" si="24"/>
        <v>22916.779304769603</v>
      </c>
      <c r="D73" s="294">
        <f t="shared" si="24"/>
        <v>621171.27083333337</v>
      </c>
      <c r="E73" s="294">
        <f t="shared" si="24"/>
        <v>10111054.833333334</v>
      </c>
      <c r="F73" s="294">
        <f t="shared" si="24"/>
        <v>7715.15625</v>
      </c>
      <c r="G73" s="294">
        <f t="shared" si="24"/>
        <v>1981.6027397260275</v>
      </c>
      <c r="H73" s="294">
        <f t="shared" si="24"/>
        <v>452.46791443850265</v>
      </c>
    </row>
    <row r="74" spans="1:9" x14ac:dyDescent="0.25">
      <c r="A74" s="246">
        <f t="shared" si="21"/>
        <v>2020</v>
      </c>
      <c r="B74" s="294">
        <f t="shared" ref="B74:H74" si="25">B27*1000000/B60</f>
        <v>8921.0907028449565</v>
      </c>
      <c r="C74" s="294">
        <f t="shared" si="25"/>
        <v>21094.479233226837</v>
      </c>
      <c r="D74" s="294">
        <f t="shared" si="25"/>
        <v>531098.45918367349</v>
      </c>
      <c r="E74" s="294">
        <f t="shared" si="25"/>
        <v>10111054.833333334</v>
      </c>
      <c r="F74" s="294">
        <f t="shared" si="25"/>
        <v>7715.15625</v>
      </c>
      <c r="G74" s="294">
        <f t="shared" si="25"/>
        <v>1945.1780821917807</v>
      </c>
      <c r="H74" s="294">
        <f t="shared" si="25"/>
        <v>421.84291817285572</v>
      </c>
    </row>
    <row r="75" spans="1:9" x14ac:dyDescent="0.25">
      <c r="A75" s="246">
        <f t="shared" si="21"/>
        <v>2021</v>
      </c>
      <c r="B75" s="294">
        <f t="shared" ref="B75:H75" si="26">B28*1000000/B61</f>
        <v>9585.4215933669784</v>
      </c>
      <c r="C75" s="294">
        <f t="shared" si="26"/>
        <v>22145.369464105155</v>
      </c>
      <c r="D75" s="294">
        <f t="shared" si="26"/>
        <v>559848.5247524752</v>
      </c>
      <c r="E75" s="294">
        <f t="shared" si="26"/>
        <v>8476578.166666666</v>
      </c>
      <c r="F75" s="294">
        <f t="shared" si="26"/>
        <v>7878.5079365079364</v>
      </c>
      <c r="G75" s="294">
        <f t="shared" si="26"/>
        <v>1886.4794520547946</v>
      </c>
      <c r="H75" s="294">
        <f t="shared" si="26"/>
        <v>409.21365033155428</v>
      </c>
    </row>
    <row r="76" spans="1:9" x14ac:dyDescent="0.25">
      <c r="A76" s="246">
        <f t="shared" si="21"/>
        <v>2022</v>
      </c>
      <c r="B76" s="294">
        <f t="shared" ref="B76:H76" si="27">B29*1000000/B62</f>
        <v>9504.2614044540223</v>
      </c>
      <c r="C76" s="294">
        <f t="shared" si="27"/>
        <v>24737.871364536641</v>
      </c>
      <c r="D76" s="294">
        <f t="shared" si="27"/>
        <v>568142.87306122447</v>
      </c>
      <c r="E76" s="294">
        <f t="shared" si="27"/>
        <v>7503437.5</v>
      </c>
      <c r="F76" s="294">
        <f t="shared" si="27"/>
        <v>8014.4516129032254</v>
      </c>
      <c r="G76" s="294">
        <f t="shared" si="27"/>
        <v>1896.972602739726</v>
      </c>
      <c r="H76" s="294">
        <f t="shared" si="27"/>
        <v>405.95148420044683</v>
      </c>
    </row>
    <row r="77" spans="1:9" x14ac:dyDescent="0.25">
      <c r="A77" s="246">
        <f t="shared" si="21"/>
        <v>2023</v>
      </c>
      <c r="B77" s="294">
        <f t="shared" ref="B77:H77" si="28">B30*1000000/B63</f>
        <v>8602.0049074775943</v>
      </c>
      <c r="C77" s="294">
        <f t="shared" si="28"/>
        <v>24548.044968600319</v>
      </c>
      <c r="D77" s="294">
        <f t="shared" si="28"/>
        <v>653642.59978142078</v>
      </c>
      <c r="E77" s="294">
        <f t="shared" si="28"/>
        <v>7905968.4683333337</v>
      </c>
      <c r="F77" s="294">
        <f t="shared" si="28"/>
        <v>8295.2999999999993</v>
      </c>
      <c r="G77" s="294">
        <f t="shared" si="28"/>
        <v>1872.8965753424659</v>
      </c>
      <c r="H77" s="294">
        <f t="shared" si="28"/>
        <v>375.60342188488301</v>
      </c>
    </row>
    <row r="78" spans="1:9" x14ac:dyDescent="0.25">
      <c r="A78" s="246">
        <f t="shared" si="21"/>
        <v>2024</v>
      </c>
      <c r="B78" s="294">
        <f t="shared" ref="B78:H78" si="29">B31*1000000/B64</f>
        <v>8971.4545222817196</v>
      </c>
      <c r="C78" s="294">
        <f t="shared" si="29"/>
        <v>26295.900068376068</v>
      </c>
      <c r="D78" s="294">
        <f t="shared" si="29"/>
        <v>659745.54088888888</v>
      </c>
      <c r="E78" s="294">
        <f t="shared" si="29"/>
        <v>7753032.291666667</v>
      </c>
      <c r="F78" s="294">
        <f t="shared" si="29"/>
        <v>8650.4565517241372</v>
      </c>
      <c r="G78" s="294">
        <f t="shared" si="29"/>
        <v>1879.720410958904</v>
      </c>
      <c r="H78" s="294">
        <f t="shared" si="29"/>
        <v>377.53403103229891</v>
      </c>
    </row>
    <row r="79" spans="1:9" x14ac:dyDescent="0.25">
      <c r="A79" s="246">
        <f t="shared" si="21"/>
        <v>2025</v>
      </c>
      <c r="B79" s="294">
        <f t="shared" ref="B79:H79" si="30">B32*1000000/B65</f>
        <v>9217.6268210841517</v>
      </c>
      <c r="C79" s="294">
        <f t="shared" si="30"/>
        <v>27111.551178965226</v>
      </c>
      <c r="D79" s="294">
        <f t="shared" si="30"/>
        <v>645698.51606741571</v>
      </c>
      <c r="E79" s="294">
        <f t="shared" si="30"/>
        <v>6990581.291666667</v>
      </c>
      <c r="F79" s="294">
        <f t="shared" si="30"/>
        <v>8103.886896551724</v>
      </c>
      <c r="G79" s="294">
        <f t="shared" si="30"/>
        <v>1606.2024657534246</v>
      </c>
      <c r="H79" s="294">
        <f t="shared" si="30"/>
        <v>379.66690834256764</v>
      </c>
    </row>
    <row r="80" spans="1:9" x14ac:dyDescent="0.25">
      <c r="A80" s="311"/>
      <c r="B80" s="312"/>
      <c r="C80" s="312"/>
      <c r="D80" s="312"/>
      <c r="E80" s="312"/>
      <c r="F80" s="312"/>
      <c r="G80" s="312"/>
      <c r="H80" s="313"/>
    </row>
    <row r="81" spans="1:8" x14ac:dyDescent="0.25">
      <c r="A81" s="314" t="s">
        <v>200</v>
      </c>
      <c r="B81" s="315"/>
      <c r="C81" s="315"/>
      <c r="D81" s="315"/>
      <c r="E81" s="315"/>
      <c r="F81" s="315"/>
      <c r="G81" s="315"/>
      <c r="H81" s="316"/>
    </row>
    <row r="82" spans="1:8" x14ac:dyDescent="0.25">
      <c r="A82" s="311"/>
      <c r="B82" s="312"/>
      <c r="C82" s="312"/>
      <c r="D82" s="312"/>
      <c r="E82" s="312"/>
      <c r="F82" s="312"/>
      <c r="G82" s="312"/>
      <c r="H82" s="313"/>
    </row>
    <row r="83" spans="1:8" x14ac:dyDescent="0.25">
      <c r="A83" s="241" t="str">
        <f>A35</f>
        <v>2022 OEB-Approved</v>
      </c>
      <c r="B83" s="294">
        <f>(B35*1000000)/B54</f>
        <v>9434.7661226109285</v>
      </c>
      <c r="C83" s="294">
        <f t="shared" ref="C83:H83" si="31">(C35*1000000)/C54</f>
        <v>22979.132216250873</v>
      </c>
      <c r="D83" s="294">
        <f t="shared" si="31"/>
        <v>586394.69572410337</v>
      </c>
      <c r="E83" s="294">
        <f t="shared" si="31"/>
        <v>8476578.166666666</v>
      </c>
      <c r="F83" s="294">
        <f t="shared" si="31"/>
        <v>8027.1590296495979</v>
      </c>
      <c r="G83" s="294">
        <f t="shared" si="31"/>
        <v>8100.7647058823532</v>
      </c>
      <c r="H83" s="294">
        <f t="shared" si="31"/>
        <v>409.08683760223141</v>
      </c>
    </row>
    <row r="84" spans="1:8" x14ac:dyDescent="0.25">
      <c r="A84" s="241"/>
      <c r="B84" s="294"/>
      <c r="C84" s="294"/>
      <c r="D84" s="294"/>
      <c r="E84" s="294"/>
      <c r="F84" s="294"/>
      <c r="G84" s="294"/>
      <c r="H84" s="294"/>
    </row>
    <row r="85" spans="1:8" x14ac:dyDescent="0.25">
      <c r="A85" s="246">
        <f t="shared" ref="A85:A96" si="32">A37</f>
        <v>2016</v>
      </c>
      <c r="B85" s="294">
        <f>B37*1000000/B56</f>
        <v>8717.2225607213368</v>
      </c>
      <c r="C85" s="294">
        <f t="shared" ref="C85:H85" si="33">C37*1000000/C56</f>
        <v>21613.380004710943</v>
      </c>
      <c r="D85" s="294">
        <f t="shared" si="33"/>
        <v>569757.21707741229</v>
      </c>
      <c r="E85" s="294">
        <f t="shared" si="33"/>
        <v>9437947.11517133</v>
      </c>
      <c r="F85" s="294">
        <f t="shared" si="33"/>
        <v>8391.3749455612506</v>
      </c>
      <c r="G85" s="294">
        <f t="shared" si="33"/>
        <v>2061.7894746672282</v>
      </c>
      <c r="H85" s="294">
        <f t="shared" si="33"/>
        <v>522.91065697355896</v>
      </c>
    </row>
    <row r="86" spans="1:8" x14ac:dyDescent="0.25">
      <c r="A86" s="246">
        <f t="shared" si="32"/>
        <v>2017</v>
      </c>
      <c r="B86" s="294">
        <f t="shared" ref="B86:H86" si="34">B38*1000000/B57</f>
        <v>8467.4797356310301</v>
      </c>
      <c r="C86" s="294">
        <f t="shared" si="34"/>
        <v>22574.306121578269</v>
      </c>
      <c r="D86" s="294">
        <f t="shared" si="34"/>
        <v>424419.71978702134</v>
      </c>
      <c r="E86" s="294">
        <f t="shared" si="34"/>
        <v>9618010.9959861804</v>
      </c>
      <c r="F86" s="294">
        <f t="shared" si="34"/>
        <v>8503.442073207365</v>
      </c>
      <c r="G86" s="294">
        <f t="shared" si="34"/>
        <v>2124.9204277397212</v>
      </c>
      <c r="H86" s="294">
        <f t="shared" si="34"/>
        <v>471.45929060336732</v>
      </c>
    </row>
    <row r="87" spans="1:8" x14ac:dyDescent="0.25">
      <c r="A87" s="246">
        <f t="shared" si="32"/>
        <v>2018</v>
      </c>
      <c r="B87" s="294">
        <f t="shared" ref="B87:H87" si="35">B39*1000000/B58</f>
        <v>8727.5048265255573</v>
      </c>
      <c r="C87" s="294">
        <f t="shared" si="35"/>
        <v>22830.663048676415</v>
      </c>
      <c r="D87" s="294">
        <f t="shared" si="35"/>
        <v>532558.8390851845</v>
      </c>
      <c r="E87" s="294">
        <f t="shared" si="35"/>
        <v>10118446.456954049</v>
      </c>
      <c r="F87" s="294">
        <f t="shared" si="35"/>
        <v>7784.9219225690858</v>
      </c>
      <c r="G87" s="294">
        <f t="shared" si="35"/>
        <v>2016.5217662701712</v>
      </c>
      <c r="H87" s="294">
        <f t="shared" si="35"/>
        <v>449.45160097592242</v>
      </c>
    </row>
    <row r="88" spans="1:8" x14ac:dyDescent="0.25">
      <c r="A88" s="246">
        <f t="shared" si="32"/>
        <v>2019</v>
      </c>
      <c r="B88" s="294">
        <f t="shared" ref="B88:H88" si="36">B40*1000000/B59</f>
        <v>8449.3081972831624</v>
      </c>
      <c r="C88" s="294">
        <f t="shared" si="36"/>
        <v>22867.964561910721</v>
      </c>
      <c r="D88" s="294">
        <f t="shared" si="36"/>
        <v>619848.12173573114</v>
      </c>
      <c r="E88" s="294">
        <f t="shared" si="36"/>
        <v>10089517.402826311</v>
      </c>
      <c r="F88" s="294">
        <f t="shared" si="36"/>
        <v>7698.7222928783958</v>
      </c>
      <c r="G88" s="294">
        <f t="shared" si="36"/>
        <v>1977.3817526971891</v>
      </c>
      <c r="H88" s="294">
        <f t="shared" si="36"/>
        <v>451.50411823479209</v>
      </c>
    </row>
    <row r="89" spans="1:8" x14ac:dyDescent="0.25">
      <c r="A89" s="246">
        <f t="shared" si="32"/>
        <v>2020</v>
      </c>
      <c r="B89" s="294">
        <f t="shared" ref="B89:H89" si="37">B41*1000000/B60</f>
        <v>8869.3821624568063</v>
      </c>
      <c r="C89" s="294">
        <f t="shared" si="37"/>
        <v>20972.211142056047</v>
      </c>
      <c r="D89" s="294">
        <f t="shared" si="37"/>
        <v>528020.0994806356</v>
      </c>
      <c r="E89" s="294">
        <f t="shared" si="37"/>
        <v>10052449.007584974</v>
      </c>
      <c r="F89" s="294">
        <f t="shared" si="37"/>
        <v>7670.4375623593951</v>
      </c>
      <c r="G89" s="294">
        <f t="shared" si="37"/>
        <v>1933.9034160354233</v>
      </c>
      <c r="H89" s="294">
        <f t="shared" si="37"/>
        <v>419.39782683835773</v>
      </c>
    </row>
    <row r="90" spans="1:8" x14ac:dyDescent="0.25">
      <c r="A90" s="246">
        <f t="shared" si="32"/>
        <v>2021</v>
      </c>
      <c r="B90" s="294">
        <f t="shared" ref="B90:H90" si="38">B42*1000000/B61</f>
        <v>9493.6518427909195</v>
      </c>
      <c r="C90" s="294">
        <f t="shared" si="38"/>
        <v>21933.352182200531</v>
      </c>
      <c r="D90" s="294">
        <f t="shared" si="38"/>
        <v>554488.59780753404</v>
      </c>
      <c r="E90" s="294">
        <f t="shared" si="38"/>
        <v>8395424.3586138468</v>
      </c>
      <c r="F90" s="294">
        <f t="shared" si="38"/>
        <v>7803.0799857180464</v>
      </c>
      <c r="G90" s="294">
        <f t="shared" si="38"/>
        <v>1868.4185094978466</v>
      </c>
      <c r="H90" s="294">
        <f t="shared" si="38"/>
        <v>405.29588476877177</v>
      </c>
    </row>
    <row r="91" spans="1:8" x14ac:dyDescent="0.25">
      <c r="A91" s="246">
        <f t="shared" si="32"/>
        <v>2022</v>
      </c>
      <c r="B91" s="294">
        <f t="shared" ref="B91:H91" si="39">B43*1000000/B62</f>
        <v>9420.7825082321961</v>
      </c>
      <c r="C91" s="294">
        <f t="shared" si="39"/>
        <v>24520.59091437759</v>
      </c>
      <c r="D91" s="294">
        <f t="shared" si="39"/>
        <v>563152.69676859619</v>
      </c>
      <c r="E91" s="294">
        <f t="shared" si="39"/>
        <v>7437532.4650147548</v>
      </c>
      <c r="F91" s="294">
        <f t="shared" si="39"/>
        <v>7944.0581813678864</v>
      </c>
      <c r="G91" s="294">
        <f t="shared" si="39"/>
        <v>1880.3108999202366</v>
      </c>
      <c r="H91" s="294">
        <f t="shared" si="39"/>
        <v>402.38588553069815</v>
      </c>
    </row>
    <row r="92" spans="1:8" x14ac:dyDescent="0.25">
      <c r="A92" s="246">
        <f t="shared" si="32"/>
        <v>2023</v>
      </c>
      <c r="B92" s="294">
        <f t="shared" ref="B92:H92" si="40">B44*1000000/B63</f>
        <v>8918.470550311582</v>
      </c>
      <c r="C92" s="294">
        <f t="shared" si="40"/>
        <v>25451.161499556092</v>
      </c>
      <c r="D92" s="294">
        <f t="shared" si="40"/>
        <v>677689.95010828355</v>
      </c>
      <c r="E92" s="294">
        <f t="shared" si="40"/>
        <v>8196827.1019271612</v>
      </c>
      <c r="F92" s="294">
        <f t="shared" si="40"/>
        <v>8600.4820447950151</v>
      </c>
      <c r="G92" s="294">
        <f t="shared" si="40"/>
        <v>1941.7999792642765</v>
      </c>
      <c r="H92" s="294">
        <f t="shared" si="40"/>
        <v>389.42177930689706</v>
      </c>
    </row>
    <row r="93" spans="1:8" x14ac:dyDescent="0.25">
      <c r="A93" s="246">
        <f t="shared" si="32"/>
        <v>2024</v>
      </c>
      <c r="B93" s="294">
        <f t="shared" ref="B93:H93" si="41">B45*1000000/B64</f>
        <v>9120.3873237183616</v>
      </c>
      <c r="C93" s="294">
        <f t="shared" si="41"/>
        <v>26732.431519742684</v>
      </c>
      <c r="D93" s="294">
        <f t="shared" si="41"/>
        <v>670697.80636556039</v>
      </c>
      <c r="E93" s="294">
        <f t="shared" si="41"/>
        <v>7881738.3800672563</v>
      </c>
      <c r="F93" s="294">
        <f t="shared" si="41"/>
        <v>8794.0605486852182</v>
      </c>
      <c r="G93" s="294">
        <f t="shared" si="41"/>
        <v>1910.9251644385602</v>
      </c>
      <c r="H93" s="294">
        <f t="shared" si="41"/>
        <v>383.80137605864451</v>
      </c>
    </row>
    <row r="94" spans="1:8" x14ac:dyDescent="0.25">
      <c r="A94" s="246">
        <f t="shared" si="32"/>
        <v>2025</v>
      </c>
      <c r="B94" s="294">
        <f t="shared" ref="B94:H94" si="42">B46*1000000/B65</f>
        <v>9180.6440951735622</v>
      </c>
      <c r="C94" s="294">
        <f t="shared" si="42"/>
        <v>27002.774908703432</v>
      </c>
      <c r="D94" s="294">
        <f t="shared" si="42"/>
        <v>643107.86104263505</v>
      </c>
      <c r="E94" s="294">
        <f t="shared" si="42"/>
        <v>6962533.8607081855</v>
      </c>
      <c r="F94" s="294">
        <f t="shared" si="42"/>
        <v>8071.3726894002639</v>
      </c>
      <c r="G94" s="294">
        <f t="shared" si="42"/>
        <v>1599.7581014174766</v>
      </c>
      <c r="H94" s="294">
        <f t="shared" si="42"/>
        <v>378.14361851091189</v>
      </c>
    </row>
    <row r="95" spans="1:8" x14ac:dyDescent="0.25">
      <c r="A95" s="241" t="str">
        <f t="shared" si="32"/>
        <v>2026 Bridge</v>
      </c>
      <c r="B95" s="294">
        <f>B47*1000000/B66</f>
        <v>9318.3484069035694</v>
      </c>
      <c r="C95" s="294">
        <f t="shared" ref="C95:H95" si="43">C47*1000000/C66</f>
        <v>27407.800797416196</v>
      </c>
      <c r="D95" s="294">
        <f t="shared" si="43"/>
        <v>650825.45560067007</v>
      </c>
      <c r="E95" s="294">
        <f t="shared" si="43"/>
        <v>6990581.291666667</v>
      </c>
      <c r="F95" s="294">
        <f t="shared" si="43"/>
        <v>8103.886896551724</v>
      </c>
      <c r="G95" s="294">
        <f t="shared" si="43"/>
        <v>1606.2024657534246</v>
      </c>
      <c r="H95" s="294">
        <f t="shared" si="43"/>
        <v>379.66690834256764</v>
      </c>
    </row>
    <row r="96" spans="1:8" x14ac:dyDescent="0.25">
      <c r="A96" s="241" t="str">
        <f t="shared" si="32"/>
        <v>2027 Test</v>
      </c>
      <c r="B96" s="294">
        <f>B48*1000000/B67</f>
        <v>9323.2946056154287</v>
      </c>
      <c r="C96" s="294">
        <f t="shared" ref="C96:H96" si="44">C48*1000000/C67</f>
        <v>27422.348915073908</v>
      </c>
      <c r="D96" s="294">
        <f t="shared" si="44"/>
        <v>651077.22746773181</v>
      </c>
      <c r="E96" s="294">
        <f t="shared" si="44"/>
        <v>6990581.291666667</v>
      </c>
      <c r="F96" s="294">
        <f t="shared" si="44"/>
        <v>8103.886896551724</v>
      </c>
      <c r="G96" s="294">
        <f t="shared" si="44"/>
        <v>1606.2024657534246</v>
      </c>
      <c r="H96" s="294">
        <f t="shared" si="44"/>
        <v>379.66690834256764</v>
      </c>
    </row>
    <row r="98" spans="1:2" x14ac:dyDescent="0.25">
      <c r="A98" s="306" t="s">
        <v>201</v>
      </c>
      <c r="B98" s="307"/>
    </row>
    <row r="99" spans="1:2" x14ac:dyDescent="0.25">
      <c r="A99" s="232" t="s">
        <v>13</v>
      </c>
      <c r="B99" s="248">
        <f>'Power Purchased Model'!T5</f>
        <v>0.95699588263156699</v>
      </c>
    </row>
    <row r="100" spans="1:2" x14ac:dyDescent="0.25">
      <c r="A100" s="232" t="s">
        <v>14</v>
      </c>
      <c r="B100" s="248">
        <f>'Power Purchased Model'!T6</f>
        <v>0.91584111937377188</v>
      </c>
    </row>
    <row r="101" spans="1:2" x14ac:dyDescent="0.25">
      <c r="A101" s="232" t="s">
        <v>15</v>
      </c>
      <c r="B101" s="248">
        <f>'Power Purchased Model'!T7</f>
        <v>0.91214994039893726</v>
      </c>
    </row>
    <row r="102" spans="1:2" x14ac:dyDescent="0.25">
      <c r="A102" s="232" t="s">
        <v>202</v>
      </c>
      <c r="B102" s="243">
        <f>'Power Purchased Model'!W13</f>
        <v>248.11615086066604</v>
      </c>
    </row>
    <row r="103" spans="1:2" x14ac:dyDescent="0.25">
      <c r="A103" s="232" t="s">
        <v>203</v>
      </c>
      <c r="B103" s="243">
        <f>'Power Purchased Model'!T30</f>
        <v>0.89345694944956089</v>
      </c>
    </row>
    <row r="104" spans="1:2" x14ac:dyDescent="0.25">
      <c r="A104" s="232" t="s">
        <v>47</v>
      </c>
      <c r="B104" s="248">
        <f>'Power Purchased Model'!T26</f>
        <v>4.145647706707932E-2</v>
      </c>
    </row>
    <row r="105" spans="1:2" x14ac:dyDescent="0.25">
      <c r="A105" s="308" t="s">
        <v>204</v>
      </c>
      <c r="B105" s="308"/>
    </row>
    <row r="106" spans="1:2" x14ac:dyDescent="0.25">
      <c r="A106" s="241" t="str" cm="1">
        <f t="array" ref="A106:A110">'Power Purchased Model'!S19:S23</f>
        <v>Customers</v>
      </c>
      <c r="B106" s="250" cm="1">
        <f t="array" ref="B106:B110">'Power Purchased Model'!V19:V23</f>
        <v>4.6446530739313641</v>
      </c>
    </row>
    <row r="107" spans="1:2" x14ac:dyDescent="0.25">
      <c r="A107" s="241" t="str">
        <v>Days in Month</v>
      </c>
      <c r="B107" s="250">
        <v>7.3101064186829792</v>
      </c>
    </row>
    <row r="108" spans="1:2" x14ac:dyDescent="0.25">
      <c r="A108" s="241" t="str">
        <v>Spring/Fall Flag</v>
      </c>
      <c r="B108" s="250">
        <v>-7.2267814858095321</v>
      </c>
    </row>
    <row r="109" spans="1:2" x14ac:dyDescent="0.25">
      <c r="A109" s="241" t="str">
        <v>HDD</v>
      </c>
      <c r="B109" s="250">
        <v>11.14273834798707</v>
      </c>
    </row>
    <row r="110" spans="1:2" x14ac:dyDescent="0.25">
      <c r="A110" s="241" t="str">
        <v>CDD</v>
      </c>
      <c r="B110" s="250">
        <v>18.813416040148486</v>
      </c>
    </row>
    <row r="111" spans="1:2" x14ac:dyDescent="0.25">
      <c r="A111" s="241" t="s">
        <v>205</v>
      </c>
      <c r="B111" s="250">
        <f>'Power Purchased Model'!V18</f>
        <v>-4.5558865783407025</v>
      </c>
    </row>
    <row r="113" spans="1:7" x14ac:dyDescent="0.25">
      <c r="A113" s="235" t="s">
        <v>206</v>
      </c>
    </row>
    <row r="114" spans="1:7" ht="60" x14ac:dyDescent="0.25">
      <c r="A114" s="238" t="s">
        <v>52</v>
      </c>
      <c r="B114" s="238" t="s">
        <v>207</v>
      </c>
      <c r="C114" s="238" t="s">
        <v>208</v>
      </c>
      <c r="D114" s="238" t="s">
        <v>4</v>
      </c>
      <c r="E114" s="238" t="s">
        <v>209</v>
      </c>
      <c r="F114" s="238" t="s">
        <v>210</v>
      </c>
      <c r="G114" s="238" t="s">
        <v>211</v>
      </c>
    </row>
    <row r="115" spans="1:7" x14ac:dyDescent="0.25">
      <c r="A115" s="233">
        <f t="shared" ref="A115:A126" si="45">A85</f>
        <v>2016</v>
      </c>
      <c r="B115" s="251">
        <f>'Power Purchased Model'!D152/1000000</f>
        <v>251.27777404</v>
      </c>
      <c r="C115" s="236" cm="1">
        <f t="array" ref="C115:C126">'Power Purchased Model'!K152:K163/1000000</f>
        <v>246.20614141602107</v>
      </c>
      <c r="D115" s="248">
        <f>C115/B115-1</f>
        <v>-2.0183371344142831E-2</v>
      </c>
      <c r="E115" s="251" cm="1">
        <f t="array" ref="E115:E126">'Power Purchased Model (WN)'!J152:J163/1000000</f>
        <v>241.11290169047297</v>
      </c>
      <c r="F115" s="243" cm="1">
        <f t="array" ref="F115:F126">'Power Purchased Model (WN)'!N152:N163</f>
        <v>0.97931310853476261</v>
      </c>
      <c r="G115" s="243">
        <f>B115*F115</f>
        <v>246.07961800080807</v>
      </c>
    </row>
    <row r="116" spans="1:7" x14ac:dyDescent="0.25">
      <c r="A116" s="233">
        <f t="shared" si="45"/>
        <v>2017</v>
      </c>
      <c r="B116" s="251">
        <f>'Power Purchased Model'!D153/1000000</f>
        <v>234.50093415999999</v>
      </c>
      <c r="C116" s="236">
        <v>237.41519460445636</v>
      </c>
      <c r="D116" s="248">
        <f t="shared" ref="D116:D124" si="46">C116/B116-1</f>
        <v>1.2427500363252131E-2</v>
      </c>
      <c r="E116" s="251">
        <v>241.02655827461095</v>
      </c>
      <c r="F116" s="243">
        <v>1.015211173304098</v>
      </c>
      <c r="G116" s="243">
        <f t="shared" ref="G116:G124" si="47">B116*F116</f>
        <v>238.06796850948064</v>
      </c>
    </row>
    <row r="117" spans="1:7" x14ac:dyDescent="0.25">
      <c r="A117" s="233">
        <f t="shared" si="45"/>
        <v>2018</v>
      </c>
      <c r="B117" s="251">
        <f>'Power Purchased Model'!D154/1000000</f>
        <v>245.16386489000004</v>
      </c>
      <c r="C117" s="236">
        <v>248.89875101004461</v>
      </c>
      <c r="D117" s="248">
        <f t="shared" si="46"/>
        <v>1.5234243927914726E-2</v>
      </c>
      <c r="E117" s="251">
        <v>244.98463256845289</v>
      </c>
      <c r="F117" s="243">
        <v>0.98427425438774596</v>
      </c>
      <c r="G117" s="243">
        <f t="shared" si="47"/>
        <v>241.30848031742289</v>
      </c>
    </row>
    <row r="118" spans="1:7" x14ac:dyDescent="0.25">
      <c r="A118" s="233">
        <f t="shared" si="45"/>
        <v>2019</v>
      </c>
      <c r="B118" s="251">
        <f>'Power Purchased Model'!D155/1000000</f>
        <v>252.86851597999998</v>
      </c>
      <c r="C118" s="236">
        <v>248.85454969445965</v>
      </c>
      <c r="D118" s="248">
        <f t="shared" si="46"/>
        <v>-1.5873728961409372E-2</v>
      </c>
      <c r="E118" s="251">
        <v>248.32446775357934</v>
      </c>
      <c r="F118" s="243">
        <v>0.99786991259942348</v>
      </c>
      <c r="G118" s="243">
        <f t="shared" si="47"/>
        <v>252.32988394010852</v>
      </c>
    </row>
    <row r="119" spans="1:7" x14ac:dyDescent="0.25">
      <c r="A119" s="233">
        <f t="shared" si="45"/>
        <v>2020</v>
      </c>
      <c r="B119" s="251">
        <f>'Power Purchased Model'!D156/1000000</f>
        <v>253.99646751000003</v>
      </c>
      <c r="C119" s="236">
        <v>252.08957278851295</v>
      </c>
      <c r="D119" s="248">
        <f t="shared" si="46"/>
        <v>-7.5075639444158737E-3</v>
      </c>
      <c r="E119" s="251">
        <v>250.62840797244289</v>
      </c>
      <c r="F119" s="243">
        <v>0.99420378717014257</v>
      </c>
      <c r="G119" s="243">
        <f t="shared" si="47"/>
        <v>252.52424992628011</v>
      </c>
    </row>
    <row r="120" spans="1:7" x14ac:dyDescent="0.25">
      <c r="A120" s="233">
        <f t="shared" si="45"/>
        <v>2021</v>
      </c>
      <c r="B120" s="251">
        <f>'Power Purchased Model'!D157/1000000</f>
        <v>249.87749775999995</v>
      </c>
      <c r="C120" s="236">
        <v>253.13692885720545</v>
      </c>
      <c r="D120" s="248">
        <f t="shared" si="46"/>
        <v>1.3044116122597371E-2</v>
      </c>
      <c r="E120" s="251">
        <v>250.71342430954002</v>
      </c>
      <c r="F120" s="243">
        <v>0.99042611222864074</v>
      </c>
      <c r="G120" s="243">
        <f t="shared" si="47"/>
        <v>247.48519863985763</v>
      </c>
    </row>
    <row r="121" spans="1:7" x14ac:dyDescent="0.25">
      <c r="A121" s="233">
        <f t="shared" si="45"/>
        <v>2022</v>
      </c>
      <c r="B121" s="251">
        <f>'Power Purchased Model'!D158/1000000</f>
        <v>245.37847516000002</v>
      </c>
      <c r="C121" s="236">
        <v>252.93333680353291</v>
      </c>
      <c r="D121" s="248">
        <f t="shared" si="46"/>
        <v>3.0788607837776816E-2</v>
      </c>
      <c r="E121" s="251">
        <v>250.71174431196198</v>
      </c>
      <c r="F121" s="243">
        <v>0.99121668768677751</v>
      </c>
      <c r="G121" s="243">
        <f t="shared" si="47"/>
        <v>243.22323937772742</v>
      </c>
    </row>
    <row r="122" spans="1:7" x14ac:dyDescent="0.25">
      <c r="A122" s="233">
        <f t="shared" si="45"/>
        <v>2023</v>
      </c>
      <c r="B122" s="251">
        <f>'Power Purchased Model'!D159/1000000</f>
        <v>240.73624891999998</v>
      </c>
      <c r="C122" s="236">
        <v>242.41495683362663</v>
      </c>
      <c r="D122" s="248">
        <f t="shared" si="46"/>
        <v>6.9732245191895803E-3</v>
      </c>
      <c r="E122" s="251">
        <v>251.33334341583358</v>
      </c>
      <c r="F122" s="243">
        <v>1.0367897538117989</v>
      </c>
      <c r="G122" s="243">
        <f t="shared" si="47"/>
        <v>249.59287625134272</v>
      </c>
    </row>
    <row r="123" spans="1:7" x14ac:dyDescent="0.25">
      <c r="A123" s="233">
        <f t="shared" si="45"/>
        <v>2024</v>
      </c>
      <c r="B123" s="251">
        <f>'Power Purchased Model'!D160/1000000</f>
        <v>255.42823332</v>
      </c>
      <c r="C123" s="236">
        <v>249.03440836066878</v>
      </c>
      <c r="D123" s="248">
        <f t="shared" si="46"/>
        <v>-2.5031786330844019E-2</v>
      </c>
      <c r="E123" s="251">
        <v>253.16856431042638</v>
      </c>
      <c r="F123" s="243">
        <v>1.0166007419495633</v>
      </c>
      <c r="G123" s="243">
        <f t="shared" si="47"/>
        <v>259.66853150797817</v>
      </c>
    </row>
    <row r="124" spans="1:7" x14ac:dyDescent="0.25">
      <c r="A124" s="233">
        <f t="shared" si="45"/>
        <v>2025</v>
      </c>
      <c r="B124" s="251">
        <f>'Power Purchased Model'!D161/1000000</f>
        <v>256.03297351000003</v>
      </c>
      <c r="C124" s="236">
        <v>254.27714488147225</v>
      </c>
      <c r="D124" s="248">
        <f t="shared" si="46"/>
        <v>-6.8578222736580541E-3</v>
      </c>
      <c r="E124" s="251">
        <v>253.25694064267961</v>
      </c>
      <c r="F124" s="243">
        <v>0.99598782564878885</v>
      </c>
      <c r="G124" s="243">
        <f t="shared" si="47"/>
        <v>255.00572458061887</v>
      </c>
    </row>
    <row r="125" spans="1:7" x14ac:dyDescent="0.25">
      <c r="A125" s="233" t="str">
        <f t="shared" si="45"/>
        <v>2026 Bridge</v>
      </c>
      <c r="B125" s="251"/>
      <c r="C125" s="236">
        <v>254.29853912605944</v>
      </c>
      <c r="D125" s="232"/>
      <c r="E125" s="251">
        <v>254.29853912605944</v>
      </c>
      <c r="F125" s="243">
        <v>1</v>
      </c>
      <c r="G125" s="243"/>
    </row>
    <row r="126" spans="1:7" x14ac:dyDescent="0.25">
      <c r="A126" s="233" t="str">
        <f t="shared" si="45"/>
        <v>2027 Test</v>
      </c>
      <c r="B126" s="251"/>
      <c r="C126" s="236">
        <v>255.34685789933772</v>
      </c>
      <c r="D126" s="232"/>
      <c r="E126" s="251">
        <v>255.34685789933772</v>
      </c>
      <c r="F126" s="243">
        <v>1</v>
      </c>
      <c r="G126" s="243"/>
    </row>
    <row r="128" spans="1:7" x14ac:dyDescent="0.25">
      <c r="A128" s="235" t="s">
        <v>212</v>
      </c>
    </row>
    <row r="140" spans="1:9" x14ac:dyDescent="0.25">
      <c r="A140" s="235" t="s">
        <v>213</v>
      </c>
    </row>
    <row r="141" spans="1:9" ht="45.6" customHeight="1" x14ac:dyDescent="0.25">
      <c r="A141" s="238" t="str" cm="1">
        <f t="array" ref="A141:I141">A51:I51</f>
        <v>Year</v>
      </c>
      <c r="B141" s="238" t="str">
        <v>Residential</v>
      </c>
      <c r="C141" s="238" t="str">
        <v>General Service &lt; 50 kW</v>
      </c>
      <c r="D141" s="238" t="str">
        <v>General Service &gt; 50 kW</v>
      </c>
      <c r="E141" s="238" t="str">
        <v>Embedded Distributor</v>
      </c>
      <c r="F141" s="238" t="str">
        <v>Unmetered Scattered Load</v>
      </c>
      <c r="G141" s="238" t="str">
        <v>Sentinel Lighting</v>
      </c>
      <c r="H141" s="238" t="str">
        <v xml:space="preserve">Street Lighting </v>
      </c>
      <c r="I141" s="238" t="str">
        <v xml:space="preserve">Total </v>
      </c>
    </row>
    <row r="142" spans="1:9" x14ac:dyDescent="0.25">
      <c r="A142" s="309" t="s">
        <v>214</v>
      </c>
      <c r="B142" s="309"/>
      <c r="C142" s="309"/>
      <c r="D142" s="309"/>
      <c r="E142" s="309"/>
      <c r="F142" s="309"/>
      <c r="G142" s="309"/>
      <c r="H142" s="309"/>
      <c r="I142" s="309"/>
    </row>
    <row r="143" spans="1:9" x14ac:dyDescent="0.25">
      <c r="A143" s="233">
        <f t="shared" ref="A143:A154" si="48">A85</f>
        <v>2016</v>
      </c>
      <c r="B143" s="240" cm="1">
        <f t="array" ref="B143:H154">'Rate Class Customer Model'!B3:H14</f>
        <v>10277</v>
      </c>
      <c r="C143" s="240">
        <v>1283</v>
      </c>
      <c r="D143" s="240">
        <v>101.5</v>
      </c>
      <c r="E143" s="240">
        <v>6</v>
      </c>
      <c r="F143" s="240">
        <v>30</v>
      </c>
      <c r="G143" s="240">
        <v>73</v>
      </c>
      <c r="H143" s="240">
        <v>2969.5</v>
      </c>
      <c r="I143" s="252">
        <f>SUM(B143:H143)</f>
        <v>14740</v>
      </c>
    </row>
    <row r="144" spans="1:9" x14ac:dyDescent="0.25">
      <c r="A144" s="233">
        <f t="shared" si="48"/>
        <v>2017</v>
      </c>
      <c r="B144" s="240">
        <v>10374.5</v>
      </c>
      <c r="C144" s="240">
        <v>1224.5</v>
      </c>
      <c r="D144" s="240">
        <v>113.5</v>
      </c>
      <c r="E144" s="240">
        <v>6</v>
      </c>
      <c r="F144" s="240">
        <v>30.5</v>
      </c>
      <c r="G144" s="240">
        <v>73</v>
      </c>
      <c r="H144" s="240">
        <v>2932</v>
      </c>
      <c r="I144" s="252">
        <f t="shared" ref="I144:I154" si="49">SUM(B144:H144)</f>
        <v>14754</v>
      </c>
    </row>
    <row r="145" spans="1:9" x14ac:dyDescent="0.25">
      <c r="A145" s="233">
        <f t="shared" si="48"/>
        <v>2018</v>
      </c>
      <c r="B145" s="240">
        <v>10659.5</v>
      </c>
      <c r="C145" s="240">
        <v>1237</v>
      </c>
      <c r="D145" s="240">
        <v>110.5</v>
      </c>
      <c r="E145" s="240">
        <v>6</v>
      </c>
      <c r="F145" s="240">
        <v>31.5</v>
      </c>
      <c r="G145" s="240">
        <v>73</v>
      </c>
      <c r="H145" s="240">
        <v>2955</v>
      </c>
      <c r="I145" s="252">
        <f t="shared" si="49"/>
        <v>15072.5</v>
      </c>
    </row>
    <row r="146" spans="1:9" x14ac:dyDescent="0.25">
      <c r="A146" s="233">
        <f t="shared" si="48"/>
        <v>2019</v>
      </c>
      <c r="B146" s="240">
        <v>10922.5</v>
      </c>
      <c r="C146" s="240">
        <v>1237</v>
      </c>
      <c r="D146" s="240">
        <v>96</v>
      </c>
      <c r="E146" s="240">
        <v>6</v>
      </c>
      <c r="F146" s="240">
        <v>32</v>
      </c>
      <c r="G146" s="240">
        <v>73</v>
      </c>
      <c r="H146" s="240">
        <v>2992</v>
      </c>
      <c r="I146" s="252">
        <f t="shared" si="49"/>
        <v>15358.5</v>
      </c>
    </row>
    <row r="147" spans="1:9" x14ac:dyDescent="0.25">
      <c r="A147" s="233">
        <f t="shared" si="48"/>
        <v>2020</v>
      </c>
      <c r="B147" s="240">
        <v>11019.5</v>
      </c>
      <c r="C147" s="240">
        <v>1252</v>
      </c>
      <c r="D147" s="240">
        <v>98</v>
      </c>
      <c r="E147" s="240">
        <v>6</v>
      </c>
      <c r="F147" s="240">
        <v>32</v>
      </c>
      <c r="G147" s="240">
        <v>73</v>
      </c>
      <c r="H147" s="240">
        <v>3043</v>
      </c>
      <c r="I147" s="252">
        <f t="shared" si="49"/>
        <v>15523.5</v>
      </c>
    </row>
    <row r="148" spans="1:9" x14ac:dyDescent="0.25">
      <c r="A148" s="233">
        <f t="shared" si="48"/>
        <v>2021</v>
      </c>
      <c r="B148" s="240">
        <v>11096</v>
      </c>
      <c r="C148" s="240">
        <v>1236.25</v>
      </c>
      <c r="D148" s="240">
        <v>101</v>
      </c>
      <c r="E148" s="240">
        <v>6</v>
      </c>
      <c r="F148" s="240">
        <v>31.5</v>
      </c>
      <c r="G148" s="240">
        <v>73</v>
      </c>
      <c r="H148" s="240">
        <v>3091.5</v>
      </c>
      <c r="I148" s="252">
        <f t="shared" si="49"/>
        <v>15635.25</v>
      </c>
    </row>
    <row r="149" spans="1:9" x14ac:dyDescent="0.25">
      <c r="A149" s="233">
        <f t="shared" si="48"/>
        <v>2022</v>
      </c>
      <c r="B149" s="240">
        <v>11136</v>
      </c>
      <c r="C149" s="240">
        <v>1199.125</v>
      </c>
      <c r="D149" s="240">
        <v>98</v>
      </c>
      <c r="E149" s="240">
        <v>6</v>
      </c>
      <c r="F149" s="240">
        <v>31</v>
      </c>
      <c r="G149" s="240">
        <v>73</v>
      </c>
      <c r="H149" s="240">
        <v>3133</v>
      </c>
      <c r="I149" s="252">
        <f t="shared" si="49"/>
        <v>15676.125</v>
      </c>
    </row>
    <row r="150" spans="1:9" x14ac:dyDescent="0.25">
      <c r="A150" s="233">
        <f t="shared" si="48"/>
        <v>2023</v>
      </c>
      <c r="B150" s="240">
        <v>11213.5</v>
      </c>
      <c r="C150" s="240">
        <v>1174.375</v>
      </c>
      <c r="D150" s="240">
        <v>91.5</v>
      </c>
      <c r="E150" s="240">
        <v>6</v>
      </c>
      <c r="F150" s="240">
        <v>30</v>
      </c>
      <c r="G150" s="240">
        <v>73</v>
      </c>
      <c r="H150" s="240">
        <v>3162</v>
      </c>
      <c r="I150" s="252">
        <f t="shared" si="49"/>
        <v>15750.375</v>
      </c>
    </row>
    <row r="151" spans="1:9" x14ac:dyDescent="0.25">
      <c r="A151" s="233">
        <f t="shared" si="48"/>
        <v>2024</v>
      </c>
      <c r="B151" s="240">
        <v>11298.5</v>
      </c>
      <c r="C151" s="240">
        <v>1170</v>
      </c>
      <c r="D151" s="240">
        <v>90</v>
      </c>
      <c r="E151" s="240">
        <v>6</v>
      </c>
      <c r="F151" s="240">
        <v>29</v>
      </c>
      <c r="G151" s="240">
        <v>73</v>
      </c>
      <c r="H151" s="240">
        <v>3158</v>
      </c>
      <c r="I151" s="252">
        <f t="shared" si="49"/>
        <v>15824.5</v>
      </c>
    </row>
    <row r="152" spans="1:9" x14ac:dyDescent="0.25">
      <c r="A152" s="233">
        <f t="shared" si="48"/>
        <v>2025</v>
      </c>
      <c r="B152" s="240">
        <v>11354.5</v>
      </c>
      <c r="C152" s="240">
        <v>1179</v>
      </c>
      <c r="D152" s="240">
        <v>89</v>
      </c>
      <c r="E152" s="240">
        <v>6</v>
      </c>
      <c r="F152" s="240">
        <v>29</v>
      </c>
      <c r="G152" s="240">
        <v>73</v>
      </c>
      <c r="H152" s="240">
        <v>3158.5</v>
      </c>
      <c r="I152" s="252">
        <f t="shared" si="49"/>
        <v>15889</v>
      </c>
    </row>
    <row r="153" spans="1:9" x14ac:dyDescent="0.25">
      <c r="A153" s="233" t="str">
        <f t="shared" si="48"/>
        <v>2026 Bridge</v>
      </c>
      <c r="B153" s="240">
        <v>11422.71233211763</v>
      </c>
      <c r="C153" s="240">
        <v>1188.0692307692307</v>
      </c>
      <c r="D153" s="240">
        <v>89</v>
      </c>
      <c r="E153" s="240">
        <v>6</v>
      </c>
      <c r="F153" s="240">
        <v>28.434631333090945</v>
      </c>
      <c r="G153" s="240">
        <v>73</v>
      </c>
      <c r="H153" s="240">
        <v>3182.1208340647199</v>
      </c>
      <c r="I153" s="252">
        <f t="shared" si="49"/>
        <v>15989.33702828467</v>
      </c>
    </row>
    <row r="154" spans="1:9" x14ac:dyDescent="0.25">
      <c r="A154" s="233" t="str">
        <f t="shared" si="48"/>
        <v>2027 Test</v>
      </c>
      <c r="B154" s="240">
        <v>11491.334450861965</v>
      </c>
      <c r="C154" s="240">
        <v>1197.2082248520708</v>
      </c>
      <c r="D154" s="240">
        <v>89</v>
      </c>
      <c r="E154" s="240">
        <v>6</v>
      </c>
      <c r="F154" s="240">
        <v>27.880284794786114</v>
      </c>
      <c r="G154" s="240">
        <v>73</v>
      </c>
      <c r="H154" s="240">
        <v>3205.9183164757792</v>
      </c>
      <c r="I154" s="252">
        <f t="shared" si="49"/>
        <v>16090.341276984602</v>
      </c>
    </row>
    <row r="156" spans="1:9" x14ac:dyDescent="0.25">
      <c r="A156" s="235" t="s">
        <v>215</v>
      </c>
    </row>
    <row r="157" spans="1:9" ht="45" x14ac:dyDescent="0.25">
      <c r="A157" s="255" t="str">
        <f>A141</f>
        <v>Year</v>
      </c>
      <c r="B157" s="255" t="str">
        <f t="shared" ref="B157:H157" si="50">B141</f>
        <v>Residential</v>
      </c>
      <c r="C157" s="255" t="str">
        <f t="shared" si="50"/>
        <v>General Service &lt; 50 kW</v>
      </c>
      <c r="D157" s="255" t="str">
        <f t="shared" si="50"/>
        <v>General Service &gt; 50 kW</v>
      </c>
      <c r="E157" s="255" t="str">
        <f t="shared" si="50"/>
        <v>Embedded Distributor</v>
      </c>
      <c r="F157" s="255" t="str">
        <f t="shared" si="50"/>
        <v>Unmetered Scattered Load</v>
      </c>
      <c r="G157" s="255" t="str">
        <f t="shared" si="50"/>
        <v>Sentinel Lighting</v>
      </c>
      <c r="H157" s="255" t="str">
        <f t="shared" si="50"/>
        <v xml:space="preserve">Street Lighting </v>
      </c>
      <c r="I157" s="253"/>
    </row>
    <row r="158" spans="1:9" ht="14.45" customHeight="1" x14ac:dyDescent="0.25">
      <c r="A158" s="317" t="s">
        <v>216</v>
      </c>
      <c r="B158" s="317"/>
      <c r="C158" s="317"/>
      <c r="D158" s="317"/>
      <c r="E158" s="317"/>
      <c r="F158" s="317"/>
      <c r="G158" s="317"/>
      <c r="H158" s="317"/>
      <c r="I158" s="254"/>
    </row>
    <row r="159" spans="1:9" x14ac:dyDescent="0.25">
      <c r="A159" s="246">
        <f>A143</f>
        <v>2016</v>
      </c>
      <c r="B159" s="256">
        <f>B144/B143-1</f>
        <v>9.4872044370926112E-3</v>
      </c>
      <c r="C159" s="256">
        <f t="shared" ref="C159:H159" si="51">C144/C143-1</f>
        <v>-4.5596258768511255E-2</v>
      </c>
      <c r="D159" s="256">
        <f t="shared" si="51"/>
        <v>0.11822660098522175</v>
      </c>
      <c r="E159" s="256">
        <f t="shared" si="51"/>
        <v>0</v>
      </c>
      <c r="F159" s="256">
        <f t="shared" si="51"/>
        <v>1.6666666666666607E-2</v>
      </c>
      <c r="G159" s="256">
        <f t="shared" si="51"/>
        <v>0</v>
      </c>
      <c r="H159" s="256">
        <f t="shared" si="51"/>
        <v>-1.2628388617612396E-2</v>
      </c>
    </row>
    <row r="160" spans="1:9" x14ac:dyDescent="0.25">
      <c r="A160" s="246">
        <f t="shared" ref="A160:A167" si="52">A144</f>
        <v>2017</v>
      </c>
      <c r="B160" s="256">
        <f t="shared" ref="B160:H160" si="53">B145/B144-1</f>
        <v>2.7471203431490565E-2</v>
      </c>
      <c r="C160" s="256">
        <f t="shared" si="53"/>
        <v>1.0208248264597763E-2</v>
      </c>
      <c r="D160" s="256">
        <f t="shared" si="53"/>
        <v>-2.6431718061673992E-2</v>
      </c>
      <c r="E160" s="256">
        <f t="shared" si="53"/>
        <v>0</v>
      </c>
      <c r="F160" s="256">
        <f t="shared" si="53"/>
        <v>3.2786885245901676E-2</v>
      </c>
      <c r="G160" s="256">
        <f t="shared" si="53"/>
        <v>0</v>
      </c>
      <c r="H160" s="256">
        <f t="shared" si="53"/>
        <v>7.8444747612551602E-3</v>
      </c>
    </row>
    <row r="161" spans="1:9" x14ac:dyDescent="0.25">
      <c r="A161" s="246">
        <f t="shared" si="52"/>
        <v>2018</v>
      </c>
      <c r="B161" s="256">
        <f t="shared" ref="B161:H161" si="54">B146/B145-1</f>
        <v>2.4672827055677971E-2</v>
      </c>
      <c r="C161" s="256">
        <f t="shared" si="54"/>
        <v>0</v>
      </c>
      <c r="D161" s="256">
        <f t="shared" si="54"/>
        <v>-0.13122171945701355</v>
      </c>
      <c r="E161" s="256">
        <f t="shared" si="54"/>
        <v>0</v>
      </c>
      <c r="F161" s="256">
        <f t="shared" si="54"/>
        <v>1.5873015873015817E-2</v>
      </c>
      <c r="G161" s="256">
        <f t="shared" si="54"/>
        <v>0</v>
      </c>
      <c r="H161" s="256">
        <f t="shared" si="54"/>
        <v>1.2521150592216479E-2</v>
      </c>
    </row>
    <row r="162" spans="1:9" x14ac:dyDescent="0.25">
      <c r="A162" s="246">
        <f t="shared" si="52"/>
        <v>2019</v>
      </c>
      <c r="B162" s="256">
        <f t="shared" ref="B162:H162" si="55">B147/B146-1</f>
        <v>8.8807507438772859E-3</v>
      </c>
      <c r="C162" s="256">
        <f t="shared" si="55"/>
        <v>1.2126111560226249E-2</v>
      </c>
      <c r="D162" s="256">
        <f t="shared" si="55"/>
        <v>2.0833333333333259E-2</v>
      </c>
      <c r="E162" s="256">
        <f t="shared" si="55"/>
        <v>0</v>
      </c>
      <c r="F162" s="256">
        <f t="shared" si="55"/>
        <v>0</v>
      </c>
      <c r="G162" s="256">
        <f t="shared" si="55"/>
        <v>0</v>
      </c>
      <c r="H162" s="256">
        <f t="shared" si="55"/>
        <v>1.7045454545454586E-2</v>
      </c>
    </row>
    <row r="163" spans="1:9" x14ac:dyDescent="0.25">
      <c r="A163" s="246">
        <f t="shared" si="52"/>
        <v>2020</v>
      </c>
      <c r="B163" s="256">
        <f t="shared" ref="B163:H163" si="56">B148/B147-1</f>
        <v>6.9422387585642564E-3</v>
      </c>
      <c r="C163" s="256">
        <f t="shared" si="56"/>
        <v>-1.2579872204472875E-2</v>
      </c>
      <c r="D163" s="256">
        <f t="shared" si="56"/>
        <v>3.0612244897959107E-2</v>
      </c>
      <c r="E163" s="256">
        <f t="shared" si="56"/>
        <v>0</v>
      </c>
      <c r="F163" s="256">
        <f t="shared" si="56"/>
        <v>-1.5625E-2</v>
      </c>
      <c r="G163" s="256">
        <f t="shared" si="56"/>
        <v>0</v>
      </c>
      <c r="H163" s="256">
        <f t="shared" si="56"/>
        <v>1.5938218862964204E-2</v>
      </c>
    </row>
    <row r="164" spans="1:9" x14ac:dyDescent="0.25">
      <c r="A164" s="246">
        <f t="shared" si="52"/>
        <v>2021</v>
      </c>
      <c r="B164" s="256">
        <f t="shared" ref="B164:H164" si="57">B149/B148-1</f>
        <v>3.6049026676279183E-3</v>
      </c>
      <c r="C164" s="256">
        <f t="shared" si="57"/>
        <v>-3.003033367037411E-2</v>
      </c>
      <c r="D164" s="256">
        <f t="shared" si="57"/>
        <v>-2.9702970297029729E-2</v>
      </c>
      <c r="E164" s="256">
        <f t="shared" si="57"/>
        <v>0</v>
      </c>
      <c r="F164" s="256">
        <f t="shared" si="57"/>
        <v>-1.5873015873015928E-2</v>
      </c>
      <c r="G164" s="256">
        <f t="shared" si="57"/>
        <v>0</v>
      </c>
      <c r="H164" s="256">
        <f t="shared" si="57"/>
        <v>1.3423904253598629E-2</v>
      </c>
    </row>
    <row r="165" spans="1:9" x14ac:dyDescent="0.25">
      <c r="A165" s="246">
        <f t="shared" si="52"/>
        <v>2022</v>
      </c>
      <c r="B165" s="256">
        <f t="shared" ref="B165:H165" si="58">B150/B149-1</f>
        <v>6.959410919540332E-3</v>
      </c>
      <c r="C165" s="256">
        <f t="shared" si="58"/>
        <v>-2.0640050036484947E-2</v>
      </c>
      <c r="D165" s="256">
        <f t="shared" si="58"/>
        <v>-6.6326530612244916E-2</v>
      </c>
      <c r="E165" s="256">
        <f t="shared" si="58"/>
        <v>0</v>
      </c>
      <c r="F165" s="256">
        <f t="shared" si="58"/>
        <v>-3.2258064516129004E-2</v>
      </c>
      <c r="G165" s="256">
        <f t="shared" si="58"/>
        <v>0</v>
      </c>
      <c r="H165" s="256">
        <f t="shared" si="58"/>
        <v>9.2563038621129579E-3</v>
      </c>
    </row>
    <row r="166" spans="1:9" x14ac:dyDescent="0.25">
      <c r="A166" s="246">
        <f t="shared" si="52"/>
        <v>2023</v>
      </c>
      <c r="B166" s="256">
        <f t="shared" ref="B166:H166" si="59">B151/B150-1</f>
        <v>7.5801489276319245E-3</v>
      </c>
      <c r="C166" s="256">
        <f t="shared" si="59"/>
        <v>-3.7253858435337683E-3</v>
      </c>
      <c r="D166" s="256">
        <f t="shared" si="59"/>
        <v>-1.6393442622950838E-2</v>
      </c>
      <c r="E166" s="256">
        <f t="shared" si="59"/>
        <v>0</v>
      </c>
      <c r="F166" s="256">
        <f t="shared" si="59"/>
        <v>-3.3333333333333326E-2</v>
      </c>
      <c r="G166" s="256">
        <f t="shared" si="59"/>
        <v>0</v>
      </c>
      <c r="H166" s="256">
        <f t="shared" si="59"/>
        <v>-1.2650221378873727E-3</v>
      </c>
    </row>
    <row r="167" spans="1:9" x14ac:dyDescent="0.25">
      <c r="A167" s="246">
        <f t="shared" si="52"/>
        <v>2024</v>
      </c>
      <c r="B167" s="256">
        <f t="shared" ref="B167:G167" si="60">B152/B151-1</f>
        <v>4.9564101429393492E-3</v>
      </c>
      <c r="C167" s="256">
        <f t="shared" si="60"/>
        <v>7.692307692307665E-3</v>
      </c>
      <c r="D167" s="256">
        <f t="shared" si="60"/>
        <v>-1.1111111111111072E-2</v>
      </c>
      <c r="E167" s="256">
        <f t="shared" si="60"/>
        <v>0</v>
      </c>
      <c r="F167" s="256">
        <f t="shared" si="60"/>
        <v>0</v>
      </c>
      <c r="G167" s="256">
        <f t="shared" si="60"/>
        <v>0</v>
      </c>
      <c r="H167" s="256">
        <f>H152/H151-1</f>
        <v>1.5832805573157138E-4</v>
      </c>
    </row>
    <row r="168" spans="1:9" x14ac:dyDescent="0.25">
      <c r="A168" s="311"/>
      <c r="B168" s="312"/>
      <c r="C168" s="312"/>
      <c r="D168" s="312"/>
      <c r="E168" s="312"/>
      <c r="F168" s="312"/>
      <c r="G168" s="312"/>
      <c r="H168" s="313"/>
    </row>
    <row r="169" spans="1:9" x14ac:dyDescent="0.25">
      <c r="A169" s="245" t="s">
        <v>217</v>
      </c>
      <c r="B169" s="267">
        <f>'Rate Class Customer Model'!B31-1</f>
        <v>6.0075152686274169E-3</v>
      </c>
      <c r="C169" s="267">
        <f>'Rate Class Customer Model'!C31-1</f>
        <v>7.692307692307665E-3</v>
      </c>
      <c r="D169" s="267">
        <f>'Rate Class Customer Model'!D31-1</f>
        <v>0</v>
      </c>
      <c r="E169" s="267">
        <f>'Rate Class Customer Model'!E31-1</f>
        <v>0</v>
      </c>
      <c r="F169" s="267">
        <f>'Rate Class Customer Model'!F31-1</f>
        <v>-1.9495471272725995E-2</v>
      </c>
      <c r="G169" s="267">
        <f>'Rate Class Customer Model'!G31-1</f>
        <v>0</v>
      </c>
      <c r="H169" s="267">
        <f>'Rate Class Customer Model'!H31-1</f>
        <v>7.4784974084913802E-3</v>
      </c>
      <c r="I169" s="235"/>
    </row>
    <row r="171" spans="1:9" x14ac:dyDescent="0.25">
      <c r="A171" s="235" t="s">
        <v>218</v>
      </c>
    </row>
    <row r="172" spans="1:9" ht="51" customHeight="1" x14ac:dyDescent="0.25">
      <c r="A172" s="242" t="s">
        <v>52</v>
      </c>
      <c r="B172" s="255" t="str" cm="1">
        <f t="array" ref="B172:H172">B157:H157</f>
        <v>Residential</v>
      </c>
      <c r="C172" s="255" t="str">
        <v>General Service &lt; 50 kW</v>
      </c>
      <c r="D172" s="255" t="str">
        <v>General Service &gt; 50 kW</v>
      </c>
      <c r="E172" s="255" t="str">
        <v>Embedded Distributor</v>
      </c>
      <c r="F172" s="255" t="str">
        <v>Unmetered Scattered Load</v>
      </c>
      <c r="G172" s="255" t="str">
        <v>Sentinel Lighting</v>
      </c>
      <c r="H172" s="255" t="str">
        <v xml:space="preserve">Street Lighting </v>
      </c>
      <c r="I172" s="259" t="s">
        <v>194</v>
      </c>
    </row>
    <row r="173" spans="1:9" x14ac:dyDescent="0.25">
      <c r="A173" s="314" t="s">
        <v>219</v>
      </c>
      <c r="B173" s="315"/>
      <c r="C173" s="315"/>
      <c r="D173" s="315"/>
      <c r="E173" s="315"/>
      <c r="F173" s="315"/>
      <c r="G173" s="315"/>
      <c r="H173" s="315"/>
      <c r="I173" s="316"/>
    </row>
    <row r="174" spans="1:9" x14ac:dyDescent="0.25">
      <c r="A174" s="241" t="s">
        <v>111</v>
      </c>
      <c r="B174" s="257" cm="1">
        <f t="array" ref="B174:H175">'Rate Class Customer Model'!B13:H14</f>
        <v>11422.71233211763</v>
      </c>
      <c r="C174" s="257">
        <v>1188.0692307692307</v>
      </c>
      <c r="D174" s="257">
        <v>89</v>
      </c>
      <c r="E174" s="257">
        <v>6</v>
      </c>
      <c r="F174" s="257">
        <v>28.434631333090945</v>
      </c>
      <c r="G174" s="257">
        <v>73</v>
      </c>
      <c r="H174" s="257">
        <v>3182.1208340647199</v>
      </c>
      <c r="I174" s="258">
        <f>SUM(B174:H174)</f>
        <v>15989.33702828467</v>
      </c>
    </row>
    <row r="175" spans="1:9" x14ac:dyDescent="0.25">
      <c r="A175" s="241" t="s">
        <v>112</v>
      </c>
      <c r="B175" s="257">
        <v>11491.334450861965</v>
      </c>
      <c r="C175" s="257">
        <v>1197.2082248520708</v>
      </c>
      <c r="D175" s="257">
        <v>89</v>
      </c>
      <c r="E175" s="257">
        <v>6</v>
      </c>
      <c r="F175" s="257">
        <v>27.880284794786114</v>
      </c>
      <c r="G175" s="257">
        <v>73</v>
      </c>
      <c r="H175" s="257">
        <v>3205.9183164757792</v>
      </c>
      <c r="I175" s="258">
        <f>SUM(B175:H175)</f>
        <v>16090.341276984602</v>
      </c>
    </row>
    <row r="177" spans="1:9" x14ac:dyDescent="0.25">
      <c r="A177" s="235" t="s">
        <v>220</v>
      </c>
    </row>
    <row r="178" spans="1:9" ht="50.45" customHeight="1" x14ac:dyDescent="0.25">
      <c r="A178" s="255" t="s">
        <v>52</v>
      </c>
      <c r="B178" s="255" t="str" cm="1">
        <f t="array" ref="B178:H178">B157:H157</f>
        <v>Residential</v>
      </c>
      <c r="C178" s="255" t="str">
        <v>General Service &lt; 50 kW</v>
      </c>
      <c r="D178" s="255" t="str">
        <v>General Service &gt; 50 kW</v>
      </c>
      <c r="E178" s="255" t="str">
        <v>Embedded Distributor</v>
      </c>
      <c r="F178" s="255" t="str">
        <v>Unmetered Scattered Load</v>
      </c>
      <c r="G178" s="255" t="str">
        <v>Sentinel Lighting</v>
      </c>
      <c r="H178" s="255" t="str">
        <v xml:space="preserve">Street Lighting </v>
      </c>
      <c r="I178" s="235"/>
    </row>
    <row r="179" spans="1:9" x14ac:dyDescent="0.25">
      <c r="A179" s="314" t="s">
        <v>221</v>
      </c>
      <c r="B179" s="315"/>
      <c r="C179" s="315"/>
      <c r="D179" s="315"/>
      <c r="E179" s="315"/>
      <c r="F179" s="315"/>
      <c r="G179" s="315"/>
      <c r="H179" s="316"/>
    </row>
    <row r="180" spans="1:9" x14ac:dyDescent="0.25">
      <c r="A180" s="246">
        <v>2025</v>
      </c>
      <c r="B180" s="257" cm="1">
        <f t="array" ref="B180:H180">'Rate Class Energy Model'!H21:N21</f>
        <v>9217.6268210841517</v>
      </c>
      <c r="C180" s="257">
        <v>27111.551178965226</v>
      </c>
      <c r="D180" s="257">
        <v>645698.51606741571</v>
      </c>
      <c r="E180" s="257">
        <v>6990581.291666667</v>
      </c>
      <c r="F180" s="257">
        <v>8103.886896551724</v>
      </c>
      <c r="G180" s="257">
        <v>1606.2024657534246</v>
      </c>
      <c r="H180" s="257">
        <v>379.66690834256764</v>
      </c>
    </row>
    <row r="182" spans="1:9" x14ac:dyDescent="0.25">
      <c r="A182" s="235" t="s">
        <v>222</v>
      </c>
    </row>
    <row r="183" spans="1:9" ht="45" customHeight="1" x14ac:dyDescent="0.25">
      <c r="A183" s="255" t="s">
        <v>52</v>
      </c>
      <c r="B183" s="255" t="str" cm="1">
        <f t="array" ref="B183:H183">_xlfn.ANCHORARRAY(B178)</f>
        <v>Residential</v>
      </c>
      <c r="C183" s="255" t="str">
        <v>General Service &lt; 50 kW</v>
      </c>
      <c r="D183" s="255" t="str">
        <v>General Service &gt; 50 kW</v>
      </c>
      <c r="E183" s="255" t="str">
        <v>Embedded Distributor</v>
      </c>
      <c r="F183" s="255" t="str">
        <v>Unmetered Scattered Load</v>
      </c>
      <c r="G183" s="255" t="str">
        <v>Sentinel Lighting</v>
      </c>
      <c r="H183" s="255" t="str">
        <v xml:space="preserve">Street Lighting </v>
      </c>
      <c r="I183" s="235"/>
    </row>
    <row r="184" spans="1:9" x14ac:dyDescent="0.25">
      <c r="A184" s="314" t="s">
        <v>223</v>
      </c>
      <c r="B184" s="315"/>
      <c r="C184" s="315"/>
      <c r="D184" s="315"/>
      <c r="E184" s="315"/>
      <c r="F184" s="315"/>
      <c r="G184" s="315"/>
      <c r="H184" s="316"/>
    </row>
    <row r="185" spans="1:9" x14ac:dyDescent="0.25">
      <c r="A185" s="241" t="s">
        <v>111</v>
      </c>
      <c r="B185" s="257" cm="1">
        <f t="array" ref="B185:H186">'Rate Class Energy Model'!H22:N23</f>
        <v>9217.6268210841517</v>
      </c>
      <c r="C185" s="257">
        <v>27111.551178965226</v>
      </c>
      <c r="D185" s="257">
        <v>645698.51606741571</v>
      </c>
      <c r="E185" s="257">
        <v>6990581.291666667</v>
      </c>
      <c r="F185" s="257">
        <v>8103.886896551724</v>
      </c>
      <c r="G185" s="257">
        <v>1606.2024657534246</v>
      </c>
      <c r="H185" s="257">
        <v>379.66690834256764</v>
      </c>
    </row>
    <row r="186" spans="1:9" x14ac:dyDescent="0.25">
      <c r="A186" s="241" t="s">
        <v>112</v>
      </c>
      <c r="B186" s="257">
        <v>9217.6268210841517</v>
      </c>
      <c r="C186" s="257">
        <v>27111.551178965226</v>
      </c>
      <c r="D186" s="257">
        <v>645698.51606741571</v>
      </c>
      <c r="E186" s="257">
        <v>6990581.291666667</v>
      </c>
      <c r="F186" s="257">
        <v>8103.886896551724</v>
      </c>
      <c r="G186" s="257">
        <v>1606.2024657534246</v>
      </c>
      <c r="H186" s="257">
        <v>379.66690834256764</v>
      </c>
    </row>
    <row r="188" spans="1:9" x14ac:dyDescent="0.25">
      <c r="A188" s="235" t="s">
        <v>224</v>
      </c>
    </row>
    <row r="189" spans="1:9" ht="47.45" customHeight="1" x14ac:dyDescent="0.25">
      <c r="A189" s="255" t="s">
        <v>52</v>
      </c>
      <c r="B189" s="255" t="str" cm="1">
        <f t="array" ref="B189:H189">_xlfn.ANCHORARRAY(B183)</f>
        <v>Residential</v>
      </c>
      <c r="C189" s="255" t="str">
        <v>General Service &lt; 50 kW</v>
      </c>
      <c r="D189" s="255" t="str">
        <v>General Service &gt; 50 kW</v>
      </c>
      <c r="E189" s="255" t="str">
        <v>Embedded Distributor</v>
      </c>
      <c r="F189" s="255" t="str">
        <v>Unmetered Scattered Load</v>
      </c>
      <c r="G189" s="255" t="str">
        <v>Sentinel Lighting</v>
      </c>
      <c r="H189" s="255" t="str">
        <v xml:space="preserve">Street Lighting </v>
      </c>
      <c r="I189" s="235"/>
    </row>
    <row r="190" spans="1:9" x14ac:dyDescent="0.25">
      <c r="A190" s="314" t="s">
        <v>225</v>
      </c>
      <c r="B190" s="315"/>
      <c r="C190" s="315"/>
      <c r="D190" s="315"/>
      <c r="E190" s="315"/>
      <c r="F190" s="315"/>
      <c r="G190" s="315"/>
      <c r="H190" s="316"/>
    </row>
    <row r="191" spans="1:9" x14ac:dyDescent="0.25">
      <c r="A191" s="241" t="s">
        <v>111</v>
      </c>
      <c r="B191" s="270">
        <f>B185*B174/1000000</f>
        <v>105.29029956205616</v>
      </c>
      <c r="C191" s="270">
        <f t="shared" ref="C191:H191" si="61">C185*C174/1000000</f>
        <v>32.21039975415384</v>
      </c>
      <c r="D191" s="270">
        <f t="shared" si="61"/>
        <v>57.467167930000002</v>
      </c>
      <c r="E191" s="270">
        <f t="shared" si="61"/>
        <v>41.943487750000003</v>
      </c>
      <c r="F191" s="270">
        <f t="shared" si="61"/>
        <v>0.23043103626851477</v>
      </c>
      <c r="G191" s="270">
        <f t="shared" si="61"/>
        <v>0.11725278</v>
      </c>
      <c r="H191" s="270">
        <f t="shared" si="61"/>
        <v>1.2081459790418247</v>
      </c>
    </row>
    <row r="192" spans="1:9" x14ac:dyDescent="0.25">
      <c r="A192" s="241" t="s">
        <v>112</v>
      </c>
      <c r="B192" s="270">
        <f>B186*B175/1000000</f>
        <v>105.92283264431357</v>
      </c>
      <c r="C192" s="270">
        <f t="shared" ref="C192:H192" si="62">C186*C175/1000000</f>
        <v>32.458172059955025</v>
      </c>
      <c r="D192" s="270">
        <f t="shared" si="62"/>
        <v>57.467167930000002</v>
      </c>
      <c r="E192" s="270">
        <f t="shared" si="62"/>
        <v>41.943487750000003</v>
      </c>
      <c r="F192" s="270">
        <f t="shared" si="62"/>
        <v>0.22593867462059744</v>
      </c>
      <c r="G192" s="270">
        <f t="shared" si="62"/>
        <v>0.11725278</v>
      </c>
      <c r="H192" s="270">
        <f t="shared" si="62"/>
        <v>1.2171810956151683</v>
      </c>
    </row>
    <row r="194" spans="1:9" x14ac:dyDescent="0.25">
      <c r="A194" s="235" t="s">
        <v>226</v>
      </c>
    </row>
    <row r="195" spans="1:9" ht="42.6" customHeight="1" x14ac:dyDescent="0.25">
      <c r="A195" s="255" t="str" cm="1">
        <f t="array" ref="A195:G195">B189:H189</f>
        <v>Residential</v>
      </c>
      <c r="B195" s="255" t="str">
        <v>General Service &lt; 50 kW</v>
      </c>
      <c r="C195" s="255" t="str">
        <v>General Service &gt; 50 kW</v>
      </c>
      <c r="D195" s="255" t="str">
        <v>Embedded Distributor</v>
      </c>
      <c r="E195" s="255" t="str">
        <v>Unmetered Scattered Load</v>
      </c>
      <c r="F195" s="255" t="str">
        <v>Sentinel Lighting</v>
      </c>
      <c r="G195" s="255" t="str">
        <v xml:space="preserve">Street Lighting </v>
      </c>
    </row>
    <row r="196" spans="1:9" x14ac:dyDescent="0.25">
      <c r="A196" s="314" t="s">
        <v>227</v>
      </c>
      <c r="B196" s="315"/>
      <c r="C196" s="315"/>
      <c r="D196" s="315"/>
      <c r="E196" s="315"/>
      <c r="F196" s="315"/>
      <c r="G196" s="316"/>
    </row>
    <row r="197" spans="1:9" x14ac:dyDescent="0.25">
      <c r="A197" s="271" cm="1">
        <f t="array" ref="A197:G197">'Rate Class Energy Model'!H37:N37</f>
        <v>0.78532972110382038</v>
      </c>
      <c r="B197" s="271">
        <v>0.78532972110382038</v>
      </c>
      <c r="C197" s="271">
        <v>0.57065944220764075</v>
      </c>
      <c r="D197" s="271">
        <v>0</v>
      </c>
      <c r="E197" s="271">
        <v>0</v>
      </c>
      <c r="F197" s="271">
        <v>0</v>
      </c>
      <c r="G197" s="271">
        <v>0</v>
      </c>
    </row>
    <row r="199" spans="1:9" x14ac:dyDescent="0.25">
      <c r="A199" s="235" t="s">
        <v>228</v>
      </c>
    </row>
    <row r="200" spans="1:9" ht="47.45" customHeight="1" x14ac:dyDescent="0.25">
      <c r="A200" s="255" t="s">
        <v>52</v>
      </c>
      <c r="B200" s="255" t="str" cm="1">
        <f t="array" ref="B200:H200">_xlfn.ANCHORARRAY(A195)</f>
        <v>Residential</v>
      </c>
      <c r="C200" s="255" t="str">
        <v>General Service &lt; 50 kW</v>
      </c>
      <c r="D200" s="255" t="str">
        <v>General Service &gt; 50 kW</v>
      </c>
      <c r="E200" s="255" t="str">
        <v>Embedded Distributor</v>
      </c>
      <c r="F200" s="255" t="str">
        <v>Unmetered Scattered Load</v>
      </c>
      <c r="G200" s="255" t="str">
        <v>Sentinel Lighting</v>
      </c>
      <c r="H200" s="255" t="str">
        <v xml:space="preserve">Street Lighting </v>
      </c>
      <c r="I200" s="255" t="s">
        <v>194</v>
      </c>
    </row>
    <row r="201" spans="1:9" x14ac:dyDescent="0.25">
      <c r="A201" s="314" t="s">
        <v>229</v>
      </c>
      <c r="B201" s="315"/>
      <c r="C201" s="315"/>
      <c r="D201" s="315"/>
      <c r="E201" s="315"/>
      <c r="F201" s="315"/>
      <c r="G201" s="315"/>
      <c r="H201" s="315"/>
      <c r="I201" s="316"/>
    </row>
    <row r="202" spans="1:9" x14ac:dyDescent="0.25">
      <c r="A202" s="241" t="s">
        <v>111</v>
      </c>
      <c r="B202" s="260">
        <f>B191</f>
        <v>105.29029956205616</v>
      </c>
      <c r="C202" s="260">
        <f t="shared" ref="C202:H202" si="63">C191</f>
        <v>32.21039975415384</v>
      </c>
      <c r="D202" s="260">
        <f t="shared" si="63"/>
        <v>57.467167930000002</v>
      </c>
      <c r="E202" s="260">
        <f t="shared" si="63"/>
        <v>41.943487750000003</v>
      </c>
      <c r="F202" s="260">
        <f t="shared" si="63"/>
        <v>0.23043103626851477</v>
      </c>
      <c r="G202" s="260">
        <f t="shared" si="63"/>
        <v>0.11725278</v>
      </c>
      <c r="H202" s="260">
        <f t="shared" si="63"/>
        <v>1.2081459790418247</v>
      </c>
      <c r="I202" s="260">
        <f>SUM(B202:H202)</f>
        <v>238.46718479152037</v>
      </c>
    </row>
    <row r="203" spans="1:9" x14ac:dyDescent="0.25">
      <c r="A203" s="241" t="s">
        <v>112</v>
      </c>
      <c r="B203" s="260">
        <f>B192</f>
        <v>105.92283264431357</v>
      </c>
      <c r="C203" s="260">
        <f t="shared" ref="C203:H203" si="64">C192</f>
        <v>32.458172059955025</v>
      </c>
      <c r="D203" s="260">
        <f t="shared" si="64"/>
        <v>57.467167930000002</v>
      </c>
      <c r="E203" s="260">
        <f t="shared" si="64"/>
        <v>41.943487750000003</v>
      </c>
      <c r="F203" s="260">
        <f t="shared" si="64"/>
        <v>0.22593867462059744</v>
      </c>
      <c r="G203" s="260">
        <f t="shared" si="64"/>
        <v>0.11725278</v>
      </c>
      <c r="H203" s="260">
        <f t="shared" si="64"/>
        <v>1.2171810956151683</v>
      </c>
      <c r="I203" s="260">
        <f t="shared" ref="I203:I209" si="65">SUM(B203:H203)</f>
        <v>239.35203293450439</v>
      </c>
    </row>
    <row r="204" spans="1:9" x14ac:dyDescent="0.25">
      <c r="A204" s="314" t="s">
        <v>230</v>
      </c>
      <c r="B204" s="315"/>
      <c r="C204" s="315"/>
      <c r="D204" s="315"/>
      <c r="E204" s="315"/>
      <c r="F204" s="315"/>
      <c r="G204" s="315"/>
      <c r="H204" s="315"/>
      <c r="I204" s="316"/>
    </row>
    <row r="205" spans="1:9" x14ac:dyDescent="0.25">
      <c r="A205" s="241" t="s">
        <v>111</v>
      </c>
      <c r="B205" s="261" cm="1">
        <f t="array" ref="B205:H206">'Rate Class Energy Model'!H43:N44/1000000</f>
        <v>1.1505137004498998</v>
      </c>
      <c r="C205" s="261">
        <v>0.35196505630872932</v>
      </c>
      <c r="D205" s="261">
        <v>0.45629761845964345</v>
      </c>
      <c r="E205" s="261">
        <v>0</v>
      </c>
      <c r="F205" s="261">
        <v>0</v>
      </c>
      <c r="G205" s="261">
        <v>0</v>
      </c>
      <c r="H205" s="261">
        <v>0</v>
      </c>
      <c r="I205" s="260">
        <f t="shared" si="65"/>
        <v>1.9587763752182725</v>
      </c>
    </row>
    <row r="206" spans="1:9" x14ac:dyDescent="0.25">
      <c r="A206" s="241" t="s">
        <v>112</v>
      </c>
      <c r="B206" s="261">
        <v>1.2142638527305274</v>
      </c>
      <c r="C206" s="261">
        <v>0.37208960593471457</v>
      </c>
      <c r="D206" s="261">
        <v>0.47870531462813398</v>
      </c>
      <c r="E206" s="261">
        <v>0</v>
      </c>
      <c r="F206" s="261">
        <v>0</v>
      </c>
      <c r="G206" s="261">
        <v>0</v>
      </c>
      <c r="H206" s="261">
        <v>0</v>
      </c>
      <c r="I206" s="260">
        <f t="shared" si="65"/>
        <v>2.0650587732933761</v>
      </c>
    </row>
    <row r="207" spans="1:9" x14ac:dyDescent="0.25">
      <c r="A207" s="314" t="s">
        <v>231</v>
      </c>
      <c r="B207" s="315"/>
      <c r="C207" s="315"/>
      <c r="D207" s="315"/>
      <c r="E207" s="315"/>
      <c r="F207" s="315"/>
      <c r="G207" s="315"/>
      <c r="H207" s="315"/>
      <c r="I207" s="316"/>
    </row>
    <row r="208" spans="1:9" x14ac:dyDescent="0.25">
      <c r="A208" s="241" t="s">
        <v>111</v>
      </c>
      <c r="B208" s="247">
        <f>B202+B205</f>
        <v>106.44081326250607</v>
      </c>
      <c r="C208" s="247">
        <f t="shared" ref="C208:H209" si="66">C202+C205</f>
        <v>32.562364810462569</v>
      </c>
      <c r="D208" s="247">
        <f t="shared" si="66"/>
        <v>57.923465548459646</v>
      </c>
      <c r="E208" s="247">
        <f t="shared" si="66"/>
        <v>41.943487750000003</v>
      </c>
      <c r="F208" s="247">
        <f t="shared" si="66"/>
        <v>0.23043103626851477</v>
      </c>
      <c r="G208" s="247">
        <f t="shared" si="66"/>
        <v>0.11725278</v>
      </c>
      <c r="H208" s="247">
        <f t="shared" si="66"/>
        <v>1.2081459790418247</v>
      </c>
      <c r="I208" s="260">
        <f t="shared" si="65"/>
        <v>240.42596116673866</v>
      </c>
    </row>
    <row r="209" spans="1:9" x14ac:dyDescent="0.25">
      <c r="A209" s="241" t="s">
        <v>112</v>
      </c>
      <c r="B209" s="247">
        <f>B203+B206</f>
        <v>107.1370964970441</v>
      </c>
      <c r="C209" s="247">
        <f t="shared" si="66"/>
        <v>32.830261665889736</v>
      </c>
      <c r="D209" s="247">
        <f t="shared" si="66"/>
        <v>57.945873244628139</v>
      </c>
      <c r="E209" s="247">
        <f t="shared" si="66"/>
        <v>41.943487750000003</v>
      </c>
      <c r="F209" s="247">
        <f t="shared" si="66"/>
        <v>0.22593867462059744</v>
      </c>
      <c r="G209" s="247">
        <f t="shared" si="66"/>
        <v>0.11725278</v>
      </c>
      <c r="H209" s="247">
        <f t="shared" si="66"/>
        <v>1.2171810956151683</v>
      </c>
      <c r="I209" s="260">
        <f t="shared" si="65"/>
        <v>241.41709170779774</v>
      </c>
    </row>
    <row r="211" spans="1:9" x14ac:dyDescent="0.25">
      <c r="A211" s="235" t="s">
        <v>250</v>
      </c>
    </row>
    <row r="212" spans="1:9" ht="41.45" customHeight="1" x14ac:dyDescent="0.25">
      <c r="A212" s="255" t="s">
        <v>52</v>
      </c>
      <c r="B212" s="269" t="str" cm="1">
        <f t="array" ref="B212:E212">'Rate Class Load Model'!B1:E1</f>
        <v>General Service &gt; 50 kW</v>
      </c>
      <c r="C212" s="255" t="str">
        <v xml:space="preserve">Embedded Distributor </v>
      </c>
      <c r="D212" s="255" t="str">
        <v>Sentinel Lighting</v>
      </c>
      <c r="E212" s="255" t="str">
        <v>Street Lighting</v>
      </c>
      <c r="F212" s="235"/>
      <c r="G212" s="235"/>
    </row>
    <row r="213" spans="1:9" x14ac:dyDescent="0.25">
      <c r="A213" s="241">
        <v>2016</v>
      </c>
      <c r="B213" s="249" cm="1">
        <f t="array" ref="B213:E222">'Rate Class Load Model'!B16:E25</f>
        <v>3.1927746884739252E-3</v>
      </c>
      <c r="C213" s="249">
        <v>2.0399011972199238E-3</v>
      </c>
      <c r="D213" s="249">
        <v>2.6742143275424557E-3</v>
      </c>
      <c r="E213" s="249">
        <v>3.0045711863893681E-3</v>
      </c>
    </row>
    <row r="214" spans="1:9" x14ac:dyDescent="0.25">
      <c r="A214" s="241">
        <v>2017</v>
      </c>
      <c r="B214" s="249">
        <v>3.9732458697990108E-3</v>
      </c>
      <c r="C214" s="249">
        <v>2.5325362688034328E-3</v>
      </c>
      <c r="D214" s="249">
        <v>2.6571550116168724E-3</v>
      </c>
      <c r="E214" s="249">
        <v>2.721049465815026E-3</v>
      </c>
    </row>
    <row r="215" spans="1:9" x14ac:dyDescent="0.25">
      <c r="A215" s="241">
        <v>2018</v>
      </c>
      <c r="B215" s="249">
        <v>2.9066720822496007E-3</v>
      </c>
      <c r="C215" s="249">
        <v>2.354530844542129E-3</v>
      </c>
      <c r="D215" s="249">
        <v>2.5943112371120233E-3</v>
      </c>
      <c r="E215" s="249">
        <v>2.9051046097043833E-3</v>
      </c>
    </row>
    <row r="216" spans="1:9" x14ac:dyDescent="0.25">
      <c r="A216" s="241">
        <v>2019</v>
      </c>
      <c r="B216" s="249">
        <v>3.3712521784702359E-3</v>
      </c>
      <c r="C216" s="249">
        <v>2.2949138722403988E-3</v>
      </c>
      <c r="D216" s="249">
        <v>2.5162971719308435E-3</v>
      </c>
      <c r="E216" s="249">
        <v>2.774445554091347E-3</v>
      </c>
    </row>
    <row r="217" spans="1:9" x14ac:dyDescent="0.25">
      <c r="A217" s="241">
        <v>2020</v>
      </c>
      <c r="B217" s="249">
        <v>2.4390919174850723E-3</v>
      </c>
      <c r="C217" s="249">
        <v>2.2949138722403988E-3</v>
      </c>
      <c r="D217" s="249">
        <v>2.7113057930393384E-3</v>
      </c>
      <c r="E217" s="249">
        <v>3.0592022236279161E-3</v>
      </c>
    </row>
    <row r="218" spans="1:9" x14ac:dyDescent="0.25">
      <c r="A218" s="241">
        <v>2021</v>
      </c>
      <c r="B218" s="249">
        <v>4.0853872407955608E-3</v>
      </c>
      <c r="C218" s="249">
        <v>2.2728904228237223E-3</v>
      </c>
      <c r="D218" s="249">
        <v>2.5923478538700051E-3</v>
      </c>
      <c r="E218" s="249">
        <v>2.6867781111768073E-3</v>
      </c>
    </row>
    <row r="219" spans="1:9" x14ac:dyDescent="0.25">
      <c r="A219" s="241">
        <v>2022</v>
      </c>
      <c r="B219" s="249">
        <v>2.7142509746357355E-3</v>
      </c>
      <c r="C219" s="249">
        <v>2.877969819388336E-3</v>
      </c>
      <c r="D219" s="249">
        <v>2.5996721524563292E-3</v>
      </c>
      <c r="E219" s="249">
        <v>2.6276766212261549E-3</v>
      </c>
    </row>
    <row r="220" spans="1:9" x14ac:dyDescent="0.25">
      <c r="A220" s="241">
        <v>2023</v>
      </c>
      <c r="B220" s="249">
        <v>3.5966051137518175E-3</v>
      </c>
      <c r="C220" s="249">
        <v>2.6912852931162959E-3</v>
      </c>
      <c r="D220" s="249">
        <v>2.6118798476756936E-3</v>
      </c>
      <c r="E220" s="249">
        <v>2.7948617734253165E-3</v>
      </c>
    </row>
    <row r="221" spans="1:9" x14ac:dyDescent="0.25">
      <c r="A221" s="241">
        <v>2024</v>
      </c>
      <c r="B221" s="249">
        <v>3.4189629421617278E-3</v>
      </c>
      <c r="C221" s="249">
        <v>2.6219784167780587E-3</v>
      </c>
      <c r="D221" s="249">
        <v>2.5652313929811336E-3</v>
      </c>
      <c r="E221" s="249">
        <v>2.8004135734774364E-3</v>
      </c>
    </row>
    <row r="222" spans="1:9" x14ac:dyDescent="0.25">
      <c r="A222" s="241">
        <v>2025</v>
      </c>
      <c r="B222" s="249">
        <v>3.5335115216978468E-3</v>
      </c>
      <c r="C222" s="249">
        <v>2.7678501771708289E-3</v>
      </c>
      <c r="D222" s="249">
        <v>3.2041884209483133E-3</v>
      </c>
      <c r="E222" s="249">
        <v>2.8078402009950269E-3</v>
      </c>
      <c r="G222" s="272"/>
    </row>
    <row r="223" spans="1:9" x14ac:dyDescent="0.25">
      <c r="A223" s="241"/>
      <c r="B223" s="241"/>
      <c r="C223" s="241"/>
      <c r="D223" s="241"/>
      <c r="E223" s="241"/>
    </row>
    <row r="224" spans="1:9" x14ac:dyDescent="0.25">
      <c r="A224" s="245" t="s">
        <v>7</v>
      </c>
      <c r="B224" s="256" cm="1">
        <f t="array" ref="B224:E224">'Rate Class Load Model'!B29:E29</f>
        <v>3.5335115216978468E-3</v>
      </c>
      <c r="C224" s="256">
        <v>2.7678501771708289E-3</v>
      </c>
      <c r="D224" s="256">
        <v>3.2041884209483133E-3</v>
      </c>
      <c r="E224" s="256">
        <v>2.8078402009950269E-3</v>
      </c>
    </row>
    <row r="226" spans="1:14" x14ac:dyDescent="0.25">
      <c r="A226" s="235" t="s">
        <v>232</v>
      </c>
    </row>
    <row r="227" spans="1:14" ht="42" customHeight="1" x14ac:dyDescent="0.25">
      <c r="A227" s="255" t="s">
        <v>52</v>
      </c>
      <c r="B227" s="255" t="str" cm="1">
        <f t="array" ref="B227:E227">_xlfn.ANCHORARRAY(B212)</f>
        <v>General Service &gt; 50 kW</v>
      </c>
      <c r="C227" s="255" t="str">
        <v xml:space="preserve">Embedded Distributor </v>
      </c>
      <c r="D227" s="255" t="str">
        <v>Sentinel Lighting</v>
      </c>
      <c r="E227" s="255" t="str">
        <v>Street Lighting</v>
      </c>
      <c r="F227" s="255" t="s">
        <v>5</v>
      </c>
      <c r="G227" s="235"/>
    </row>
    <row r="228" spans="1:14" x14ac:dyDescent="0.25">
      <c r="A228" s="241" t="s">
        <v>233</v>
      </c>
      <c r="B228" s="257" cm="1">
        <f t="array" ref="B228:E229">'Rate Class Load Model'!B12:E13</f>
        <v>204673.23289215044</v>
      </c>
      <c r="C228" s="257">
        <v>116093.29</v>
      </c>
      <c r="D228" s="257">
        <v>375.7</v>
      </c>
      <c r="E228" s="257">
        <v>3392.2808486241311</v>
      </c>
      <c r="F228" s="257">
        <f>SUM(B228:E228)</f>
        <v>324534.50374077458</v>
      </c>
    </row>
    <row r="229" spans="1:14" x14ac:dyDescent="0.25">
      <c r="A229" s="241" t="s">
        <v>234</v>
      </c>
      <c r="B229" s="257">
        <v>204752.41074473649</v>
      </c>
      <c r="C229" s="257">
        <v>116093.29</v>
      </c>
      <c r="D229" s="257">
        <v>375.7</v>
      </c>
      <c r="E229" s="257">
        <v>3417.6500121594413</v>
      </c>
      <c r="F229" s="257">
        <f>SUM(B229:E229)</f>
        <v>324639.05075689591</v>
      </c>
    </row>
    <row r="231" spans="1:14" x14ac:dyDescent="0.25">
      <c r="A231" s="235" t="s">
        <v>235</v>
      </c>
    </row>
    <row r="232" spans="1:14" s="262" customFormat="1" ht="45" x14ac:dyDescent="0.25">
      <c r="A232" s="268"/>
      <c r="B232" s="255" t="s">
        <v>253</v>
      </c>
      <c r="C232" s="255" t="str">
        <f>'Load Forecast Summary'!B3</f>
        <v>2016 Actual</v>
      </c>
      <c r="D232" s="255" t="str">
        <f>'Load Forecast Summary'!C3</f>
        <v>2017 Actual</v>
      </c>
      <c r="E232" s="255" t="str">
        <f>'Load Forecast Summary'!D3</f>
        <v>2018 Actual</v>
      </c>
      <c r="F232" s="255" t="str">
        <f>'Load Forecast Summary'!E3</f>
        <v>2019 Actual</v>
      </c>
      <c r="G232" s="255" t="str">
        <f>'Load Forecast Summary'!F3</f>
        <v>2020 Actual</v>
      </c>
      <c r="H232" s="255" t="str">
        <f>'Load Forecast Summary'!G3</f>
        <v>2021 Actual</v>
      </c>
      <c r="I232" s="255" t="str">
        <f>'Load Forecast Summary'!H3</f>
        <v>2022 Actual</v>
      </c>
      <c r="J232" s="255" t="str">
        <f>'Load Forecast Summary'!I3</f>
        <v>2023 Actual</v>
      </c>
      <c r="K232" s="255" t="str">
        <f>'Load Forecast Summary'!J3</f>
        <v>2024 Actual</v>
      </c>
      <c r="L232" s="255" t="str">
        <f>'Load Forecast Summary'!K3</f>
        <v>2025 Actual</v>
      </c>
      <c r="M232" s="255" t="s">
        <v>251</v>
      </c>
      <c r="N232" s="255" t="s">
        <v>252</v>
      </c>
    </row>
    <row r="233" spans="1:14" x14ac:dyDescent="0.25">
      <c r="A233" s="245" t="str">
        <f>'Load Forecast Summary'!A4</f>
        <v>Actual kWh Purchases</v>
      </c>
      <c r="B233" s="241"/>
      <c r="C233" s="257">
        <f>'Load Forecast Summary'!B4</f>
        <v>251277774.03999999</v>
      </c>
      <c r="D233" s="257">
        <f>'Load Forecast Summary'!C4</f>
        <v>234500934.16</v>
      </c>
      <c r="E233" s="257">
        <f>'Load Forecast Summary'!D4</f>
        <v>245163864.89000005</v>
      </c>
      <c r="F233" s="257">
        <f>'Load Forecast Summary'!E4</f>
        <v>252868515.97999999</v>
      </c>
      <c r="G233" s="257">
        <f>'Load Forecast Summary'!F4</f>
        <v>253996467.51000002</v>
      </c>
      <c r="H233" s="257">
        <f>'Load Forecast Summary'!G4</f>
        <v>249877497.75999996</v>
      </c>
      <c r="I233" s="276">
        <f>'Load Forecast Summary'!H4</f>
        <v>245378475.16000003</v>
      </c>
      <c r="J233" s="257">
        <f>'Load Forecast Summary'!I4</f>
        <v>240736248.91999999</v>
      </c>
      <c r="K233" s="257">
        <f>'Load Forecast Summary'!J4</f>
        <v>255428233.31999999</v>
      </c>
      <c r="L233" s="257">
        <f>'Load Forecast Summary'!K4</f>
        <v>256032973.51000002</v>
      </c>
      <c r="M233" s="257"/>
      <c r="N233" s="257"/>
    </row>
    <row r="234" spans="1:14" x14ac:dyDescent="0.25">
      <c r="A234" s="245" t="str">
        <f>'Load Forecast Summary'!A5</f>
        <v>Predicted kWh Purchases</v>
      </c>
      <c r="B234" s="257">
        <v>255005286.53495139</v>
      </c>
      <c r="C234" s="257">
        <f>'Load Forecast Summary'!B5</f>
        <v>246206141.41602108</v>
      </c>
      <c r="D234" s="257">
        <f>'Load Forecast Summary'!C5</f>
        <v>237415194.60445637</v>
      </c>
      <c r="E234" s="257">
        <f>'Load Forecast Summary'!D5</f>
        <v>248898751.0100446</v>
      </c>
      <c r="F234" s="257">
        <f>'Load Forecast Summary'!E5</f>
        <v>248854549.69445965</v>
      </c>
      <c r="G234" s="257">
        <f>'Load Forecast Summary'!F5</f>
        <v>252089572.78851295</v>
      </c>
      <c r="H234" s="257">
        <f>'Load Forecast Summary'!G5</f>
        <v>253136928.85720545</v>
      </c>
      <c r="I234" s="276">
        <f>'Load Forecast Summary'!H5</f>
        <v>252933336.8035329</v>
      </c>
      <c r="J234" s="257">
        <f>'Load Forecast Summary'!I5</f>
        <v>242414956.83362663</v>
      </c>
      <c r="K234" s="257">
        <f>'Load Forecast Summary'!J5</f>
        <v>249034408.36066878</v>
      </c>
      <c r="L234" s="257">
        <f>'Load Forecast Summary'!K5</f>
        <v>254277144.88147226</v>
      </c>
      <c r="M234" s="257">
        <f>'Load Forecast Summary'!L5</f>
        <v>254298539.12605944</v>
      </c>
      <c r="N234" s="257">
        <f>'Load Forecast Summary'!M5</f>
        <v>255346857.89933771</v>
      </c>
    </row>
    <row r="235" spans="1:14" x14ac:dyDescent="0.25">
      <c r="A235" s="245" t="str">
        <f>'Load Forecast Summary'!A6</f>
        <v>% Difference</v>
      </c>
      <c r="B235" s="257"/>
      <c r="C235" s="256">
        <f>'Load Forecast Summary'!B6</f>
        <v>-2.0183371344142751E-2</v>
      </c>
      <c r="D235" s="256">
        <f>'Load Forecast Summary'!C6</f>
        <v>1.2427500363252152E-2</v>
      </c>
      <c r="E235" s="256">
        <f>'Load Forecast Summary'!D6</f>
        <v>1.5234243927914603E-2</v>
      </c>
      <c r="F235" s="256">
        <f>'Load Forecast Summary'!E6</f>
        <v>-1.5873728961409404E-2</v>
      </c>
      <c r="G235" s="256">
        <f>'Load Forecast Summary'!F6</f>
        <v>-7.5075639444158781E-3</v>
      </c>
      <c r="H235" s="256">
        <f>'Load Forecast Summary'!G6</f>
        <v>1.3044116122597314E-2</v>
      </c>
      <c r="I235" s="277">
        <f>'Load Forecast Summary'!H6</f>
        <v>3.0788607837776701E-2</v>
      </c>
      <c r="J235" s="256">
        <f>'Load Forecast Summary'!I6</f>
        <v>6.9732245191894597E-3</v>
      </c>
      <c r="K235" s="256">
        <f>'Load Forecast Summary'!J6</f>
        <v>-2.5031786330844026E-2</v>
      </c>
      <c r="L235" s="256">
        <f>'Load Forecast Summary'!K6</f>
        <v>-6.8578222736579751E-3</v>
      </c>
      <c r="M235" s="257"/>
      <c r="N235" s="257"/>
    </row>
    <row r="236" spans="1:14" x14ac:dyDescent="0.25">
      <c r="A236" s="245"/>
      <c r="B236" s="257"/>
      <c r="C236" s="245"/>
      <c r="D236" s="245"/>
      <c r="E236" s="245"/>
      <c r="F236" s="245"/>
      <c r="G236" s="245"/>
      <c r="H236" s="245"/>
      <c r="I236" s="278"/>
      <c r="J236" s="245"/>
      <c r="K236" s="245"/>
      <c r="L236" s="245"/>
      <c r="M236" s="245"/>
      <c r="N236" s="245"/>
    </row>
    <row r="237" spans="1:14" x14ac:dyDescent="0.25">
      <c r="A237" s="245" t="str">
        <f>'Load Forecast Summary'!A10</f>
        <v xml:space="preserve">Total Billed </v>
      </c>
      <c r="B237" s="257">
        <v>244797241.56182334</v>
      </c>
      <c r="C237" s="257">
        <f>'Load Forecast Summary'!B10</f>
        <v>238667221</v>
      </c>
      <c r="D237" s="257">
        <f>'Load Forecast Summary'!C10</f>
        <v>219820870</v>
      </c>
      <c r="E237" s="257">
        <f>'Load Forecast Summary'!D10</f>
        <v>246426601</v>
      </c>
      <c r="F237" s="257">
        <f>'Load Forecast Summary'!E10</f>
        <v>242876722</v>
      </c>
      <c r="G237" s="257">
        <f>'Load Forecast Summary'!F10</f>
        <v>239102776</v>
      </c>
      <c r="H237" s="257">
        <f>'Load Forecast Summary'!G10</f>
        <v>242792191</v>
      </c>
      <c r="I237" s="276">
        <f>'Load Forecast Summary'!H10</f>
        <v>237860654.56</v>
      </c>
      <c r="J237" s="257">
        <f>'Load Forecast Summary'!I10</f>
        <v>234104539.5</v>
      </c>
      <c r="K237" s="257">
        <f>'Load Forecast Summary'!J10</f>
        <v>239605809.73000002</v>
      </c>
      <c r="L237" s="257">
        <f>'Load Forecast Summary'!K10</f>
        <v>237588161.69</v>
      </c>
      <c r="M237" s="257">
        <f>'Load Forecast Summary'!L10</f>
        <v>240425961.1667386</v>
      </c>
      <c r="N237" s="257">
        <f>'Load Forecast Summary'!M10</f>
        <v>241417091.70779774</v>
      </c>
    </row>
    <row r="238" spans="1:14" x14ac:dyDescent="0.25">
      <c r="A238" s="245"/>
      <c r="B238" s="241"/>
      <c r="C238" s="245"/>
      <c r="D238" s="245"/>
      <c r="E238" s="245"/>
      <c r="F238" s="245"/>
      <c r="G238" s="245"/>
      <c r="H238" s="245"/>
      <c r="I238" s="278"/>
      <c r="J238" s="245"/>
      <c r="K238" s="245"/>
      <c r="L238" s="245"/>
      <c r="M238" s="245"/>
      <c r="N238" s="245"/>
    </row>
    <row r="239" spans="1:14" x14ac:dyDescent="0.25">
      <c r="A239" s="245" t="str">
        <f>'Load Forecast Summary'!A12</f>
        <v>By Class</v>
      </c>
      <c r="B239" s="241"/>
      <c r="C239" s="264"/>
      <c r="D239" s="264"/>
      <c r="E239" s="264"/>
      <c r="F239" s="264"/>
      <c r="G239" s="264"/>
      <c r="H239" s="264"/>
      <c r="I239" s="279"/>
      <c r="J239" s="264"/>
      <c r="K239" s="264"/>
      <c r="L239" s="264"/>
      <c r="M239" s="264"/>
      <c r="N239" s="264"/>
    </row>
    <row r="240" spans="1:14" x14ac:dyDescent="0.25">
      <c r="A240" s="245" t="str">
        <f>'Load Forecast Summary'!A13</f>
        <v>Residential</v>
      </c>
      <c r="B240" s="241"/>
      <c r="C240" s="245"/>
      <c r="D240" s="245"/>
      <c r="E240" s="245"/>
      <c r="F240" s="245"/>
      <c r="G240" s="245"/>
      <c r="H240" s="245"/>
      <c r="I240" s="278"/>
      <c r="J240" s="245"/>
      <c r="K240" s="245"/>
      <c r="L240" s="245"/>
      <c r="M240" s="245"/>
      <c r="N240" s="245"/>
    </row>
    <row r="241" spans="1:14" x14ac:dyDescent="0.25">
      <c r="A241" s="245" t="str">
        <f>'Load Forecast Summary'!A14</f>
        <v xml:space="preserve">  Customers</v>
      </c>
      <c r="B241" s="257">
        <v>11107.255282547578</v>
      </c>
      <c r="C241" s="257">
        <f>'Load Forecast Summary'!B14</f>
        <v>10277</v>
      </c>
      <c r="D241" s="257">
        <f>'Load Forecast Summary'!C14</f>
        <v>10374.5</v>
      </c>
      <c r="E241" s="257">
        <f>'Load Forecast Summary'!D14</f>
        <v>10659.5</v>
      </c>
      <c r="F241" s="257">
        <f>'Load Forecast Summary'!E14</f>
        <v>10922.5</v>
      </c>
      <c r="G241" s="257">
        <f>'Load Forecast Summary'!F14</f>
        <v>11019.5</v>
      </c>
      <c r="H241" s="257">
        <f>'Load Forecast Summary'!G14</f>
        <v>11096</v>
      </c>
      <c r="I241" s="276">
        <f>'Load Forecast Summary'!H14</f>
        <v>11136</v>
      </c>
      <c r="J241" s="257">
        <f>'Load Forecast Summary'!I14</f>
        <v>11213.5</v>
      </c>
      <c r="K241" s="257">
        <f>'Load Forecast Summary'!J14</f>
        <v>11298.5</v>
      </c>
      <c r="L241" s="257">
        <f>'Load Forecast Summary'!K14</f>
        <v>11354.5</v>
      </c>
      <c r="M241" s="257">
        <f>'Load Forecast Summary'!L14</f>
        <v>11422.71233211763</v>
      </c>
      <c r="N241" s="257">
        <f>'Load Forecast Summary'!M14</f>
        <v>11491.334450861965</v>
      </c>
    </row>
    <row r="242" spans="1:14" x14ac:dyDescent="0.25">
      <c r="A242" s="245" t="str">
        <f>'Load Forecast Summary'!A15</f>
        <v xml:space="preserve">  kWh</v>
      </c>
      <c r="B242" s="257">
        <v>104794355.85497116</v>
      </c>
      <c r="C242" s="257">
        <f>'Load Forecast Summary'!B15</f>
        <v>91479319</v>
      </c>
      <c r="D242" s="257">
        <f>'Load Forecast Summary'!C15</f>
        <v>86529651</v>
      </c>
      <c r="E242" s="257">
        <f>'Load Forecast Summary'!D15</f>
        <v>94517191</v>
      </c>
      <c r="F242" s="257">
        <f>'Load Forecast Summary'!E15</f>
        <v>92484569</v>
      </c>
      <c r="G242" s="257">
        <f>'Load Forecast Summary'!F15</f>
        <v>98305959</v>
      </c>
      <c r="H242" s="257">
        <f>'Load Forecast Summary'!G15</f>
        <v>106359838</v>
      </c>
      <c r="I242" s="276">
        <f>'Load Forecast Summary'!H15</f>
        <v>105839455</v>
      </c>
      <c r="J242" s="257">
        <f>'Load Forecast Summary'!I15</f>
        <v>96458582.030000001</v>
      </c>
      <c r="K242" s="257">
        <f>'Load Forecast Summary'!J15</f>
        <v>101363978.92</v>
      </c>
      <c r="L242" s="257">
        <f>'Load Forecast Summary'!K15</f>
        <v>104661543.73999999</v>
      </c>
      <c r="M242" s="257">
        <f>'Load Forecast Summary'!L15</f>
        <v>106440813.26250607</v>
      </c>
      <c r="N242" s="257">
        <f>'Load Forecast Summary'!M15</f>
        <v>107137096.4970441</v>
      </c>
    </row>
    <row r="243" spans="1:14" x14ac:dyDescent="0.25">
      <c r="A243" s="245"/>
      <c r="B243" s="257"/>
      <c r="C243" s="257"/>
      <c r="D243" s="257"/>
      <c r="E243" s="257"/>
      <c r="F243" s="257"/>
      <c r="G243" s="257"/>
      <c r="H243" s="257"/>
      <c r="I243" s="276"/>
      <c r="J243" s="257"/>
      <c r="K243" s="257"/>
      <c r="L243" s="257"/>
      <c r="M243" s="257"/>
      <c r="N243" s="257"/>
    </row>
    <row r="244" spans="1:14" x14ac:dyDescent="0.25">
      <c r="A244" s="245" t="str">
        <f>'Load Forecast Summary'!A17</f>
        <v>General Service &lt; 50 kW</v>
      </c>
      <c r="B244" s="257"/>
      <c r="C244" s="245"/>
      <c r="D244" s="245"/>
      <c r="E244" s="245"/>
      <c r="F244" s="245"/>
      <c r="G244" s="245"/>
      <c r="H244" s="245"/>
      <c r="I244" s="278"/>
      <c r="J244" s="245"/>
      <c r="K244" s="245"/>
      <c r="L244" s="245"/>
      <c r="M244" s="245"/>
      <c r="N244" s="245"/>
    </row>
    <row r="245" spans="1:14" x14ac:dyDescent="0.25">
      <c r="A245" s="245" t="str">
        <f>'Load Forecast Summary'!A18</f>
        <v xml:space="preserve">  Customers</v>
      </c>
      <c r="B245" s="257">
        <v>1201.1211073293689</v>
      </c>
      <c r="C245" s="257">
        <f>'Load Forecast Summary'!B18</f>
        <v>1283</v>
      </c>
      <c r="D245" s="257">
        <f>'Load Forecast Summary'!C18</f>
        <v>1224.5</v>
      </c>
      <c r="E245" s="257">
        <f>'Load Forecast Summary'!D18</f>
        <v>1237</v>
      </c>
      <c r="F245" s="257">
        <f>'Load Forecast Summary'!E18</f>
        <v>1237</v>
      </c>
      <c r="G245" s="257">
        <f>'Load Forecast Summary'!F18</f>
        <v>1252</v>
      </c>
      <c r="H245" s="257">
        <f>'Load Forecast Summary'!G18</f>
        <v>1236.25</v>
      </c>
      <c r="I245" s="276">
        <f>'Load Forecast Summary'!H18</f>
        <v>1199.125</v>
      </c>
      <c r="J245" s="257">
        <f>'Load Forecast Summary'!I18</f>
        <v>1174.375</v>
      </c>
      <c r="K245" s="257">
        <f>'Load Forecast Summary'!J18</f>
        <v>1170</v>
      </c>
      <c r="L245" s="257">
        <f>'Load Forecast Summary'!K18</f>
        <v>1179</v>
      </c>
      <c r="M245" s="257">
        <f>'Load Forecast Summary'!L18</f>
        <v>1188.0692307692307</v>
      </c>
      <c r="N245" s="257">
        <f>'Load Forecast Summary'!M18</f>
        <v>1197.2082248520708</v>
      </c>
    </row>
    <row r="246" spans="1:14" x14ac:dyDescent="0.25">
      <c r="A246" s="245" t="str">
        <f>'Load Forecast Summary'!A19</f>
        <v xml:space="preserve">  kWh</v>
      </c>
      <c r="B246" s="257">
        <v>27600720.733051222</v>
      </c>
      <c r="C246" s="257">
        <f>'Load Forecast Summary'!B19</f>
        <v>28315731</v>
      </c>
      <c r="D246" s="257">
        <f>'Load Forecast Summary'!C19</f>
        <v>27228067</v>
      </c>
      <c r="E246" s="257">
        <f>'Load Forecast Summary'!D19</f>
        <v>28692745</v>
      </c>
      <c r="F246" s="257">
        <f>'Load Forecast Summary'!E19</f>
        <v>28348056</v>
      </c>
      <c r="G246" s="257">
        <f>'Load Forecast Summary'!F19</f>
        <v>26410288</v>
      </c>
      <c r="H246" s="257">
        <f>'Load Forecast Summary'!G19</f>
        <v>27377213</v>
      </c>
      <c r="I246" s="276">
        <f>'Load Forecast Summary'!H19</f>
        <v>29663800</v>
      </c>
      <c r="J246" s="257">
        <f>'Load Forecast Summary'!I19</f>
        <v>28828610.309999999</v>
      </c>
      <c r="K246" s="257">
        <f>'Load Forecast Summary'!J19</f>
        <v>30766203.079999998</v>
      </c>
      <c r="L246" s="257">
        <f>'Load Forecast Summary'!K19</f>
        <v>31964518.84</v>
      </c>
      <c r="M246" s="257">
        <f>'Load Forecast Summary'!L19</f>
        <v>32562364.810462572</v>
      </c>
      <c r="N246" s="257">
        <f>'Load Forecast Summary'!M19</f>
        <v>32830261.66588974</v>
      </c>
    </row>
    <row r="247" spans="1:14" x14ac:dyDescent="0.25">
      <c r="A247" s="245"/>
      <c r="B247" s="257"/>
      <c r="C247" s="245"/>
      <c r="D247" s="245"/>
      <c r="E247" s="245"/>
      <c r="F247" s="245"/>
      <c r="G247" s="245"/>
      <c r="H247" s="245"/>
      <c r="I247" s="278"/>
      <c r="J247" s="245"/>
      <c r="K247" s="245"/>
      <c r="L247" s="245"/>
      <c r="M247" s="245"/>
      <c r="N247" s="245"/>
    </row>
    <row r="248" spans="1:14" x14ac:dyDescent="0.25">
      <c r="A248" s="245" t="str">
        <f>'Load Forecast Summary'!A21</f>
        <v>General Service &gt; 50 kW</v>
      </c>
      <c r="B248" s="257"/>
      <c r="C248" s="264"/>
      <c r="D248" s="264"/>
      <c r="E248" s="264"/>
      <c r="F248" s="264"/>
      <c r="G248" s="264"/>
      <c r="H248" s="264"/>
      <c r="I248" s="279"/>
      <c r="J248" s="264"/>
      <c r="K248" s="264"/>
      <c r="L248" s="264"/>
      <c r="M248" s="264"/>
      <c r="N248" s="264"/>
    </row>
    <row r="249" spans="1:14" x14ac:dyDescent="0.25">
      <c r="A249" s="245" t="str">
        <f>'Load Forecast Summary'!A22</f>
        <v xml:space="preserve">  Customers</v>
      </c>
      <c r="B249" s="257">
        <v>102.11147413793219</v>
      </c>
      <c r="C249" s="257">
        <f>'Load Forecast Summary'!B22</f>
        <v>101.5</v>
      </c>
      <c r="D249" s="257">
        <f>'Load Forecast Summary'!C22</f>
        <v>113.5</v>
      </c>
      <c r="E249" s="257">
        <f>'Load Forecast Summary'!D22</f>
        <v>110.5</v>
      </c>
      <c r="F249" s="257">
        <f>'Load Forecast Summary'!E22</f>
        <v>96</v>
      </c>
      <c r="G249" s="257">
        <f>'Load Forecast Summary'!F22</f>
        <v>98</v>
      </c>
      <c r="H249" s="257">
        <f>'Load Forecast Summary'!G22</f>
        <v>101</v>
      </c>
      <c r="I249" s="276">
        <f>'Load Forecast Summary'!H22</f>
        <v>98</v>
      </c>
      <c r="J249" s="257">
        <f>'Load Forecast Summary'!I22</f>
        <v>91.5</v>
      </c>
      <c r="K249" s="257">
        <f>'Load Forecast Summary'!J22</f>
        <v>90</v>
      </c>
      <c r="L249" s="257">
        <f>'Load Forecast Summary'!K22</f>
        <v>89</v>
      </c>
      <c r="M249" s="257">
        <f>'Load Forecast Summary'!L22</f>
        <v>89</v>
      </c>
      <c r="N249" s="257">
        <f>'Load Forecast Summary'!M22</f>
        <v>89</v>
      </c>
    </row>
    <row r="250" spans="1:14" x14ac:dyDescent="0.25">
      <c r="A250" s="245" t="str">
        <f>'Load Forecast Summary'!A23</f>
        <v xml:space="preserve">  kWh</v>
      </c>
      <c r="B250" s="257">
        <v>59877626.807052396</v>
      </c>
      <c r="C250" s="257">
        <f>'Load Forecast Summary'!B23</f>
        <v>59051959</v>
      </c>
      <c r="D250" s="257">
        <f>'Load Forecast Summary'!C23</f>
        <v>47449870</v>
      </c>
      <c r="E250" s="257">
        <f>'Load Forecast Summary'!D23</f>
        <v>59787962</v>
      </c>
      <c r="F250" s="257">
        <f>'Load Forecast Summary'!E23</f>
        <v>59632442</v>
      </c>
      <c r="G250" s="257">
        <f>'Load Forecast Summary'!F23</f>
        <v>52047649</v>
      </c>
      <c r="H250" s="257">
        <f>'Load Forecast Summary'!G23</f>
        <v>56544701</v>
      </c>
      <c r="I250" s="276">
        <f>'Load Forecast Summary'!H23</f>
        <v>55678001.560000002</v>
      </c>
      <c r="J250" s="257">
        <f>'Load Forecast Summary'!I23</f>
        <v>59808297.880000003</v>
      </c>
      <c r="K250" s="257">
        <f>'Load Forecast Summary'!J23</f>
        <v>59377098.68</v>
      </c>
      <c r="L250" s="257">
        <f>'Load Forecast Summary'!K23</f>
        <v>57467167.93</v>
      </c>
      <c r="M250" s="257">
        <f>'Load Forecast Summary'!L23</f>
        <v>57923465.548459642</v>
      </c>
      <c r="N250" s="257">
        <f>'Load Forecast Summary'!M23</f>
        <v>57945873.244628131</v>
      </c>
    </row>
    <row r="251" spans="1:14" x14ac:dyDescent="0.25">
      <c r="A251" s="245" t="str">
        <f>'Load Forecast Summary'!A24</f>
        <v xml:space="preserve">  kW</v>
      </c>
      <c r="B251" s="257">
        <v>220809.39890585031</v>
      </c>
      <c r="C251" s="257">
        <f>'Load Forecast Summary'!B24</f>
        <v>188539.6</v>
      </c>
      <c r="D251" s="257">
        <f>'Load Forecast Summary'!C24</f>
        <v>188530</v>
      </c>
      <c r="E251" s="257">
        <f>'Load Forecast Summary'!D24</f>
        <v>173784</v>
      </c>
      <c r="F251" s="257">
        <f>'Load Forecast Summary'!E24</f>
        <v>201036</v>
      </c>
      <c r="G251" s="257">
        <f>'Load Forecast Summary'!F24</f>
        <v>126949</v>
      </c>
      <c r="H251" s="257">
        <f>'Load Forecast Summary'!G24</f>
        <v>231007</v>
      </c>
      <c r="I251" s="276">
        <f>'Load Forecast Summary'!H24</f>
        <v>151124.07</v>
      </c>
      <c r="J251" s="257">
        <f>'Load Forecast Summary'!I24</f>
        <v>215106.83</v>
      </c>
      <c r="K251" s="257">
        <f>'Load Forecast Summary'!J24</f>
        <v>203008.10000000003</v>
      </c>
      <c r="L251" s="257">
        <f>'Load Forecast Summary'!K24</f>
        <v>203060.9</v>
      </c>
      <c r="M251" s="257">
        <f>'Load Forecast Summary'!L24</f>
        <v>204673.23289215044</v>
      </c>
      <c r="N251" s="257">
        <f>'Load Forecast Summary'!M24</f>
        <v>204752.41074473649</v>
      </c>
    </row>
    <row r="252" spans="1:14" x14ac:dyDescent="0.25">
      <c r="A252" s="245"/>
      <c r="B252" s="257"/>
      <c r="C252" s="245"/>
      <c r="D252" s="245"/>
      <c r="E252" s="245"/>
      <c r="F252" s="245"/>
      <c r="G252" s="245"/>
      <c r="H252" s="245"/>
      <c r="I252" s="278"/>
      <c r="J252" s="245"/>
      <c r="K252" s="245"/>
      <c r="L252" s="245"/>
      <c r="M252" s="245"/>
      <c r="N252" s="245"/>
    </row>
    <row r="253" spans="1:14" x14ac:dyDescent="0.25">
      <c r="A253" s="245" t="str">
        <f>'Load Forecast Summary'!A26</f>
        <v xml:space="preserve">Embedded Distributor </v>
      </c>
      <c r="B253" s="257"/>
      <c r="C253" s="264"/>
      <c r="D253" s="264"/>
      <c r="E253" s="264"/>
      <c r="F253" s="264"/>
      <c r="G253" s="264"/>
      <c r="H253" s="264"/>
      <c r="I253" s="279"/>
      <c r="J253" s="264"/>
      <c r="K253" s="264"/>
      <c r="L253" s="264"/>
      <c r="M253" s="264"/>
      <c r="N253" s="264"/>
    </row>
    <row r="254" spans="1:14" x14ac:dyDescent="0.25">
      <c r="A254" s="245" t="str">
        <f>'Load Forecast Summary'!A27</f>
        <v xml:space="preserve">  Customers</v>
      </c>
      <c r="B254" s="257">
        <v>6</v>
      </c>
      <c r="C254" s="257">
        <f>'Load Forecast Summary'!B27</f>
        <v>6</v>
      </c>
      <c r="D254" s="257">
        <f>'Load Forecast Summary'!C27</f>
        <v>6</v>
      </c>
      <c r="E254" s="257">
        <f>'Load Forecast Summary'!D27</f>
        <v>6</v>
      </c>
      <c r="F254" s="257">
        <f>'Load Forecast Summary'!E27</f>
        <v>6</v>
      </c>
      <c r="G254" s="257">
        <f>'Load Forecast Summary'!F27</f>
        <v>6</v>
      </c>
      <c r="H254" s="257">
        <f>'Load Forecast Summary'!G27</f>
        <v>6</v>
      </c>
      <c r="I254" s="276">
        <f>'Load Forecast Summary'!H27</f>
        <v>6</v>
      </c>
      <c r="J254" s="257">
        <f>'Load Forecast Summary'!I27</f>
        <v>6</v>
      </c>
      <c r="K254" s="257">
        <f>'Load Forecast Summary'!J27</f>
        <v>6</v>
      </c>
      <c r="L254" s="257">
        <f>'Load Forecast Summary'!K27</f>
        <v>6</v>
      </c>
      <c r="M254" s="257">
        <f>'Load Forecast Summary'!L27</f>
        <v>6</v>
      </c>
      <c r="N254" s="257">
        <f>'Load Forecast Summary'!M27</f>
        <v>6</v>
      </c>
    </row>
    <row r="255" spans="1:14" x14ac:dyDescent="0.25">
      <c r="A255" s="245" t="str">
        <f>'Load Forecast Summary'!A28</f>
        <v xml:space="preserve">  kWh</v>
      </c>
      <c r="B255" s="257">
        <v>50859469</v>
      </c>
      <c r="C255" s="257">
        <f>'Load Forecast Summary'!B28</f>
        <v>57823879</v>
      </c>
      <c r="D255" s="257">
        <f>'Load Forecast Summary'!C28</f>
        <v>56843411</v>
      </c>
      <c r="E255" s="257">
        <f>'Load Forecast Summary'!D28</f>
        <v>61680653</v>
      </c>
      <c r="F255" s="257">
        <f>'Load Forecast Summary'!E28</f>
        <v>60666329</v>
      </c>
      <c r="G255" s="257">
        <f>'Load Forecast Summary'!F28</f>
        <v>60666329</v>
      </c>
      <c r="H255" s="257">
        <f>'Load Forecast Summary'!G28</f>
        <v>50859469</v>
      </c>
      <c r="I255" s="276">
        <f>'Load Forecast Summary'!H28</f>
        <v>45020625</v>
      </c>
      <c r="J255" s="257">
        <f>'Load Forecast Summary'!I28</f>
        <v>47435810.810000002</v>
      </c>
      <c r="K255" s="257">
        <f>'Load Forecast Summary'!J28</f>
        <v>46518193.75</v>
      </c>
      <c r="L255" s="257">
        <f>'Load Forecast Summary'!K28</f>
        <v>41943487.75</v>
      </c>
      <c r="M255" s="257">
        <f>'Load Forecast Summary'!L28</f>
        <v>41943487.75</v>
      </c>
      <c r="N255" s="257">
        <f>'Load Forecast Summary'!M28</f>
        <v>41943487.75</v>
      </c>
    </row>
    <row r="256" spans="1:14" x14ac:dyDescent="0.25">
      <c r="A256" s="245" t="str">
        <f>'Load Forecast Summary'!A29</f>
        <v xml:space="preserve">  kW</v>
      </c>
      <c r="B256" s="257">
        <v>122199.33965231285</v>
      </c>
      <c r="C256" s="257">
        <f>'Load Forecast Summary'!B29</f>
        <v>117955</v>
      </c>
      <c r="D256" s="257">
        <f>'Load Forecast Summary'!C29</f>
        <v>143958</v>
      </c>
      <c r="E256" s="257">
        <f>'Load Forecast Summary'!D29</f>
        <v>145229</v>
      </c>
      <c r="F256" s="257">
        <f>'Load Forecast Summary'!E29</f>
        <v>139224</v>
      </c>
      <c r="G256" s="257">
        <f>'Load Forecast Summary'!F29</f>
        <v>139224</v>
      </c>
      <c r="H256" s="257">
        <f>'Load Forecast Summary'!G29</f>
        <v>115598</v>
      </c>
      <c r="I256" s="276">
        <f>'Load Forecast Summary'!H29</f>
        <v>129568</v>
      </c>
      <c r="J256" s="257">
        <f>'Load Forecast Summary'!I29</f>
        <v>127663.3</v>
      </c>
      <c r="K256" s="257">
        <f>'Load Forecast Summary'!J29</f>
        <v>121969.7</v>
      </c>
      <c r="L256" s="257">
        <f>'Load Forecast Summary'!K29</f>
        <v>116093.29</v>
      </c>
      <c r="M256" s="257">
        <f>'Load Forecast Summary'!L29</f>
        <v>116093.29</v>
      </c>
      <c r="N256" s="257">
        <f>'Load Forecast Summary'!M29</f>
        <v>116093.29</v>
      </c>
    </row>
    <row r="257" spans="1:14" x14ac:dyDescent="0.25">
      <c r="A257" s="245"/>
      <c r="B257" s="257"/>
      <c r="C257" s="245"/>
      <c r="D257" s="245"/>
      <c r="E257" s="245"/>
      <c r="F257" s="245"/>
      <c r="G257" s="245"/>
      <c r="H257" s="245"/>
      <c r="I257" s="278"/>
      <c r="J257" s="245"/>
      <c r="K257" s="245"/>
      <c r="L257" s="245"/>
      <c r="M257" s="245"/>
      <c r="N257" s="245"/>
    </row>
    <row r="258" spans="1:14" x14ac:dyDescent="0.25">
      <c r="A258" s="245" t="str">
        <f>'Load Forecast Summary'!A31</f>
        <v>Unmetered Scatter Load</v>
      </c>
      <c r="B258" s="257"/>
      <c r="C258" s="264"/>
      <c r="D258" s="264"/>
      <c r="E258" s="264"/>
      <c r="F258" s="264"/>
      <c r="G258" s="264"/>
      <c r="H258" s="264"/>
      <c r="I258" s="279"/>
      <c r="J258" s="264"/>
      <c r="K258" s="264"/>
      <c r="L258" s="264"/>
      <c r="M258" s="264"/>
      <c r="N258" s="264"/>
    </row>
    <row r="259" spans="1:14" x14ac:dyDescent="0.25">
      <c r="A259" s="245" t="str">
        <f>'Load Forecast Summary'!A32</f>
        <v xml:space="preserve">  Connections</v>
      </c>
      <c r="B259" s="257">
        <v>30.916666666666657</v>
      </c>
      <c r="C259" s="257">
        <f>'Load Forecast Summary'!B32</f>
        <v>30</v>
      </c>
      <c r="D259" s="257">
        <f>'Load Forecast Summary'!C32</f>
        <v>30.5</v>
      </c>
      <c r="E259" s="257">
        <f>'Load Forecast Summary'!D32</f>
        <v>31.5</v>
      </c>
      <c r="F259" s="257">
        <f>'Load Forecast Summary'!E32</f>
        <v>32</v>
      </c>
      <c r="G259" s="257">
        <f>'Load Forecast Summary'!F32</f>
        <v>32</v>
      </c>
      <c r="H259" s="257">
        <f>'Load Forecast Summary'!G32</f>
        <v>31.5</v>
      </c>
      <c r="I259" s="276">
        <f>'Load Forecast Summary'!H32</f>
        <v>31</v>
      </c>
      <c r="J259" s="257">
        <f>'Load Forecast Summary'!I32</f>
        <v>30</v>
      </c>
      <c r="K259" s="257">
        <f>'Load Forecast Summary'!J32</f>
        <v>29</v>
      </c>
      <c r="L259" s="257">
        <f>'Load Forecast Summary'!K32</f>
        <v>29</v>
      </c>
      <c r="M259" s="257">
        <f>'Load Forecast Summary'!L32</f>
        <v>28.434631333090945</v>
      </c>
      <c r="N259" s="257">
        <f>'Load Forecast Summary'!M32</f>
        <v>27.880284794786114</v>
      </c>
    </row>
    <row r="260" spans="1:14" x14ac:dyDescent="0.25">
      <c r="A260" s="245" t="str">
        <f>'Load Forecast Summary'!A33</f>
        <v xml:space="preserve">  kWh</v>
      </c>
      <c r="B260" s="257">
        <v>248173</v>
      </c>
      <c r="C260" s="257">
        <f>'Load Forecast Summary'!B33</f>
        <v>257059</v>
      </c>
      <c r="D260" s="257">
        <f>'Load Forecast Summary'!C33</f>
        <v>255469</v>
      </c>
      <c r="E260" s="257">
        <f>'Load Forecast Summary'!D33</f>
        <v>249143</v>
      </c>
      <c r="F260" s="257">
        <f>'Load Forecast Summary'!E33</f>
        <v>246885</v>
      </c>
      <c r="G260" s="257">
        <f>'Load Forecast Summary'!F33</f>
        <v>246885</v>
      </c>
      <c r="H260" s="257">
        <f>'Load Forecast Summary'!G33</f>
        <v>248173</v>
      </c>
      <c r="I260" s="276">
        <f>'Load Forecast Summary'!H33</f>
        <v>248448</v>
      </c>
      <c r="J260" s="257">
        <f>'Load Forecast Summary'!I33</f>
        <v>248859</v>
      </c>
      <c r="K260" s="257">
        <f>'Load Forecast Summary'!J33</f>
        <v>250863.24</v>
      </c>
      <c r="L260" s="257">
        <f>'Load Forecast Summary'!K33</f>
        <v>235012.72</v>
      </c>
      <c r="M260" s="257">
        <f>'Load Forecast Summary'!L33</f>
        <v>230431.03626851478</v>
      </c>
      <c r="N260" s="257">
        <f>'Load Forecast Summary'!M33</f>
        <v>225938.67462059745</v>
      </c>
    </row>
    <row r="261" spans="1:14" x14ac:dyDescent="0.25">
      <c r="A261" s="245"/>
      <c r="B261" s="257"/>
      <c r="C261" s="245"/>
      <c r="D261" s="245"/>
      <c r="E261" s="245"/>
      <c r="F261" s="245"/>
      <c r="G261" s="245"/>
      <c r="H261" s="245"/>
      <c r="I261" s="278"/>
      <c r="J261" s="245"/>
      <c r="K261" s="245"/>
      <c r="L261" s="245"/>
      <c r="M261" s="245"/>
      <c r="N261" s="245"/>
    </row>
    <row r="262" spans="1:14" x14ac:dyDescent="0.25">
      <c r="A262" s="245" t="str">
        <f>'Load Forecast Summary'!A35</f>
        <v>Sentinel Lighting</v>
      </c>
      <c r="B262" s="257"/>
      <c r="C262" s="264"/>
      <c r="D262" s="264"/>
      <c r="E262" s="264"/>
      <c r="F262" s="264"/>
      <c r="G262" s="264"/>
      <c r="H262" s="264"/>
      <c r="I262" s="279"/>
      <c r="J262" s="264"/>
      <c r="K262" s="264"/>
      <c r="L262" s="264"/>
      <c r="M262" s="264"/>
      <c r="N262" s="264"/>
    </row>
    <row r="263" spans="1:14" x14ac:dyDescent="0.25">
      <c r="A263" s="245" t="str">
        <f>'Load Forecast Summary'!A36</f>
        <v xml:space="preserve">  Connections</v>
      </c>
      <c r="B263" s="257">
        <v>17</v>
      </c>
      <c r="C263" s="257">
        <f>'Load Forecast Summary'!B36</f>
        <v>73</v>
      </c>
      <c r="D263" s="257">
        <f>'Load Forecast Summary'!C36</f>
        <v>73</v>
      </c>
      <c r="E263" s="257">
        <f>'Load Forecast Summary'!D36</f>
        <v>73</v>
      </c>
      <c r="F263" s="257">
        <f>'Load Forecast Summary'!E36</f>
        <v>73</v>
      </c>
      <c r="G263" s="257">
        <f>'Load Forecast Summary'!F36</f>
        <v>73</v>
      </c>
      <c r="H263" s="257">
        <f>'Load Forecast Summary'!G36</f>
        <v>73</v>
      </c>
      <c r="I263" s="276">
        <f>'Load Forecast Summary'!H36</f>
        <v>73</v>
      </c>
      <c r="J263" s="257">
        <f>'Load Forecast Summary'!I36</f>
        <v>73</v>
      </c>
      <c r="K263" s="257">
        <f>'Load Forecast Summary'!J36</f>
        <v>73</v>
      </c>
      <c r="L263" s="257">
        <f>'Load Forecast Summary'!K36</f>
        <v>73</v>
      </c>
      <c r="M263" s="257">
        <f>'Load Forecast Summary'!L36</f>
        <v>73</v>
      </c>
      <c r="N263" s="257">
        <f>'Load Forecast Summary'!M36</f>
        <v>73</v>
      </c>
    </row>
    <row r="264" spans="1:14" x14ac:dyDescent="0.25">
      <c r="A264" s="245" t="str">
        <f>'Load Forecast Summary'!A37</f>
        <v xml:space="preserve">  kWh</v>
      </c>
      <c r="B264" s="257">
        <v>137713</v>
      </c>
      <c r="C264" s="257">
        <f>'Load Forecast Summary'!B37</f>
        <v>153690</v>
      </c>
      <c r="D264" s="257">
        <f>'Load Forecast Summary'!C37</f>
        <v>152795</v>
      </c>
      <c r="E264" s="257">
        <f>'Load Forecast Summary'!D37</f>
        <v>149558</v>
      </c>
      <c r="F264" s="257">
        <f>'Load Forecast Summary'!E37</f>
        <v>144657</v>
      </c>
      <c r="G264" s="257">
        <f>'Load Forecast Summary'!F37</f>
        <v>141998</v>
      </c>
      <c r="H264" s="257">
        <f>'Load Forecast Summary'!G37</f>
        <v>137713</v>
      </c>
      <c r="I264" s="276">
        <f>'Load Forecast Summary'!H37</f>
        <v>138479</v>
      </c>
      <c r="J264" s="257">
        <f>'Load Forecast Summary'!I37</f>
        <v>136721.45000000001</v>
      </c>
      <c r="K264" s="257">
        <f>'Load Forecast Summary'!J37</f>
        <v>137219.59</v>
      </c>
      <c r="L264" s="257">
        <f>'Load Forecast Summary'!K37</f>
        <v>117252.78</v>
      </c>
      <c r="M264" s="257">
        <f>'Load Forecast Summary'!L37</f>
        <v>117252.78</v>
      </c>
      <c r="N264" s="257">
        <f>'Load Forecast Summary'!M37</f>
        <v>117252.78</v>
      </c>
    </row>
    <row r="265" spans="1:14" x14ac:dyDescent="0.25">
      <c r="A265" s="245" t="str">
        <f>'Load Forecast Summary'!A38</f>
        <v xml:space="preserve">  kW</v>
      </c>
      <c r="B265" s="257">
        <v>359.90714911048116</v>
      </c>
      <c r="C265" s="257">
        <f>'Load Forecast Summary'!B38</f>
        <v>411</v>
      </c>
      <c r="D265" s="257">
        <f>'Load Forecast Summary'!C38</f>
        <v>406</v>
      </c>
      <c r="E265" s="257">
        <f>'Load Forecast Summary'!D38</f>
        <v>388</v>
      </c>
      <c r="F265" s="257">
        <f>'Load Forecast Summary'!E38</f>
        <v>364</v>
      </c>
      <c r="G265" s="257">
        <f>'Load Forecast Summary'!F38</f>
        <v>385</v>
      </c>
      <c r="H265" s="257">
        <f>'Load Forecast Summary'!G38</f>
        <v>357</v>
      </c>
      <c r="I265" s="276">
        <f>'Load Forecast Summary'!H38</f>
        <v>360</v>
      </c>
      <c r="J265" s="257">
        <f>'Load Forecast Summary'!I38</f>
        <v>357.1</v>
      </c>
      <c r="K265" s="257">
        <f>'Load Forecast Summary'!J38</f>
        <v>352</v>
      </c>
      <c r="L265" s="257">
        <f>'Load Forecast Summary'!K38</f>
        <v>375.7</v>
      </c>
      <c r="M265" s="257">
        <f>'Load Forecast Summary'!L38</f>
        <v>375.7</v>
      </c>
      <c r="N265" s="257">
        <f>'Load Forecast Summary'!M38</f>
        <v>375.7</v>
      </c>
    </row>
    <row r="266" spans="1:14" x14ac:dyDescent="0.25">
      <c r="A266" s="245"/>
      <c r="B266" s="257"/>
      <c r="C266" s="245"/>
      <c r="D266" s="245"/>
      <c r="E266" s="245"/>
      <c r="F266" s="245"/>
      <c r="G266" s="245"/>
      <c r="H266" s="245"/>
      <c r="I266" s="278"/>
      <c r="J266" s="245"/>
      <c r="K266" s="245"/>
      <c r="L266" s="245"/>
      <c r="M266" s="245"/>
      <c r="N266" s="245"/>
    </row>
    <row r="267" spans="1:14" x14ac:dyDescent="0.25">
      <c r="A267" s="245" t="str">
        <f>'Load Forecast Summary'!A40</f>
        <v>Street Lighting</v>
      </c>
      <c r="B267" s="257"/>
      <c r="C267" s="264"/>
      <c r="D267" s="264"/>
      <c r="E267" s="264"/>
      <c r="F267" s="264"/>
      <c r="G267" s="264"/>
      <c r="H267" s="264"/>
      <c r="I267" s="279"/>
      <c r="J267" s="264"/>
      <c r="K267" s="264"/>
      <c r="L267" s="264"/>
      <c r="M267" s="264"/>
      <c r="N267" s="264"/>
    </row>
    <row r="268" spans="1:14" x14ac:dyDescent="0.25">
      <c r="A268" s="245" t="str">
        <f>'Load Forecast Summary'!A41</f>
        <v xml:space="preserve">  Connections</v>
      </c>
      <c r="B268" s="257">
        <v>3126.9233061767768</v>
      </c>
      <c r="C268" s="257">
        <f>'Load Forecast Summary'!B41</f>
        <v>2969.5</v>
      </c>
      <c r="D268" s="257">
        <f>'Load Forecast Summary'!C41</f>
        <v>2932</v>
      </c>
      <c r="E268" s="257">
        <f>'Load Forecast Summary'!D41</f>
        <v>2955</v>
      </c>
      <c r="F268" s="257">
        <f>'Load Forecast Summary'!E41</f>
        <v>2992</v>
      </c>
      <c r="G268" s="257">
        <f>'Load Forecast Summary'!F41</f>
        <v>3043</v>
      </c>
      <c r="H268" s="257">
        <f>'Load Forecast Summary'!G41</f>
        <v>3091.5</v>
      </c>
      <c r="I268" s="276">
        <f>'Load Forecast Summary'!H41</f>
        <v>3133</v>
      </c>
      <c r="J268" s="257">
        <f>'Load Forecast Summary'!I41</f>
        <v>3162</v>
      </c>
      <c r="K268" s="257">
        <f>'Load Forecast Summary'!J41</f>
        <v>3158</v>
      </c>
      <c r="L268" s="257">
        <f>'Load Forecast Summary'!K41</f>
        <v>3158.5</v>
      </c>
      <c r="M268" s="257">
        <f>'Load Forecast Summary'!L41</f>
        <v>3182.1208340647199</v>
      </c>
      <c r="N268" s="257">
        <f>'Load Forecast Summary'!M41</f>
        <v>3205.9183164757792</v>
      </c>
    </row>
    <row r="269" spans="1:14" x14ac:dyDescent="0.25">
      <c r="A269" s="245" t="str">
        <f>'Load Forecast Summary'!A42</f>
        <v xml:space="preserve">  kWh</v>
      </c>
      <c r="B269" s="257">
        <v>1279183.1667485717</v>
      </c>
      <c r="C269" s="257">
        <f>'Load Forecast Summary'!B42</f>
        <v>1585584</v>
      </c>
      <c r="D269" s="257">
        <f>'Load Forecast Summary'!C42</f>
        <v>1361607</v>
      </c>
      <c r="E269" s="257">
        <f>'Load Forecast Summary'!D42</f>
        <v>1349349</v>
      </c>
      <c r="F269" s="257">
        <f>'Load Forecast Summary'!E42</f>
        <v>1353784</v>
      </c>
      <c r="G269" s="257">
        <f>'Load Forecast Summary'!F42</f>
        <v>1283668</v>
      </c>
      <c r="H269" s="257">
        <f>'Load Forecast Summary'!G42</f>
        <v>1265084</v>
      </c>
      <c r="I269" s="276">
        <f>'Load Forecast Summary'!H42</f>
        <v>1271846</v>
      </c>
      <c r="J269" s="257">
        <f>'Load Forecast Summary'!I42</f>
        <v>1187658.02</v>
      </c>
      <c r="K269" s="257">
        <f>'Load Forecast Summary'!J42</f>
        <v>1192252.47</v>
      </c>
      <c r="L269" s="257">
        <f>'Load Forecast Summary'!K42</f>
        <v>1199177.93</v>
      </c>
      <c r="M269" s="257">
        <f>'Load Forecast Summary'!L42</f>
        <v>1208145.9790418248</v>
      </c>
      <c r="N269" s="257">
        <f>'Load Forecast Summary'!M42</f>
        <v>1217181.0956151683</v>
      </c>
    </row>
    <row r="270" spans="1:14" x14ac:dyDescent="0.25">
      <c r="A270" s="245" t="str">
        <f>'Load Forecast Summary'!A43</f>
        <v xml:space="preserve">  kW</v>
      </c>
      <c r="B270" s="257">
        <v>3619.5026346263444</v>
      </c>
      <c r="C270" s="257">
        <f>'Load Forecast Summary'!B43</f>
        <v>4764</v>
      </c>
      <c r="D270" s="257">
        <f>'Load Forecast Summary'!C43</f>
        <v>3705</v>
      </c>
      <c r="E270" s="257">
        <f>'Load Forecast Summary'!D43</f>
        <v>3920</v>
      </c>
      <c r="F270" s="257">
        <f>'Load Forecast Summary'!E43</f>
        <v>3756</v>
      </c>
      <c r="G270" s="257">
        <f>'Load Forecast Summary'!F43</f>
        <v>3927</v>
      </c>
      <c r="H270" s="257">
        <f>'Load Forecast Summary'!G43</f>
        <v>3399</v>
      </c>
      <c r="I270" s="276">
        <f>'Load Forecast Summary'!H43</f>
        <v>3342</v>
      </c>
      <c r="J270" s="257">
        <f>'Load Forecast Summary'!I43</f>
        <v>3319.34</v>
      </c>
      <c r="K270" s="257">
        <f>'Load Forecast Summary'!J43</f>
        <v>3338.8</v>
      </c>
      <c r="L270" s="257">
        <f>'Load Forecast Summary'!K43</f>
        <v>3367.1</v>
      </c>
      <c r="M270" s="257">
        <f>'Load Forecast Summary'!L43</f>
        <v>3392.2808486241311</v>
      </c>
      <c r="N270" s="257">
        <f>'Load Forecast Summary'!M43</f>
        <v>3417.6500121594413</v>
      </c>
    </row>
    <row r="271" spans="1:14" x14ac:dyDescent="0.25">
      <c r="A271" s="245"/>
      <c r="B271" s="241"/>
      <c r="C271" s="245"/>
      <c r="D271" s="245"/>
      <c r="E271" s="245"/>
      <c r="F271" s="245"/>
      <c r="G271" s="245"/>
      <c r="H271" s="245"/>
      <c r="I271" s="278"/>
      <c r="J271" s="245"/>
      <c r="K271" s="245"/>
      <c r="L271" s="245"/>
      <c r="M271" s="245"/>
      <c r="N271" s="245"/>
    </row>
    <row r="272" spans="1:14" x14ac:dyDescent="0.25">
      <c r="A272" s="245" t="str">
        <f>'Load Forecast Summary'!A45</f>
        <v>Total</v>
      </c>
      <c r="B272" s="241"/>
      <c r="C272" s="264"/>
      <c r="D272" s="264"/>
      <c r="E272" s="264"/>
      <c r="F272" s="264"/>
      <c r="G272" s="264"/>
      <c r="H272" s="264"/>
      <c r="I272" s="279"/>
      <c r="J272" s="264"/>
      <c r="K272" s="264"/>
      <c r="L272" s="264"/>
      <c r="M272" s="264"/>
      <c r="N272" s="264"/>
    </row>
    <row r="273" spans="1:14" x14ac:dyDescent="0.25">
      <c r="A273" s="245" t="str">
        <f>'Load Forecast Summary'!A46</f>
        <v xml:space="preserve">  Customer/Connections</v>
      </c>
      <c r="B273" s="258">
        <f>B268+B263+B259+B254+B249+B245+B241</f>
        <v>15591.327836858323</v>
      </c>
      <c r="C273" s="257">
        <f>'Load Forecast Summary'!B46</f>
        <v>14740</v>
      </c>
      <c r="D273" s="257">
        <f>'Load Forecast Summary'!C46</f>
        <v>14754</v>
      </c>
      <c r="E273" s="257">
        <f>'Load Forecast Summary'!D46</f>
        <v>15072.5</v>
      </c>
      <c r="F273" s="257">
        <f>'Load Forecast Summary'!E46</f>
        <v>15358.5</v>
      </c>
      <c r="G273" s="257">
        <f>'Load Forecast Summary'!F46</f>
        <v>15523.5</v>
      </c>
      <c r="H273" s="257">
        <f>'Load Forecast Summary'!G46</f>
        <v>15635.25</v>
      </c>
      <c r="I273" s="276">
        <f>'Load Forecast Summary'!H46</f>
        <v>15676.125</v>
      </c>
      <c r="J273" s="257">
        <f>'Load Forecast Summary'!I46</f>
        <v>15750.375</v>
      </c>
      <c r="K273" s="257">
        <f>'Load Forecast Summary'!J46</f>
        <v>15824.5</v>
      </c>
      <c r="L273" s="257">
        <f>'Load Forecast Summary'!K46</f>
        <v>15889</v>
      </c>
      <c r="M273" s="257">
        <f>'Load Forecast Summary'!L46</f>
        <v>15989.33702828467</v>
      </c>
      <c r="N273" s="257">
        <f>'Load Forecast Summary'!M46</f>
        <v>16090.341276984602</v>
      </c>
    </row>
    <row r="274" spans="1:14" x14ac:dyDescent="0.25">
      <c r="A274" s="245" t="str">
        <f>'Load Forecast Summary'!A47</f>
        <v xml:space="preserve">  kWh</v>
      </c>
      <c r="B274" s="258">
        <f>B269+B264+B260+B255+B250+B246+B242</f>
        <v>244797241.56182331</v>
      </c>
      <c r="C274" s="257">
        <f>'Load Forecast Summary'!B47</f>
        <v>238667221</v>
      </c>
      <c r="D274" s="257">
        <f>'Load Forecast Summary'!C47</f>
        <v>219820870</v>
      </c>
      <c r="E274" s="257">
        <f>'Load Forecast Summary'!D47</f>
        <v>246426601</v>
      </c>
      <c r="F274" s="257">
        <f>'Load Forecast Summary'!E47</f>
        <v>242876722</v>
      </c>
      <c r="G274" s="257">
        <f>'Load Forecast Summary'!F47</f>
        <v>239102776</v>
      </c>
      <c r="H274" s="257">
        <f>'Load Forecast Summary'!G47</f>
        <v>242792191</v>
      </c>
      <c r="I274" s="276">
        <f>'Load Forecast Summary'!H47</f>
        <v>237860654.56</v>
      </c>
      <c r="J274" s="257">
        <f>'Load Forecast Summary'!I47</f>
        <v>234104539.5</v>
      </c>
      <c r="K274" s="257">
        <f>'Load Forecast Summary'!J47</f>
        <v>239605809.73000002</v>
      </c>
      <c r="L274" s="257">
        <f>'Load Forecast Summary'!K47</f>
        <v>237588161.69</v>
      </c>
      <c r="M274" s="257">
        <f>'Load Forecast Summary'!L47</f>
        <v>240425961.1667386</v>
      </c>
      <c r="N274" s="257">
        <f>'Load Forecast Summary'!M47</f>
        <v>241417091.70779774</v>
      </c>
    </row>
    <row r="275" spans="1:14" x14ac:dyDescent="0.25">
      <c r="A275" s="245" t="str">
        <f>'Load Forecast Summary'!A48</f>
        <v xml:space="preserve">  kW from applicable classes</v>
      </c>
      <c r="B275" s="258">
        <f>B270+B265+B256+B251</f>
        <v>346988.14834189997</v>
      </c>
      <c r="C275" s="257">
        <f>'Load Forecast Summary'!B48</f>
        <v>311669.59999999998</v>
      </c>
      <c r="D275" s="257">
        <f>'Load Forecast Summary'!C48</f>
        <v>336599</v>
      </c>
      <c r="E275" s="257">
        <f>'Load Forecast Summary'!D48</f>
        <v>323321</v>
      </c>
      <c r="F275" s="257">
        <f>'Load Forecast Summary'!E48</f>
        <v>344380</v>
      </c>
      <c r="G275" s="257">
        <f>'Load Forecast Summary'!F48</f>
        <v>270485</v>
      </c>
      <c r="H275" s="257">
        <f>'Load Forecast Summary'!G48</f>
        <v>350361</v>
      </c>
      <c r="I275" s="276">
        <f>'Load Forecast Summary'!H48</f>
        <v>284394.07</v>
      </c>
      <c r="J275" s="257">
        <f>'Load Forecast Summary'!I48</f>
        <v>346446.57</v>
      </c>
      <c r="K275" s="257">
        <f>'Load Forecast Summary'!J48</f>
        <v>328668.60000000003</v>
      </c>
      <c r="L275" s="257">
        <f>'Load Forecast Summary'!K48</f>
        <v>322896.99</v>
      </c>
      <c r="M275" s="257">
        <f>'Load Forecast Summary'!L48</f>
        <v>324534.50374077458</v>
      </c>
      <c r="N275" s="257">
        <f>'Load Forecast Summary'!M48</f>
        <v>324639.05075689591</v>
      </c>
    </row>
    <row r="278" spans="1:14" x14ac:dyDescent="0.25">
      <c r="A278" s="245" t="s">
        <v>236</v>
      </c>
      <c r="B278" s="241"/>
      <c r="C278" s="241"/>
    </row>
    <row r="279" spans="1:14" ht="21" customHeight="1" x14ac:dyDescent="0.25">
      <c r="A279" s="242" t="s">
        <v>52</v>
      </c>
      <c r="B279" s="255" t="s">
        <v>170</v>
      </c>
      <c r="C279" s="255" t="s">
        <v>237</v>
      </c>
    </row>
    <row r="280" spans="1:14" x14ac:dyDescent="0.25">
      <c r="A280" s="241">
        <v>2023</v>
      </c>
      <c r="B280" s="241"/>
      <c r="C280" s="241"/>
    </row>
    <row r="281" spans="1:14" x14ac:dyDescent="0.25">
      <c r="A281" s="241">
        <v>2024</v>
      </c>
      <c r="B281" s="241"/>
      <c r="C281" s="241"/>
    </row>
    <row r="282" spans="1:14" x14ac:dyDescent="0.25">
      <c r="A282" s="241">
        <v>2025</v>
      </c>
      <c r="B282" s="241"/>
      <c r="C282" s="241"/>
    </row>
    <row r="283" spans="1:14" x14ac:dyDescent="0.25">
      <c r="A283" s="241" t="s">
        <v>7</v>
      </c>
      <c r="B283" s="241"/>
      <c r="C283" s="241"/>
    </row>
    <row r="285" spans="1:14" x14ac:dyDescent="0.25">
      <c r="A285" s="235" t="s">
        <v>238</v>
      </c>
    </row>
    <row r="286" spans="1:14" x14ac:dyDescent="0.25">
      <c r="A286" s="242"/>
      <c r="B286" s="242"/>
      <c r="C286" s="310" t="s">
        <v>239</v>
      </c>
      <c r="D286" s="310"/>
      <c r="E286" s="310"/>
    </row>
    <row r="287" spans="1:14" x14ac:dyDescent="0.25">
      <c r="A287" s="242" t="s">
        <v>240</v>
      </c>
      <c r="B287" s="242" t="s">
        <v>241</v>
      </c>
      <c r="C287" s="242" t="s">
        <v>242</v>
      </c>
      <c r="D287" s="242" t="s">
        <v>44</v>
      </c>
      <c r="E287" s="242" t="s">
        <v>45</v>
      </c>
    </row>
    <row r="288" spans="1:14" x14ac:dyDescent="0.25">
      <c r="A288" s="241">
        <v>1</v>
      </c>
      <c r="B288" s="241" t="s">
        <v>51</v>
      </c>
      <c r="C288" s="257">
        <v>11107.255282547578</v>
      </c>
      <c r="D288" s="257">
        <v>104794355.85497116</v>
      </c>
      <c r="E288" s="257"/>
    </row>
    <row r="289" spans="1:20" x14ac:dyDescent="0.25">
      <c r="A289" s="241">
        <v>2</v>
      </c>
      <c r="B289" s="241" t="s">
        <v>57</v>
      </c>
      <c r="C289" s="257">
        <v>1201.1211073293689</v>
      </c>
      <c r="D289" s="257">
        <v>27600720.733051222</v>
      </c>
      <c r="E289" s="257"/>
    </row>
    <row r="290" spans="1:20" x14ac:dyDescent="0.25">
      <c r="A290" s="241">
        <v>3</v>
      </c>
      <c r="B290" s="241" t="s">
        <v>114</v>
      </c>
      <c r="C290" s="257">
        <v>102.11147413793219</v>
      </c>
      <c r="D290" s="257">
        <v>59877626.807052396</v>
      </c>
      <c r="E290" s="257">
        <v>220809.39890585031</v>
      </c>
    </row>
    <row r="291" spans="1:20" x14ac:dyDescent="0.25">
      <c r="A291" s="241">
        <v>4</v>
      </c>
      <c r="B291" s="274" t="s">
        <v>174</v>
      </c>
      <c r="C291" s="257">
        <v>6</v>
      </c>
      <c r="D291" s="257">
        <v>50859469</v>
      </c>
      <c r="E291" s="257">
        <v>122199.33965231285</v>
      </c>
    </row>
    <row r="292" spans="1:20" x14ac:dyDescent="0.25">
      <c r="A292" s="241">
        <v>5</v>
      </c>
      <c r="B292" s="241" t="s">
        <v>172</v>
      </c>
      <c r="C292" s="257">
        <v>30.916666666666657</v>
      </c>
      <c r="D292" s="257">
        <v>248173</v>
      </c>
      <c r="E292" s="257"/>
    </row>
    <row r="293" spans="1:20" x14ac:dyDescent="0.25">
      <c r="A293" s="241">
        <v>6</v>
      </c>
      <c r="B293" s="241" t="s">
        <v>78</v>
      </c>
      <c r="C293" s="257">
        <v>17</v>
      </c>
      <c r="D293" s="257">
        <v>137713</v>
      </c>
      <c r="E293" s="257">
        <v>359.90714911048116</v>
      </c>
    </row>
    <row r="294" spans="1:20" x14ac:dyDescent="0.25">
      <c r="A294" s="241">
        <v>7</v>
      </c>
      <c r="B294" s="241" t="s">
        <v>193</v>
      </c>
      <c r="C294" s="257">
        <v>3126.9233061767768</v>
      </c>
      <c r="D294" s="257">
        <v>1279183.1667485717</v>
      </c>
      <c r="E294" s="257">
        <v>3619.5026346263444</v>
      </c>
    </row>
    <row r="295" spans="1:20" x14ac:dyDescent="0.25">
      <c r="A295" s="241">
        <v>8</v>
      </c>
      <c r="B295" s="241" t="s">
        <v>5</v>
      </c>
      <c r="C295" s="257">
        <f>SUM(C288:C294)</f>
        <v>15591.327836858321</v>
      </c>
      <c r="D295" s="257">
        <f t="shared" ref="D295:E295" si="67">SUM(D288:D294)</f>
        <v>244797241.56182337</v>
      </c>
      <c r="E295" s="257">
        <f t="shared" si="67"/>
        <v>346988.14834189997</v>
      </c>
    </row>
    <row r="297" spans="1:20" x14ac:dyDescent="0.25">
      <c r="A297" s="235" t="s">
        <v>243</v>
      </c>
      <c r="K297" s="235" t="s">
        <v>248</v>
      </c>
    </row>
    <row r="298" spans="1:20" x14ac:dyDescent="0.25">
      <c r="A298" s="303"/>
      <c r="B298" s="304"/>
      <c r="C298" s="305" t="s">
        <v>242</v>
      </c>
      <c r="D298" s="305"/>
      <c r="E298" s="305"/>
      <c r="F298" s="305" t="s">
        <v>244</v>
      </c>
      <c r="G298" s="305"/>
      <c r="H298" s="305"/>
      <c r="I298" s="305"/>
      <c r="K298" s="303"/>
      <c r="L298" s="304"/>
      <c r="M298" s="305" t="s">
        <v>242</v>
      </c>
      <c r="N298" s="305"/>
      <c r="O298" s="305"/>
      <c r="P298" s="305" t="s">
        <v>244</v>
      </c>
      <c r="Q298" s="305"/>
      <c r="R298" s="305"/>
      <c r="S298" s="305"/>
    </row>
    <row r="299" spans="1:20" ht="30" x14ac:dyDescent="0.25">
      <c r="A299" s="238" t="s">
        <v>240</v>
      </c>
      <c r="B299" s="238" t="s">
        <v>241</v>
      </c>
      <c r="C299" s="238" t="s">
        <v>245</v>
      </c>
      <c r="D299" s="238" t="s">
        <v>55</v>
      </c>
      <c r="E299" s="238" t="s">
        <v>246</v>
      </c>
      <c r="F299" s="238" t="s">
        <v>245</v>
      </c>
      <c r="G299" s="238" t="s">
        <v>55</v>
      </c>
      <c r="H299" s="238" t="s">
        <v>42</v>
      </c>
      <c r="I299" s="238" t="s">
        <v>247</v>
      </c>
      <c r="K299" s="238" t="s">
        <v>240</v>
      </c>
      <c r="L299" s="238" t="s">
        <v>241</v>
      </c>
      <c r="M299" s="238" t="s">
        <v>245</v>
      </c>
      <c r="N299" s="238" t="s">
        <v>55</v>
      </c>
      <c r="O299" s="238" t="s">
        <v>246</v>
      </c>
      <c r="P299" s="238" t="s">
        <v>245</v>
      </c>
      <c r="Q299" s="281" t="s">
        <v>249</v>
      </c>
      <c r="R299" s="238" t="s">
        <v>42</v>
      </c>
      <c r="S299" s="238" t="s">
        <v>247</v>
      </c>
    </row>
    <row r="300" spans="1:20" x14ac:dyDescent="0.25">
      <c r="A300" s="232">
        <v>1</v>
      </c>
      <c r="B300" s="232" t="s">
        <v>51</v>
      </c>
      <c r="C300" s="240" cm="1">
        <f t="array" ref="C300:C306">M300:M306</f>
        <v>11107.255282547578</v>
      </c>
      <c r="D300" s="252" cm="1">
        <f t="array" ref="D300:D306">TRANSPOSE('Rate Class Customer Model'!B9:H9)</f>
        <v>11136</v>
      </c>
      <c r="E300" s="252">
        <f>D300-C300</f>
        <v>28.744717452422265</v>
      </c>
      <c r="F300" s="240">
        <f>D288</f>
        <v>104794355.85497116</v>
      </c>
      <c r="G300" s="252" cm="1">
        <f t="array" ref="G300:G301">TRANSPOSE('Rate Class Energy Model'!H9:I9)</f>
        <v>105839455</v>
      </c>
      <c r="H300" s="280" t="s">
        <v>44</v>
      </c>
      <c r="I300" s="252">
        <f>G300-F300</f>
        <v>1045099.1450288445</v>
      </c>
      <c r="J300" s="283">
        <f>I300/F300</f>
        <v>9.9728571877973696E-3</v>
      </c>
      <c r="K300" s="232">
        <v>1</v>
      </c>
      <c r="L300" s="232" t="s">
        <v>51</v>
      </c>
      <c r="M300" s="240" cm="1">
        <f t="array" ref="M300:M306">C288:C294</f>
        <v>11107.255282547578</v>
      </c>
      <c r="N300" s="252">
        <f>I241</f>
        <v>11136</v>
      </c>
      <c r="O300" s="252">
        <f>N300-M300</f>
        <v>28.744717452422265</v>
      </c>
      <c r="P300" s="240">
        <f>D288</f>
        <v>104794355.85497116</v>
      </c>
      <c r="Q300" s="252">
        <f>G300*'Power Purchased Model (WN)'!$O$158</f>
        <v>104910184.5851</v>
      </c>
      <c r="R300" s="280" t="s">
        <v>44</v>
      </c>
      <c r="S300" s="252">
        <f>Q300-P300</f>
        <v>115828.73012883961</v>
      </c>
      <c r="T300" s="283">
        <f t="shared" ref="T300:T342" si="68">S300/P300</f>
        <v>1.1052955016884625E-3</v>
      </c>
    </row>
    <row r="301" spans="1:20" x14ac:dyDescent="0.25">
      <c r="A301" s="232">
        <v>2</v>
      </c>
      <c r="B301" s="232" t="s">
        <v>57</v>
      </c>
      <c r="C301" s="240">
        <v>1201.1211073293689</v>
      </c>
      <c r="D301" s="252">
        <v>1199.125</v>
      </c>
      <c r="E301" s="252">
        <f t="shared" ref="E301:E306" si="69">D301-C301</f>
        <v>-1.9961073293688969</v>
      </c>
      <c r="F301" s="240">
        <f t="shared" ref="F301:F306" si="70">P301</f>
        <v>27600720.733051222</v>
      </c>
      <c r="G301" s="252">
        <v>29663800</v>
      </c>
      <c r="H301" s="280" t="s">
        <v>44</v>
      </c>
      <c r="I301" s="252">
        <f t="shared" ref="I301:I306" si="71">G301-F301</f>
        <v>2063079.2669487782</v>
      </c>
      <c r="J301" s="283">
        <f t="shared" ref="J301:J342" si="72">I301/F301</f>
        <v>7.474729688773267E-2</v>
      </c>
      <c r="K301" s="232">
        <v>2</v>
      </c>
      <c r="L301" s="232" t="s">
        <v>57</v>
      </c>
      <c r="M301" s="240">
        <v>1201.1211073293689</v>
      </c>
      <c r="N301" s="252">
        <f>I245</f>
        <v>1199.125</v>
      </c>
      <c r="O301" s="252">
        <f t="shared" ref="O301:O306" si="73">N301-M301</f>
        <v>-1.9961073293688969</v>
      </c>
      <c r="P301" s="240">
        <f>D289</f>
        <v>27600720.733051222</v>
      </c>
      <c r="Q301" s="252">
        <f>G301*'Power Purchased Model (WN)'!$O$158</f>
        <v>29403351.835999999</v>
      </c>
      <c r="R301" s="280" t="s">
        <v>44</v>
      </c>
      <c r="S301" s="252">
        <f t="shared" ref="S301:S306" si="74">Q301-P301</f>
        <v>1802631.1029487774</v>
      </c>
      <c r="T301" s="283">
        <f t="shared" si="68"/>
        <v>6.5311015621058344E-2</v>
      </c>
    </row>
    <row r="302" spans="1:20" x14ac:dyDescent="0.25">
      <c r="A302" s="232">
        <v>3</v>
      </c>
      <c r="B302" s="232" t="s">
        <v>114</v>
      </c>
      <c r="C302" s="240">
        <v>102.11147413793219</v>
      </c>
      <c r="D302" s="252">
        <v>98</v>
      </c>
      <c r="E302" s="252">
        <f t="shared" si="69"/>
        <v>-4.1114741379321913</v>
      </c>
      <c r="F302" s="240">
        <f t="shared" si="70"/>
        <v>220809.39890585031</v>
      </c>
      <c r="G302" s="252" cm="1">
        <f t="array" ref="G302:G303">TRANSPOSE('Rate Class Load Model'!B8:C8)</f>
        <v>151124.07</v>
      </c>
      <c r="H302" s="280" t="s">
        <v>45</v>
      </c>
      <c r="I302" s="252">
        <f t="shared" si="71"/>
        <v>-69685.3289058503</v>
      </c>
      <c r="J302" s="283">
        <f t="shared" si="72"/>
        <v>-0.31559041078483729</v>
      </c>
      <c r="K302" s="232">
        <v>3</v>
      </c>
      <c r="L302" s="232" t="s">
        <v>114</v>
      </c>
      <c r="M302" s="240">
        <v>102.11147413793219</v>
      </c>
      <c r="N302" s="252">
        <f>I249</f>
        <v>98</v>
      </c>
      <c r="O302" s="252">
        <f t="shared" si="73"/>
        <v>-4.1114741379321913</v>
      </c>
      <c r="P302" s="240">
        <f>E290</f>
        <v>220809.39890585031</v>
      </c>
      <c r="Q302" s="252">
        <f>G302</f>
        <v>151124.07</v>
      </c>
      <c r="R302" s="280" t="s">
        <v>45</v>
      </c>
      <c r="S302" s="252">
        <f t="shared" si="74"/>
        <v>-69685.3289058503</v>
      </c>
      <c r="T302" s="283">
        <f t="shared" si="68"/>
        <v>-0.31559041078483729</v>
      </c>
    </row>
    <row r="303" spans="1:20" x14ac:dyDescent="0.25">
      <c r="A303" s="232">
        <v>4</v>
      </c>
      <c r="B303" s="274" t="s">
        <v>174</v>
      </c>
      <c r="C303" s="240">
        <v>6</v>
      </c>
      <c r="D303" s="252">
        <v>6</v>
      </c>
      <c r="E303" s="252">
        <f t="shared" si="69"/>
        <v>0</v>
      </c>
      <c r="F303" s="240">
        <f t="shared" si="70"/>
        <v>122199.33965231285</v>
      </c>
      <c r="G303" s="252">
        <v>129568</v>
      </c>
      <c r="H303" s="280" t="s">
        <v>45</v>
      </c>
      <c r="I303" s="252">
        <f t="shared" si="71"/>
        <v>7368.6603476871533</v>
      </c>
      <c r="J303" s="283">
        <f t="shared" si="72"/>
        <v>6.0300328697788411E-2</v>
      </c>
      <c r="K303" s="232">
        <v>4</v>
      </c>
      <c r="L303" s="274" t="s">
        <v>174</v>
      </c>
      <c r="M303" s="240">
        <v>6</v>
      </c>
      <c r="N303" s="252">
        <f>I254</f>
        <v>6</v>
      </c>
      <c r="O303" s="252">
        <f t="shared" si="73"/>
        <v>0</v>
      </c>
      <c r="P303" s="240">
        <f>E291</f>
        <v>122199.33965231285</v>
      </c>
      <c r="Q303" s="252">
        <f>G303</f>
        <v>129568</v>
      </c>
      <c r="R303" s="280" t="s">
        <v>45</v>
      </c>
      <c r="S303" s="252">
        <f t="shared" si="74"/>
        <v>7368.6603476871533</v>
      </c>
      <c r="T303" s="283">
        <f t="shared" si="68"/>
        <v>6.0300328697788411E-2</v>
      </c>
    </row>
    <row r="304" spans="1:20" x14ac:dyDescent="0.25">
      <c r="A304" s="232">
        <v>5</v>
      </c>
      <c r="B304" s="232" t="s">
        <v>172</v>
      </c>
      <c r="C304" s="240">
        <v>30.916666666666657</v>
      </c>
      <c r="D304" s="252">
        <v>31</v>
      </c>
      <c r="E304" s="252">
        <f t="shared" si="69"/>
        <v>8.3333333333342807E-2</v>
      </c>
      <c r="F304" s="240">
        <f t="shared" si="70"/>
        <v>248173</v>
      </c>
      <c r="G304" s="252">
        <f>'Rate Class Energy Model'!L9</f>
        <v>248448</v>
      </c>
      <c r="H304" s="280" t="s">
        <v>44</v>
      </c>
      <c r="I304" s="252">
        <f t="shared" si="71"/>
        <v>275</v>
      </c>
      <c r="J304" s="283">
        <f t="shared" si="72"/>
        <v>1.1080979800381185E-3</v>
      </c>
      <c r="K304" s="232">
        <v>5</v>
      </c>
      <c r="L304" s="232" t="s">
        <v>172</v>
      </c>
      <c r="M304" s="240">
        <v>30.916666666666657</v>
      </c>
      <c r="N304" s="252">
        <f>I259</f>
        <v>31</v>
      </c>
      <c r="O304" s="252">
        <f t="shared" si="73"/>
        <v>8.3333333333342807E-2</v>
      </c>
      <c r="P304" s="240">
        <f>D292</f>
        <v>248173</v>
      </c>
      <c r="Q304" s="252">
        <f>G304*'Power Purchased Model (WN)'!$O$158</f>
        <v>246266.62656</v>
      </c>
      <c r="R304" s="280" t="s">
        <v>44</v>
      </c>
      <c r="S304" s="252">
        <f t="shared" si="74"/>
        <v>-1906.3734399999958</v>
      </c>
      <c r="T304" s="283">
        <f t="shared" si="68"/>
        <v>-7.681631120226599E-3</v>
      </c>
    </row>
    <row r="305" spans="1:20" x14ac:dyDescent="0.25">
      <c r="A305" s="232">
        <v>6</v>
      </c>
      <c r="B305" s="232" t="s">
        <v>78</v>
      </c>
      <c r="C305" s="240">
        <v>17</v>
      </c>
      <c r="D305" s="252">
        <v>73</v>
      </c>
      <c r="E305" s="252">
        <f t="shared" si="69"/>
        <v>56</v>
      </c>
      <c r="F305" s="240">
        <f t="shared" si="70"/>
        <v>359.90714911048116</v>
      </c>
      <c r="G305" s="252" cm="1">
        <f t="array" ref="G305:G306">TRANSPOSE('Rate Class Load Model'!D8:E8)</f>
        <v>360</v>
      </c>
      <c r="H305" s="280" t="s">
        <v>45</v>
      </c>
      <c r="I305" s="252">
        <f t="shared" si="71"/>
        <v>9.2850889518842905E-2</v>
      </c>
      <c r="J305" s="283">
        <f t="shared" si="72"/>
        <v>2.5798567699565297E-4</v>
      </c>
      <c r="K305" s="232">
        <v>6</v>
      </c>
      <c r="L305" s="232" t="s">
        <v>78</v>
      </c>
      <c r="M305" s="240">
        <v>17</v>
      </c>
      <c r="N305" s="252">
        <f>I263</f>
        <v>73</v>
      </c>
      <c r="O305" s="252">
        <f t="shared" si="73"/>
        <v>56</v>
      </c>
      <c r="P305" s="240">
        <f>E293</f>
        <v>359.90714911048116</v>
      </c>
      <c r="Q305" s="252">
        <f>G305</f>
        <v>360</v>
      </c>
      <c r="R305" s="280" t="s">
        <v>45</v>
      </c>
      <c r="S305" s="252">
        <f t="shared" si="74"/>
        <v>9.2850889518842905E-2</v>
      </c>
      <c r="T305" s="283">
        <f t="shared" si="68"/>
        <v>2.5798567699565297E-4</v>
      </c>
    </row>
    <row r="306" spans="1:20" x14ac:dyDescent="0.25">
      <c r="A306" s="232">
        <v>7</v>
      </c>
      <c r="B306" s="232" t="s">
        <v>193</v>
      </c>
      <c r="C306" s="240">
        <v>3126.9233061767768</v>
      </c>
      <c r="D306" s="252">
        <v>3133</v>
      </c>
      <c r="E306" s="252">
        <f t="shared" si="69"/>
        <v>6.0766938232231951</v>
      </c>
      <c r="F306" s="240">
        <f t="shared" si="70"/>
        <v>3619.5026346263444</v>
      </c>
      <c r="G306" s="252">
        <v>3342</v>
      </c>
      <c r="H306" s="280" t="s">
        <v>45</v>
      </c>
      <c r="I306" s="252">
        <f t="shared" si="71"/>
        <v>-277.50263462634439</v>
      </c>
      <c r="J306" s="283">
        <f t="shared" si="72"/>
        <v>-7.6668720163811155E-2</v>
      </c>
      <c r="K306" s="232">
        <v>7</v>
      </c>
      <c r="L306" s="232" t="s">
        <v>193</v>
      </c>
      <c r="M306" s="240">
        <v>3126.9233061767768</v>
      </c>
      <c r="N306" s="252">
        <f>I268</f>
        <v>3133</v>
      </c>
      <c r="O306" s="252">
        <f t="shared" si="73"/>
        <v>6.0766938232231951</v>
      </c>
      <c r="P306" s="240">
        <f>E294</f>
        <v>3619.5026346263444</v>
      </c>
      <c r="Q306" s="252">
        <f>G306</f>
        <v>3342</v>
      </c>
      <c r="R306" s="280" t="s">
        <v>45</v>
      </c>
      <c r="S306" s="252">
        <f t="shared" si="74"/>
        <v>-277.50263462634439</v>
      </c>
      <c r="T306" s="283">
        <f t="shared" si="68"/>
        <v>-7.6668720163811155E-2</v>
      </c>
    </row>
    <row r="307" spans="1:20" x14ac:dyDescent="0.25">
      <c r="A307" s="239">
        <v>8</v>
      </c>
      <c r="B307" s="239" t="s">
        <v>5</v>
      </c>
      <c r="C307" s="275">
        <f>SUM(C300:C306)</f>
        <v>15591.327836858321</v>
      </c>
      <c r="D307" s="275">
        <f>SUM(D300:D306)</f>
        <v>15676.125</v>
      </c>
      <c r="E307" s="275">
        <f>SUM(E300:E306)</f>
        <v>84.797163141677714</v>
      </c>
      <c r="F307" s="275"/>
      <c r="G307" s="275"/>
      <c r="H307" s="275"/>
      <c r="I307" s="275"/>
      <c r="J307" s="283"/>
      <c r="K307" s="239">
        <v>8</v>
      </c>
      <c r="L307" s="239" t="s">
        <v>5</v>
      </c>
      <c r="M307" s="275">
        <f>SUM(M300:M306)</f>
        <v>15591.327836858321</v>
      </c>
      <c r="N307" s="275">
        <f>SUM(N300:N306)</f>
        <v>15676.125</v>
      </c>
      <c r="O307" s="275">
        <f>SUM(O300:O306)</f>
        <v>84.797163141677714</v>
      </c>
      <c r="P307" s="275"/>
      <c r="Q307" s="275"/>
      <c r="R307" s="275"/>
      <c r="S307" s="275"/>
      <c r="T307" s="283"/>
    </row>
    <row r="308" spans="1:20" x14ac:dyDescent="0.25">
      <c r="J308" s="283"/>
      <c r="T308" s="283"/>
    </row>
    <row r="309" spans="1:20" x14ac:dyDescent="0.25">
      <c r="A309" s="235" t="s">
        <v>254</v>
      </c>
      <c r="J309" s="283"/>
      <c r="K309" s="235" t="s">
        <v>255</v>
      </c>
      <c r="T309" s="283"/>
    </row>
    <row r="310" spans="1:20" x14ac:dyDescent="0.25">
      <c r="A310" s="303"/>
      <c r="B310" s="304"/>
      <c r="C310" s="305" t="s">
        <v>242</v>
      </c>
      <c r="D310" s="305"/>
      <c r="E310" s="305"/>
      <c r="F310" s="305" t="s">
        <v>244</v>
      </c>
      <c r="G310" s="305"/>
      <c r="H310" s="305"/>
      <c r="I310" s="305"/>
      <c r="J310" s="283"/>
      <c r="K310" s="303"/>
      <c r="L310" s="304"/>
      <c r="M310" s="305" t="s">
        <v>242</v>
      </c>
      <c r="N310" s="305"/>
      <c r="O310" s="305"/>
      <c r="P310" s="305" t="s">
        <v>244</v>
      </c>
      <c r="Q310" s="305"/>
      <c r="R310" s="305"/>
      <c r="S310" s="305"/>
      <c r="T310" s="283"/>
    </row>
    <row r="311" spans="1:20" ht="30" x14ac:dyDescent="0.25">
      <c r="A311" s="238" t="s">
        <v>240</v>
      </c>
      <c r="B311" s="238" t="s">
        <v>241</v>
      </c>
      <c r="C311" s="238" t="s">
        <v>55</v>
      </c>
      <c r="D311" s="238" t="s">
        <v>87</v>
      </c>
      <c r="E311" s="238" t="s">
        <v>246</v>
      </c>
      <c r="F311" s="238" t="str">
        <f>C311</f>
        <v>2022 Actual</v>
      </c>
      <c r="G311" s="238" t="str">
        <f>D311</f>
        <v>2023 Actual</v>
      </c>
      <c r="H311" s="238" t="s">
        <v>42</v>
      </c>
      <c r="I311" s="238" t="s">
        <v>247</v>
      </c>
      <c r="J311" s="283"/>
      <c r="K311" s="238" t="s">
        <v>240</v>
      </c>
      <c r="L311" s="238" t="s">
        <v>241</v>
      </c>
      <c r="M311" s="238" t="s">
        <v>55</v>
      </c>
      <c r="N311" s="238" t="s">
        <v>87</v>
      </c>
      <c r="O311" s="238" t="s">
        <v>246</v>
      </c>
      <c r="P311" s="238" t="s">
        <v>260</v>
      </c>
      <c r="Q311" s="238" t="s">
        <v>261</v>
      </c>
      <c r="R311" s="238" t="s">
        <v>42</v>
      </c>
      <c r="S311" s="238" t="s">
        <v>247</v>
      </c>
      <c r="T311" s="283"/>
    </row>
    <row r="312" spans="1:20" x14ac:dyDescent="0.25">
      <c r="A312" s="232">
        <v>1</v>
      </c>
      <c r="B312" s="232" t="s">
        <v>51</v>
      </c>
      <c r="C312" s="240">
        <f>D300</f>
        <v>11136</v>
      </c>
      <c r="D312" s="252" cm="1">
        <f t="array" ref="D312:D318">TRANSPOSE('Rate Class Customer Model'!B10:H10)</f>
        <v>11213.5</v>
      </c>
      <c r="E312" s="252">
        <f>D312-C312</f>
        <v>77.5</v>
      </c>
      <c r="F312" s="240">
        <f>G300</f>
        <v>105839455</v>
      </c>
      <c r="G312" s="252">
        <f>'Rate Class Energy Model'!H10</f>
        <v>96458582.030000001</v>
      </c>
      <c r="H312" s="280" t="s">
        <v>44</v>
      </c>
      <c r="I312" s="252">
        <f>G312-F312</f>
        <v>-9380872.9699999988</v>
      </c>
      <c r="J312" s="283">
        <f t="shared" si="72"/>
        <v>-8.8633043036738982E-2</v>
      </c>
      <c r="K312" s="232">
        <v>1</v>
      </c>
      <c r="L312" s="232" t="s">
        <v>51</v>
      </c>
      <c r="M312" s="240">
        <f>N300</f>
        <v>11136</v>
      </c>
      <c r="N312" s="252">
        <f>J241</f>
        <v>11213.5</v>
      </c>
      <c r="O312" s="252">
        <f>N312-M312</f>
        <v>77.5</v>
      </c>
      <c r="P312" s="240">
        <f>Q300</f>
        <v>104910184.5851</v>
      </c>
      <c r="Q312" s="252">
        <f>G312*'Power Purchased Model (WN)'!$O$159</f>
        <v>100007293.26288371</v>
      </c>
      <c r="R312" s="280" t="s">
        <v>44</v>
      </c>
      <c r="S312" s="252">
        <f>Q312-P312</f>
        <v>-4902891.3222162873</v>
      </c>
      <c r="T312" s="283">
        <f t="shared" si="68"/>
        <v>-4.6734178779746678E-2</v>
      </c>
    </row>
    <row r="313" spans="1:20" x14ac:dyDescent="0.25">
      <c r="A313" s="232">
        <v>2</v>
      </c>
      <c r="B313" s="232" t="s">
        <v>57</v>
      </c>
      <c r="C313" s="240">
        <f t="shared" ref="C313:C318" si="75">D301</f>
        <v>1199.125</v>
      </c>
      <c r="D313" s="252">
        <v>1174.375</v>
      </c>
      <c r="E313" s="252">
        <f t="shared" ref="E313:E318" si="76">D313-C313</f>
        <v>-24.75</v>
      </c>
      <c r="F313" s="240">
        <f t="shared" ref="F313:F318" si="77">G301</f>
        <v>29663800</v>
      </c>
      <c r="G313" s="252">
        <f>'Rate Class Energy Model'!I10</f>
        <v>28828610.309999999</v>
      </c>
      <c r="H313" s="280" t="s">
        <v>44</v>
      </c>
      <c r="I313" s="252">
        <f t="shared" ref="I313:I318" si="78">G313-F313</f>
        <v>-835189.69000000134</v>
      </c>
      <c r="J313" s="283">
        <f t="shared" si="72"/>
        <v>-2.8155182073773467E-2</v>
      </c>
      <c r="K313" s="232">
        <v>2</v>
      </c>
      <c r="L313" s="232" t="s">
        <v>57</v>
      </c>
      <c r="M313" s="240">
        <f t="shared" ref="M313:M318" si="79">N301</f>
        <v>1199.125</v>
      </c>
      <c r="N313" s="252">
        <f>J245</f>
        <v>1174.375</v>
      </c>
      <c r="O313" s="252">
        <f t="shared" ref="O313:O318" si="80">N313-M313</f>
        <v>-24.75</v>
      </c>
      <c r="P313" s="240">
        <f t="shared" ref="P313:P318" si="81">Q301</f>
        <v>29403351.835999999</v>
      </c>
      <c r="Q313" s="252">
        <f>G313*'Power Purchased Model (WN)'!$O$159</f>
        <v>29889214.883304901</v>
      </c>
      <c r="R313" s="280" t="s">
        <v>44</v>
      </c>
      <c r="S313" s="252">
        <f t="shared" ref="S313:S318" si="82">Q313-P313</f>
        <v>485863.04730490223</v>
      </c>
      <c r="T313" s="283">
        <f t="shared" si="68"/>
        <v>1.6524070113327547E-2</v>
      </c>
    </row>
    <row r="314" spans="1:20" x14ac:dyDescent="0.25">
      <c r="A314" s="232">
        <v>3</v>
      </c>
      <c r="B314" s="232" t="s">
        <v>114</v>
      </c>
      <c r="C314" s="240">
        <f t="shared" si="75"/>
        <v>98</v>
      </c>
      <c r="D314" s="252">
        <v>91.5</v>
      </c>
      <c r="E314" s="252">
        <f t="shared" si="76"/>
        <v>-6.5</v>
      </c>
      <c r="F314" s="240">
        <f t="shared" si="77"/>
        <v>151124.07</v>
      </c>
      <c r="G314" s="252">
        <f>'Rate Class Load Model'!B9</f>
        <v>215106.83</v>
      </c>
      <c r="H314" s="280" t="s">
        <v>45</v>
      </c>
      <c r="I314" s="252">
        <f t="shared" si="78"/>
        <v>63982.75999999998</v>
      </c>
      <c r="J314" s="283">
        <f>I314/F314</f>
        <v>0.42337901566573727</v>
      </c>
      <c r="K314" s="232">
        <v>3</v>
      </c>
      <c r="L314" s="232" t="s">
        <v>114</v>
      </c>
      <c r="M314" s="240">
        <f t="shared" si="79"/>
        <v>98</v>
      </c>
      <c r="N314" s="252">
        <f>J249</f>
        <v>91.5</v>
      </c>
      <c r="O314" s="252">
        <f t="shared" si="80"/>
        <v>-6.5</v>
      </c>
      <c r="P314" s="240">
        <f t="shared" si="81"/>
        <v>151124.07</v>
      </c>
      <c r="Q314" s="252">
        <f>G314</f>
        <v>215106.83</v>
      </c>
      <c r="R314" s="280" t="s">
        <v>45</v>
      </c>
      <c r="S314" s="252">
        <f t="shared" si="82"/>
        <v>63982.75999999998</v>
      </c>
      <c r="T314" s="283">
        <f t="shared" si="68"/>
        <v>0.42337901566573727</v>
      </c>
    </row>
    <row r="315" spans="1:20" x14ac:dyDescent="0.25">
      <c r="A315" s="232">
        <v>4</v>
      </c>
      <c r="B315" s="274" t="s">
        <v>174</v>
      </c>
      <c r="C315" s="240">
        <f t="shared" si="75"/>
        <v>6</v>
      </c>
      <c r="D315" s="252">
        <v>6</v>
      </c>
      <c r="E315" s="252">
        <f t="shared" si="76"/>
        <v>0</v>
      </c>
      <c r="F315" s="240">
        <f t="shared" si="77"/>
        <v>129568</v>
      </c>
      <c r="G315" s="252">
        <f>'Rate Class Load Model'!C9</f>
        <v>127663.3</v>
      </c>
      <c r="H315" s="280" t="s">
        <v>45</v>
      </c>
      <c r="I315" s="252">
        <f t="shared" si="78"/>
        <v>-1904.6999999999971</v>
      </c>
      <c r="J315" s="283">
        <f t="shared" si="72"/>
        <v>-1.470038898493453E-2</v>
      </c>
      <c r="K315" s="232">
        <v>4</v>
      </c>
      <c r="L315" s="274" t="s">
        <v>174</v>
      </c>
      <c r="M315" s="240">
        <f t="shared" si="79"/>
        <v>6</v>
      </c>
      <c r="N315" s="252">
        <f>J254</f>
        <v>6</v>
      </c>
      <c r="O315" s="252">
        <f t="shared" si="80"/>
        <v>0</v>
      </c>
      <c r="P315" s="240">
        <f t="shared" si="81"/>
        <v>129568</v>
      </c>
      <c r="Q315" s="252">
        <f>G315</f>
        <v>127663.3</v>
      </c>
      <c r="R315" s="280" t="s">
        <v>45</v>
      </c>
      <c r="S315" s="252">
        <f t="shared" si="82"/>
        <v>-1904.6999999999971</v>
      </c>
      <c r="T315" s="283">
        <f t="shared" si="68"/>
        <v>-1.470038898493453E-2</v>
      </c>
    </row>
    <row r="316" spans="1:20" x14ac:dyDescent="0.25">
      <c r="A316" s="232">
        <v>5</v>
      </c>
      <c r="B316" s="232" t="s">
        <v>172</v>
      </c>
      <c r="C316" s="240">
        <f t="shared" si="75"/>
        <v>31</v>
      </c>
      <c r="D316" s="252">
        <v>30</v>
      </c>
      <c r="E316" s="252">
        <f t="shared" si="76"/>
        <v>-1</v>
      </c>
      <c r="F316" s="240">
        <f t="shared" si="77"/>
        <v>248448</v>
      </c>
      <c r="G316" s="252">
        <f>'Rate Class Energy Model'!L10</f>
        <v>248859</v>
      </c>
      <c r="H316" s="280" t="s">
        <v>44</v>
      </c>
      <c r="I316" s="252">
        <f t="shared" si="78"/>
        <v>411</v>
      </c>
      <c r="J316" s="283">
        <f t="shared" si="72"/>
        <v>1.6542697063369398E-3</v>
      </c>
      <c r="K316" s="232">
        <v>5</v>
      </c>
      <c r="L316" s="232" t="s">
        <v>172</v>
      </c>
      <c r="M316" s="240">
        <f t="shared" si="79"/>
        <v>31</v>
      </c>
      <c r="N316" s="252">
        <f>J259</f>
        <v>30</v>
      </c>
      <c r="O316" s="252">
        <f t="shared" si="80"/>
        <v>-1</v>
      </c>
      <c r="P316" s="240">
        <f t="shared" si="81"/>
        <v>246266.62656</v>
      </c>
      <c r="Q316" s="252">
        <f>G316*'Power Purchased Model (WN)'!$O$159</f>
        <v>258014.52261000001</v>
      </c>
      <c r="R316" s="280" t="s">
        <v>44</v>
      </c>
      <c r="S316" s="252">
        <f t="shared" si="82"/>
        <v>11747.89605000001</v>
      </c>
      <c r="T316" s="283">
        <f t="shared" si="68"/>
        <v>4.7703971155579103E-2</v>
      </c>
    </row>
    <row r="317" spans="1:20" x14ac:dyDescent="0.25">
      <c r="A317" s="232">
        <v>6</v>
      </c>
      <c r="B317" s="232" t="s">
        <v>78</v>
      </c>
      <c r="C317" s="240">
        <f t="shared" si="75"/>
        <v>73</v>
      </c>
      <c r="D317" s="252">
        <v>73</v>
      </c>
      <c r="E317" s="252">
        <f t="shared" si="76"/>
        <v>0</v>
      </c>
      <c r="F317" s="240">
        <f t="shared" si="77"/>
        <v>360</v>
      </c>
      <c r="G317" s="252">
        <f>'Rate Class Load Model'!D9</f>
        <v>357.1</v>
      </c>
      <c r="H317" s="280" t="s">
        <v>45</v>
      </c>
      <c r="I317" s="252">
        <f t="shared" si="78"/>
        <v>-2.8999999999999773</v>
      </c>
      <c r="J317" s="283">
        <f t="shared" si="72"/>
        <v>-8.0555555555554929E-3</v>
      </c>
      <c r="K317" s="232">
        <v>6</v>
      </c>
      <c r="L317" s="232" t="s">
        <v>78</v>
      </c>
      <c r="M317" s="240">
        <f t="shared" si="79"/>
        <v>73</v>
      </c>
      <c r="N317" s="252">
        <f>J263</f>
        <v>73</v>
      </c>
      <c r="O317" s="252">
        <f t="shared" si="80"/>
        <v>0</v>
      </c>
      <c r="P317" s="240">
        <f t="shared" si="81"/>
        <v>360</v>
      </c>
      <c r="Q317" s="252">
        <f>G317</f>
        <v>357.1</v>
      </c>
      <c r="R317" s="280" t="s">
        <v>45</v>
      </c>
      <c r="S317" s="252">
        <f t="shared" si="82"/>
        <v>-2.8999999999999773</v>
      </c>
      <c r="T317" s="283">
        <f t="shared" si="68"/>
        <v>-8.0555555555554929E-3</v>
      </c>
    </row>
    <row r="318" spans="1:20" x14ac:dyDescent="0.25">
      <c r="A318" s="232">
        <v>7</v>
      </c>
      <c r="B318" s="232" t="s">
        <v>193</v>
      </c>
      <c r="C318" s="240">
        <f t="shared" si="75"/>
        <v>3133</v>
      </c>
      <c r="D318" s="252">
        <v>3162</v>
      </c>
      <c r="E318" s="252">
        <f t="shared" si="76"/>
        <v>29</v>
      </c>
      <c r="F318" s="240">
        <f t="shared" si="77"/>
        <v>3342</v>
      </c>
      <c r="G318" s="252">
        <f>'Rate Class Load Model'!E9</f>
        <v>3319.34</v>
      </c>
      <c r="H318" s="280" t="s">
        <v>45</v>
      </c>
      <c r="I318" s="252">
        <f t="shared" si="78"/>
        <v>-22.659999999999854</v>
      </c>
      <c r="J318" s="283">
        <f t="shared" si="72"/>
        <v>-6.7803710353081552E-3</v>
      </c>
      <c r="K318" s="232">
        <v>7</v>
      </c>
      <c r="L318" s="232" t="s">
        <v>193</v>
      </c>
      <c r="M318" s="240">
        <f t="shared" si="79"/>
        <v>3133</v>
      </c>
      <c r="N318" s="252">
        <f>J268</f>
        <v>3162</v>
      </c>
      <c r="O318" s="252">
        <f t="shared" si="80"/>
        <v>29</v>
      </c>
      <c r="P318" s="240">
        <f t="shared" si="81"/>
        <v>3342</v>
      </c>
      <c r="Q318" s="252">
        <f>G318</f>
        <v>3319.34</v>
      </c>
      <c r="R318" s="280" t="s">
        <v>45</v>
      </c>
      <c r="S318" s="252">
        <f t="shared" si="82"/>
        <v>-22.659999999999854</v>
      </c>
      <c r="T318" s="283">
        <f t="shared" si="68"/>
        <v>-6.7803710353081552E-3</v>
      </c>
    </row>
    <row r="319" spans="1:20" x14ac:dyDescent="0.25">
      <c r="A319" s="239">
        <v>8</v>
      </c>
      <c r="B319" s="239" t="s">
        <v>5</v>
      </c>
      <c r="C319" s="275">
        <f>SUM(C312:C318)</f>
        <v>15676.125</v>
      </c>
      <c r="D319" s="275">
        <f>SUM(D312:D318)</f>
        <v>15750.375</v>
      </c>
      <c r="E319" s="275">
        <f>SUM(E312:E318)</f>
        <v>74.25</v>
      </c>
      <c r="F319" s="275"/>
      <c r="G319" s="275"/>
      <c r="H319" s="275"/>
      <c r="I319" s="275"/>
      <c r="J319" s="283"/>
      <c r="K319" s="239">
        <v>8</v>
      </c>
      <c r="L319" s="239" t="s">
        <v>5</v>
      </c>
      <c r="M319" s="275">
        <f>SUM(M312:M318)</f>
        <v>15676.125</v>
      </c>
      <c r="N319" s="275">
        <f>SUM(N312:N318)</f>
        <v>15750.375</v>
      </c>
      <c r="O319" s="275">
        <f>SUM(O312:O318)</f>
        <v>74.25</v>
      </c>
      <c r="P319" s="275"/>
      <c r="Q319" s="275"/>
      <c r="R319" s="275"/>
      <c r="S319" s="275"/>
      <c r="T319" s="283"/>
    </row>
    <row r="320" spans="1:20" x14ac:dyDescent="0.25">
      <c r="J320" s="283"/>
      <c r="T320" s="283"/>
    </row>
    <row r="321" spans="1:20" x14ac:dyDescent="0.25">
      <c r="A321" s="235" t="s">
        <v>256</v>
      </c>
      <c r="J321" s="283"/>
      <c r="K321" s="235" t="s">
        <v>257</v>
      </c>
      <c r="T321" s="283"/>
    </row>
    <row r="322" spans="1:20" x14ac:dyDescent="0.25">
      <c r="A322" s="303"/>
      <c r="B322" s="304"/>
      <c r="C322" s="305" t="s">
        <v>242</v>
      </c>
      <c r="D322" s="305"/>
      <c r="E322" s="305"/>
      <c r="F322" s="305" t="s">
        <v>244</v>
      </c>
      <c r="G322" s="305"/>
      <c r="H322" s="305"/>
      <c r="I322" s="305"/>
      <c r="J322" s="283"/>
      <c r="K322" s="303"/>
      <c r="L322" s="304"/>
      <c r="M322" s="305" t="s">
        <v>242</v>
      </c>
      <c r="N322" s="305"/>
      <c r="O322" s="305"/>
      <c r="P322" s="305" t="s">
        <v>244</v>
      </c>
      <c r="Q322" s="305"/>
      <c r="R322" s="305"/>
      <c r="S322" s="305"/>
      <c r="T322" s="283"/>
    </row>
    <row r="323" spans="1:20" ht="30" x14ac:dyDescent="0.25">
      <c r="A323" s="238" t="s">
        <v>240</v>
      </c>
      <c r="B323" s="238" t="s">
        <v>241</v>
      </c>
      <c r="C323" s="238" t="s">
        <v>87</v>
      </c>
      <c r="D323" s="238" t="s">
        <v>95</v>
      </c>
      <c r="E323" s="238" t="s">
        <v>246</v>
      </c>
      <c r="F323" s="238" t="str">
        <f>C323</f>
        <v>2023 Actual</v>
      </c>
      <c r="G323" s="238" t="str">
        <f>D323</f>
        <v>2024 Actual</v>
      </c>
      <c r="H323" s="238" t="s">
        <v>42</v>
      </c>
      <c r="I323" s="238" t="s">
        <v>247</v>
      </c>
      <c r="J323" s="283"/>
      <c r="K323" s="238" t="s">
        <v>240</v>
      </c>
      <c r="L323" s="238" t="s">
        <v>241</v>
      </c>
      <c r="M323" s="238" t="s">
        <v>87</v>
      </c>
      <c r="N323" s="238" t="s">
        <v>95</v>
      </c>
      <c r="O323" s="238" t="s">
        <v>246</v>
      </c>
      <c r="P323" s="238" t="s">
        <v>262</v>
      </c>
      <c r="Q323" s="238" t="s">
        <v>263</v>
      </c>
      <c r="R323" s="238" t="s">
        <v>42</v>
      </c>
      <c r="S323" s="238" t="s">
        <v>247</v>
      </c>
      <c r="T323" s="283"/>
    </row>
    <row r="324" spans="1:20" x14ac:dyDescent="0.25">
      <c r="A324" s="232">
        <v>1</v>
      </c>
      <c r="B324" s="232" t="s">
        <v>51</v>
      </c>
      <c r="C324" s="240">
        <f>D312</f>
        <v>11213.5</v>
      </c>
      <c r="D324" s="252" cm="1">
        <f t="array" ref="D324:D330">TRANSPOSE('Rate Class Customer Model'!B11:H11)</f>
        <v>11298.5</v>
      </c>
      <c r="E324" s="252">
        <f>D324-C324</f>
        <v>85</v>
      </c>
      <c r="F324" s="240">
        <f>G312</f>
        <v>96458582.030000001</v>
      </c>
      <c r="G324" s="252">
        <f>'Rate Class Energy Model'!H11</f>
        <v>101363978.92</v>
      </c>
      <c r="H324" s="280" t="s">
        <v>44</v>
      </c>
      <c r="I324" s="252">
        <f>G324-F324</f>
        <v>4905396.8900000006</v>
      </c>
      <c r="J324" s="283">
        <f t="shared" si="72"/>
        <v>5.0854955430242092E-2</v>
      </c>
      <c r="K324" s="232">
        <v>1</v>
      </c>
      <c r="L324" s="232" t="s">
        <v>51</v>
      </c>
      <c r="M324" s="240">
        <f>N312</f>
        <v>11213.5</v>
      </c>
      <c r="N324" s="252">
        <f>K241</f>
        <v>11298.5</v>
      </c>
      <c r="O324" s="252">
        <f>N324-M324</f>
        <v>85</v>
      </c>
      <c r="P324" s="240">
        <f>Q312</f>
        <v>100007293.26288371</v>
      </c>
      <c r="Q324" s="252">
        <f>G324*'Power Purchased Model (WN)'!$O$160</f>
        <v>103046620.970072</v>
      </c>
      <c r="R324" s="280" t="s">
        <v>44</v>
      </c>
      <c r="S324" s="252">
        <f>Q324-P324</f>
        <v>3039327.7071882933</v>
      </c>
      <c r="T324" s="283">
        <f t="shared" si="68"/>
        <v>3.0391060571942276E-2</v>
      </c>
    </row>
    <row r="325" spans="1:20" x14ac:dyDescent="0.25">
      <c r="A325" s="232">
        <v>2</v>
      </c>
      <c r="B325" s="232" t="s">
        <v>57</v>
      </c>
      <c r="C325" s="240">
        <f t="shared" ref="C325:C330" si="83">D313</f>
        <v>1174.375</v>
      </c>
      <c r="D325" s="252">
        <v>1170</v>
      </c>
      <c r="E325" s="252">
        <f t="shared" ref="E325:E330" si="84">D325-C325</f>
        <v>-4.375</v>
      </c>
      <c r="F325" s="240">
        <f t="shared" ref="F325:F330" si="85">G313</f>
        <v>28828610.309999999</v>
      </c>
      <c r="G325" s="252">
        <f>'Rate Class Energy Model'!I11</f>
        <v>30766203.079999998</v>
      </c>
      <c r="H325" s="280" t="s">
        <v>44</v>
      </c>
      <c r="I325" s="252">
        <f t="shared" ref="I325:I330" si="86">G325-F325</f>
        <v>1937592.7699999996</v>
      </c>
      <c r="J325" s="283">
        <f t="shared" si="72"/>
        <v>6.7210758658314246E-2</v>
      </c>
      <c r="K325" s="232">
        <v>2</v>
      </c>
      <c r="L325" s="232" t="s">
        <v>57</v>
      </c>
      <c r="M325" s="240">
        <f t="shared" ref="M325:M330" si="87">N313</f>
        <v>1174.375</v>
      </c>
      <c r="N325" s="252">
        <f>K245</f>
        <v>1170</v>
      </c>
      <c r="O325" s="252">
        <f t="shared" ref="O325:O330" si="88">N325-M325</f>
        <v>-4.375</v>
      </c>
      <c r="P325" s="240">
        <f t="shared" ref="P325:P330" si="89">Q313</f>
        <v>29889214.883304901</v>
      </c>
      <c r="Q325" s="252">
        <f>G325*'Power Purchased Model (WN)'!$O$160</f>
        <v>31276922.051127996</v>
      </c>
      <c r="R325" s="280" t="s">
        <v>44</v>
      </c>
      <c r="S325" s="252">
        <f t="shared" ref="S325:S330" si="90">Q325-P325</f>
        <v>1387707.1678230949</v>
      </c>
      <c r="T325" s="283">
        <f t="shared" si="68"/>
        <v>4.6428357962598102E-2</v>
      </c>
    </row>
    <row r="326" spans="1:20" x14ac:dyDescent="0.25">
      <c r="A326" s="232">
        <v>3</v>
      </c>
      <c r="B326" s="232" t="s">
        <v>114</v>
      </c>
      <c r="C326" s="240">
        <f t="shared" si="83"/>
        <v>91.5</v>
      </c>
      <c r="D326" s="252">
        <v>90</v>
      </c>
      <c r="E326" s="252">
        <f t="shared" si="84"/>
        <v>-1.5</v>
      </c>
      <c r="F326" s="240">
        <f t="shared" si="85"/>
        <v>215106.83</v>
      </c>
      <c r="G326" s="252">
        <f>'Rate Class Load Model'!B10</f>
        <v>203008.10000000003</v>
      </c>
      <c r="H326" s="280" t="s">
        <v>45</v>
      </c>
      <c r="I326" s="252">
        <f t="shared" si="86"/>
        <v>-12098.729999999952</v>
      </c>
      <c r="J326" s="283">
        <f t="shared" si="72"/>
        <v>-5.6245215458755785E-2</v>
      </c>
      <c r="K326" s="232">
        <v>3</v>
      </c>
      <c r="L326" s="232" t="s">
        <v>114</v>
      </c>
      <c r="M326" s="240">
        <f t="shared" si="87"/>
        <v>91.5</v>
      </c>
      <c r="N326" s="252">
        <f>K249</f>
        <v>90</v>
      </c>
      <c r="O326" s="252">
        <f t="shared" si="88"/>
        <v>-1.5</v>
      </c>
      <c r="P326" s="240">
        <f t="shared" si="89"/>
        <v>215106.83</v>
      </c>
      <c r="Q326" s="252">
        <f>G326</f>
        <v>203008.10000000003</v>
      </c>
      <c r="R326" s="280" t="s">
        <v>45</v>
      </c>
      <c r="S326" s="252">
        <f t="shared" si="90"/>
        <v>-12098.729999999952</v>
      </c>
      <c r="T326" s="283">
        <f t="shared" si="68"/>
        <v>-5.6245215458755785E-2</v>
      </c>
    </row>
    <row r="327" spans="1:20" x14ac:dyDescent="0.25">
      <c r="A327" s="232">
        <v>4</v>
      </c>
      <c r="B327" s="274" t="s">
        <v>174</v>
      </c>
      <c r="C327" s="240">
        <f t="shared" si="83"/>
        <v>6</v>
      </c>
      <c r="D327" s="252">
        <v>6</v>
      </c>
      <c r="E327" s="252">
        <f t="shared" si="84"/>
        <v>0</v>
      </c>
      <c r="F327" s="240">
        <f t="shared" si="85"/>
        <v>127663.3</v>
      </c>
      <c r="G327" s="252">
        <f>'Rate Class Load Model'!C10</f>
        <v>121969.7</v>
      </c>
      <c r="H327" s="280" t="s">
        <v>45</v>
      </c>
      <c r="I327" s="252">
        <f t="shared" si="86"/>
        <v>-5693.6000000000058</v>
      </c>
      <c r="J327" s="283">
        <f t="shared" si="72"/>
        <v>-4.4598565131874282E-2</v>
      </c>
      <c r="K327" s="232">
        <v>4</v>
      </c>
      <c r="L327" s="274" t="s">
        <v>174</v>
      </c>
      <c r="M327" s="240">
        <f t="shared" si="87"/>
        <v>6</v>
      </c>
      <c r="N327" s="252">
        <f>K254</f>
        <v>6</v>
      </c>
      <c r="O327" s="252">
        <f t="shared" si="88"/>
        <v>0</v>
      </c>
      <c r="P327" s="240">
        <f t="shared" si="89"/>
        <v>127663.3</v>
      </c>
      <c r="Q327" s="252">
        <f>G327</f>
        <v>121969.7</v>
      </c>
      <c r="R327" s="280" t="s">
        <v>45</v>
      </c>
      <c r="S327" s="252">
        <f t="shared" si="90"/>
        <v>-5693.6000000000058</v>
      </c>
      <c r="T327" s="283">
        <f t="shared" si="68"/>
        <v>-4.4598565131874282E-2</v>
      </c>
    </row>
    <row r="328" spans="1:20" x14ac:dyDescent="0.25">
      <c r="A328" s="232">
        <v>5</v>
      </c>
      <c r="B328" s="232" t="s">
        <v>172</v>
      </c>
      <c r="C328" s="240">
        <f t="shared" si="83"/>
        <v>30</v>
      </c>
      <c r="D328" s="252">
        <v>29</v>
      </c>
      <c r="E328" s="252">
        <f t="shared" si="84"/>
        <v>-1</v>
      </c>
      <c r="F328" s="240">
        <f t="shared" si="85"/>
        <v>248859</v>
      </c>
      <c r="G328" s="252">
        <f>'Rate Class Energy Model'!L11</f>
        <v>250863.24</v>
      </c>
      <c r="H328" s="280" t="s">
        <v>44</v>
      </c>
      <c r="I328" s="252">
        <f t="shared" si="86"/>
        <v>2004.2399999999907</v>
      </c>
      <c r="J328" s="283">
        <f t="shared" si="72"/>
        <v>8.0537171651416696E-3</v>
      </c>
      <c r="K328" s="232">
        <v>5</v>
      </c>
      <c r="L328" s="232" t="s">
        <v>172</v>
      </c>
      <c r="M328" s="240">
        <f t="shared" si="87"/>
        <v>30</v>
      </c>
      <c r="N328" s="252">
        <f>K259</f>
        <v>29</v>
      </c>
      <c r="O328" s="252">
        <f t="shared" si="88"/>
        <v>-1</v>
      </c>
      <c r="P328" s="240">
        <f t="shared" si="89"/>
        <v>258014.52261000001</v>
      </c>
      <c r="Q328" s="252">
        <f>G328*'Power Purchased Model (WN)'!$O$160</f>
        <v>255027.56978399999</v>
      </c>
      <c r="R328" s="280" t="s">
        <v>44</v>
      </c>
      <c r="S328" s="252">
        <f t="shared" si="90"/>
        <v>-2986.9528260000225</v>
      </c>
      <c r="T328" s="283">
        <f t="shared" si="68"/>
        <v>-1.157668489271408E-2</v>
      </c>
    </row>
    <row r="329" spans="1:20" x14ac:dyDescent="0.25">
      <c r="A329" s="232">
        <v>6</v>
      </c>
      <c r="B329" s="232" t="s">
        <v>78</v>
      </c>
      <c r="C329" s="240">
        <f t="shared" si="83"/>
        <v>73</v>
      </c>
      <c r="D329" s="252">
        <v>73</v>
      </c>
      <c r="E329" s="252">
        <f t="shared" si="84"/>
        <v>0</v>
      </c>
      <c r="F329" s="240">
        <f t="shared" si="85"/>
        <v>357.1</v>
      </c>
      <c r="G329" s="252">
        <f>'Rate Class Load Model'!D10</f>
        <v>352</v>
      </c>
      <c r="H329" s="280" t="s">
        <v>45</v>
      </c>
      <c r="I329" s="252">
        <f t="shared" si="86"/>
        <v>-5.1000000000000227</v>
      </c>
      <c r="J329" s="283">
        <f t="shared" si="72"/>
        <v>-1.4281713805656742E-2</v>
      </c>
      <c r="K329" s="232">
        <v>6</v>
      </c>
      <c r="L329" s="232" t="s">
        <v>78</v>
      </c>
      <c r="M329" s="240">
        <f t="shared" si="87"/>
        <v>73</v>
      </c>
      <c r="N329" s="252">
        <f>K263</f>
        <v>73</v>
      </c>
      <c r="O329" s="252">
        <f t="shared" si="88"/>
        <v>0</v>
      </c>
      <c r="P329" s="240">
        <f t="shared" si="89"/>
        <v>357.1</v>
      </c>
      <c r="Q329" s="252">
        <f>G329</f>
        <v>352</v>
      </c>
      <c r="R329" s="280" t="s">
        <v>45</v>
      </c>
      <c r="S329" s="252">
        <f t="shared" si="90"/>
        <v>-5.1000000000000227</v>
      </c>
      <c r="T329" s="283">
        <f t="shared" si="68"/>
        <v>-1.4281713805656742E-2</v>
      </c>
    </row>
    <row r="330" spans="1:20" x14ac:dyDescent="0.25">
      <c r="A330" s="232">
        <v>7</v>
      </c>
      <c r="B330" s="232" t="s">
        <v>193</v>
      </c>
      <c r="C330" s="240">
        <f t="shared" si="83"/>
        <v>3162</v>
      </c>
      <c r="D330" s="252">
        <v>3158</v>
      </c>
      <c r="E330" s="252">
        <f t="shared" si="84"/>
        <v>-4</v>
      </c>
      <c r="F330" s="240">
        <f t="shared" si="85"/>
        <v>3319.34</v>
      </c>
      <c r="G330" s="252">
        <f>'Rate Class Load Model'!E10</f>
        <v>3338.8</v>
      </c>
      <c r="H330" s="280" t="s">
        <v>45</v>
      </c>
      <c r="I330" s="252">
        <f t="shared" si="86"/>
        <v>19.460000000000036</v>
      </c>
      <c r="J330" s="283">
        <f t="shared" si="72"/>
        <v>5.8626112419939008E-3</v>
      </c>
      <c r="K330" s="232">
        <v>7</v>
      </c>
      <c r="L330" s="232" t="s">
        <v>193</v>
      </c>
      <c r="M330" s="240">
        <f t="shared" si="87"/>
        <v>3162</v>
      </c>
      <c r="N330" s="252">
        <f>K268</f>
        <v>3158</v>
      </c>
      <c r="O330" s="252">
        <f t="shared" si="88"/>
        <v>-4</v>
      </c>
      <c r="P330" s="240">
        <f t="shared" si="89"/>
        <v>3319.34</v>
      </c>
      <c r="Q330" s="252">
        <f>G330</f>
        <v>3338.8</v>
      </c>
      <c r="R330" s="280" t="s">
        <v>45</v>
      </c>
      <c r="S330" s="252">
        <f t="shared" si="90"/>
        <v>19.460000000000036</v>
      </c>
      <c r="T330" s="283">
        <f t="shared" si="68"/>
        <v>5.8626112419939008E-3</v>
      </c>
    </row>
    <row r="331" spans="1:20" x14ac:dyDescent="0.25">
      <c r="A331" s="239">
        <v>8</v>
      </c>
      <c r="B331" s="239" t="s">
        <v>5</v>
      </c>
      <c r="C331" s="275">
        <f>SUM(C324:C330)</f>
        <v>15750.375</v>
      </c>
      <c r="D331" s="275">
        <f>SUM(D324:D330)</f>
        <v>15824.5</v>
      </c>
      <c r="E331" s="275">
        <f>SUM(E324:E330)</f>
        <v>74.125</v>
      </c>
      <c r="F331" s="275"/>
      <c r="G331" s="275"/>
      <c r="H331" s="275"/>
      <c r="I331" s="275"/>
      <c r="J331" s="283"/>
      <c r="K331" s="239">
        <v>8</v>
      </c>
      <c r="L331" s="239" t="s">
        <v>5</v>
      </c>
      <c r="M331" s="275">
        <f>SUM(M324:M330)</f>
        <v>15750.375</v>
      </c>
      <c r="N331" s="275">
        <f>SUM(N324:N330)</f>
        <v>15824.5</v>
      </c>
      <c r="O331" s="275">
        <f>SUM(O324:O330)</f>
        <v>74.125</v>
      </c>
      <c r="P331" s="275"/>
      <c r="Q331" s="275"/>
      <c r="R331" s="275"/>
      <c r="S331" s="275"/>
      <c r="T331" s="283"/>
    </row>
    <row r="332" spans="1:20" x14ac:dyDescent="0.25">
      <c r="J332" s="283"/>
      <c r="T332" s="283"/>
    </row>
    <row r="333" spans="1:20" x14ac:dyDescent="0.25">
      <c r="A333" s="235" t="s">
        <v>258</v>
      </c>
      <c r="J333" s="283"/>
      <c r="K333" s="235" t="s">
        <v>259</v>
      </c>
      <c r="T333" s="283"/>
    </row>
    <row r="334" spans="1:20" x14ac:dyDescent="0.25">
      <c r="A334" s="303"/>
      <c r="B334" s="304"/>
      <c r="C334" s="305" t="s">
        <v>242</v>
      </c>
      <c r="D334" s="305"/>
      <c r="E334" s="305"/>
      <c r="F334" s="305" t="s">
        <v>244</v>
      </c>
      <c r="G334" s="305"/>
      <c r="H334" s="305"/>
      <c r="I334" s="305"/>
      <c r="J334" s="283"/>
      <c r="K334" s="303"/>
      <c r="L334" s="304"/>
      <c r="M334" s="305" t="s">
        <v>242</v>
      </c>
      <c r="N334" s="305"/>
      <c r="O334" s="305"/>
      <c r="P334" s="305" t="s">
        <v>244</v>
      </c>
      <c r="Q334" s="305"/>
      <c r="R334" s="305"/>
      <c r="S334" s="305"/>
      <c r="T334" s="283"/>
    </row>
    <row r="335" spans="1:20" ht="30" x14ac:dyDescent="0.25">
      <c r="A335" s="238" t="s">
        <v>240</v>
      </c>
      <c r="B335" s="238" t="s">
        <v>241</v>
      </c>
      <c r="C335" s="238" t="s">
        <v>95</v>
      </c>
      <c r="D335" s="238" t="s">
        <v>148</v>
      </c>
      <c r="E335" s="238" t="s">
        <v>246</v>
      </c>
      <c r="F335" s="238" t="str">
        <f>C335</f>
        <v>2024 Actual</v>
      </c>
      <c r="G335" s="238" t="str">
        <f>D335</f>
        <v>2025 Actual</v>
      </c>
      <c r="H335" s="238" t="s">
        <v>42</v>
      </c>
      <c r="I335" s="238" t="s">
        <v>247</v>
      </c>
      <c r="J335" s="283"/>
      <c r="K335" s="238" t="s">
        <v>240</v>
      </c>
      <c r="L335" s="238" t="s">
        <v>241</v>
      </c>
      <c r="M335" s="238" t="s">
        <v>95</v>
      </c>
      <c r="N335" s="238" t="s">
        <v>148</v>
      </c>
      <c r="O335" s="238" t="s">
        <v>246</v>
      </c>
      <c r="P335" s="238" t="s">
        <v>264</v>
      </c>
      <c r="Q335" s="238" t="s">
        <v>265</v>
      </c>
      <c r="R335" s="238" t="s">
        <v>42</v>
      </c>
      <c r="S335" s="238" t="s">
        <v>247</v>
      </c>
      <c r="T335" s="283"/>
    </row>
    <row r="336" spans="1:20" x14ac:dyDescent="0.25">
      <c r="A336" s="232">
        <v>1</v>
      </c>
      <c r="B336" s="232" t="s">
        <v>51</v>
      </c>
      <c r="C336" s="240">
        <f>D324</f>
        <v>11298.5</v>
      </c>
      <c r="D336" s="252" cm="1">
        <f t="array" ref="D336:D342">TRANSPOSE('Rate Class Customer Model'!B12:H12)</f>
        <v>11354.5</v>
      </c>
      <c r="E336" s="252">
        <f>D336-C336</f>
        <v>56</v>
      </c>
      <c r="F336" s="240">
        <f>G324</f>
        <v>101363978.92</v>
      </c>
      <c r="G336" s="252">
        <f>'Rate Class Energy Model'!H12</f>
        <v>104661543.73999999</v>
      </c>
      <c r="H336" s="280" t="s">
        <v>44</v>
      </c>
      <c r="I336" s="252">
        <f>G336-F336</f>
        <v>3297564.8199999928</v>
      </c>
      <c r="J336" s="283">
        <f t="shared" si="72"/>
        <v>3.253191967338364E-2</v>
      </c>
      <c r="K336" s="232">
        <v>1</v>
      </c>
      <c r="L336" s="232" t="s">
        <v>51</v>
      </c>
      <c r="M336" s="240">
        <f>N324</f>
        <v>11298.5</v>
      </c>
      <c r="N336" s="252">
        <f>L241</f>
        <v>11354.5</v>
      </c>
      <c r="O336" s="252">
        <f>N336-M336</f>
        <v>56</v>
      </c>
      <c r="P336" s="240">
        <f>Q324</f>
        <v>103046620.970072</v>
      </c>
      <c r="Q336" s="252">
        <f>G336*'Power Purchased Model (WN)'!$O$161</f>
        <v>104241850.9496026</v>
      </c>
      <c r="R336" s="280" t="s">
        <v>44</v>
      </c>
      <c r="S336" s="252">
        <f>Q336-P336</f>
        <v>1195229.9795306027</v>
      </c>
      <c r="T336" s="283">
        <f t="shared" si="68"/>
        <v>1.1598924528323304E-2</v>
      </c>
    </row>
    <row r="337" spans="1:25" x14ac:dyDescent="0.25">
      <c r="A337" s="232">
        <v>2</v>
      </c>
      <c r="B337" s="232" t="s">
        <v>57</v>
      </c>
      <c r="C337" s="240">
        <f t="shared" ref="C337:C342" si="91">D325</f>
        <v>1170</v>
      </c>
      <c r="D337" s="252">
        <v>1179</v>
      </c>
      <c r="E337" s="252">
        <f t="shared" ref="E337:E342" si="92">D337-C337</f>
        <v>9</v>
      </c>
      <c r="F337" s="240">
        <f t="shared" ref="F337:F342" si="93">G325</f>
        <v>30766203.079999998</v>
      </c>
      <c r="G337" s="252">
        <f>'Rate Class Energy Model'!I12</f>
        <v>31964518.84</v>
      </c>
      <c r="H337" s="280" t="s">
        <v>44</v>
      </c>
      <c r="I337" s="252">
        <f t="shared" ref="I337:I342" si="94">G337-F337</f>
        <v>1198315.7600000016</v>
      </c>
      <c r="J337" s="283">
        <f t="shared" si="72"/>
        <v>3.8949094787032193E-2</v>
      </c>
      <c r="K337" s="232">
        <v>2</v>
      </c>
      <c r="L337" s="232" t="s">
        <v>57</v>
      </c>
      <c r="M337" s="240">
        <f t="shared" ref="M337:M342" si="95">N325</f>
        <v>1170</v>
      </c>
      <c r="N337" s="252">
        <f>L245</f>
        <v>1179</v>
      </c>
      <c r="O337" s="252">
        <f t="shared" ref="O337:O342" si="96">N337-M337</f>
        <v>9</v>
      </c>
      <c r="P337" s="240">
        <f t="shared" ref="P337:P342" si="97">Q325</f>
        <v>31276922.051127996</v>
      </c>
      <c r="Q337" s="252">
        <f>G337*'Power Purchased Model (WN)'!$O$161</f>
        <v>31836341.119451601</v>
      </c>
      <c r="R337" s="280" t="s">
        <v>44</v>
      </c>
      <c r="S337" s="252">
        <f t="shared" ref="S337:S342" si="98">Q337-P337</f>
        <v>559419.06832360476</v>
      </c>
      <c r="T337" s="283">
        <f t="shared" si="68"/>
        <v>1.7886001295432118E-2</v>
      </c>
    </row>
    <row r="338" spans="1:25" x14ac:dyDescent="0.25">
      <c r="A338" s="232">
        <v>3</v>
      </c>
      <c r="B338" s="232" t="s">
        <v>114</v>
      </c>
      <c r="C338" s="240">
        <f t="shared" si="91"/>
        <v>90</v>
      </c>
      <c r="D338" s="252">
        <v>89</v>
      </c>
      <c r="E338" s="252">
        <f t="shared" si="92"/>
        <v>-1</v>
      </c>
      <c r="F338" s="240">
        <f t="shared" si="93"/>
        <v>203008.10000000003</v>
      </c>
      <c r="G338" s="252">
        <f>'Rate Class Load Model'!B11</f>
        <v>203060.9</v>
      </c>
      <c r="H338" s="280" t="s">
        <v>45</v>
      </c>
      <c r="I338" s="252">
        <f t="shared" si="94"/>
        <v>52.799999999959255</v>
      </c>
      <c r="J338" s="283">
        <f t="shared" si="72"/>
        <v>2.6008814426596398E-4</v>
      </c>
      <c r="K338" s="232">
        <v>3</v>
      </c>
      <c r="L338" s="232" t="s">
        <v>114</v>
      </c>
      <c r="M338" s="240">
        <f t="shared" si="95"/>
        <v>90</v>
      </c>
      <c r="N338" s="252">
        <f>L249</f>
        <v>89</v>
      </c>
      <c r="O338" s="252">
        <f t="shared" si="96"/>
        <v>-1</v>
      </c>
      <c r="P338" s="240">
        <f t="shared" si="97"/>
        <v>203008.10000000003</v>
      </c>
      <c r="Q338" s="252">
        <f>G338</f>
        <v>203060.9</v>
      </c>
      <c r="R338" s="280" t="s">
        <v>45</v>
      </c>
      <c r="S338" s="252">
        <f t="shared" si="98"/>
        <v>52.799999999959255</v>
      </c>
      <c r="T338" s="283">
        <f t="shared" si="68"/>
        <v>2.6008814426596398E-4</v>
      </c>
    </row>
    <row r="339" spans="1:25" x14ac:dyDescent="0.25">
      <c r="A339" s="232">
        <v>4</v>
      </c>
      <c r="B339" s="274" t="s">
        <v>174</v>
      </c>
      <c r="C339" s="240">
        <f t="shared" si="91"/>
        <v>6</v>
      </c>
      <c r="D339" s="252">
        <v>6</v>
      </c>
      <c r="E339" s="252">
        <f t="shared" si="92"/>
        <v>0</v>
      </c>
      <c r="F339" s="240">
        <f t="shared" si="93"/>
        <v>121969.7</v>
      </c>
      <c r="G339" s="252">
        <f>'Rate Class Load Model'!C11</f>
        <v>116093.29</v>
      </c>
      <c r="H339" s="280" t="s">
        <v>45</v>
      </c>
      <c r="I339" s="252">
        <f t="shared" si="94"/>
        <v>-5876.4100000000035</v>
      </c>
      <c r="J339" s="283">
        <f t="shared" si="72"/>
        <v>-4.8179260914801E-2</v>
      </c>
      <c r="K339" s="232">
        <v>4</v>
      </c>
      <c r="L339" s="274" t="s">
        <v>174</v>
      </c>
      <c r="M339" s="240">
        <f t="shared" si="95"/>
        <v>6</v>
      </c>
      <c r="N339" s="252">
        <f>L254</f>
        <v>6</v>
      </c>
      <c r="O339" s="252">
        <f t="shared" si="96"/>
        <v>0</v>
      </c>
      <c r="P339" s="240">
        <f t="shared" si="97"/>
        <v>121969.7</v>
      </c>
      <c r="Q339" s="252">
        <f>G339</f>
        <v>116093.29</v>
      </c>
      <c r="R339" s="280" t="s">
        <v>45</v>
      </c>
      <c r="S339" s="252">
        <f t="shared" si="98"/>
        <v>-5876.4100000000035</v>
      </c>
      <c r="T339" s="283">
        <f t="shared" si="68"/>
        <v>-4.8179260914801E-2</v>
      </c>
    </row>
    <row r="340" spans="1:25" x14ac:dyDescent="0.25">
      <c r="A340" s="232">
        <v>5</v>
      </c>
      <c r="B340" s="232" t="s">
        <v>172</v>
      </c>
      <c r="C340" s="240">
        <f t="shared" si="91"/>
        <v>29</v>
      </c>
      <c r="D340" s="252">
        <v>29</v>
      </c>
      <c r="E340" s="252">
        <f t="shared" si="92"/>
        <v>0</v>
      </c>
      <c r="F340" s="240">
        <f t="shared" si="93"/>
        <v>250863.24</v>
      </c>
      <c r="G340" s="252">
        <f>'Rate Class Energy Model'!L12</f>
        <v>235012.72</v>
      </c>
      <c r="H340" s="280" t="s">
        <v>44</v>
      </c>
      <c r="I340" s="252">
        <f t="shared" si="94"/>
        <v>-15850.51999999999</v>
      </c>
      <c r="J340" s="283">
        <f t="shared" si="72"/>
        <v>-6.3183908491335719E-2</v>
      </c>
      <c r="K340" s="232">
        <v>5</v>
      </c>
      <c r="L340" s="232" t="s">
        <v>172</v>
      </c>
      <c r="M340" s="240">
        <f t="shared" si="95"/>
        <v>29</v>
      </c>
      <c r="N340" s="252">
        <f>L259</f>
        <v>29</v>
      </c>
      <c r="O340" s="252">
        <f t="shared" si="96"/>
        <v>0</v>
      </c>
      <c r="P340" s="240">
        <f t="shared" si="97"/>
        <v>255027.56978399999</v>
      </c>
      <c r="Q340" s="252">
        <f>G340*'Power Purchased Model (WN)'!$O$161</f>
        <v>234070.31899280002</v>
      </c>
      <c r="R340" s="280" t="s">
        <v>44</v>
      </c>
      <c r="S340" s="252">
        <f t="shared" si="98"/>
        <v>-20957.250791199971</v>
      </c>
      <c r="T340" s="283">
        <f t="shared" si="68"/>
        <v>-8.2176412569629542E-2</v>
      </c>
    </row>
    <row r="341" spans="1:25" x14ac:dyDescent="0.25">
      <c r="A341" s="232">
        <v>6</v>
      </c>
      <c r="B341" s="232" t="s">
        <v>78</v>
      </c>
      <c r="C341" s="240">
        <f t="shared" si="91"/>
        <v>73</v>
      </c>
      <c r="D341" s="252">
        <v>73</v>
      </c>
      <c r="E341" s="252">
        <f t="shared" si="92"/>
        <v>0</v>
      </c>
      <c r="F341" s="240">
        <f t="shared" si="93"/>
        <v>352</v>
      </c>
      <c r="G341" s="252">
        <f>'Rate Class Load Model'!D11</f>
        <v>375.7</v>
      </c>
      <c r="H341" s="280" t="s">
        <v>45</v>
      </c>
      <c r="I341" s="252">
        <f t="shared" si="94"/>
        <v>23.699999999999989</v>
      </c>
      <c r="J341" s="283">
        <f t="shared" si="72"/>
        <v>6.732954545454542E-2</v>
      </c>
      <c r="K341" s="232">
        <v>6</v>
      </c>
      <c r="L341" s="232" t="s">
        <v>78</v>
      </c>
      <c r="M341" s="240">
        <f t="shared" si="95"/>
        <v>73</v>
      </c>
      <c r="N341" s="252">
        <f>L263</f>
        <v>73</v>
      </c>
      <c r="O341" s="252">
        <f t="shared" si="96"/>
        <v>0</v>
      </c>
      <c r="P341" s="240">
        <f t="shared" si="97"/>
        <v>352</v>
      </c>
      <c r="Q341" s="252">
        <f>G341</f>
        <v>375.7</v>
      </c>
      <c r="R341" s="280" t="s">
        <v>45</v>
      </c>
      <c r="S341" s="252">
        <f t="shared" si="98"/>
        <v>23.699999999999989</v>
      </c>
      <c r="T341" s="283">
        <f t="shared" si="68"/>
        <v>6.732954545454542E-2</v>
      </c>
    </row>
    <row r="342" spans="1:25" x14ac:dyDescent="0.25">
      <c r="A342" s="232">
        <v>7</v>
      </c>
      <c r="B342" s="232" t="s">
        <v>193</v>
      </c>
      <c r="C342" s="240">
        <f t="shared" si="91"/>
        <v>3158</v>
      </c>
      <c r="D342" s="252">
        <v>3158.5</v>
      </c>
      <c r="E342" s="252">
        <f t="shared" si="92"/>
        <v>0.5</v>
      </c>
      <c r="F342" s="240">
        <f t="shared" si="93"/>
        <v>3338.8</v>
      </c>
      <c r="G342" s="252">
        <f>'Rate Class Load Model'!E11</f>
        <v>3367.1</v>
      </c>
      <c r="H342" s="280" t="s">
        <v>45</v>
      </c>
      <c r="I342" s="252">
        <f t="shared" si="94"/>
        <v>28.299999999999727</v>
      </c>
      <c r="J342" s="283">
        <f t="shared" si="72"/>
        <v>8.4760991973163186E-3</v>
      </c>
      <c r="K342" s="232">
        <v>7</v>
      </c>
      <c r="L342" s="232" t="s">
        <v>193</v>
      </c>
      <c r="M342" s="240">
        <f t="shared" si="95"/>
        <v>3158</v>
      </c>
      <c r="N342" s="252">
        <f>L268</f>
        <v>3158.5</v>
      </c>
      <c r="O342" s="252">
        <f t="shared" si="96"/>
        <v>0.5</v>
      </c>
      <c r="P342" s="240">
        <f t="shared" si="97"/>
        <v>3338.8</v>
      </c>
      <c r="Q342" s="252">
        <f>G342</f>
        <v>3367.1</v>
      </c>
      <c r="R342" s="280" t="s">
        <v>45</v>
      </c>
      <c r="S342" s="252">
        <f t="shared" si="98"/>
        <v>28.299999999999727</v>
      </c>
      <c r="T342" s="283">
        <f t="shared" si="68"/>
        <v>8.4760991973163186E-3</v>
      </c>
    </row>
    <row r="343" spans="1:25" x14ac:dyDescent="0.25">
      <c r="A343" s="239">
        <v>8</v>
      </c>
      <c r="B343" s="239" t="s">
        <v>5</v>
      </c>
      <c r="C343" s="275">
        <f>SUM(C336:C342)</f>
        <v>15824.5</v>
      </c>
      <c r="D343" s="275">
        <f>SUM(D336:D342)</f>
        <v>15889</v>
      </c>
      <c r="E343" s="275">
        <f>SUM(E336:E342)</f>
        <v>64.5</v>
      </c>
      <c r="F343" s="275"/>
      <c r="G343" s="275"/>
      <c r="H343" s="275"/>
      <c r="I343" s="275"/>
      <c r="J343" s="283"/>
      <c r="K343" s="239">
        <v>8</v>
      </c>
      <c r="L343" s="239" t="s">
        <v>5</v>
      </c>
      <c r="M343" s="275">
        <f>SUM(M336:M342)</f>
        <v>15824.5</v>
      </c>
      <c r="N343" s="275">
        <f>SUM(N336:N342)</f>
        <v>15889</v>
      </c>
      <c r="O343" s="275">
        <f>SUM(O336:O342)</f>
        <v>64.5</v>
      </c>
      <c r="P343" s="275"/>
      <c r="Q343" s="275"/>
      <c r="R343" s="275"/>
      <c r="S343" s="275"/>
      <c r="T343" s="283"/>
    </row>
    <row r="344" spans="1:25" x14ac:dyDescent="0.25">
      <c r="J344" s="283"/>
      <c r="T344" s="283"/>
    </row>
    <row r="345" spans="1:25" x14ac:dyDescent="0.25">
      <c r="A345" s="235" t="s">
        <v>269</v>
      </c>
      <c r="J345" s="283"/>
      <c r="K345" s="235" t="s">
        <v>267</v>
      </c>
      <c r="T345" s="283"/>
    </row>
    <row r="346" spans="1:25" x14ac:dyDescent="0.25">
      <c r="A346" s="303"/>
      <c r="B346" s="304"/>
      <c r="C346" s="305" t="s">
        <v>242</v>
      </c>
      <c r="D346" s="305"/>
      <c r="E346" s="305"/>
      <c r="F346" s="305" t="s">
        <v>244</v>
      </c>
      <c r="G346" s="305"/>
      <c r="H346" s="305"/>
      <c r="I346" s="305"/>
      <c r="J346" s="283"/>
      <c r="K346" s="303"/>
      <c r="L346" s="304"/>
      <c r="M346" s="305" t="s">
        <v>242</v>
      </c>
      <c r="N346" s="305"/>
      <c r="O346" s="305"/>
      <c r="P346" s="305" t="s">
        <v>244</v>
      </c>
      <c r="Q346" s="305"/>
      <c r="R346" s="305"/>
      <c r="S346" s="305"/>
      <c r="T346" s="283"/>
    </row>
    <row r="347" spans="1:25" ht="30" x14ac:dyDescent="0.25">
      <c r="A347" s="238" t="s">
        <v>240</v>
      </c>
      <c r="B347" s="238" t="s">
        <v>241</v>
      </c>
      <c r="C347" s="238" t="s">
        <v>148</v>
      </c>
      <c r="D347" s="238" t="s">
        <v>270</v>
      </c>
      <c r="E347" s="238" t="s">
        <v>246</v>
      </c>
      <c r="F347" s="238" t="str">
        <f>G335</f>
        <v>2025 Actual</v>
      </c>
      <c r="G347" s="238" t="s">
        <v>266</v>
      </c>
      <c r="H347" s="238" t="s">
        <v>42</v>
      </c>
      <c r="I347" s="238" t="s">
        <v>247</v>
      </c>
      <c r="J347" s="283"/>
      <c r="K347" s="238" t="s">
        <v>240</v>
      </c>
      <c r="L347" s="238" t="s">
        <v>241</v>
      </c>
      <c r="M347" s="238" t="s">
        <v>148</v>
      </c>
      <c r="N347" s="238" t="s">
        <v>270</v>
      </c>
      <c r="O347" s="238" t="s">
        <v>246</v>
      </c>
      <c r="P347" s="238" t="str">
        <f>Q335</f>
        <v>2025 Normal</v>
      </c>
      <c r="Q347" s="238" t="s">
        <v>266</v>
      </c>
      <c r="R347" s="238" t="s">
        <v>42</v>
      </c>
      <c r="S347" s="238" t="s">
        <v>247</v>
      </c>
      <c r="T347" s="283"/>
      <c r="V347" s="5">
        <f>SUM('Power Purchased Model'!H111:H122)</f>
        <v>3399.3999999999996</v>
      </c>
      <c r="X347" s="5">
        <f>SUM('Power Purchased Model'!I111:I122)</f>
        <v>455.4666666666667</v>
      </c>
    </row>
    <row r="348" spans="1:25" x14ac:dyDescent="0.25">
      <c r="A348" s="232">
        <v>1</v>
      </c>
      <c r="B348" s="232" t="s">
        <v>51</v>
      </c>
      <c r="C348" s="240">
        <f>D336</f>
        <v>11354.5</v>
      </c>
      <c r="D348" s="252">
        <f>N348</f>
        <v>11422.71233211763</v>
      </c>
      <c r="E348" s="252">
        <f>D348-C348</f>
        <v>68.212332117629558</v>
      </c>
      <c r="F348" s="240">
        <f>G336</f>
        <v>104661543.73999999</v>
      </c>
      <c r="G348" s="252">
        <f>Q348</f>
        <v>106440813.26250607</v>
      </c>
      <c r="H348" s="280" t="s">
        <v>44</v>
      </c>
      <c r="I348" s="252">
        <f>G348-F348</f>
        <v>1779269.5225060731</v>
      </c>
      <c r="J348" s="283">
        <f>I348/F348</f>
        <v>1.7000222421008151E-2</v>
      </c>
      <c r="K348" s="232">
        <v>1</v>
      </c>
      <c r="L348" s="232" t="s">
        <v>51</v>
      </c>
      <c r="M348" s="240">
        <f>N336</f>
        <v>11354.5</v>
      </c>
      <c r="N348" s="252">
        <f>M241</f>
        <v>11422.71233211763</v>
      </c>
      <c r="O348" s="252">
        <f>N348-M348</f>
        <v>68.212332117629558</v>
      </c>
      <c r="P348" s="240">
        <f>Q336</f>
        <v>104241850.9496026</v>
      </c>
      <c r="Q348" s="252">
        <f>M242</f>
        <v>106440813.26250607</v>
      </c>
      <c r="R348" s="280" t="s">
        <v>44</v>
      </c>
      <c r="S348" s="252">
        <f>Q348-P348</f>
        <v>2198962.3129034638</v>
      </c>
      <c r="T348" s="283">
        <f>S348/P348</f>
        <v>2.1094812619612706E-2</v>
      </c>
      <c r="V348" s="12">
        <f>SUM('Power Purchased Model'!H123:H134)</f>
        <v>3208.5799999999995</v>
      </c>
      <c r="W348" s="284">
        <f>V348-V347</f>
        <v>-190.82000000000016</v>
      </c>
      <c r="X348" s="12">
        <f>SUM('Power Purchased Model'!I123:I134)</f>
        <v>458.88666666666666</v>
      </c>
      <c r="Y348" s="284">
        <f>X348-X347</f>
        <v>3.4199999999999591</v>
      </c>
    </row>
    <row r="349" spans="1:25" x14ac:dyDescent="0.25">
      <c r="A349" s="232">
        <v>2</v>
      </c>
      <c r="B349" s="232" t="s">
        <v>57</v>
      </c>
      <c r="C349" s="240">
        <f t="shared" ref="C349:C354" si="99">D337</f>
        <v>1179</v>
      </c>
      <c r="D349" s="252">
        <f t="shared" ref="D349:D354" si="100">N349</f>
        <v>1188.0692307692307</v>
      </c>
      <c r="E349" s="252">
        <f t="shared" ref="E349:E354" si="101">D349-C349</f>
        <v>9.0692307692306713</v>
      </c>
      <c r="F349" s="240">
        <f t="shared" ref="F349:F354" si="102">G337</f>
        <v>31964518.84</v>
      </c>
      <c r="G349" s="252">
        <f t="shared" ref="G349:G354" si="103">Q349</f>
        <v>32562364.810462572</v>
      </c>
      <c r="H349" s="280" t="s">
        <v>44</v>
      </c>
      <c r="I349" s="252">
        <f t="shared" ref="I349:I354" si="104">G349-F349</f>
        <v>597845.97046257183</v>
      </c>
      <c r="J349" s="283">
        <f t="shared" ref="J349:J354" si="105">I349/F349</f>
        <v>1.8703424677065209E-2</v>
      </c>
      <c r="K349" s="232">
        <v>2</v>
      </c>
      <c r="L349" s="232" t="s">
        <v>57</v>
      </c>
      <c r="M349" s="240">
        <f t="shared" ref="M349:M354" si="106">N337</f>
        <v>1179</v>
      </c>
      <c r="N349" s="252">
        <f>M245</f>
        <v>1188.0692307692307</v>
      </c>
      <c r="O349" s="252">
        <f t="shared" ref="O349:O354" si="107">N349-M349</f>
        <v>9.0692307692306713</v>
      </c>
      <c r="P349" s="240">
        <f t="shared" ref="P349:P354" si="108">Q337</f>
        <v>31836341.119451601</v>
      </c>
      <c r="Q349" s="252">
        <f>M246</f>
        <v>32562364.810462572</v>
      </c>
      <c r="R349" s="280" t="s">
        <v>44</v>
      </c>
      <c r="S349" s="252">
        <f t="shared" ref="S349:S354" si="109">Q349-P349</f>
        <v>726023.69101097062</v>
      </c>
      <c r="T349" s="283">
        <f t="shared" ref="T349:T366" si="110">S349/P349</f>
        <v>2.2804872214645902E-2</v>
      </c>
      <c r="V349" s="12">
        <f>SUM('Power Purchased Model'!H135:H146)</f>
        <v>3208.5799999999995</v>
      </c>
      <c r="W349" s="284">
        <f>V349-V348</f>
        <v>0</v>
      </c>
      <c r="X349" s="12">
        <f>SUM('Power Purchased Model'!I135:I146)</f>
        <v>458.88666666666666</v>
      </c>
    </row>
    <row r="350" spans="1:25" x14ac:dyDescent="0.25">
      <c r="A350" s="232">
        <v>3</v>
      </c>
      <c r="B350" s="232" t="s">
        <v>114</v>
      </c>
      <c r="C350" s="240">
        <f t="shared" si="99"/>
        <v>89</v>
      </c>
      <c r="D350" s="252">
        <f t="shared" si="100"/>
        <v>89</v>
      </c>
      <c r="E350" s="252">
        <f t="shared" si="101"/>
        <v>0</v>
      </c>
      <c r="F350" s="240">
        <f t="shared" si="102"/>
        <v>203060.9</v>
      </c>
      <c r="G350" s="252">
        <f t="shared" si="103"/>
        <v>204673.23289215044</v>
      </c>
      <c r="H350" s="280" t="s">
        <v>45</v>
      </c>
      <c r="I350" s="252">
        <f t="shared" si="104"/>
        <v>1612.3328921504435</v>
      </c>
      <c r="J350" s="283">
        <f t="shared" si="105"/>
        <v>7.9401445189617673E-3</v>
      </c>
      <c r="K350" s="232">
        <v>3</v>
      </c>
      <c r="L350" s="232" t="s">
        <v>114</v>
      </c>
      <c r="M350" s="240">
        <f t="shared" si="106"/>
        <v>89</v>
      </c>
      <c r="N350" s="252">
        <f>M249</f>
        <v>89</v>
      </c>
      <c r="O350" s="252">
        <f t="shared" si="107"/>
        <v>0</v>
      </c>
      <c r="P350" s="240">
        <f t="shared" si="108"/>
        <v>203060.9</v>
      </c>
      <c r="Q350" s="252">
        <f>M251</f>
        <v>204673.23289215044</v>
      </c>
      <c r="R350" s="280" t="s">
        <v>45</v>
      </c>
      <c r="S350" s="252">
        <f t="shared" si="109"/>
        <v>1612.3328921504435</v>
      </c>
      <c r="T350" s="283">
        <f t="shared" si="110"/>
        <v>7.9401445189617673E-3</v>
      </c>
    </row>
    <row r="351" spans="1:25" x14ac:dyDescent="0.25">
      <c r="A351" s="232">
        <v>4</v>
      </c>
      <c r="B351" s="274" t="s">
        <v>174</v>
      </c>
      <c r="C351" s="240">
        <f t="shared" si="99"/>
        <v>6</v>
      </c>
      <c r="D351" s="252">
        <f t="shared" si="100"/>
        <v>6</v>
      </c>
      <c r="E351" s="252">
        <f t="shared" si="101"/>
        <v>0</v>
      </c>
      <c r="F351" s="240">
        <f t="shared" si="102"/>
        <v>116093.29</v>
      </c>
      <c r="G351" s="252">
        <f t="shared" si="103"/>
        <v>116093.29</v>
      </c>
      <c r="H351" s="280" t="s">
        <v>45</v>
      </c>
      <c r="I351" s="252">
        <f t="shared" si="104"/>
        <v>0</v>
      </c>
      <c r="J351" s="283">
        <f t="shared" si="105"/>
        <v>0</v>
      </c>
      <c r="K351" s="232">
        <v>4</v>
      </c>
      <c r="L351" s="274" t="s">
        <v>174</v>
      </c>
      <c r="M351" s="240">
        <f t="shared" si="106"/>
        <v>6</v>
      </c>
      <c r="N351" s="252">
        <f>M254</f>
        <v>6</v>
      </c>
      <c r="O351" s="252">
        <f t="shared" si="107"/>
        <v>0</v>
      </c>
      <c r="P351" s="240">
        <f t="shared" si="108"/>
        <v>116093.29</v>
      </c>
      <c r="Q351" s="252">
        <f>M256</f>
        <v>116093.29</v>
      </c>
      <c r="R351" s="280" t="s">
        <v>45</v>
      </c>
      <c r="S351" s="252">
        <f t="shared" si="109"/>
        <v>0</v>
      </c>
      <c r="T351" s="283">
        <f t="shared" si="110"/>
        <v>0</v>
      </c>
      <c r="W351" s="285">
        <f>W348/V347</f>
        <v>-5.6133435312113955E-2</v>
      </c>
      <c r="Y351" s="283">
        <f>Y348/X347</f>
        <v>7.5087822014050622E-3</v>
      </c>
    </row>
    <row r="352" spans="1:25" x14ac:dyDescent="0.25">
      <c r="A352" s="232">
        <v>5</v>
      </c>
      <c r="B352" s="232" t="s">
        <v>172</v>
      </c>
      <c r="C352" s="240">
        <f t="shared" si="99"/>
        <v>29</v>
      </c>
      <c r="D352" s="252">
        <f t="shared" si="100"/>
        <v>28.434631333090945</v>
      </c>
      <c r="E352" s="252">
        <f t="shared" si="101"/>
        <v>-0.56536866690905541</v>
      </c>
      <c r="F352" s="240">
        <f t="shared" si="102"/>
        <v>235012.72</v>
      </c>
      <c r="G352" s="252">
        <f t="shared" si="103"/>
        <v>230431.03626851478</v>
      </c>
      <c r="H352" s="280" t="s">
        <v>44</v>
      </c>
      <c r="I352" s="252">
        <f t="shared" si="104"/>
        <v>-4581.6837314852164</v>
      </c>
      <c r="J352" s="283">
        <f t="shared" si="105"/>
        <v>-1.9495471272726075E-2</v>
      </c>
      <c r="K352" s="232">
        <v>5</v>
      </c>
      <c r="L352" s="232" t="s">
        <v>172</v>
      </c>
      <c r="M352" s="240">
        <f t="shared" si="106"/>
        <v>29</v>
      </c>
      <c r="N352" s="252">
        <f>M259</f>
        <v>28.434631333090945</v>
      </c>
      <c r="O352" s="252">
        <f t="shared" si="107"/>
        <v>-0.56536866690905541</v>
      </c>
      <c r="P352" s="240">
        <f t="shared" si="108"/>
        <v>234070.31899280002</v>
      </c>
      <c r="Q352" s="252">
        <f>M260</f>
        <v>230431.03626851478</v>
      </c>
      <c r="R352" s="280" t="s">
        <v>44</v>
      </c>
      <c r="S352" s="252">
        <f t="shared" si="109"/>
        <v>-3639.2827242852363</v>
      </c>
      <c r="T352" s="283">
        <f t="shared" si="110"/>
        <v>-1.5547818022998381E-2</v>
      </c>
    </row>
    <row r="353" spans="1:20" x14ac:dyDescent="0.25">
      <c r="A353" s="232">
        <v>6</v>
      </c>
      <c r="B353" s="232" t="s">
        <v>78</v>
      </c>
      <c r="C353" s="240">
        <f t="shared" si="99"/>
        <v>73</v>
      </c>
      <c r="D353" s="252">
        <f t="shared" si="100"/>
        <v>73</v>
      </c>
      <c r="E353" s="252">
        <f t="shared" si="101"/>
        <v>0</v>
      </c>
      <c r="F353" s="240">
        <f t="shared" si="102"/>
        <v>375.7</v>
      </c>
      <c r="G353" s="252">
        <f t="shared" si="103"/>
        <v>375.7</v>
      </c>
      <c r="H353" s="280" t="s">
        <v>45</v>
      </c>
      <c r="I353" s="252">
        <f t="shared" si="104"/>
        <v>0</v>
      </c>
      <c r="J353" s="283">
        <f t="shared" si="105"/>
        <v>0</v>
      </c>
      <c r="K353" s="232">
        <v>6</v>
      </c>
      <c r="L353" s="232" t="s">
        <v>78</v>
      </c>
      <c r="M353" s="240">
        <f t="shared" si="106"/>
        <v>73</v>
      </c>
      <c r="N353" s="252">
        <f>M263</f>
        <v>73</v>
      </c>
      <c r="O353" s="252">
        <f t="shared" si="107"/>
        <v>0</v>
      </c>
      <c r="P353" s="240">
        <f t="shared" si="108"/>
        <v>375.7</v>
      </c>
      <c r="Q353" s="252">
        <f>N265</f>
        <v>375.7</v>
      </c>
      <c r="R353" s="280" t="s">
        <v>45</v>
      </c>
      <c r="S353" s="252">
        <f t="shared" si="109"/>
        <v>0</v>
      </c>
      <c r="T353" s="283">
        <f t="shared" si="110"/>
        <v>0</v>
      </c>
    </row>
    <row r="354" spans="1:20" x14ac:dyDescent="0.25">
      <c r="A354" s="232">
        <v>7</v>
      </c>
      <c r="B354" s="232" t="s">
        <v>193</v>
      </c>
      <c r="C354" s="240">
        <f t="shared" si="99"/>
        <v>3158.5</v>
      </c>
      <c r="D354" s="252">
        <f t="shared" si="100"/>
        <v>3182.1208340647199</v>
      </c>
      <c r="E354" s="252">
        <f t="shared" si="101"/>
        <v>23.620834064719929</v>
      </c>
      <c r="F354" s="240">
        <f t="shared" si="102"/>
        <v>3367.1</v>
      </c>
      <c r="G354" s="252">
        <f t="shared" si="103"/>
        <v>3417.6500121594413</v>
      </c>
      <c r="H354" s="280" t="s">
        <v>45</v>
      </c>
      <c r="I354" s="252">
        <f t="shared" si="104"/>
        <v>50.550012159441394</v>
      </c>
      <c r="J354" s="283">
        <f t="shared" si="105"/>
        <v>1.5012922740471443E-2</v>
      </c>
      <c r="K354" s="232">
        <v>7</v>
      </c>
      <c r="L354" s="232" t="s">
        <v>193</v>
      </c>
      <c r="M354" s="240">
        <f t="shared" si="106"/>
        <v>3158.5</v>
      </c>
      <c r="N354" s="252">
        <f>M268</f>
        <v>3182.1208340647199</v>
      </c>
      <c r="O354" s="252">
        <f t="shared" si="107"/>
        <v>23.620834064719929</v>
      </c>
      <c r="P354" s="240">
        <f t="shared" si="108"/>
        <v>3367.1</v>
      </c>
      <c r="Q354" s="252">
        <f>N270</f>
        <v>3417.6500121594413</v>
      </c>
      <c r="R354" s="280" t="s">
        <v>45</v>
      </c>
      <c r="S354" s="252">
        <f t="shared" si="109"/>
        <v>50.550012159441394</v>
      </c>
      <c r="T354" s="283">
        <f t="shared" si="110"/>
        <v>1.5012922740471443E-2</v>
      </c>
    </row>
    <row r="355" spans="1:20" x14ac:dyDescent="0.25">
      <c r="A355" s="239">
        <v>8</v>
      </c>
      <c r="B355" s="239" t="s">
        <v>5</v>
      </c>
      <c r="C355" s="275">
        <f>SUM(C348:C354)</f>
        <v>15889</v>
      </c>
      <c r="D355" s="275">
        <f>SUM(D348:D354)</f>
        <v>15989.33702828467</v>
      </c>
      <c r="E355" s="275">
        <f>SUM(E348:E354)</f>
        <v>100.33702828467111</v>
      </c>
      <c r="F355" s="275"/>
      <c r="G355" s="275"/>
      <c r="H355" s="275"/>
      <c r="I355" s="275"/>
      <c r="J355" s="283"/>
      <c r="K355" s="239">
        <v>8</v>
      </c>
      <c r="L355" s="239" t="s">
        <v>5</v>
      </c>
      <c r="M355" s="275">
        <f>SUM(M348:M354)</f>
        <v>15889</v>
      </c>
      <c r="N355" s="275">
        <f>SUM(N348:N354)</f>
        <v>15989.33702828467</v>
      </c>
      <c r="O355" s="275">
        <f>SUM(O348:O354)</f>
        <v>100.33702828467111</v>
      </c>
      <c r="P355" s="275"/>
      <c r="Q355" s="275"/>
      <c r="R355" s="275"/>
      <c r="S355" s="275"/>
      <c r="T355" s="283"/>
    </row>
    <row r="356" spans="1:20" x14ac:dyDescent="0.25">
      <c r="T356" s="283"/>
    </row>
    <row r="357" spans="1:20" x14ac:dyDescent="0.25">
      <c r="K357" s="235" t="s">
        <v>268</v>
      </c>
      <c r="T357" s="283"/>
    </row>
    <row r="358" spans="1:20" x14ac:dyDescent="0.25">
      <c r="K358" s="303"/>
      <c r="L358" s="304"/>
      <c r="M358" s="305" t="s">
        <v>242</v>
      </c>
      <c r="N358" s="305"/>
      <c r="O358" s="305"/>
      <c r="P358" s="305" t="s">
        <v>244</v>
      </c>
      <c r="Q358" s="305"/>
      <c r="R358" s="305"/>
      <c r="S358" s="305"/>
      <c r="T358" s="283"/>
    </row>
    <row r="359" spans="1:20" ht="30" x14ac:dyDescent="0.25">
      <c r="K359" s="238" t="s">
        <v>240</v>
      </c>
      <c r="L359" s="238" t="s">
        <v>241</v>
      </c>
      <c r="M359" s="238" t="s">
        <v>270</v>
      </c>
      <c r="N359" s="238" t="s">
        <v>271</v>
      </c>
      <c r="O359" s="238" t="s">
        <v>246</v>
      </c>
      <c r="P359" s="238" t="str">
        <f>M359</f>
        <v>2026 Actual</v>
      </c>
      <c r="Q359" s="238" t="str">
        <f>N359</f>
        <v>2027 Actual</v>
      </c>
      <c r="R359" s="238" t="s">
        <v>42</v>
      </c>
      <c r="S359" s="238" t="s">
        <v>247</v>
      </c>
      <c r="T359" s="283"/>
    </row>
    <row r="360" spans="1:20" x14ac:dyDescent="0.25">
      <c r="K360" s="232">
        <v>1</v>
      </c>
      <c r="L360" s="232" t="s">
        <v>51</v>
      </c>
      <c r="M360" s="240">
        <f>N348</f>
        <v>11422.71233211763</v>
      </c>
      <c r="N360" s="252">
        <f>N241</f>
        <v>11491.334450861965</v>
      </c>
      <c r="O360" s="252">
        <f>N360-M360</f>
        <v>68.622118744335239</v>
      </c>
      <c r="P360" s="240">
        <f>Q348</f>
        <v>106440813.26250607</v>
      </c>
      <c r="Q360" s="252">
        <f>N242</f>
        <v>107137096.4970441</v>
      </c>
      <c r="R360" s="280" t="s">
        <v>44</v>
      </c>
      <c r="S360" s="252">
        <f>Q360-P360</f>
        <v>696283.2345380336</v>
      </c>
      <c r="T360" s="283">
        <f t="shared" si="110"/>
        <v>6.5415061497214278E-3</v>
      </c>
    </row>
    <row r="361" spans="1:20" x14ac:dyDescent="0.25">
      <c r="K361" s="232">
        <v>2</v>
      </c>
      <c r="L361" s="232" t="s">
        <v>57</v>
      </c>
      <c r="M361" s="240">
        <f t="shared" ref="M361:M366" si="111">N349</f>
        <v>1188.0692307692307</v>
      </c>
      <c r="N361" s="252">
        <f>N245</f>
        <v>1197.2082248520708</v>
      </c>
      <c r="O361" s="252">
        <f t="shared" ref="O361:O366" si="112">N361-M361</f>
        <v>9.1389940828400995</v>
      </c>
      <c r="P361" s="240">
        <f t="shared" ref="P361:P366" si="113">Q349</f>
        <v>32562364.810462572</v>
      </c>
      <c r="Q361" s="252">
        <f>N246</f>
        <v>32830261.66588974</v>
      </c>
      <c r="R361" s="280" t="s">
        <v>44</v>
      </c>
      <c r="S361" s="252">
        <f t="shared" ref="S361:S366" si="114">Q361-P361</f>
        <v>267896.85542716831</v>
      </c>
      <c r="T361" s="283">
        <f t="shared" si="110"/>
        <v>8.2271928647237175E-3</v>
      </c>
    </row>
    <row r="362" spans="1:20" x14ac:dyDescent="0.25">
      <c r="K362" s="232">
        <v>3</v>
      </c>
      <c r="L362" s="232" t="s">
        <v>114</v>
      </c>
      <c r="M362" s="240">
        <f t="shared" si="111"/>
        <v>89</v>
      </c>
      <c r="N362" s="252">
        <f>N249</f>
        <v>89</v>
      </c>
      <c r="O362" s="252">
        <f t="shared" si="112"/>
        <v>0</v>
      </c>
      <c r="P362" s="240">
        <f t="shared" si="113"/>
        <v>204673.23289215044</v>
      </c>
      <c r="Q362" s="252">
        <f>N251</f>
        <v>204752.41074473649</v>
      </c>
      <c r="R362" s="280" t="s">
        <v>45</v>
      </c>
      <c r="S362" s="252">
        <f t="shared" si="114"/>
        <v>79.17785258605727</v>
      </c>
      <c r="T362" s="283">
        <f t="shared" si="110"/>
        <v>3.8685006078825599E-4</v>
      </c>
    </row>
    <row r="363" spans="1:20" x14ac:dyDescent="0.25">
      <c r="K363" s="232">
        <v>4</v>
      </c>
      <c r="L363" s="274" t="s">
        <v>174</v>
      </c>
      <c r="M363" s="240">
        <f t="shared" si="111"/>
        <v>6</v>
      </c>
      <c r="N363" s="252">
        <f>N254</f>
        <v>6</v>
      </c>
      <c r="O363" s="252">
        <f t="shared" si="112"/>
        <v>0</v>
      </c>
      <c r="P363" s="240">
        <f t="shared" si="113"/>
        <v>116093.29</v>
      </c>
      <c r="Q363" s="252">
        <f>N256</f>
        <v>116093.29</v>
      </c>
      <c r="R363" s="280" t="s">
        <v>45</v>
      </c>
      <c r="S363" s="252">
        <f t="shared" si="114"/>
        <v>0</v>
      </c>
      <c r="T363" s="283">
        <f t="shared" si="110"/>
        <v>0</v>
      </c>
    </row>
    <row r="364" spans="1:20" x14ac:dyDescent="0.25">
      <c r="K364" s="232">
        <v>5</v>
      </c>
      <c r="L364" s="232" t="s">
        <v>172</v>
      </c>
      <c r="M364" s="240">
        <f t="shared" si="111"/>
        <v>28.434631333090945</v>
      </c>
      <c r="N364" s="252">
        <f>N259</f>
        <v>27.880284794786114</v>
      </c>
      <c r="O364" s="252">
        <f t="shared" si="112"/>
        <v>-0.55434653830483072</v>
      </c>
      <c r="P364" s="240">
        <f t="shared" si="113"/>
        <v>230431.03626851478</v>
      </c>
      <c r="Q364" s="252">
        <f>N260</f>
        <v>225938.67462059745</v>
      </c>
      <c r="R364" s="280" t="s">
        <v>44</v>
      </c>
      <c r="S364" s="252">
        <f t="shared" si="114"/>
        <v>-4492.3616479173361</v>
      </c>
      <c r="T364" s="283">
        <f t="shared" si="110"/>
        <v>-1.9495471272726099E-2</v>
      </c>
    </row>
    <row r="365" spans="1:20" x14ac:dyDescent="0.25">
      <c r="K365" s="232">
        <v>6</v>
      </c>
      <c r="L365" s="232" t="s">
        <v>78</v>
      </c>
      <c r="M365" s="240">
        <f t="shared" si="111"/>
        <v>73</v>
      </c>
      <c r="N365" s="252">
        <f>N263</f>
        <v>73</v>
      </c>
      <c r="O365" s="252">
        <f t="shared" si="112"/>
        <v>0</v>
      </c>
      <c r="P365" s="240">
        <f t="shared" si="113"/>
        <v>375.7</v>
      </c>
      <c r="Q365" s="252">
        <f>N265</f>
        <v>375.7</v>
      </c>
      <c r="R365" s="280" t="s">
        <v>45</v>
      </c>
      <c r="S365" s="252">
        <f t="shared" si="114"/>
        <v>0</v>
      </c>
      <c r="T365" s="283">
        <f t="shared" si="110"/>
        <v>0</v>
      </c>
    </row>
    <row r="366" spans="1:20" x14ac:dyDescent="0.25">
      <c r="K366" s="232">
        <v>7</v>
      </c>
      <c r="L366" s="232" t="s">
        <v>193</v>
      </c>
      <c r="M366" s="240">
        <f t="shared" si="111"/>
        <v>3182.1208340647199</v>
      </c>
      <c r="N366" s="252">
        <f>N268</f>
        <v>3205.9183164757792</v>
      </c>
      <c r="O366" s="252">
        <f t="shared" si="112"/>
        <v>23.797482411059264</v>
      </c>
      <c r="P366" s="240">
        <f t="shared" si="113"/>
        <v>3417.6500121594413</v>
      </c>
      <c r="Q366" s="252">
        <f>N270</f>
        <v>3417.6500121594413</v>
      </c>
      <c r="R366" s="280" t="s">
        <v>45</v>
      </c>
      <c r="S366" s="252">
        <f t="shared" si="114"/>
        <v>0</v>
      </c>
      <c r="T366" s="283">
        <f t="shared" si="110"/>
        <v>0</v>
      </c>
    </row>
    <row r="367" spans="1:20" x14ac:dyDescent="0.25">
      <c r="K367" s="239">
        <v>8</v>
      </c>
      <c r="L367" s="239" t="s">
        <v>5</v>
      </c>
      <c r="M367" s="275">
        <f>SUM(M360:M366)</f>
        <v>15989.33702828467</v>
      </c>
      <c r="N367" s="275">
        <f>SUM(N360:N366)</f>
        <v>16090.341276984602</v>
      </c>
      <c r="O367" s="275">
        <f>SUM(O360:O366)</f>
        <v>101.00424869992978</v>
      </c>
      <c r="P367" s="275"/>
      <c r="Q367" s="275"/>
      <c r="R367" s="275"/>
      <c r="S367" s="275"/>
    </row>
  </sheetData>
  <mergeCells count="58">
    <mergeCell ref="M346:O346"/>
    <mergeCell ref="P346:S346"/>
    <mergeCell ref="K358:L358"/>
    <mergeCell ref="M358:O358"/>
    <mergeCell ref="P358:S358"/>
    <mergeCell ref="A310:B310"/>
    <mergeCell ref="C310:E310"/>
    <mergeCell ref="F310:I310"/>
    <mergeCell ref="K310:L310"/>
    <mergeCell ref="K298:L298"/>
    <mergeCell ref="C298:E298"/>
    <mergeCell ref="F298:I298"/>
    <mergeCell ref="A207:I207"/>
    <mergeCell ref="A298:B298"/>
    <mergeCell ref="A158:H158"/>
    <mergeCell ref="A3:G3"/>
    <mergeCell ref="A22:I22"/>
    <mergeCell ref="A33:I33"/>
    <mergeCell ref="A34:I34"/>
    <mergeCell ref="A36:I36"/>
    <mergeCell ref="A52:I52"/>
    <mergeCell ref="A80:H80"/>
    <mergeCell ref="A82:H82"/>
    <mergeCell ref="A81:H81"/>
    <mergeCell ref="A69:H69"/>
    <mergeCell ref="A68:H68"/>
    <mergeCell ref="M310:O310"/>
    <mergeCell ref="P310:S310"/>
    <mergeCell ref="A98:B98"/>
    <mergeCell ref="A105:B105"/>
    <mergeCell ref="A142:I142"/>
    <mergeCell ref="C286:E286"/>
    <mergeCell ref="M298:O298"/>
    <mergeCell ref="P298:S298"/>
    <mergeCell ref="A168:H168"/>
    <mergeCell ref="A184:H184"/>
    <mergeCell ref="A179:H179"/>
    <mergeCell ref="A173:I173"/>
    <mergeCell ref="A190:H190"/>
    <mergeCell ref="A196:G196"/>
    <mergeCell ref="A201:I201"/>
    <mergeCell ref="A204:I204"/>
    <mergeCell ref="A346:B346"/>
    <mergeCell ref="C346:E346"/>
    <mergeCell ref="F346:I346"/>
    <mergeCell ref="M322:O322"/>
    <mergeCell ref="P322:S322"/>
    <mergeCell ref="A334:B334"/>
    <mergeCell ref="K334:L334"/>
    <mergeCell ref="M334:O334"/>
    <mergeCell ref="P334:S334"/>
    <mergeCell ref="A322:B322"/>
    <mergeCell ref="C322:E322"/>
    <mergeCell ref="F322:I322"/>
    <mergeCell ref="K322:L322"/>
    <mergeCell ref="C334:E334"/>
    <mergeCell ref="F334:I334"/>
    <mergeCell ref="K346:L3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AI168"/>
  <sheetViews>
    <sheetView showGridLines="0" zoomScale="80" zoomScaleNormal="80" workbookViewId="0">
      <selection activeCell="K8" sqref="K8"/>
    </sheetView>
  </sheetViews>
  <sheetFormatPr defaultRowHeight="12.75" x14ac:dyDescent="0.2"/>
  <cols>
    <col min="1" max="3" width="14.5703125" style="53" customWidth="1"/>
    <col min="4" max="6" width="14.5703125" style="56" customWidth="1"/>
    <col min="7" max="8" width="14.5703125" style="53" customWidth="1"/>
    <col min="9" max="12" width="14" style="53" customWidth="1"/>
    <col min="13" max="13" width="14.5703125" style="54" bestFit="1" customWidth="1"/>
    <col min="14" max="20" width="14" style="53" customWidth="1"/>
    <col min="21" max="22" width="13.28515625" style="53" customWidth="1"/>
    <col min="23" max="23" width="11.42578125" style="53" customWidth="1"/>
    <col min="24" max="26" width="9.140625" style="53"/>
    <col min="27" max="27" width="16.140625" style="53" customWidth="1"/>
    <col min="28" max="28" width="15.28515625" style="53" customWidth="1"/>
    <col min="29" max="30" width="9.140625" style="53"/>
    <col min="31" max="31" width="8.85546875" style="53"/>
    <col min="32" max="32" width="15.28515625" style="53" customWidth="1"/>
    <col min="33" max="33" width="9.140625" style="53"/>
    <col min="34" max="34" width="16.28515625" style="53" customWidth="1"/>
    <col min="35" max="35" width="14.140625" style="53" customWidth="1"/>
    <col min="36" max="245" width="9.140625" style="53"/>
    <col min="246" max="246" width="31" style="53" customWidth="1"/>
    <col min="247" max="247" width="18.5703125" style="53" customWidth="1"/>
    <col min="248" max="248" width="3.85546875" style="53" customWidth="1"/>
    <col min="249" max="249" width="18.7109375" style="53" customWidth="1"/>
    <col min="250" max="258" width="14" style="53" customWidth="1"/>
    <col min="259" max="259" width="13" style="53" bestFit="1" customWidth="1"/>
    <col min="260" max="260" width="14.5703125" style="53" bestFit="1" customWidth="1"/>
    <col min="261" max="261" width="12.140625" style="53" bestFit="1" customWidth="1"/>
    <col min="262" max="272" width="14" style="53" customWidth="1"/>
    <col min="273" max="276" width="13.28515625" style="53" customWidth="1"/>
    <col min="277" max="501" width="9.140625" style="53"/>
    <col min="502" max="502" width="31" style="53" customWidth="1"/>
    <col min="503" max="503" width="18.5703125" style="53" customWidth="1"/>
    <col min="504" max="504" width="3.85546875" style="53" customWidth="1"/>
    <col min="505" max="505" width="18.7109375" style="53" customWidth="1"/>
    <col min="506" max="514" width="14" style="53" customWidth="1"/>
    <col min="515" max="515" width="13" style="53" bestFit="1" customWidth="1"/>
    <col min="516" max="516" width="14.5703125" style="53" bestFit="1" customWidth="1"/>
    <col min="517" max="517" width="12.140625" style="53" bestFit="1" customWidth="1"/>
    <col min="518" max="528" width="14" style="53" customWidth="1"/>
    <col min="529" max="532" width="13.28515625" style="53" customWidth="1"/>
    <col min="533" max="757" width="9.140625" style="53"/>
    <col min="758" max="758" width="31" style="53" customWidth="1"/>
    <col min="759" max="759" width="18.5703125" style="53" customWidth="1"/>
    <col min="760" max="760" width="3.85546875" style="53" customWidth="1"/>
    <col min="761" max="761" width="18.7109375" style="53" customWidth="1"/>
    <col min="762" max="770" width="14" style="53" customWidth="1"/>
    <col min="771" max="771" width="13" style="53" bestFit="1" customWidth="1"/>
    <col min="772" max="772" width="14.5703125" style="53" bestFit="1" customWidth="1"/>
    <col min="773" max="773" width="12.140625" style="53" bestFit="1" customWidth="1"/>
    <col min="774" max="784" width="14" style="53" customWidth="1"/>
    <col min="785" max="788" width="13.28515625" style="53" customWidth="1"/>
    <col min="789" max="1013" width="9.140625" style="53"/>
    <col min="1014" max="1014" width="31" style="53" customWidth="1"/>
    <col min="1015" max="1015" width="18.5703125" style="53" customWidth="1"/>
    <col min="1016" max="1016" width="3.85546875" style="53" customWidth="1"/>
    <col min="1017" max="1017" width="18.7109375" style="53" customWidth="1"/>
    <col min="1018" max="1026" width="14" style="53" customWidth="1"/>
    <col min="1027" max="1027" width="13" style="53" bestFit="1" customWidth="1"/>
    <col min="1028" max="1028" width="14.5703125" style="53" bestFit="1" customWidth="1"/>
    <col min="1029" max="1029" width="12.140625" style="53" bestFit="1" customWidth="1"/>
    <col min="1030" max="1040" width="14" style="53" customWidth="1"/>
    <col min="1041" max="1044" width="13.28515625" style="53" customWidth="1"/>
    <col min="1045" max="1269" width="9.140625" style="53"/>
    <col min="1270" max="1270" width="31" style="53" customWidth="1"/>
    <col min="1271" max="1271" width="18.5703125" style="53" customWidth="1"/>
    <col min="1272" max="1272" width="3.85546875" style="53" customWidth="1"/>
    <col min="1273" max="1273" width="18.7109375" style="53" customWidth="1"/>
    <col min="1274" max="1282" width="14" style="53" customWidth="1"/>
    <col min="1283" max="1283" width="13" style="53" bestFit="1" customWidth="1"/>
    <col min="1284" max="1284" width="14.5703125" style="53" bestFit="1" customWidth="1"/>
    <col min="1285" max="1285" width="12.140625" style="53" bestFit="1" customWidth="1"/>
    <col min="1286" max="1296" width="14" style="53" customWidth="1"/>
    <col min="1297" max="1300" width="13.28515625" style="53" customWidth="1"/>
    <col min="1301" max="1525" width="9.140625" style="53"/>
    <col min="1526" max="1526" width="31" style="53" customWidth="1"/>
    <col min="1527" max="1527" width="18.5703125" style="53" customWidth="1"/>
    <col min="1528" max="1528" width="3.85546875" style="53" customWidth="1"/>
    <col min="1529" max="1529" width="18.7109375" style="53" customWidth="1"/>
    <col min="1530" max="1538" width="14" style="53" customWidth="1"/>
    <col min="1539" max="1539" width="13" style="53" bestFit="1" customWidth="1"/>
    <col min="1540" max="1540" width="14.5703125" style="53" bestFit="1" customWidth="1"/>
    <col min="1541" max="1541" width="12.140625" style="53" bestFit="1" customWidth="1"/>
    <col min="1542" max="1552" width="14" style="53" customWidth="1"/>
    <col min="1553" max="1556" width="13.28515625" style="53" customWidth="1"/>
    <col min="1557" max="1781" width="9.140625" style="53"/>
    <col min="1782" max="1782" width="31" style="53" customWidth="1"/>
    <col min="1783" max="1783" width="18.5703125" style="53" customWidth="1"/>
    <col min="1784" max="1784" width="3.85546875" style="53" customWidth="1"/>
    <col min="1785" max="1785" width="18.7109375" style="53" customWidth="1"/>
    <col min="1786" max="1794" width="14" style="53" customWidth="1"/>
    <col min="1795" max="1795" width="13" style="53" bestFit="1" customWidth="1"/>
    <col min="1796" max="1796" width="14.5703125" style="53" bestFit="1" customWidth="1"/>
    <col min="1797" max="1797" width="12.140625" style="53" bestFit="1" customWidth="1"/>
    <col min="1798" max="1808" width="14" style="53" customWidth="1"/>
    <col min="1809" max="1812" width="13.28515625" style="53" customWidth="1"/>
    <col min="1813" max="2037" width="9.140625" style="53"/>
    <col min="2038" max="2038" width="31" style="53" customWidth="1"/>
    <col min="2039" max="2039" width="18.5703125" style="53" customWidth="1"/>
    <col min="2040" max="2040" width="3.85546875" style="53" customWidth="1"/>
    <col min="2041" max="2041" width="18.7109375" style="53" customWidth="1"/>
    <col min="2042" max="2050" width="14" style="53" customWidth="1"/>
    <col min="2051" max="2051" width="13" style="53" bestFit="1" customWidth="1"/>
    <col min="2052" max="2052" width="14.5703125" style="53" bestFit="1" customWidth="1"/>
    <col min="2053" max="2053" width="12.140625" style="53" bestFit="1" customWidth="1"/>
    <col min="2054" max="2064" width="14" style="53" customWidth="1"/>
    <col min="2065" max="2068" width="13.28515625" style="53" customWidth="1"/>
    <col min="2069" max="2293" width="9.140625" style="53"/>
    <col min="2294" max="2294" width="31" style="53" customWidth="1"/>
    <col min="2295" max="2295" width="18.5703125" style="53" customWidth="1"/>
    <col min="2296" max="2296" width="3.85546875" style="53" customWidth="1"/>
    <col min="2297" max="2297" width="18.7109375" style="53" customWidth="1"/>
    <col min="2298" max="2306" width="14" style="53" customWidth="1"/>
    <col min="2307" max="2307" width="13" style="53" bestFit="1" customWidth="1"/>
    <col min="2308" max="2308" width="14.5703125" style="53" bestFit="1" customWidth="1"/>
    <col min="2309" max="2309" width="12.140625" style="53" bestFit="1" customWidth="1"/>
    <col min="2310" max="2320" width="14" style="53" customWidth="1"/>
    <col min="2321" max="2324" width="13.28515625" style="53" customWidth="1"/>
    <col min="2325" max="2549" width="9.140625" style="53"/>
    <col min="2550" max="2550" width="31" style="53" customWidth="1"/>
    <col min="2551" max="2551" width="18.5703125" style="53" customWidth="1"/>
    <col min="2552" max="2552" width="3.85546875" style="53" customWidth="1"/>
    <col min="2553" max="2553" width="18.7109375" style="53" customWidth="1"/>
    <col min="2554" max="2562" width="14" style="53" customWidth="1"/>
    <col min="2563" max="2563" width="13" style="53" bestFit="1" customWidth="1"/>
    <col min="2564" max="2564" width="14.5703125" style="53" bestFit="1" customWidth="1"/>
    <col min="2565" max="2565" width="12.140625" style="53" bestFit="1" customWidth="1"/>
    <col min="2566" max="2576" width="14" style="53" customWidth="1"/>
    <col min="2577" max="2580" width="13.28515625" style="53" customWidth="1"/>
    <col min="2581" max="2805" width="9.140625" style="53"/>
    <col min="2806" max="2806" width="31" style="53" customWidth="1"/>
    <col min="2807" max="2807" width="18.5703125" style="53" customWidth="1"/>
    <col min="2808" max="2808" width="3.85546875" style="53" customWidth="1"/>
    <col min="2809" max="2809" width="18.7109375" style="53" customWidth="1"/>
    <col min="2810" max="2818" width="14" style="53" customWidth="1"/>
    <col min="2819" max="2819" width="13" style="53" bestFit="1" customWidth="1"/>
    <col min="2820" max="2820" width="14.5703125" style="53" bestFit="1" customWidth="1"/>
    <col min="2821" max="2821" width="12.140625" style="53" bestFit="1" customWidth="1"/>
    <col min="2822" max="2832" width="14" style="53" customWidth="1"/>
    <col min="2833" max="2836" width="13.28515625" style="53" customWidth="1"/>
    <col min="2837" max="3061" width="9.140625" style="53"/>
    <col min="3062" max="3062" width="31" style="53" customWidth="1"/>
    <col min="3063" max="3063" width="18.5703125" style="53" customWidth="1"/>
    <col min="3064" max="3064" width="3.85546875" style="53" customWidth="1"/>
    <col min="3065" max="3065" width="18.7109375" style="53" customWidth="1"/>
    <col min="3066" max="3074" width="14" style="53" customWidth="1"/>
    <col min="3075" max="3075" width="13" style="53" bestFit="1" customWidth="1"/>
    <col min="3076" max="3076" width="14.5703125" style="53" bestFit="1" customWidth="1"/>
    <col min="3077" max="3077" width="12.140625" style="53" bestFit="1" customWidth="1"/>
    <col min="3078" max="3088" width="14" style="53" customWidth="1"/>
    <col min="3089" max="3092" width="13.28515625" style="53" customWidth="1"/>
    <col min="3093" max="3317" width="9.140625" style="53"/>
    <col min="3318" max="3318" width="31" style="53" customWidth="1"/>
    <col min="3319" max="3319" width="18.5703125" style="53" customWidth="1"/>
    <col min="3320" max="3320" width="3.85546875" style="53" customWidth="1"/>
    <col min="3321" max="3321" width="18.7109375" style="53" customWidth="1"/>
    <col min="3322" max="3330" width="14" style="53" customWidth="1"/>
    <col min="3331" max="3331" width="13" style="53" bestFit="1" customWidth="1"/>
    <col min="3332" max="3332" width="14.5703125" style="53" bestFit="1" customWidth="1"/>
    <col min="3333" max="3333" width="12.140625" style="53" bestFit="1" customWidth="1"/>
    <col min="3334" max="3344" width="14" style="53" customWidth="1"/>
    <col min="3345" max="3348" width="13.28515625" style="53" customWidth="1"/>
    <col min="3349" max="3573" width="9.140625" style="53"/>
    <col min="3574" max="3574" width="31" style="53" customWidth="1"/>
    <col min="3575" max="3575" width="18.5703125" style="53" customWidth="1"/>
    <col min="3576" max="3576" width="3.85546875" style="53" customWidth="1"/>
    <col min="3577" max="3577" width="18.7109375" style="53" customWidth="1"/>
    <col min="3578" max="3586" width="14" style="53" customWidth="1"/>
    <col min="3587" max="3587" width="13" style="53" bestFit="1" customWidth="1"/>
    <col min="3588" max="3588" width="14.5703125" style="53" bestFit="1" customWidth="1"/>
    <col min="3589" max="3589" width="12.140625" style="53" bestFit="1" customWidth="1"/>
    <col min="3590" max="3600" width="14" style="53" customWidth="1"/>
    <col min="3601" max="3604" width="13.28515625" style="53" customWidth="1"/>
    <col min="3605" max="3829" width="9.140625" style="53"/>
    <col min="3830" max="3830" width="31" style="53" customWidth="1"/>
    <col min="3831" max="3831" width="18.5703125" style="53" customWidth="1"/>
    <col min="3832" max="3832" width="3.85546875" style="53" customWidth="1"/>
    <col min="3833" max="3833" width="18.7109375" style="53" customWidth="1"/>
    <col min="3834" max="3842" width="14" style="53" customWidth="1"/>
    <col min="3843" max="3843" width="13" style="53" bestFit="1" customWidth="1"/>
    <col min="3844" max="3844" width="14.5703125" style="53" bestFit="1" customWidth="1"/>
    <col min="3845" max="3845" width="12.140625" style="53" bestFit="1" customWidth="1"/>
    <col min="3846" max="3856" width="14" style="53" customWidth="1"/>
    <col min="3857" max="3860" width="13.28515625" style="53" customWidth="1"/>
    <col min="3861" max="4085" width="9.140625" style="53"/>
    <col min="4086" max="4086" width="31" style="53" customWidth="1"/>
    <col min="4087" max="4087" width="18.5703125" style="53" customWidth="1"/>
    <col min="4088" max="4088" width="3.85546875" style="53" customWidth="1"/>
    <col min="4089" max="4089" width="18.7109375" style="53" customWidth="1"/>
    <col min="4090" max="4098" width="14" style="53" customWidth="1"/>
    <col min="4099" max="4099" width="13" style="53" bestFit="1" customWidth="1"/>
    <col min="4100" max="4100" width="14.5703125" style="53" bestFit="1" customWidth="1"/>
    <col min="4101" max="4101" width="12.140625" style="53" bestFit="1" customWidth="1"/>
    <col min="4102" max="4112" width="14" style="53" customWidth="1"/>
    <col min="4113" max="4116" width="13.28515625" style="53" customWidth="1"/>
    <col min="4117" max="4341" width="9.140625" style="53"/>
    <col min="4342" max="4342" width="31" style="53" customWidth="1"/>
    <col min="4343" max="4343" width="18.5703125" style="53" customWidth="1"/>
    <col min="4344" max="4344" width="3.85546875" style="53" customWidth="1"/>
    <col min="4345" max="4345" width="18.7109375" style="53" customWidth="1"/>
    <col min="4346" max="4354" width="14" style="53" customWidth="1"/>
    <col min="4355" max="4355" width="13" style="53" bestFit="1" customWidth="1"/>
    <col min="4356" max="4356" width="14.5703125" style="53" bestFit="1" customWidth="1"/>
    <col min="4357" max="4357" width="12.140625" style="53" bestFit="1" customWidth="1"/>
    <col min="4358" max="4368" width="14" style="53" customWidth="1"/>
    <col min="4369" max="4372" width="13.28515625" style="53" customWidth="1"/>
    <col min="4373" max="4597" width="9.140625" style="53"/>
    <col min="4598" max="4598" width="31" style="53" customWidth="1"/>
    <col min="4599" max="4599" width="18.5703125" style="53" customWidth="1"/>
    <col min="4600" max="4600" width="3.85546875" style="53" customWidth="1"/>
    <col min="4601" max="4601" width="18.7109375" style="53" customWidth="1"/>
    <col min="4602" max="4610" width="14" style="53" customWidth="1"/>
    <col min="4611" max="4611" width="13" style="53" bestFit="1" customWidth="1"/>
    <col min="4612" max="4612" width="14.5703125" style="53" bestFit="1" customWidth="1"/>
    <col min="4613" max="4613" width="12.140625" style="53" bestFit="1" customWidth="1"/>
    <col min="4614" max="4624" width="14" style="53" customWidth="1"/>
    <col min="4625" max="4628" width="13.28515625" style="53" customWidth="1"/>
    <col min="4629" max="4853" width="9.140625" style="53"/>
    <col min="4854" max="4854" width="31" style="53" customWidth="1"/>
    <col min="4855" max="4855" width="18.5703125" style="53" customWidth="1"/>
    <col min="4856" max="4856" width="3.85546875" style="53" customWidth="1"/>
    <col min="4857" max="4857" width="18.7109375" style="53" customWidth="1"/>
    <col min="4858" max="4866" width="14" style="53" customWidth="1"/>
    <col min="4867" max="4867" width="13" style="53" bestFit="1" customWidth="1"/>
    <col min="4868" max="4868" width="14.5703125" style="53" bestFit="1" customWidth="1"/>
    <col min="4869" max="4869" width="12.140625" style="53" bestFit="1" customWidth="1"/>
    <col min="4870" max="4880" width="14" style="53" customWidth="1"/>
    <col min="4881" max="4884" width="13.28515625" style="53" customWidth="1"/>
    <col min="4885" max="5109" width="9.140625" style="53"/>
    <col min="5110" max="5110" width="31" style="53" customWidth="1"/>
    <col min="5111" max="5111" width="18.5703125" style="53" customWidth="1"/>
    <col min="5112" max="5112" width="3.85546875" style="53" customWidth="1"/>
    <col min="5113" max="5113" width="18.7109375" style="53" customWidth="1"/>
    <col min="5114" max="5122" width="14" style="53" customWidth="1"/>
    <col min="5123" max="5123" width="13" style="53" bestFit="1" customWidth="1"/>
    <col min="5124" max="5124" width="14.5703125" style="53" bestFit="1" customWidth="1"/>
    <col min="5125" max="5125" width="12.140625" style="53" bestFit="1" customWidth="1"/>
    <col min="5126" max="5136" width="14" style="53" customWidth="1"/>
    <col min="5137" max="5140" width="13.28515625" style="53" customWidth="1"/>
    <col min="5141" max="5365" width="9.140625" style="53"/>
    <col min="5366" max="5366" width="31" style="53" customWidth="1"/>
    <col min="5367" max="5367" width="18.5703125" style="53" customWidth="1"/>
    <col min="5368" max="5368" width="3.85546875" style="53" customWidth="1"/>
    <col min="5369" max="5369" width="18.7109375" style="53" customWidth="1"/>
    <col min="5370" max="5378" width="14" style="53" customWidth="1"/>
    <col min="5379" max="5379" width="13" style="53" bestFit="1" customWidth="1"/>
    <col min="5380" max="5380" width="14.5703125" style="53" bestFit="1" customWidth="1"/>
    <col min="5381" max="5381" width="12.140625" style="53" bestFit="1" customWidth="1"/>
    <col min="5382" max="5392" width="14" style="53" customWidth="1"/>
    <col min="5393" max="5396" width="13.28515625" style="53" customWidth="1"/>
    <col min="5397" max="5621" width="9.140625" style="53"/>
    <col min="5622" max="5622" width="31" style="53" customWidth="1"/>
    <col min="5623" max="5623" width="18.5703125" style="53" customWidth="1"/>
    <col min="5624" max="5624" width="3.85546875" style="53" customWidth="1"/>
    <col min="5625" max="5625" width="18.7109375" style="53" customWidth="1"/>
    <col min="5626" max="5634" width="14" style="53" customWidth="1"/>
    <col min="5635" max="5635" width="13" style="53" bestFit="1" customWidth="1"/>
    <col min="5636" max="5636" width="14.5703125" style="53" bestFit="1" customWidth="1"/>
    <col min="5637" max="5637" width="12.140625" style="53" bestFit="1" customWidth="1"/>
    <col min="5638" max="5648" width="14" style="53" customWidth="1"/>
    <col min="5649" max="5652" width="13.28515625" style="53" customWidth="1"/>
    <col min="5653" max="5877" width="9.140625" style="53"/>
    <col min="5878" max="5878" width="31" style="53" customWidth="1"/>
    <col min="5879" max="5879" width="18.5703125" style="53" customWidth="1"/>
    <col min="5880" max="5880" width="3.85546875" style="53" customWidth="1"/>
    <col min="5881" max="5881" width="18.7109375" style="53" customWidth="1"/>
    <col min="5882" max="5890" width="14" style="53" customWidth="1"/>
    <col min="5891" max="5891" width="13" style="53" bestFit="1" customWidth="1"/>
    <col min="5892" max="5892" width="14.5703125" style="53" bestFit="1" customWidth="1"/>
    <col min="5893" max="5893" width="12.140625" style="53" bestFit="1" customWidth="1"/>
    <col min="5894" max="5904" width="14" style="53" customWidth="1"/>
    <col min="5905" max="5908" width="13.28515625" style="53" customWidth="1"/>
    <col min="5909" max="6133" width="9.140625" style="53"/>
    <col min="6134" max="6134" width="31" style="53" customWidth="1"/>
    <col min="6135" max="6135" width="18.5703125" style="53" customWidth="1"/>
    <col min="6136" max="6136" width="3.85546875" style="53" customWidth="1"/>
    <col min="6137" max="6137" width="18.7109375" style="53" customWidth="1"/>
    <col min="6138" max="6146" width="14" style="53" customWidth="1"/>
    <col min="6147" max="6147" width="13" style="53" bestFit="1" customWidth="1"/>
    <col min="6148" max="6148" width="14.5703125" style="53" bestFit="1" customWidth="1"/>
    <col min="6149" max="6149" width="12.140625" style="53" bestFit="1" customWidth="1"/>
    <col min="6150" max="6160" width="14" style="53" customWidth="1"/>
    <col min="6161" max="6164" width="13.28515625" style="53" customWidth="1"/>
    <col min="6165" max="6389" width="9.140625" style="53"/>
    <col min="6390" max="6390" width="31" style="53" customWidth="1"/>
    <col min="6391" max="6391" width="18.5703125" style="53" customWidth="1"/>
    <col min="6392" max="6392" width="3.85546875" style="53" customWidth="1"/>
    <col min="6393" max="6393" width="18.7109375" style="53" customWidth="1"/>
    <col min="6394" max="6402" width="14" style="53" customWidth="1"/>
    <col min="6403" max="6403" width="13" style="53" bestFit="1" customWidth="1"/>
    <col min="6404" max="6404" width="14.5703125" style="53" bestFit="1" customWidth="1"/>
    <col min="6405" max="6405" width="12.140625" style="53" bestFit="1" customWidth="1"/>
    <col min="6406" max="6416" width="14" style="53" customWidth="1"/>
    <col min="6417" max="6420" width="13.28515625" style="53" customWidth="1"/>
    <col min="6421" max="6645" width="9.140625" style="53"/>
    <col min="6646" max="6646" width="31" style="53" customWidth="1"/>
    <col min="6647" max="6647" width="18.5703125" style="53" customWidth="1"/>
    <col min="6648" max="6648" width="3.85546875" style="53" customWidth="1"/>
    <col min="6649" max="6649" width="18.7109375" style="53" customWidth="1"/>
    <col min="6650" max="6658" width="14" style="53" customWidth="1"/>
    <col min="6659" max="6659" width="13" style="53" bestFit="1" customWidth="1"/>
    <col min="6660" max="6660" width="14.5703125" style="53" bestFit="1" customWidth="1"/>
    <col min="6661" max="6661" width="12.140625" style="53" bestFit="1" customWidth="1"/>
    <col min="6662" max="6672" width="14" style="53" customWidth="1"/>
    <col min="6673" max="6676" width="13.28515625" style="53" customWidth="1"/>
    <col min="6677" max="6901" width="9.140625" style="53"/>
    <col min="6902" max="6902" width="31" style="53" customWidth="1"/>
    <col min="6903" max="6903" width="18.5703125" style="53" customWidth="1"/>
    <col min="6904" max="6904" width="3.85546875" style="53" customWidth="1"/>
    <col min="6905" max="6905" width="18.7109375" style="53" customWidth="1"/>
    <col min="6906" max="6914" width="14" style="53" customWidth="1"/>
    <col min="6915" max="6915" width="13" style="53" bestFit="1" customWidth="1"/>
    <col min="6916" max="6916" width="14.5703125" style="53" bestFit="1" customWidth="1"/>
    <col min="6917" max="6917" width="12.140625" style="53" bestFit="1" customWidth="1"/>
    <col min="6918" max="6928" width="14" style="53" customWidth="1"/>
    <col min="6929" max="6932" width="13.28515625" style="53" customWidth="1"/>
    <col min="6933" max="7157" width="9.140625" style="53"/>
    <col min="7158" max="7158" width="31" style="53" customWidth="1"/>
    <col min="7159" max="7159" width="18.5703125" style="53" customWidth="1"/>
    <col min="7160" max="7160" width="3.85546875" style="53" customWidth="1"/>
    <col min="7161" max="7161" width="18.7109375" style="53" customWidth="1"/>
    <col min="7162" max="7170" width="14" style="53" customWidth="1"/>
    <col min="7171" max="7171" width="13" style="53" bestFit="1" customWidth="1"/>
    <col min="7172" max="7172" width="14.5703125" style="53" bestFit="1" customWidth="1"/>
    <col min="7173" max="7173" width="12.140625" style="53" bestFit="1" customWidth="1"/>
    <col min="7174" max="7184" width="14" style="53" customWidth="1"/>
    <col min="7185" max="7188" width="13.28515625" style="53" customWidth="1"/>
    <col min="7189" max="7413" width="9.140625" style="53"/>
    <col min="7414" max="7414" width="31" style="53" customWidth="1"/>
    <col min="7415" max="7415" width="18.5703125" style="53" customWidth="1"/>
    <col min="7416" max="7416" width="3.85546875" style="53" customWidth="1"/>
    <col min="7417" max="7417" width="18.7109375" style="53" customWidth="1"/>
    <col min="7418" max="7426" width="14" style="53" customWidth="1"/>
    <col min="7427" max="7427" width="13" style="53" bestFit="1" customWidth="1"/>
    <col min="7428" max="7428" width="14.5703125" style="53" bestFit="1" customWidth="1"/>
    <col min="7429" max="7429" width="12.140625" style="53" bestFit="1" customWidth="1"/>
    <col min="7430" max="7440" width="14" style="53" customWidth="1"/>
    <col min="7441" max="7444" width="13.28515625" style="53" customWidth="1"/>
    <col min="7445" max="7669" width="9.140625" style="53"/>
    <col min="7670" max="7670" width="31" style="53" customWidth="1"/>
    <col min="7671" max="7671" width="18.5703125" style="53" customWidth="1"/>
    <col min="7672" max="7672" width="3.85546875" style="53" customWidth="1"/>
    <col min="7673" max="7673" width="18.7109375" style="53" customWidth="1"/>
    <col min="7674" max="7682" width="14" style="53" customWidth="1"/>
    <col min="7683" max="7683" width="13" style="53" bestFit="1" customWidth="1"/>
    <col min="7684" max="7684" width="14.5703125" style="53" bestFit="1" customWidth="1"/>
    <col min="7685" max="7685" width="12.140625" style="53" bestFit="1" customWidth="1"/>
    <col min="7686" max="7696" width="14" style="53" customWidth="1"/>
    <col min="7697" max="7700" width="13.28515625" style="53" customWidth="1"/>
    <col min="7701" max="7925" width="9.140625" style="53"/>
    <col min="7926" max="7926" width="31" style="53" customWidth="1"/>
    <col min="7927" max="7927" width="18.5703125" style="53" customWidth="1"/>
    <col min="7928" max="7928" width="3.85546875" style="53" customWidth="1"/>
    <col min="7929" max="7929" width="18.7109375" style="53" customWidth="1"/>
    <col min="7930" max="7938" width="14" style="53" customWidth="1"/>
    <col min="7939" max="7939" width="13" style="53" bestFit="1" customWidth="1"/>
    <col min="7940" max="7940" width="14.5703125" style="53" bestFit="1" customWidth="1"/>
    <col min="7941" max="7941" width="12.140625" style="53" bestFit="1" customWidth="1"/>
    <col min="7942" max="7952" width="14" style="53" customWidth="1"/>
    <col min="7953" max="7956" width="13.28515625" style="53" customWidth="1"/>
    <col min="7957" max="8181" width="9.140625" style="53"/>
    <col min="8182" max="8182" width="31" style="53" customWidth="1"/>
    <col min="8183" max="8183" width="18.5703125" style="53" customWidth="1"/>
    <col min="8184" max="8184" width="3.85546875" style="53" customWidth="1"/>
    <col min="8185" max="8185" width="18.7109375" style="53" customWidth="1"/>
    <col min="8186" max="8194" width="14" style="53" customWidth="1"/>
    <col min="8195" max="8195" width="13" style="53" bestFit="1" customWidth="1"/>
    <col min="8196" max="8196" width="14.5703125" style="53" bestFit="1" customWidth="1"/>
    <col min="8197" max="8197" width="12.140625" style="53" bestFit="1" customWidth="1"/>
    <col min="8198" max="8208" width="14" style="53" customWidth="1"/>
    <col min="8209" max="8212" width="13.28515625" style="53" customWidth="1"/>
    <col min="8213" max="8437" width="9.140625" style="53"/>
    <col min="8438" max="8438" width="31" style="53" customWidth="1"/>
    <col min="8439" max="8439" width="18.5703125" style="53" customWidth="1"/>
    <col min="8440" max="8440" width="3.85546875" style="53" customWidth="1"/>
    <col min="8441" max="8441" width="18.7109375" style="53" customWidth="1"/>
    <col min="8442" max="8450" width="14" style="53" customWidth="1"/>
    <col min="8451" max="8451" width="13" style="53" bestFit="1" customWidth="1"/>
    <col min="8452" max="8452" width="14.5703125" style="53" bestFit="1" customWidth="1"/>
    <col min="8453" max="8453" width="12.140625" style="53" bestFit="1" customWidth="1"/>
    <col min="8454" max="8464" width="14" style="53" customWidth="1"/>
    <col min="8465" max="8468" width="13.28515625" style="53" customWidth="1"/>
    <col min="8469" max="8693" width="9.140625" style="53"/>
    <col min="8694" max="8694" width="31" style="53" customWidth="1"/>
    <col min="8695" max="8695" width="18.5703125" style="53" customWidth="1"/>
    <col min="8696" max="8696" width="3.85546875" style="53" customWidth="1"/>
    <col min="8697" max="8697" width="18.7109375" style="53" customWidth="1"/>
    <col min="8698" max="8706" width="14" style="53" customWidth="1"/>
    <col min="8707" max="8707" width="13" style="53" bestFit="1" customWidth="1"/>
    <col min="8708" max="8708" width="14.5703125" style="53" bestFit="1" customWidth="1"/>
    <col min="8709" max="8709" width="12.140625" style="53" bestFit="1" customWidth="1"/>
    <col min="8710" max="8720" width="14" style="53" customWidth="1"/>
    <col min="8721" max="8724" width="13.28515625" style="53" customWidth="1"/>
    <col min="8725" max="8949" width="9.140625" style="53"/>
    <col min="8950" max="8950" width="31" style="53" customWidth="1"/>
    <col min="8951" max="8951" width="18.5703125" style="53" customWidth="1"/>
    <col min="8952" max="8952" width="3.85546875" style="53" customWidth="1"/>
    <col min="8953" max="8953" width="18.7109375" style="53" customWidth="1"/>
    <col min="8954" max="8962" width="14" style="53" customWidth="1"/>
    <col min="8963" max="8963" width="13" style="53" bestFit="1" customWidth="1"/>
    <col min="8964" max="8964" width="14.5703125" style="53" bestFit="1" customWidth="1"/>
    <col min="8965" max="8965" width="12.140625" style="53" bestFit="1" customWidth="1"/>
    <col min="8966" max="8976" width="14" style="53" customWidth="1"/>
    <col min="8977" max="8980" width="13.28515625" style="53" customWidth="1"/>
    <col min="8981" max="9205" width="9.140625" style="53"/>
    <col min="9206" max="9206" width="31" style="53" customWidth="1"/>
    <col min="9207" max="9207" width="18.5703125" style="53" customWidth="1"/>
    <col min="9208" max="9208" width="3.85546875" style="53" customWidth="1"/>
    <col min="9209" max="9209" width="18.7109375" style="53" customWidth="1"/>
    <col min="9210" max="9218" width="14" style="53" customWidth="1"/>
    <col min="9219" max="9219" width="13" style="53" bestFit="1" customWidth="1"/>
    <col min="9220" max="9220" width="14.5703125" style="53" bestFit="1" customWidth="1"/>
    <col min="9221" max="9221" width="12.140625" style="53" bestFit="1" customWidth="1"/>
    <col min="9222" max="9232" width="14" style="53" customWidth="1"/>
    <col min="9233" max="9236" width="13.28515625" style="53" customWidth="1"/>
    <col min="9237" max="9461" width="9.140625" style="53"/>
    <col min="9462" max="9462" width="31" style="53" customWidth="1"/>
    <col min="9463" max="9463" width="18.5703125" style="53" customWidth="1"/>
    <col min="9464" max="9464" width="3.85546875" style="53" customWidth="1"/>
    <col min="9465" max="9465" width="18.7109375" style="53" customWidth="1"/>
    <col min="9466" max="9474" width="14" style="53" customWidth="1"/>
    <col min="9475" max="9475" width="13" style="53" bestFit="1" customWidth="1"/>
    <col min="9476" max="9476" width="14.5703125" style="53" bestFit="1" customWidth="1"/>
    <col min="9477" max="9477" width="12.140625" style="53" bestFit="1" customWidth="1"/>
    <col min="9478" max="9488" width="14" style="53" customWidth="1"/>
    <col min="9489" max="9492" width="13.28515625" style="53" customWidth="1"/>
    <col min="9493" max="9717" width="9.140625" style="53"/>
    <col min="9718" max="9718" width="31" style="53" customWidth="1"/>
    <col min="9719" max="9719" width="18.5703125" style="53" customWidth="1"/>
    <col min="9720" max="9720" width="3.85546875" style="53" customWidth="1"/>
    <col min="9721" max="9721" width="18.7109375" style="53" customWidth="1"/>
    <col min="9722" max="9730" width="14" style="53" customWidth="1"/>
    <col min="9731" max="9731" width="13" style="53" bestFit="1" customWidth="1"/>
    <col min="9732" max="9732" width="14.5703125" style="53" bestFit="1" customWidth="1"/>
    <col min="9733" max="9733" width="12.140625" style="53" bestFit="1" customWidth="1"/>
    <col min="9734" max="9744" width="14" style="53" customWidth="1"/>
    <col min="9745" max="9748" width="13.28515625" style="53" customWidth="1"/>
    <col min="9749" max="9973" width="9.140625" style="53"/>
    <col min="9974" max="9974" width="31" style="53" customWidth="1"/>
    <col min="9975" max="9975" width="18.5703125" style="53" customWidth="1"/>
    <col min="9976" max="9976" width="3.85546875" style="53" customWidth="1"/>
    <col min="9977" max="9977" width="18.7109375" style="53" customWidth="1"/>
    <col min="9978" max="9986" width="14" style="53" customWidth="1"/>
    <col min="9987" max="9987" width="13" style="53" bestFit="1" customWidth="1"/>
    <col min="9988" max="9988" width="14.5703125" style="53" bestFit="1" customWidth="1"/>
    <col min="9989" max="9989" width="12.140625" style="53" bestFit="1" customWidth="1"/>
    <col min="9990" max="10000" width="14" style="53" customWidth="1"/>
    <col min="10001" max="10004" width="13.28515625" style="53" customWidth="1"/>
    <col min="10005" max="10229" width="9.140625" style="53"/>
    <col min="10230" max="10230" width="31" style="53" customWidth="1"/>
    <col min="10231" max="10231" width="18.5703125" style="53" customWidth="1"/>
    <col min="10232" max="10232" width="3.85546875" style="53" customWidth="1"/>
    <col min="10233" max="10233" width="18.7109375" style="53" customWidth="1"/>
    <col min="10234" max="10242" width="14" style="53" customWidth="1"/>
    <col min="10243" max="10243" width="13" style="53" bestFit="1" customWidth="1"/>
    <col min="10244" max="10244" width="14.5703125" style="53" bestFit="1" customWidth="1"/>
    <col min="10245" max="10245" width="12.140625" style="53" bestFit="1" customWidth="1"/>
    <col min="10246" max="10256" width="14" style="53" customWidth="1"/>
    <col min="10257" max="10260" width="13.28515625" style="53" customWidth="1"/>
    <col min="10261" max="10485" width="9.140625" style="53"/>
    <col min="10486" max="10486" width="31" style="53" customWidth="1"/>
    <col min="10487" max="10487" width="18.5703125" style="53" customWidth="1"/>
    <col min="10488" max="10488" width="3.85546875" style="53" customWidth="1"/>
    <col min="10489" max="10489" width="18.7109375" style="53" customWidth="1"/>
    <col min="10490" max="10498" width="14" style="53" customWidth="1"/>
    <col min="10499" max="10499" width="13" style="53" bestFit="1" customWidth="1"/>
    <col min="10500" max="10500" width="14.5703125" style="53" bestFit="1" customWidth="1"/>
    <col min="10501" max="10501" width="12.140625" style="53" bestFit="1" customWidth="1"/>
    <col min="10502" max="10512" width="14" style="53" customWidth="1"/>
    <col min="10513" max="10516" width="13.28515625" style="53" customWidth="1"/>
    <col min="10517" max="10741" width="9.140625" style="53"/>
    <col min="10742" max="10742" width="31" style="53" customWidth="1"/>
    <col min="10743" max="10743" width="18.5703125" style="53" customWidth="1"/>
    <col min="10744" max="10744" width="3.85546875" style="53" customWidth="1"/>
    <col min="10745" max="10745" width="18.7109375" style="53" customWidth="1"/>
    <col min="10746" max="10754" width="14" style="53" customWidth="1"/>
    <col min="10755" max="10755" width="13" style="53" bestFit="1" customWidth="1"/>
    <col min="10756" max="10756" width="14.5703125" style="53" bestFit="1" customWidth="1"/>
    <col min="10757" max="10757" width="12.140625" style="53" bestFit="1" customWidth="1"/>
    <col min="10758" max="10768" width="14" style="53" customWidth="1"/>
    <col min="10769" max="10772" width="13.28515625" style="53" customWidth="1"/>
    <col min="10773" max="10997" width="9.140625" style="53"/>
    <col min="10998" max="10998" width="31" style="53" customWidth="1"/>
    <col min="10999" max="10999" width="18.5703125" style="53" customWidth="1"/>
    <col min="11000" max="11000" width="3.85546875" style="53" customWidth="1"/>
    <col min="11001" max="11001" width="18.7109375" style="53" customWidth="1"/>
    <col min="11002" max="11010" width="14" style="53" customWidth="1"/>
    <col min="11011" max="11011" width="13" style="53" bestFit="1" customWidth="1"/>
    <col min="11012" max="11012" width="14.5703125" style="53" bestFit="1" customWidth="1"/>
    <col min="11013" max="11013" width="12.140625" style="53" bestFit="1" customWidth="1"/>
    <col min="11014" max="11024" width="14" style="53" customWidth="1"/>
    <col min="11025" max="11028" width="13.28515625" style="53" customWidth="1"/>
    <col min="11029" max="11253" width="9.140625" style="53"/>
    <col min="11254" max="11254" width="31" style="53" customWidth="1"/>
    <col min="11255" max="11255" width="18.5703125" style="53" customWidth="1"/>
    <col min="11256" max="11256" width="3.85546875" style="53" customWidth="1"/>
    <col min="11257" max="11257" width="18.7109375" style="53" customWidth="1"/>
    <col min="11258" max="11266" width="14" style="53" customWidth="1"/>
    <col min="11267" max="11267" width="13" style="53" bestFit="1" customWidth="1"/>
    <col min="11268" max="11268" width="14.5703125" style="53" bestFit="1" customWidth="1"/>
    <col min="11269" max="11269" width="12.140625" style="53" bestFit="1" customWidth="1"/>
    <col min="11270" max="11280" width="14" style="53" customWidth="1"/>
    <col min="11281" max="11284" width="13.28515625" style="53" customWidth="1"/>
    <col min="11285" max="11509" width="9.140625" style="53"/>
    <col min="11510" max="11510" width="31" style="53" customWidth="1"/>
    <col min="11511" max="11511" width="18.5703125" style="53" customWidth="1"/>
    <col min="11512" max="11512" width="3.85546875" style="53" customWidth="1"/>
    <col min="11513" max="11513" width="18.7109375" style="53" customWidth="1"/>
    <col min="11514" max="11522" width="14" style="53" customWidth="1"/>
    <col min="11523" max="11523" width="13" style="53" bestFit="1" customWidth="1"/>
    <col min="11524" max="11524" width="14.5703125" style="53" bestFit="1" customWidth="1"/>
    <col min="11525" max="11525" width="12.140625" style="53" bestFit="1" customWidth="1"/>
    <col min="11526" max="11536" width="14" style="53" customWidth="1"/>
    <col min="11537" max="11540" width="13.28515625" style="53" customWidth="1"/>
    <col min="11541" max="11765" width="9.140625" style="53"/>
    <col min="11766" max="11766" width="31" style="53" customWidth="1"/>
    <col min="11767" max="11767" width="18.5703125" style="53" customWidth="1"/>
    <col min="11768" max="11768" width="3.85546875" style="53" customWidth="1"/>
    <col min="11769" max="11769" width="18.7109375" style="53" customWidth="1"/>
    <col min="11770" max="11778" width="14" style="53" customWidth="1"/>
    <col min="11779" max="11779" width="13" style="53" bestFit="1" customWidth="1"/>
    <col min="11780" max="11780" width="14.5703125" style="53" bestFit="1" customWidth="1"/>
    <col min="11781" max="11781" width="12.140625" style="53" bestFit="1" customWidth="1"/>
    <col min="11782" max="11792" width="14" style="53" customWidth="1"/>
    <col min="11793" max="11796" width="13.28515625" style="53" customWidth="1"/>
    <col min="11797" max="12021" width="9.140625" style="53"/>
    <col min="12022" max="12022" width="31" style="53" customWidth="1"/>
    <col min="12023" max="12023" width="18.5703125" style="53" customWidth="1"/>
    <col min="12024" max="12024" width="3.85546875" style="53" customWidth="1"/>
    <col min="12025" max="12025" width="18.7109375" style="53" customWidth="1"/>
    <col min="12026" max="12034" width="14" style="53" customWidth="1"/>
    <col min="12035" max="12035" width="13" style="53" bestFit="1" customWidth="1"/>
    <col min="12036" max="12036" width="14.5703125" style="53" bestFit="1" customWidth="1"/>
    <col min="12037" max="12037" width="12.140625" style="53" bestFit="1" customWidth="1"/>
    <col min="12038" max="12048" width="14" style="53" customWidth="1"/>
    <col min="12049" max="12052" width="13.28515625" style="53" customWidth="1"/>
    <col min="12053" max="12277" width="9.140625" style="53"/>
    <col min="12278" max="12278" width="31" style="53" customWidth="1"/>
    <col min="12279" max="12279" width="18.5703125" style="53" customWidth="1"/>
    <col min="12280" max="12280" width="3.85546875" style="53" customWidth="1"/>
    <col min="12281" max="12281" width="18.7109375" style="53" customWidth="1"/>
    <col min="12282" max="12290" width="14" style="53" customWidth="1"/>
    <col min="12291" max="12291" width="13" style="53" bestFit="1" customWidth="1"/>
    <col min="12292" max="12292" width="14.5703125" style="53" bestFit="1" customWidth="1"/>
    <col min="12293" max="12293" width="12.140625" style="53" bestFit="1" customWidth="1"/>
    <col min="12294" max="12304" width="14" style="53" customWidth="1"/>
    <col min="12305" max="12308" width="13.28515625" style="53" customWidth="1"/>
    <col min="12309" max="12533" width="9.140625" style="53"/>
    <col min="12534" max="12534" width="31" style="53" customWidth="1"/>
    <col min="12535" max="12535" width="18.5703125" style="53" customWidth="1"/>
    <col min="12536" max="12536" width="3.85546875" style="53" customWidth="1"/>
    <col min="12537" max="12537" width="18.7109375" style="53" customWidth="1"/>
    <col min="12538" max="12546" width="14" style="53" customWidth="1"/>
    <col min="12547" max="12547" width="13" style="53" bestFit="1" customWidth="1"/>
    <col min="12548" max="12548" width="14.5703125" style="53" bestFit="1" customWidth="1"/>
    <col min="12549" max="12549" width="12.140625" style="53" bestFit="1" customWidth="1"/>
    <col min="12550" max="12560" width="14" style="53" customWidth="1"/>
    <col min="12561" max="12564" width="13.28515625" style="53" customWidth="1"/>
    <col min="12565" max="12789" width="9.140625" style="53"/>
    <col min="12790" max="12790" width="31" style="53" customWidth="1"/>
    <col min="12791" max="12791" width="18.5703125" style="53" customWidth="1"/>
    <col min="12792" max="12792" width="3.85546875" style="53" customWidth="1"/>
    <col min="12793" max="12793" width="18.7109375" style="53" customWidth="1"/>
    <col min="12794" max="12802" width="14" style="53" customWidth="1"/>
    <col min="12803" max="12803" width="13" style="53" bestFit="1" customWidth="1"/>
    <col min="12804" max="12804" width="14.5703125" style="53" bestFit="1" customWidth="1"/>
    <col min="12805" max="12805" width="12.140625" style="53" bestFit="1" customWidth="1"/>
    <col min="12806" max="12816" width="14" style="53" customWidth="1"/>
    <col min="12817" max="12820" width="13.28515625" style="53" customWidth="1"/>
    <col min="12821" max="13045" width="9.140625" style="53"/>
    <col min="13046" max="13046" width="31" style="53" customWidth="1"/>
    <col min="13047" max="13047" width="18.5703125" style="53" customWidth="1"/>
    <col min="13048" max="13048" width="3.85546875" style="53" customWidth="1"/>
    <col min="13049" max="13049" width="18.7109375" style="53" customWidth="1"/>
    <col min="13050" max="13058" width="14" style="53" customWidth="1"/>
    <col min="13059" max="13059" width="13" style="53" bestFit="1" customWidth="1"/>
    <col min="13060" max="13060" width="14.5703125" style="53" bestFit="1" customWidth="1"/>
    <col min="13061" max="13061" width="12.140625" style="53" bestFit="1" customWidth="1"/>
    <col min="13062" max="13072" width="14" style="53" customWidth="1"/>
    <col min="13073" max="13076" width="13.28515625" style="53" customWidth="1"/>
    <col min="13077" max="13301" width="9.140625" style="53"/>
    <col min="13302" max="13302" width="31" style="53" customWidth="1"/>
    <col min="13303" max="13303" width="18.5703125" style="53" customWidth="1"/>
    <col min="13304" max="13304" width="3.85546875" style="53" customWidth="1"/>
    <col min="13305" max="13305" width="18.7109375" style="53" customWidth="1"/>
    <col min="13306" max="13314" width="14" style="53" customWidth="1"/>
    <col min="13315" max="13315" width="13" style="53" bestFit="1" customWidth="1"/>
    <col min="13316" max="13316" width="14.5703125" style="53" bestFit="1" customWidth="1"/>
    <col min="13317" max="13317" width="12.140625" style="53" bestFit="1" customWidth="1"/>
    <col min="13318" max="13328" width="14" style="53" customWidth="1"/>
    <col min="13329" max="13332" width="13.28515625" style="53" customWidth="1"/>
    <col min="13333" max="13557" width="9.140625" style="53"/>
    <col min="13558" max="13558" width="31" style="53" customWidth="1"/>
    <col min="13559" max="13559" width="18.5703125" style="53" customWidth="1"/>
    <col min="13560" max="13560" width="3.85546875" style="53" customWidth="1"/>
    <col min="13561" max="13561" width="18.7109375" style="53" customWidth="1"/>
    <col min="13562" max="13570" width="14" style="53" customWidth="1"/>
    <col min="13571" max="13571" width="13" style="53" bestFit="1" customWidth="1"/>
    <col min="13572" max="13572" width="14.5703125" style="53" bestFit="1" customWidth="1"/>
    <col min="13573" max="13573" width="12.140625" style="53" bestFit="1" customWidth="1"/>
    <col min="13574" max="13584" width="14" style="53" customWidth="1"/>
    <col min="13585" max="13588" width="13.28515625" style="53" customWidth="1"/>
    <col min="13589" max="13813" width="9.140625" style="53"/>
    <col min="13814" max="13814" width="31" style="53" customWidth="1"/>
    <col min="13815" max="13815" width="18.5703125" style="53" customWidth="1"/>
    <col min="13816" max="13816" width="3.85546875" style="53" customWidth="1"/>
    <col min="13817" max="13817" width="18.7109375" style="53" customWidth="1"/>
    <col min="13818" max="13826" width="14" style="53" customWidth="1"/>
    <col min="13827" max="13827" width="13" style="53" bestFit="1" customWidth="1"/>
    <col min="13828" max="13828" width="14.5703125" style="53" bestFit="1" customWidth="1"/>
    <col min="13829" max="13829" width="12.140625" style="53" bestFit="1" customWidth="1"/>
    <col min="13830" max="13840" width="14" style="53" customWidth="1"/>
    <col min="13841" max="13844" width="13.28515625" style="53" customWidth="1"/>
    <col min="13845" max="14069" width="9.140625" style="53"/>
    <col min="14070" max="14070" width="31" style="53" customWidth="1"/>
    <col min="14071" max="14071" width="18.5703125" style="53" customWidth="1"/>
    <col min="14072" max="14072" width="3.85546875" style="53" customWidth="1"/>
    <col min="14073" max="14073" width="18.7109375" style="53" customWidth="1"/>
    <col min="14074" max="14082" width="14" style="53" customWidth="1"/>
    <col min="14083" max="14083" width="13" style="53" bestFit="1" customWidth="1"/>
    <col min="14084" max="14084" width="14.5703125" style="53" bestFit="1" customWidth="1"/>
    <col min="14085" max="14085" width="12.140625" style="53" bestFit="1" customWidth="1"/>
    <col min="14086" max="14096" width="14" style="53" customWidth="1"/>
    <col min="14097" max="14100" width="13.28515625" style="53" customWidth="1"/>
    <col min="14101" max="14325" width="9.140625" style="53"/>
    <col min="14326" max="14326" width="31" style="53" customWidth="1"/>
    <col min="14327" max="14327" width="18.5703125" style="53" customWidth="1"/>
    <col min="14328" max="14328" width="3.85546875" style="53" customWidth="1"/>
    <col min="14329" max="14329" width="18.7109375" style="53" customWidth="1"/>
    <col min="14330" max="14338" width="14" style="53" customWidth="1"/>
    <col min="14339" max="14339" width="13" style="53" bestFit="1" customWidth="1"/>
    <col min="14340" max="14340" width="14.5703125" style="53" bestFit="1" customWidth="1"/>
    <col min="14341" max="14341" width="12.140625" style="53" bestFit="1" customWidth="1"/>
    <col min="14342" max="14352" width="14" style="53" customWidth="1"/>
    <col min="14353" max="14356" width="13.28515625" style="53" customWidth="1"/>
    <col min="14357" max="14581" width="9.140625" style="53"/>
    <col min="14582" max="14582" width="31" style="53" customWidth="1"/>
    <col min="14583" max="14583" width="18.5703125" style="53" customWidth="1"/>
    <col min="14584" max="14584" width="3.85546875" style="53" customWidth="1"/>
    <col min="14585" max="14585" width="18.7109375" style="53" customWidth="1"/>
    <col min="14586" max="14594" width="14" style="53" customWidth="1"/>
    <col min="14595" max="14595" width="13" style="53" bestFit="1" customWidth="1"/>
    <col min="14596" max="14596" width="14.5703125" style="53" bestFit="1" customWidth="1"/>
    <col min="14597" max="14597" width="12.140625" style="53" bestFit="1" customWidth="1"/>
    <col min="14598" max="14608" width="14" style="53" customWidth="1"/>
    <col min="14609" max="14612" width="13.28515625" style="53" customWidth="1"/>
    <col min="14613" max="14837" width="9.140625" style="53"/>
    <col min="14838" max="14838" width="31" style="53" customWidth="1"/>
    <col min="14839" max="14839" width="18.5703125" style="53" customWidth="1"/>
    <col min="14840" max="14840" width="3.85546875" style="53" customWidth="1"/>
    <col min="14841" max="14841" width="18.7109375" style="53" customWidth="1"/>
    <col min="14842" max="14850" width="14" style="53" customWidth="1"/>
    <col min="14851" max="14851" width="13" style="53" bestFit="1" customWidth="1"/>
    <col min="14852" max="14852" width="14.5703125" style="53" bestFit="1" customWidth="1"/>
    <col min="14853" max="14853" width="12.140625" style="53" bestFit="1" customWidth="1"/>
    <col min="14854" max="14864" width="14" style="53" customWidth="1"/>
    <col min="14865" max="14868" width="13.28515625" style="53" customWidth="1"/>
    <col min="14869" max="15093" width="9.140625" style="53"/>
    <col min="15094" max="15094" width="31" style="53" customWidth="1"/>
    <col min="15095" max="15095" width="18.5703125" style="53" customWidth="1"/>
    <col min="15096" max="15096" width="3.85546875" style="53" customWidth="1"/>
    <col min="15097" max="15097" width="18.7109375" style="53" customWidth="1"/>
    <col min="15098" max="15106" width="14" style="53" customWidth="1"/>
    <col min="15107" max="15107" width="13" style="53" bestFit="1" customWidth="1"/>
    <col min="15108" max="15108" width="14.5703125" style="53" bestFit="1" customWidth="1"/>
    <col min="15109" max="15109" width="12.140625" style="53" bestFit="1" customWidth="1"/>
    <col min="15110" max="15120" width="14" style="53" customWidth="1"/>
    <col min="15121" max="15124" width="13.28515625" style="53" customWidth="1"/>
    <col min="15125" max="15349" width="9.140625" style="53"/>
    <col min="15350" max="15350" width="31" style="53" customWidth="1"/>
    <col min="15351" max="15351" width="18.5703125" style="53" customWidth="1"/>
    <col min="15352" max="15352" width="3.85546875" style="53" customWidth="1"/>
    <col min="15353" max="15353" width="18.7109375" style="53" customWidth="1"/>
    <col min="15354" max="15362" width="14" style="53" customWidth="1"/>
    <col min="15363" max="15363" width="13" style="53" bestFit="1" customWidth="1"/>
    <col min="15364" max="15364" width="14.5703125" style="53" bestFit="1" customWidth="1"/>
    <col min="15365" max="15365" width="12.140625" style="53" bestFit="1" customWidth="1"/>
    <col min="15366" max="15376" width="14" style="53" customWidth="1"/>
    <col min="15377" max="15380" width="13.28515625" style="53" customWidth="1"/>
    <col min="15381" max="15605" width="9.140625" style="53"/>
    <col min="15606" max="15606" width="31" style="53" customWidth="1"/>
    <col min="15607" max="15607" width="18.5703125" style="53" customWidth="1"/>
    <col min="15608" max="15608" width="3.85546875" style="53" customWidth="1"/>
    <col min="15609" max="15609" width="18.7109375" style="53" customWidth="1"/>
    <col min="15610" max="15618" width="14" style="53" customWidth="1"/>
    <col min="15619" max="15619" width="13" style="53" bestFit="1" customWidth="1"/>
    <col min="15620" max="15620" width="14.5703125" style="53" bestFit="1" customWidth="1"/>
    <col min="15621" max="15621" width="12.140625" style="53" bestFit="1" customWidth="1"/>
    <col min="15622" max="15632" width="14" style="53" customWidth="1"/>
    <col min="15633" max="15636" width="13.28515625" style="53" customWidth="1"/>
    <col min="15637" max="15861" width="9.140625" style="53"/>
    <col min="15862" max="15862" width="31" style="53" customWidth="1"/>
    <col min="15863" max="15863" width="18.5703125" style="53" customWidth="1"/>
    <col min="15864" max="15864" width="3.85546875" style="53" customWidth="1"/>
    <col min="15865" max="15865" width="18.7109375" style="53" customWidth="1"/>
    <col min="15866" max="15874" width="14" style="53" customWidth="1"/>
    <col min="15875" max="15875" width="13" style="53" bestFit="1" customWidth="1"/>
    <col min="15876" max="15876" width="14.5703125" style="53" bestFit="1" customWidth="1"/>
    <col min="15877" max="15877" width="12.140625" style="53" bestFit="1" customWidth="1"/>
    <col min="15878" max="15888" width="14" style="53" customWidth="1"/>
    <col min="15889" max="15892" width="13.28515625" style="53" customWidth="1"/>
    <col min="15893" max="16117" width="9.140625" style="53"/>
    <col min="16118" max="16118" width="31" style="53" customWidth="1"/>
    <col min="16119" max="16119" width="18.5703125" style="53" customWidth="1"/>
    <col min="16120" max="16120" width="3.85546875" style="53" customWidth="1"/>
    <col min="16121" max="16121" width="18.7109375" style="53" customWidth="1"/>
    <col min="16122" max="16130" width="14" style="53" customWidth="1"/>
    <col min="16131" max="16131" width="13" style="53" bestFit="1" customWidth="1"/>
    <col min="16132" max="16132" width="14.5703125" style="53" bestFit="1" customWidth="1"/>
    <col min="16133" max="16133" width="12.140625" style="53" bestFit="1" customWidth="1"/>
    <col min="16134" max="16144" width="14" style="53" customWidth="1"/>
    <col min="16145" max="16148" width="13.28515625" style="53" customWidth="1"/>
    <col min="16149" max="16382" width="9.140625" style="53"/>
    <col min="16383" max="16384" width="9.140625" style="53" customWidth="1"/>
  </cols>
  <sheetData>
    <row r="1" spans="1:20" x14ac:dyDescent="0.2">
      <c r="D1" s="53"/>
      <c r="E1" s="53"/>
      <c r="F1" s="53"/>
    </row>
    <row r="2" spans="1:20" x14ac:dyDescent="0.2">
      <c r="C2" s="91"/>
      <c r="D2" s="53"/>
      <c r="E2" s="53"/>
      <c r="F2" s="53"/>
      <c r="J2" s="91"/>
      <c r="P2"/>
      <c r="Q2"/>
      <c r="R2"/>
      <c r="S2"/>
      <c r="T2"/>
    </row>
    <row r="3" spans="1:20" s="55" customFormat="1" ht="15.75" customHeight="1" x14ac:dyDescent="0.2">
      <c r="A3" s="324" t="s">
        <v>75</v>
      </c>
      <c r="B3" s="325"/>
      <c r="C3" s="325"/>
      <c r="D3" s="325"/>
      <c r="E3" s="325"/>
      <c r="F3" s="325"/>
      <c r="G3" s="325"/>
      <c r="H3" s="325"/>
      <c r="I3" s="37"/>
      <c r="J3"/>
      <c r="K3"/>
      <c r="L3"/>
    </row>
    <row r="4" spans="1:20" ht="44.25" customHeight="1" x14ac:dyDescent="0.2">
      <c r="A4" s="71" t="s">
        <v>56</v>
      </c>
      <c r="B4" s="71" t="s">
        <v>51</v>
      </c>
      <c r="C4" s="71" t="s">
        <v>57</v>
      </c>
      <c r="D4" s="71" t="s">
        <v>114</v>
      </c>
      <c r="E4" s="71" t="str">
        <f>M21</f>
        <v xml:space="preserve">Embedded Distributor </v>
      </c>
      <c r="F4" s="71" t="str">
        <f>P21</f>
        <v>Unmetered Scatter Load</v>
      </c>
      <c r="G4" s="71" t="s">
        <v>78</v>
      </c>
      <c r="H4" s="71" t="s">
        <v>79</v>
      </c>
      <c r="I4"/>
      <c r="J4"/>
      <c r="K4"/>
      <c r="L4"/>
      <c r="M4"/>
    </row>
    <row r="5" spans="1:20" x14ac:dyDescent="0.2">
      <c r="A5" s="72">
        <v>2016</v>
      </c>
      <c r="B5" s="165">
        <f>AVERAGEIF($A$24:$A$143,$A5,G$24:G$143)</f>
        <v>10277</v>
      </c>
      <c r="C5" s="170">
        <f>AVERAGEIF($A$24:$A$143,$A5,I$24:I$143)</f>
        <v>1283</v>
      </c>
      <c r="D5" s="165">
        <f>AVERAGEIF($A$24:$A$143,$A5,L$24:L$143)</f>
        <v>101.5</v>
      </c>
      <c r="E5" s="165">
        <f>AVERAGEIF($A$24:$A$143,$A5,O$24:O$143)</f>
        <v>6</v>
      </c>
      <c r="F5" s="165">
        <f t="shared" ref="F5:F14" si="0">AVERAGEIF($A$24:$A$143,$A5,Q$24:Q$143)</f>
        <v>30</v>
      </c>
      <c r="G5" s="170">
        <f t="shared" ref="G5:G14" si="1">AVERAGEIF($A$24:$A$143,$A5,T$24:T$143)</f>
        <v>73</v>
      </c>
      <c r="H5" s="165">
        <f t="shared" ref="H5:H14" si="2">AVERAGEIF($A$24:$A$143,$A5,W$24:W$143)</f>
        <v>2969.5</v>
      </c>
      <c r="I5"/>
      <c r="J5" s="175" t="s">
        <v>152</v>
      </c>
      <c r="K5"/>
      <c r="L5"/>
      <c r="M5"/>
    </row>
    <row r="6" spans="1:20" x14ac:dyDescent="0.2">
      <c r="A6" s="72">
        <v>2017</v>
      </c>
      <c r="B6" s="165">
        <f t="shared" ref="B6:B14" si="3">AVERAGEIF($A$24:$A$143,$A6,G$24:G$143)</f>
        <v>10374.5</v>
      </c>
      <c r="C6" s="170">
        <f t="shared" ref="C6:C14" si="4">AVERAGEIF($A$24:$A$143,$A6,I$24:I$143)</f>
        <v>1224.5</v>
      </c>
      <c r="D6" s="165">
        <f t="shared" ref="D6:D14" si="5">AVERAGEIF($A$24:$A$143,$A6,L$24:L$143)</f>
        <v>113.5</v>
      </c>
      <c r="E6" s="165">
        <f t="shared" ref="E6:E14" si="6">AVERAGEIF($A$24:$A$143,$A6,O$24:O$143)</f>
        <v>6</v>
      </c>
      <c r="F6" s="165">
        <f t="shared" si="0"/>
        <v>30.5</v>
      </c>
      <c r="G6" s="170">
        <f t="shared" si="1"/>
        <v>73</v>
      </c>
      <c r="H6" s="165">
        <f t="shared" si="2"/>
        <v>2932</v>
      </c>
      <c r="I6"/>
      <c r="J6" s="40"/>
      <c r="K6" s="101"/>
      <c r="L6" s="113"/>
      <c r="M6"/>
    </row>
    <row r="7" spans="1:20" x14ac:dyDescent="0.2">
      <c r="A7" s="72">
        <v>2018</v>
      </c>
      <c r="B7" s="165">
        <f t="shared" si="3"/>
        <v>10659.5</v>
      </c>
      <c r="C7" s="170">
        <f t="shared" si="4"/>
        <v>1237</v>
      </c>
      <c r="D7" s="165">
        <f t="shared" si="5"/>
        <v>110.5</v>
      </c>
      <c r="E7" s="165">
        <f t="shared" si="6"/>
        <v>6</v>
      </c>
      <c r="F7" s="165">
        <f t="shared" si="0"/>
        <v>31.5</v>
      </c>
      <c r="G7" s="170">
        <f t="shared" si="1"/>
        <v>73</v>
      </c>
      <c r="H7" s="165">
        <f t="shared" si="2"/>
        <v>2955</v>
      </c>
      <c r="I7"/>
      <c r="J7" s="40"/>
      <c r="K7" s="101"/>
      <c r="L7" s="113"/>
      <c r="M7"/>
    </row>
    <row r="8" spans="1:20" x14ac:dyDescent="0.2">
      <c r="A8" s="72">
        <v>2019</v>
      </c>
      <c r="B8" s="165">
        <f t="shared" si="3"/>
        <v>10922.5</v>
      </c>
      <c r="C8" s="170">
        <f t="shared" si="4"/>
        <v>1237</v>
      </c>
      <c r="D8" s="165">
        <f t="shared" si="5"/>
        <v>96</v>
      </c>
      <c r="E8" s="165">
        <f t="shared" si="6"/>
        <v>6</v>
      </c>
      <c r="F8" s="165">
        <f t="shared" si="0"/>
        <v>32</v>
      </c>
      <c r="G8" s="170">
        <f t="shared" si="1"/>
        <v>73</v>
      </c>
      <c r="H8" s="165">
        <f t="shared" si="2"/>
        <v>2992</v>
      </c>
      <c r="I8"/>
      <c r="J8" s="40"/>
      <c r="K8" s="101"/>
      <c r="L8" s="91"/>
      <c r="M8"/>
    </row>
    <row r="9" spans="1:20" x14ac:dyDescent="0.2">
      <c r="A9" s="72">
        <v>2020</v>
      </c>
      <c r="B9" s="165">
        <f t="shared" si="3"/>
        <v>11019.5</v>
      </c>
      <c r="C9" s="170">
        <f t="shared" si="4"/>
        <v>1252</v>
      </c>
      <c r="D9" s="165">
        <f t="shared" si="5"/>
        <v>98</v>
      </c>
      <c r="E9" s="165">
        <f t="shared" si="6"/>
        <v>6</v>
      </c>
      <c r="F9" s="165">
        <f t="shared" si="0"/>
        <v>32</v>
      </c>
      <c r="G9" s="170">
        <f t="shared" si="1"/>
        <v>73</v>
      </c>
      <c r="H9" s="165">
        <f t="shared" si="2"/>
        <v>3043</v>
      </c>
      <c r="I9"/>
      <c r="J9" s="164"/>
      <c r="K9" s="101"/>
      <c r="L9"/>
      <c r="M9"/>
    </row>
    <row r="10" spans="1:20" x14ac:dyDescent="0.2">
      <c r="A10" s="72">
        <v>2021</v>
      </c>
      <c r="B10" s="170">
        <f t="shared" si="3"/>
        <v>11096</v>
      </c>
      <c r="C10" s="170">
        <f t="shared" si="4"/>
        <v>1236.25</v>
      </c>
      <c r="D10" s="165">
        <f t="shared" si="5"/>
        <v>101</v>
      </c>
      <c r="E10" s="165">
        <f t="shared" si="6"/>
        <v>6</v>
      </c>
      <c r="F10" s="165">
        <f t="shared" si="0"/>
        <v>31.5</v>
      </c>
      <c r="G10" s="170">
        <f t="shared" si="1"/>
        <v>73</v>
      </c>
      <c r="H10" s="165">
        <f t="shared" si="2"/>
        <v>3091.5</v>
      </c>
      <c r="I10"/>
      <c r="J10" s="40"/>
      <c r="K10" s="101"/>
      <c r="L10"/>
      <c r="M10" s="40"/>
    </row>
    <row r="11" spans="1:20" x14ac:dyDescent="0.2">
      <c r="A11" s="72">
        <v>2022</v>
      </c>
      <c r="B11" s="165">
        <f t="shared" si="3"/>
        <v>11136</v>
      </c>
      <c r="C11" s="170">
        <f t="shared" si="4"/>
        <v>1199.125</v>
      </c>
      <c r="D11" s="165">
        <f t="shared" si="5"/>
        <v>98</v>
      </c>
      <c r="E11" s="165">
        <f t="shared" si="6"/>
        <v>6</v>
      </c>
      <c r="F11" s="165">
        <f t="shared" si="0"/>
        <v>31</v>
      </c>
      <c r="G11" s="170">
        <f t="shared" si="1"/>
        <v>73</v>
      </c>
      <c r="H11" s="165">
        <f t="shared" si="2"/>
        <v>3133</v>
      </c>
      <c r="I11"/>
      <c r="J11" s="40"/>
      <c r="K11" s="101"/>
      <c r="L11"/>
      <c r="M11"/>
    </row>
    <row r="12" spans="1:20" x14ac:dyDescent="0.2">
      <c r="A12" s="72">
        <v>2023</v>
      </c>
      <c r="B12" s="165">
        <f t="shared" si="3"/>
        <v>11213.5</v>
      </c>
      <c r="C12" s="170">
        <f t="shared" si="4"/>
        <v>1174.375</v>
      </c>
      <c r="D12" s="170">
        <f t="shared" si="5"/>
        <v>91.5</v>
      </c>
      <c r="E12" s="165">
        <f t="shared" si="6"/>
        <v>6</v>
      </c>
      <c r="F12" s="165">
        <f t="shared" si="0"/>
        <v>30</v>
      </c>
      <c r="G12" s="170">
        <f t="shared" si="1"/>
        <v>73</v>
      </c>
      <c r="H12" s="165">
        <f t="shared" si="2"/>
        <v>3162</v>
      </c>
      <c r="I12"/>
      <c r="J12" s="40"/>
      <c r="K12" s="101"/>
      <c r="L12"/>
      <c r="M12"/>
    </row>
    <row r="13" spans="1:20" x14ac:dyDescent="0.2">
      <c r="A13" s="72">
        <v>2024</v>
      </c>
      <c r="B13" s="165">
        <f t="shared" si="3"/>
        <v>11298.5</v>
      </c>
      <c r="C13" s="170">
        <f t="shared" si="4"/>
        <v>1170</v>
      </c>
      <c r="D13" s="170">
        <f t="shared" si="5"/>
        <v>90</v>
      </c>
      <c r="E13" s="165">
        <f t="shared" si="6"/>
        <v>6</v>
      </c>
      <c r="F13" s="165">
        <f t="shared" si="0"/>
        <v>29</v>
      </c>
      <c r="G13" s="170">
        <f t="shared" si="1"/>
        <v>73</v>
      </c>
      <c r="H13" s="165">
        <f t="shared" si="2"/>
        <v>3158</v>
      </c>
      <c r="I13"/>
      <c r="J13" s="40"/>
      <c r="K13" s="101"/>
      <c r="L13"/>
      <c r="M13"/>
    </row>
    <row r="14" spans="1:20" x14ac:dyDescent="0.2">
      <c r="A14" s="72">
        <v>2025</v>
      </c>
      <c r="B14" s="165">
        <f t="shared" si="3"/>
        <v>11354.5</v>
      </c>
      <c r="C14" s="170">
        <f t="shared" si="4"/>
        <v>1179</v>
      </c>
      <c r="D14" s="165">
        <f t="shared" si="5"/>
        <v>89</v>
      </c>
      <c r="E14" s="165">
        <f t="shared" si="6"/>
        <v>6</v>
      </c>
      <c r="F14" s="165">
        <f t="shared" si="0"/>
        <v>29</v>
      </c>
      <c r="G14" s="170">
        <f t="shared" si="1"/>
        <v>73</v>
      </c>
      <c r="H14" s="165">
        <f t="shared" si="2"/>
        <v>3158.5</v>
      </c>
      <c r="I14" s="113"/>
      <c r="J14" s="40"/>
      <c r="K14" s="101"/>
      <c r="L14"/>
      <c r="M14"/>
    </row>
    <row r="15" spans="1:20" x14ac:dyDescent="0.2">
      <c r="A15"/>
      <c r="B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0" x14ac:dyDescent="0.2">
      <c r="A16"/>
      <c r="B16"/>
      <c r="D16"/>
      <c r="E16"/>
      <c r="F16"/>
      <c r="G16"/>
      <c r="H16"/>
      <c r="I16" s="40"/>
      <c r="J16"/>
      <c r="K16"/>
      <c r="L16"/>
      <c r="M16"/>
      <c r="N16"/>
      <c r="O16"/>
      <c r="P16"/>
      <c r="Q16"/>
      <c r="R16"/>
      <c r="S16"/>
    </row>
    <row r="17" spans="1:35" x14ac:dyDescent="0.2">
      <c r="A17"/>
      <c r="B17" s="40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35" x14ac:dyDescent="0.2">
      <c r="A18"/>
      <c r="B18"/>
      <c r="D18"/>
      <c r="E18"/>
      <c r="F18" s="113"/>
      <c r="G18" s="40"/>
      <c r="H18"/>
      <c r="I18"/>
      <c r="J18"/>
      <c r="K18"/>
      <c r="L18"/>
      <c r="M18"/>
      <c r="N18"/>
      <c r="O18"/>
      <c r="P18"/>
      <c r="Q18"/>
      <c r="R18"/>
      <c r="S18"/>
      <c r="T18" s="229"/>
      <c r="W18" s="91"/>
    </row>
    <row r="19" spans="1:35" x14ac:dyDescent="0.2">
      <c r="E19" s="114"/>
      <c r="F19" s="114"/>
      <c r="K19" s="91"/>
    </row>
    <row r="20" spans="1:35" ht="15.75" customHeight="1" x14ac:dyDescent="0.2">
      <c r="A20" s="328" t="s">
        <v>58</v>
      </c>
      <c r="B20" s="328"/>
      <c r="C20" s="57"/>
      <c r="D20" s="329" t="s">
        <v>59</v>
      </c>
      <c r="E20" s="330"/>
      <c r="F20" s="326" t="s">
        <v>60</v>
      </c>
      <c r="G20" s="327"/>
      <c r="H20" s="327"/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</row>
    <row r="21" spans="1:35" ht="20.45" customHeight="1" x14ac:dyDescent="0.2">
      <c r="A21" s="73"/>
      <c r="B21" s="73"/>
      <c r="C21" s="59"/>
      <c r="D21" s="334" t="s">
        <v>61</v>
      </c>
      <c r="E21" s="335"/>
      <c r="F21" s="332" t="str">
        <f>B4</f>
        <v>Residential</v>
      </c>
      <c r="G21" s="333"/>
      <c r="H21" s="331" t="str">
        <f>C4</f>
        <v>General Service &lt; 50 kW</v>
      </c>
      <c r="I21" s="333"/>
      <c r="J21" s="331" t="str">
        <f>D4</f>
        <v>General Service &gt; 50 kW</v>
      </c>
      <c r="K21" s="332"/>
      <c r="L21" s="333"/>
      <c r="M21" s="331" t="s">
        <v>131</v>
      </c>
      <c r="N21" s="332"/>
      <c r="O21" s="333"/>
      <c r="P21" s="331" t="s">
        <v>130</v>
      </c>
      <c r="Q21" s="333"/>
      <c r="R21" s="331" t="str">
        <f>G4</f>
        <v>Sentinel Lighting</v>
      </c>
      <c r="S21" s="332"/>
      <c r="T21" s="333"/>
      <c r="U21" s="331" t="str">
        <f>H4</f>
        <v>Street Lighting</v>
      </c>
      <c r="V21" s="332"/>
      <c r="W21" s="333"/>
    </row>
    <row r="22" spans="1:35" ht="63.6" customHeight="1" thickBot="1" x14ac:dyDescent="0.25">
      <c r="A22" s="58"/>
      <c r="B22" s="58"/>
      <c r="C22" s="60"/>
      <c r="D22" s="74" t="s">
        <v>44</v>
      </c>
      <c r="E22" s="75" t="s">
        <v>113</v>
      </c>
      <c r="F22" s="76" t="s">
        <v>44</v>
      </c>
      <c r="G22" s="77" t="s">
        <v>62</v>
      </c>
      <c r="H22" s="74" t="s">
        <v>44</v>
      </c>
      <c r="I22" s="77" t="s">
        <v>62</v>
      </c>
      <c r="J22" s="74" t="s">
        <v>44</v>
      </c>
      <c r="K22" s="78" t="s">
        <v>45</v>
      </c>
      <c r="L22" s="77" t="s">
        <v>62</v>
      </c>
      <c r="M22" s="74" t="s">
        <v>44</v>
      </c>
      <c r="N22" s="78" t="s">
        <v>45</v>
      </c>
      <c r="O22" s="77" t="s">
        <v>62</v>
      </c>
      <c r="P22" s="74" t="s">
        <v>44</v>
      </c>
      <c r="Q22" s="77" t="s">
        <v>63</v>
      </c>
      <c r="R22" s="74" t="s">
        <v>44</v>
      </c>
      <c r="S22" s="78" t="s">
        <v>45</v>
      </c>
      <c r="T22" s="77" t="s">
        <v>62</v>
      </c>
      <c r="U22" s="74" t="s">
        <v>44</v>
      </c>
      <c r="V22" s="78" t="s">
        <v>45</v>
      </c>
      <c r="W22" s="77" t="s">
        <v>62</v>
      </c>
    </row>
    <row r="23" spans="1:35" x14ac:dyDescent="0.2">
      <c r="A23" s="61" t="s">
        <v>52</v>
      </c>
      <c r="B23" s="61" t="s">
        <v>76</v>
      </c>
      <c r="C23" s="60"/>
      <c r="D23" s="143"/>
      <c r="E23" s="143"/>
      <c r="F23" s="144"/>
      <c r="G23" s="145"/>
      <c r="H23" s="160"/>
      <c r="I23" s="159"/>
      <c r="J23" s="150"/>
      <c r="K23" s="151"/>
      <c r="L23" s="152"/>
      <c r="M23" s="150"/>
      <c r="N23" s="151"/>
      <c r="O23" s="152"/>
      <c r="P23" s="153"/>
      <c r="Q23" s="154"/>
      <c r="R23" s="153"/>
      <c r="S23" s="155"/>
      <c r="T23" s="156"/>
      <c r="U23" s="153"/>
      <c r="V23" s="157"/>
      <c r="W23" s="145"/>
    </row>
    <row r="24" spans="1:35" x14ac:dyDescent="0.2">
      <c r="A24" s="62">
        <v>2016</v>
      </c>
      <c r="B24" s="63" t="s">
        <v>64</v>
      </c>
      <c r="C24" s="109">
        <f>SUM(G24,I24,L24,O24)</f>
        <v>11667.5</v>
      </c>
      <c r="D24" s="146">
        <v>22228058.690000001</v>
      </c>
      <c r="E24" s="129">
        <v>234806</v>
      </c>
      <c r="F24" s="130">
        <f t="shared" ref="F24:V24" si="7">F25</f>
        <v>0</v>
      </c>
      <c r="G24" s="131">
        <f>'Customer Determination'!C4</f>
        <v>10277</v>
      </c>
      <c r="H24" s="146">
        <f t="shared" si="7"/>
        <v>0</v>
      </c>
      <c r="I24" s="167">
        <f>'Customer Determination'!E4</f>
        <v>1283</v>
      </c>
      <c r="J24" s="129">
        <f t="shared" si="7"/>
        <v>0</v>
      </c>
      <c r="K24" s="158">
        <f t="shared" si="7"/>
        <v>0</v>
      </c>
      <c r="L24" s="131">
        <f>'Customer Determination'!G4</f>
        <v>101.5</v>
      </c>
      <c r="M24" s="129">
        <f t="shared" si="7"/>
        <v>0</v>
      </c>
      <c r="N24" s="158">
        <f t="shared" si="7"/>
        <v>0</v>
      </c>
      <c r="O24" s="131">
        <v>6</v>
      </c>
      <c r="P24" s="129">
        <f t="shared" si="7"/>
        <v>0</v>
      </c>
      <c r="Q24" s="131">
        <f>'Customer Determination'!K4</f>
        <v>30</v>
      </c>
      <c r="R24" s="129">
        <f t="shared" si="7"/>
        <v>0</v>
      </c>
      <c r="S24" s="132">
        <f t="shared" si="7"/>
        <v>0</v>
      </c>
      <c r="T24" s="166">
        <v>73</v>
      </c>
      <c r="U24" s="129">
        <f t="shared" si="7"/>
        <v>0</v>
      </c>
      <c r="V24" s="158">
        <f t="shared" si="7"/>
        <v>0</v>
      </c>
      <c r="W24" s="131">
        <f>'Customer Determination'!O4</f>
        <v>2969.5</v>
      </c>
      <c r="X24" s="80"/>
      <c r="Y24" s="80"/>
      <c r="AA24" s="98"/>
      <c r="AB24" s="96"/>
      <c r="AE24" s="80"/>
      <c r="AF24" s="80"/>
      <c r="AH24" s="103"/>
      <c r="AI24" s="103"/>
    </row>
    <row r="25" spans="1:35" x14ac:dyDescent="0.2">
      <c r="A25" s="62">
        <v>2016</v>
      </c>
      <c r="B25" s="63" t="s">
        <v>65</v>
      </c>
      <c r="C25" s="109">
        <f t="shared" ref="C25:C87" si="8">SUM(G25,I25,L25,O25)</f>
        <v>11667.5</v>
      </c>
      <c r="D25" s="147">
        <v>19954896.940000001</v>
      </c>
      <c r="E25" s="133">
        <v>297475</v>
      </c>
      <c r="F25" s="134"/>
      <c r="G25" s="135">
        <f>G24</f>
        <v>10277</v>
      </c>
      <c r="H25" s="147"/>
      <c r="I25" s="167">
        <f>I24</f>
        <v>1283</v>
      </c>
      <c r="J25" s="133"/>
      <c r="K25" s="142"/>
      <c r="L25" s="135">
        <f>L24</f>
        <v>101.5</v>
      </c>
      <c r="M25" s="133"/>
      <c r="N25" s="142"/>
      <c r="O25" s="135">
        <v>6</v>
      </c>
      <c r="P25" s="133"/>
      <c r="Q25" s="135">
        <f>Q24</f>
        <v>30</v>
      </c>
      <c r="R25" s="133"/>
      <c r="S25" s="136"/>
      <c r="T25" s="166">
        <v>73</v>
      </c>
      <c r="U25" s="133"/>
      <c r="V25" s="142"/>
      <c r="W25" s="135">
        <f>W24</f>
        <v>2969.5</v>
      </c>
      <c r="Y25" s="80"/>
      <c r="AA25" s="98"/>
      <c r="AB25" s="96"/>
      <c r="AE25" s="80"/>
      <c r="AF25" s="80"/>
      <c r="AH25" s="103"/>
      <c r="AI25" s="103"/>
    </row>
    <row r="26" spans="1:35" x14ac:dyDescent="0.2">
      <c r="A26" s="62">
        <v>2016</v>
      </c>
      <c r="B26" s="63" t="s">
        <v>66</v>
      </c>
      <c r="C26" s="109">
        <f t="shared" si="8"/>
        <v>11667.5</v>
      </c>
      <c r="D26" s="147">
        <v>19222037.66</v>
      </c>
      <c r="E26" s="133">
        <v>355013</v>
      </c>
      <c r="F26" s="134"/>
      <c r="G26" s="135">
        <f t="shared" ref="G26:G35" si="9">G25</f>
        <v>10277</v>
      </c>
      <c r="H26" s="147"/>
      <c r="I26" s="167">
        <f t="shared" ref="I26:I35" si="10">I25</f>
        <v>1283</v>
      </c>
      <c r="J26" s="133"/>
      <c r="K26" s="142"/>
      <c r="L26" s="135">
        <f t="shared" ref="L26:L35" si="11">L25</f>
        <v>101.5</v>
      </c>
      <c r="M26" s="133"/>
      <c r="N26" s="142"/>
      <c r="O26" s="135">
        <v>6</v>
      </c>
      <c r="P26" s="133"/>
      <c r="Q26" s="135">
        <f t="shared" ref="Q26:Q35" si="12">Q25</f>
        <v>30</v>
      </c>
      <c r="R26" s="133"/>
      <c r="S26" s="136"/>
      <c r="T26" s="166">
        <v>73</v>
      </c>
      <c r="U26" s="133"/>
      <c r="V26" s="142"/>
      <c r="W26" s="135">
        <f t="shared" ref="W26:W35" si="13">W25</f>
        <v>2969.5</v>
      </c>
      <c r="Y26" s="80"/>
      <c r="AA26" s="98"/>
      <c r="AB26" s="96"/>
      <c r="AE26" s="80"/>
      <c r="AF26" s="80"/>
      <c r="AH26" s="103"/>
      <c r="AI26" s="103"/>
    </row>
    <row r="27" spans="1:35" x14ac:dyDescent="0.2">
      <c r="A27" s="62">
        <v>2016</v>
      </c>
      <c r="B27" s="63" t="s">
        <v>67</v>
      </c>
      <c r="C27" s="109">
        <f t="shared" si="8"/>
        <v>11667.5</v>
      </c>
      <c r="D27" s="147">
        <v>17539922.890000001</v>
      </c>
      <c r="E27" s="133">
        <v>494348</v>
      </c>
      <c r="F27" s="134"/>
      <c r="G27" s="135">
        <f t="shared" si="9"/>
        <v>10277</v>
      </c>
      <c r="H27" s="147"/>
      <c r="I27" s="167">
        <f t="shared" si="10"/>
        <v>1283</v>
      </c>
      <c r="J27" s="133"/>
      <c r="K27" s="142"/>
      <c r="L27" s="135">
        <f t="shared" si="11"/>
        <v>101.5</v>
      </c>
      <c r="M27" s="133"/>
      <c r="N27" s="142"/>
      <c r="O27" s="135">
        <v>6</v>
      </c>
      <c r="P27" s="133"/>
      <c r="Q27" s="135">
        <f t="shared" si="12"/>
        <v>30</v>
      </c>
      <c r="R27" s="133"/>
      <c r="S27" s="136"/>
      <c r="T27" s="166">
        <v>73</v>
      </c>
      <c r="U27" s="133"/>
      <c r="V27" s="142"/>
      <c r="W27" s="135">
        <f t="shared" si="13"/>
        <v>2969.5</v>
      </c>
      <c r="Y27" s="80"/>
      <c r="AA27" s="98"/>
      <c r="AB27" s="96"/>
      <c r="AE27" s="80"/>
      <c r="AF27" s="80"/>
      <c r="AH27" s="103"/>
      <c r="AI27" s="103"/>
    </row>
    <row r="28" spans="1:35" x14ac:dyDescent="0.2">
      <c r="A28" s="62">
        <v>2016</v>
      </c>
      <c r="B28" s="63" t="s">
        <v>43</v>
      </c>
      <c r="C28" s="109">
        <f t="shared" si="8"/>
        <v>11667.5</v>
      </c>
      <c r="D28" s="147">
        <v>17888192.079999998</v>
      </c>
      <c r="E28" s="133">
        <v>630932</v>
      </c>
      <c r="F28" s="134"/>
      <c r="G28" s="135">
        <f t="shared" si="9"/>
        <v>10277</v>
      </c>
      <c r="H28" s="147"/>
      <c r="I28" s="167">
        <f t="shared" si="10"/>
        <v>1283</v>
      </c>
      <c r="J28" s="133"/>
      <c r="K28" s="142"/>
      <c r="L28" s="135">
        <f t="shared" si="11"/>
        <v>101.5</v>
      </c>
      <c r="M28" s="133"/>
      <c r="N28" s="142"/>
      <c r="O28" s="135">
        <v>6</v>
      </c>
      <c r="P28" s="133"/>
      <c r="Q28" s="135">
        <f t="shared" si="12"/>
        <v>30</v>
      </c>
      <c r="R28" s="133"/>
      <c r="S28" s="136"/>
      <c r="T28" s="166">
        <v>73</v>
      </c>
      <c r="U28" s="133"/>
      <c r="V28" s="142"/>
      <c r="W28" s="135">
        <f t="shared" si="13"/>
        <v>2969.5</v>
      </c>
      <c r="Y28" s="80"/>
      <c r="AA28" s="98"/>
      <c r="AB28" s="96"/>
      <c r="AE28" s="80"/>
      <c r="AF28" s="80"/>
      <c r="AH28" s="103"/>
      <c r="AI28" s="103"/>
    </row>
    <row r="29" spans="1:35" x14ac:dyDescent="0.2">
      <c r="A29" s="62">
        <v>2016</v>
      </c>
      <c r="B29" s="63" t="s">
        <v>68</v>
      </c>
      <c r="C29" s="109">
        <f t="shared" si="8"/>
        <v>11667.5</v>
      </c>
      <c r="D29" s="147">
        <v>21176370.850000001</v>
      </c>
      <c r="E29" s="133">
        <v>685810</v>
      </c>
      <c r="F29" s="134"/>
      <c r="G29" s="135">
        <f t="shared" si="9"/>
        <v>10277</v>
      </c>
      <c r="H29" s="147"/>
      <c r="I29" s="167">
        <f t="shared" si="10"/>
        <v>1283</v>
      </c>
      <c r="J29" s="133"/>
      <c r="K29" s="142"/>
      <c r="L29" s="135">
        <f t="shared" si="11"/>
        <v>101.5</v>
      </c>
      <c r="M29" s="133"/>
      <c r="N29" s="142"/>
      <c r="O29" s="135">
        <v>6</v>
      </c>
      <c r="P29" s="133"/>
      <c r="Q29" s="135">
        <f t="shared" si="12"/>
        <v>30</v>
      </c>
      <c r="R29" s="133"/>
      <c r="S29" s="136"/>
      <c r="T29" s="166">
        <v>73</v>
      </c>
      <c r="U29" s="133"/>
      <c r="V29" s="142"/>
      <c r="W29" s="135">
        <f t="shared" si="13"/>
        <v>2969.5</v>
      </c>
      <c r="Y29" s="80"/>
      <c r="AA29" s="98"/>
      <c r="AB29" s="96"/>
      <c r="AE29" s="80"/>
      <c r="AF29" s="80"/>
      <c r="AH29" s="103"/>
      <c r="AI29" s="103"/>
    </row>
    <row r="30" spans="1:35" x14ac:dyDescent="0.2">
      <c r="A30" s="62">
        <v>2016</v>
      </c>
      <c r="B30" s="63" t="s">
        <v>69</v>
      </c>
      <c r="C30" s="109">
        <f t="shared" si="8"/>
        <v>11667.5</v>
      </c>
      <c r="D30" s="147">
        <v>25410950.030000001</v>
      </c>
      <c r="E30" s="133">
        <v>653742</v>
      </c>
      <c r="F30" s="134"/>
      <c r="G30" s="135">
        <f t="shared" si="9"/>
        <v>10277</v>
      </c>
      <c r="H30" s="147"/>
      <c r="I30" s="167">
        <f t="shared" si="10"/>
        <v>1283</v>
      </c>
      <c r="J30" s="133"/>
      <c r="K30" s="142"/>
      <c r="L30" s="135">
        <f t="shared" si="11"/>
        <v>101.5</v>
      </c>
      <c r="M30" s="133"/>
      <c r="N30" s="142"/>
      <c r="O30" s="135">
        <v>6</v>
      </c>
      <c r="P30" s="133"/>
      <c r="Q30" s="135">
        <f t="shared" si="12"/>
        <v>30</v>
      </c>
      <c r="R30" s="133"/>
      <c r="S30" s="136"/>
      <c r="T30" s="166">
        <v>73</v>
      </c>
      <c r="U30" s="133"/>
      <c r="V30" s="142"/>
      <c r="W30" s="135">
        <f t="shared" si="13"/>
        <v>2969.5</v>
      </c>
      <c r="Y30" s="80"/>
      <c r="AA30" s="98"/>
      <c r="AB30" s="96"/>
      <c r="AE30" s="80"/>
      <c r="AF30" s="80"/>
      <c r="AH30" s="103"/>
      <c r="AI30" s="103"/>
    </row>
    <row r="31" spans="1:35" x14ac:dyDescent="0.2">
      <c r="A31" s="62">
        <v>2016</v>
      </c>
      <c r="B31" s="63" t="s">
        <v>70</v>
      </c>
      <c r="C31" s="109">
        <f t="shared" si="8"/>
        <v>11667.5</v>
      </c>
      <c r="D31" s="147">
        <v>26478809.440000001</v>
      </c>
      <c r="E31" s="133">
        <v>604454</v>
      </c>
      <c r="F31" s="134"/>
      <c r="G31" s="135">
        <f t="shared" si="9"/>
        <v>10277</v>
      </c>
      <c r="H31" s="147"/>
      <c r="I31" s="167">
        <f t="shared" si="10"/>
        <v>1283</v>
      </c>
      <c r="J31" s="133"/>
      <c r="K31" s="142"/>
      <c r="L31" s="135">
        <f t="shared" si="11"/>
        <v>101.5</v>
      </c>
      <c r="M31" s="133"/>
      <c r="N31" s="142"/>
      <c r="O31" s="135">
        <v>6</v>
      </c>
      <c r="P31" s="133"/>
      <c r="Q31" s="135">
        <f t="shared" si="12"/>
        <v>30</v>
      </c>
      <c r="R31" s="133"/>
      <c r="S31" s="136"/>
      <c r="T31" s="166">
        <v>73</v>
      </c>
      <c r="U31" s="133"/>
      <c r="V31" s="142"/>
      <c r="W31" s="135">
        <f t="shared" si="13"/>
        <v>2969.5</v>
      </c>
      <c r="Y31" s="80"/>
      <c r="AA31" s="98"/>
      <c r="AB31" s="96"/>
      <c r="AE31" s="80"/>
      <c r="AF31" s="80"/>
      <c r="AH31" s="103"/>
      <c r="AI31" s="103"/>
    </row>
    <row r="32" spans="1:35" x14ac:dyDescent="0.2">
      <c r="A32" s="62">
        <v>2016</v>
      </c>
      <c r="B32" s="63" t="s">
        <v>71</v>
      </c>
      <c r="C32" s="109">
        <f t="shared" si="8"/>
        <v>11667.5</v>
      </c>
      <c r="D32" s="147">
        <v>19964495.100000001</v>
      </c>
      <c r="E32" s="133">
        <v>499609</v>
      </c>
      <c r="F32" s="134"/>
      <c r="G32" s="135">
        <f t="shared" si="9"/>
        <v>10277</v>
      </c>
      <c r="H32" s="147"/>
      <c r="I32" s="167">
        <f t="shared" si="10"/>
        <v>1283</v>
      </c>
      <c r="J32" s="133"/>
      <c r="K32" s="142"/>
      <c r="L32" s="135">
        <f t="shared" si="11"/>
        <v>101.5</v>
      </c>
      <c r="M32" s="133"/>
      <c r="N32" s="142"/>
      <c r="O32" s="135">
        <v>6</v>
      </c>
      <c r="P32" s="133"/>
      <c r="Q32" s="135">
        <f t="shared" si="12"/>
        <v>30</v>
      </c>
      <c r="R32" s="133"/>
      <c r="S32" s="136"/>
      <c r="T32" s="166">
        <v>73</v>
      </c>
      <c r="U32" s="133"/>
      <c r="V32" s="142"/>
      <c r="W32" s="135">
        <f t="shared" si="13"/>
        <v>2969.5</v>
      </c>
      <c r="Y32" s="80"/>
      <c r="AA32" s="98"/>
      <c r="AB32" s="96"/>
      <c r="AE32" s="80"/>
      <c r="AF32" s="80"/>
      <c r="AH32" s="103"/>
      <c r="AI32" s="103"/>
    </row>
    <row r="33" spans="1:35" x14ac:dyDescent="0.2">
      <c r="A33" s="62">
        <v>2016</v>
      </c>
      <c r="B33" s="63" t="s">
        <v>72</v>
      </c>
      <c r="C33" s="109">
        <f t="shared" si="8"/>
        <v>11667.5</v>
      </c>
      <c r="D33" s="147">
        <v>16743811.6</v>
      </c>
      <c r="E33" s="133">
        <v>419947</v>
      </c>
      <c r="F33" s="134"/>
      <c r="G33" s="135">
        <f t="shared" si="9"/>
        <v>10277</v>
      </c>
      <c r="H33" s="147"/>
      <c r="I33" s="167">
        <f t="shared" si="10"/>
        <v>1283</v>
      </c>
      <c r="J33" s="133"/>
      <c r="K33" s="142"/>
      <c r="L33" s="135">
        <f t="shared" si="11"/>
        <v>101.5</v>
      </c>
      <c r="M33" s="133"/>
      <c r="N33" s="142"/>
      <c r="O33" s="135">
        <v>6</v>
      </c>
      <c r="P33" s="133"/>
      <c r="Q33" s="135">
        <f t="shared" si="12"/>
        <v>30</v>
      </c>
      <c r="R33" s="133"/>
      <c r="S33" s="136"/>
      <c r="T33" s="166">
        <v>73</v>
      </c>
      <c r="U33" s="133"/>
      <c r="V33" s="142"/>
      <c r="W33" s="135">
        <f t="shared" si="13"/>
        <v>2969.5</v>
      </c>
      <c r="Y33" s="80"/>
      <c r="AA33" s="98"/>
      <c r="AB33" s="96"/>
      <c r="AE33" s="80"/>
      <c r="AF33" s="80"/>
      <c r="AH33" s="103"/>
      <c r="AI33" s="103"/>
    </row>
    <row r="34" spans="1:35" x14ac:dyDescent="0.2">
      <c r="A34" s="62">
        <v>2016</v>
      </c>
      <c r="B34" s="63" t="s">
        <v>73</v>
      </c>
      <c r="C34" s="109">
        <f t="shared" si="8"/>
        <v>11667.5</v>
      </c>
      <c r="D34" s="147">
        <v>17780990.670000002</v>
      </c>
      <c r="E34" s="133">
        <v>308938</v>
      </c>
      <c r="F34" s="134"/>
      <c r="G34" s="135">
        <f t="shared" si="9"/>
        <v>10277</v>
      </c>
      <c r="H34" s="147"/>
      <c r="I34" s="167">
        <f t="shared" si="10"/>
        <v>1283</v>
      </c>
      <c r="J34" s="133"/>
      <c r="K34" s="142"/>
      <c r="L34" s="135">
        <f t="shared" si="11"/>
        <v>101.5</v>
      </c>
      <c r="M34" s="133"/>
      <c r="N34" s="142"/>
      <c r="O34" s="135">
        <v>6</v>
      </c>
      <c r="P34" s="133"/>
      <c r="Q34" s="135">
        <f t="shared" si="12"/>
        <v>30</v>
      </c>
      <c r="R34" s="133"/>
      <c r="S34" s="136"/>
      <c r="T34" s="166">
        <v>73</v>
      </c>
      <c r="U34" s="133"/>
      <c r="V34" s="142"/>
      <c r="W34" s="135">
        <f t="shared" si="13"/>
        <v>2969.5</v>
      </c>
      <c r="Y34" s="80"/>
      <c r="AA34" s="98"/>
      <c r="AB34" s="96"/>
      <c r="AE34" s="80"/>
      <c r="AF34" s="80"/>
      <c r="AH34" s="103"/>
      <c r="AI34" s="103"/>
    </row>
    <row r="35" spans="1:35" x14ac:dyDescent="0.2">
      <c r="A35" s="62">
        <v>2016</v>
      </c>
      <c r="B35" s="63" t="s">
        <v>74</v>
      </c>
      <c r="C35" s="109">
        <f t="shared" si="8"/>
        <v>11667.5</v>
      </c>
      <c r="D35" s="147">
        <v>21570625.09</v>
      </c>
      <c r="E35" s="133">
        <v>133539</v>
      </c>
      <c r="F35" s="134">
        <v>91479319</v>
      </c>
      <c r="G35" s="135">
        <f t="shared" si="9"/>
        <v>10277</v>
      </c>
      <c r="H35" s="147">
        <v>28315731</v>
      </c>
      <c r="I35" s="167">
        <f t="shared" si="10"/>
        <v>1283</v>
      </c>
      <c r="J35" s="133">
        <v>59051959</v>
      </c>
      <c r="K35" s="142">
        <v>188539.6</v>
      </c>
      <c r="L35" s="135">
        <f t="shared" si="11"/>
        <v>101.5</v>
      </c>
      <c r="M35" s="133">
        <v>57823879</v>
      </c>
      <c r="N35" s="142">
        <v>117955</v>
      </c>
      <c r="O35" s="135">
        <v>6</v>
      </c>
      <c r="P35" s="133">
        <v>257059</v>
      </c>
      <c r="Q35" s="135">
        <f t="shared" si="12"/>
        <v>30</v>
      </c>
      <c r="R35" s="133">
        <v>153690</v>
      </c>
      <c r="S35" s="136">
        <v>411</v>
      </c>
      <c r="T35" s="166">
        <v>73</v>
      </c>
      <c r="U35" s="133">
        <v>1585584</v>
      </c>
      <c r="V35" s="142">
        <v>4764</v>
      </c>
      <c r="W35" s="135">
        <f t="shared" si="13"/>
        <v>2969.5</v>
      </c>
      <c r="X35" s="80"/>
      <c r="Y35" s="80"/>
      <c r="AA35" s="98"/>
      <c r="AB35" s="96"/>
      <c r="AE35" s="80"/>
      <c r="AF35" s="80"/>
      <c r="AH35" s="103"/>
      <c r="AI35" s="104"/>
    </row>
    <row r="36" spans="1:35" x14ac:dyDescent="0.2">
      <c r="A36" s="62">
        <v>2017</v>
      </c>
      <c r="B36" s="63" t="s">
        <v>64</v>
      </c>
      <c r="C36" s="109">
        <f t="shared" si="8"/>
        <v>11718.5</v>
      </c>
      <c r="D36" s="146">
        <v>21358692.940000001</v>
      </c>
      <c r="E36" s="129">
        <v>142223</v>
      </c>
      <c r="F36" s="130">
        <f t="shared" ref="F36:V36" si="14">F37</f>
        <v>0</v>
      </c>
      <c r="G36" s="131">
        <f>'Customer Determination'!C5</f>
        <v>10374.5</v>
      </c>
      <c r="H36" s="146">
        <f t="shared" si="14"/>
        <v>0</v>
      </c>
      <c r="I36" s="167">
        <f>'Customer Determination'!E5</f>
        <v>1224.5</v>
      </c>
      <c r="J36" s="129">
        <f t="shared" si="14"/>
        <v>0</v>
      </c>
      <c r="K36" s="158">
        <f t="shared" si="14"/>
        <v>0</v>
      </c>
      <c r="L36" s="131">
        <f>'Customer Determination'!G5</f>
        <v>113.5</v>
      </c>
      <c r="M36" s="129">
        <f t="shared" si="14"/>
        <v>0</v>
      </c>
      <c r="N36" s="158">
        <f t="shared" si="14"/>
        <v>0</v>
      </c>
      <c r="O36" s="131">
        <f t="shared" si="14"/>
        <v>6</v>
      </c>
      <c r="P36" s="129">
        <f t="shared" si="14"/>
        <v>0</v>
      </c>
      <c r="Q36" s="131">
        <f>'Customer Determination'!K5</f>
        <v>30.5</v>
      </c>
      <c r="R36" s="129">
        <f t="shared" si="14"/>
        <v>0</v>
      </c>
      <c r="S36" s="132">
        <f t="shared" si="14"/>
        <v>0</v>
      </c>
      <c r="T36" s="166">
        <v>73</v>
      </c>
      <c r="U36" s="129">
        <f t="shared" si="14"/>
        <v>0</v>
      </c>
      <c r="V36" s="158">
        <f t="shared" si="14"/>
        <v>0</v>
      </c>
      <c r="W36" s="131">
        <f>'Customer Determination'!O5</f>
        <v>2932</v>
      </c>
      <c r="Y36" s="80"/>
      <c r="AA36" s="98"/>
      <c r="AB36" s="96"/>
      <c r="AE36" s="80"/>
      <c r="AF36" s="80"/>
      <c r="AH36" s="103"/>
      <c r="AI36" s="103"/>
    </row>
    <row r="37" spans="1:35" x14ac:dyDescent="0.2">
      <c r="A37" s="62">
        <v>2017</v>
      </c>
      <c r="B37" s="63" t="s">
        <v>65</v>
      </c>
      <c r="C37" s="109">
        <f t="shared" si="8"/>
        <v>11718.5</v>
      </c>
      <c r="D37" s="147">
        <v>17924355.280000001</v>
      </c>
      <c r="E37" s="133">
        <v>311443</v>
      </c>
      <c r="F37" s="134"/>
      <c r="G37" s="135">
        <f>G36</f>
        <v>10374.5</v>
      </c>
      <c r="H37" s="147"/>
      <c r="I37" s="167">
        <f>I36</f>
        <v>1224.5</v>
      </c>
      <c r="J37" s="133"/>
      <c r="K37" s="142"/>
      <c r="L37" s="135">
        <f>L36</f>
        <v>113.5</v>
      </c>
      <c r="M37" s="133"/>
      <c r="N37" s="142"/>
      <c r="O37" s="135">
        <v>6</v>
      </c>
      <c r="P37" s="133"/>
      <c r="Q37" s="135">
        <f>Q36</f>
        <v>30.5</v>
      </c>
      <c r="R37" s="133"/>
      <c r="S37" s="136"/>
      <c r="T37" s="166">
        <v>73</v>
      </c>
      <c r="U37" s="133"/>
      <c r="V37" s="142"/>
      <c r="W37" s="135">
        <f>W36</f>
        <v>2932</v>
      </c>
      <c r="Y37" s="80"/>
      <c r="AA37" s="98"/>
      <c r="AB37" s="96"/>
      <c r="AE37" s="80"/>
      <c r="AF37" s="80"/>
      <c r="AH37" s="103"/>
      <c r="AI37" s="103"/>
    </row>
    <row r="38" spans="1:35" x14ac:dyDescent="0.2">
      <c r="A38" s="62">
        <v>2017</v>
      </c>
      <c r="B38" s="63" t="s">
        <v>66</v>
      </c>
      <c r="C38" s="109">
        <f t="shared" si="8"/>
        <v>11718.5</v>
      </c>
      <c r="D38" s="147">
        <v>19428992.539999999</v>
      </c>
      <c r="E38" s="133">
        <v>418801</v>
      </c>
      <c r="F38" s="134"/>
      <c r="G38" s="135">
        <f t="shared" ref="G38:G47" si="15">G37</f>
        <v>10374.5</v>
      </c>
      <c r="H38" s="147"/>
      <c r="I38" s="167">
        <f t="shared" ref="I38:I47" si="16">I37</f>
        <v>1224.5</v>
      </c>
      <c r="J38" s="133"/>
      <c r="K38" s="142"/>
      <c r="L38" s="135">
        <f t="shared" ref="L38:L47" si="17">L37</f>
        <v>113.5</v>
      </c>
      <c r="M38" s="133"/>
      <c r="N38" s="142"/>
      <c r="O38" s="135">
        <v>6</v>
      </c>
      <c r="P38" s="133"/>
      <c r="Q38" s="135">
        <f t="shared" ref="Q38:Q47" si="18">Q37</f>
        <v>30.5</v>
      </c>
      <c r="R38" s="133"/>
      <c r="S38" s="136"/>
      <c r="T38" s="166">
        <v>73</v>
      </c>
      <c r="U38" s="133"/>
      <c r="V38" s="142"/>
      <c r="W38" s="135">
        <f t="shared" ref="W38:W47" si="19">W37</f>
        <v>2932</v>
      </c>
      <c r="Y38" s="80"/>
      <c r="AA38" s="98"/>
      <c r="AB38" s="96"/>
      <c r="AE38" s="80"/>
      <c r="AF38" s="80"/>
      <c r="AH38" s="103"/>
      <c r="AI38" s="103"/>
    </row>
    <row r="39" spans="1:35" x14ac:dyDescent="0.2">
      <c r="A39" s="62">
        <v>2017</v>
      </c>
      <c r="B39" s="63" t="s">
        <v>67</v>
      </c>
      <c r="C39" s="109">
        <f t="shared" si="8"/>
        <v>11718.5</v>
      </c>
      <c r="D39" s="147">
        <v>15946371.67</v>
      </c>
      <c r="E39" s="133">
        <v>473713</v>
      </c>
      <c r="F39" s="134"/>
      <c r="G39" s="135">
        <f t="shared" si="15"/>
        <v>10374.5</v>
      </c>
      <c r="H39" s="147"/>
      <c r="I39" s="167">
        <f t="shared" si="16"/>
        <v>1224.5</v>
      </c>
      <c r="J39" s="133"/>
      <c r="K39" s="142"/>
      <c r="L39" s="135">
        <f t="shared" si="17"/>
        <v>113.5</v>
      </c>
      <c r="M39" s="133"/>
      <c r="N39" s="142"/>
      <c r="O39" s="135">
        <v>6</v>
      </c>
      <c r="P39" s="133"/>
      <c r="Q39" s="135">
        <f t="shared" si="18"/>
        <v>30.5</v>
      </c>
      <c r="R39" s="133"/>
      <c r="S39" s="136"/>
      <c r="T39" s="166">
        <v>73</v>
      </c>
      <c r="U39" s="133"/>
      <c r="V39" s="142"/>
      <c r="W39" s="135">
        <f t="shared" si="19"/>
        <v>2932</v>
      </c>
      <c r="Y39" s="80"/>
      <c r="AA39" s="98"/>
      <c r="AB39" s="96"/>
      <c r="AE39" s="80"/>
      <c r="AF39" s="80"/>
      <c r="AH39" s="103"/>
      <c r="AI39" s="103"/>
    </row>
    <row r="40" spans="1:35" x14ac:dyDescent="0.2">
      <c r="A40" s="62">
        <v>2017</v>
      </c>
      <c r="B40" s="63" t="s">
        <v>43</v>
      </c>
      <c r="C40" s="109">
        <f t="shared" si="8"/>
        <v>11718.5</v>
      </c>
      <c r="D40" s="147">
        <v>16906557.140000001</v>
      </c>
      <c r="E40" s="133">
        <v>826417</v>
      </c>
      <c r="F40" s="134"/>
      <c r="G40" s="135">
        <f t="shared" si="15"/>
        <v>10374.5</v>
      </c>
      <c r="H40" s="147"/>
      <c r="I40" s="167">
        <f t="shared" si="16"/>
        <v>1224.5</v>
      </c>
      <c r="J40" s="133"/>
      <c r="K40" s="142"/>
      <c r="L40" s="135">
        <f t="shared" si="17"/>
        <v>113.5</v>
      </c>
      <c r="M40" s="133"/>
      <c r="N40" s="142"/>
      <c r="O40" s="135">
        <v>6</v>
      </c>
      <c r="P40" s="133"/>
      <c r="Q40" s="135">
        <f t="shared" si="18"/>
        <v>30.5</v>
      </c>
      <c r="R40" s="133"/>
      <c r="S40" s="136"/>
      <c r="T40" s="166">
        <v>73</v>
      </c>
      <c r="U40" s="133"/>
      <c r="V40" s="142"/>
      <c r="W40" s="135">
        <f t="shared" si="19"/>
        <v>2932</v>
      </c>
      <c r="Y40" s="80"/>
      <c r="AA40" s="98"/>
      <c r="AB40" s="96"/>
      <c r="AE40" s="80"/>
      <c r="AF40" s="80"/>
      <c r="AH40" s="103"/>
      <c r="AI40" s="103"/>
    </row>
    <row r="41" spans="1:35" x14ac:dyDescent="0.2">
      <c r="A41" s="62">
        <v>2017</v>
      </c>
      <c r="B41" s="63" t="s">
        <v>68</v>
      </c>
      <c r="C41" s="109">
        <f t="shared" si="8"/>
        <v>11718.5</v>
      </c>
      <c r="D41" s="147">
        <v>20456312.949999999</v>
      </c>
      <c r="E41" s="133">
        <v>745371</v>
      </c>
      <c r="F41" s="134"/>
      <c r="G41" s="135">
        <f t="shared" si="15"/>
        <v>10374.5</v>
      </c>
      <c r="H41" s="147"/>
      <c r="I41" s="167">
        <f t="shared" si="16"/>
        <v>1224.5</v>
      </c>
      <c r="J41" s="133"/>
      <c r="K41" s="142"/>
      <c r="L41" s="135">
        <f t="shared" si="17"/>
        <v>113.5</v>
      </c>
      <c r="M41" s="133"/>
      <c r="N41" s="142"/>
      <c r="O41" s="135">
        <v>6</v>
      </c>
      <c r="P41" s="133"/>
      <c r="Q41" s="135">
        <f t="shared" si="18"/>
        <v>30.5</v>
      </c>
      <c r="R41" s="133"/>
      <c r="S41" s="136"/>
      <c r="T41" s="166">
        <v>73</v>
      </c>
      <c r="U41" s="133"/>
      <c r="V41" s="142"/>
      <c r="W41" s="135">
        <f t="shared" si="19"/>
        <v>2932</v>
      </c>
      <c r="Y41" s="80"/>
      <c r="AA41" s="98"/>
      <c r="AB41" s="96"/>
      <c r="AE41" s="80"/>
      <c r="AF41" s="80"/>
      <c r="AH41" s="103"/>
      <c r="AI41" s="103"/>
    </row>
    <row r="42" spans="1:35" x14ac:dyDescent="0.2">
      <c r="A42" s="62">
        <v>2017</v>
      </c>
      <c r="B42" s="63" t="s">
        <v>69</v>
      </c>
      <c r="C42" s="109">
        <f t="shared" si="8"/>
        <v>11718.5</v>
      </c>
      <c r="D42" s="147">
        <v>24127924.170000002</v>
      </c>
      <c r="E42" s="133">
        <v>738146</v>
      </c>
      <c r="F42" s="134"/>
      <c r="G42" s="135">
        <f t="shared" si="15"/>
        <v>10374.5</v>
      </c>
      <c r="H42" s="147"/>
      <c r="I42" s="167">
        <f t="shared" si="16"/>
        <v>1224.5</v>
      </c>
      <c r="J42" s="133"/>
      <c r="K42" s="142"/>
      <c r="L42" s="135">
        <f t="shared" si="17"/>
        <v>113.5</v>
      </c>
      <c r="M42" s="133"/>
      <c r="N42" s="142"/>
      <c r="O42" s="135">
        <v>6</v>
      </c>
      <c r="P42" s="133"/>
      <c r="Q42" s="135">
        <f t="shared" si="18"/>
        <v>30.5</v>
      </c>
      <c r="R42" s="133"/>
      <c r="S42" s="136"/>
      <c r="T42" s="166">
        <v>73</v>
      </c>
      <c r="U42" s="133"/>
      <c r="V42" s="142"/>
      <c r="W42" s="135">
        <f t="shared" si="19"/>
        <v>2932</v>
      </c>
      <c r="Y42" s="80"/>
      <c r="AA42" s="98"/>
      <c r="AB42" s="96"/>
      <c r="AE42" s="80"/>
      <c r="AF42" s="80"/>
      <c r="AH42" s="103"/>
      <c r="AI42" s="103"/>
    </row>
    <row r="43" spans="1:35" x14ac:dyDescent="0.2">
      <c r="A43" s="62">
        <v>2017</v>
      </c>
      <c r="B43" s="63" t="s">
        <v>70</v>
      </c>
      <c r="C43" s="109">
        <f t="shared" si="8"/>
        <v>11718.5</v>
      </c>
      <c r="D43" s="147">
        <v>20981874.190000001</v>
      </c>
      <c r="E43" s="133">
        <v>688252</v>
      </c>
      <c r="F43" s="134"/>
      <c r="G43" s="135">
        <f t="shared" si="15"/>
        <v>10374.5</v>
      </c>
      <c r="H43" s="147"/>
      <c r="I43" s="167">
        <f t="shared" si="16"/>
        <v>1224.5</v>
      </c>
      <c r="J43" s="133"/>
      <c r="K43" s="142"/>
      <c r="L43" s="135">
        <f t="shared" si="17"/>
        <v>113.5</v>
      </c>
      <c r="M43" s="133"/>
      <c r="N43" s="142"/>
      <c r="O43" s="135">
        <v>6</v>
      </c>
      <c r="P43" s="133"/>
      <c r="Q43" s="135">
        <f t="shared" si="18"/>
        <v>30.5</v>
      </c>
      <c r="R43" s="133"/>
      <c r="S43" s="136"/>
      <c r="T43" s="166">
        <v>73</v>
      </c>
      <c r="U43" s="133"/>
      <c r="V43" s="142"/>
      <c r="W43" s="135">
        <f t="shared" si="19"/>
        <v>2932</v>
      </c>
      <c r="Y43" s="80"/>
      <c r="AA43" s="98"/>
      <c r="AB43" s="96"/>
      <c r="AE43" s="80"/>
      <c r="AF43" s="80"/>
      <c r="AH43" s="103"/>
      <c r="AI43" s="103"/>
    </row>
    <row r="44" spans="1:35" x14ac:dyDescent="0.2">
      <c r="A44" s="62">
        <v>2017</v>
      </c>
      <c r="B44" s="63" t="s">
        <v>71</v>
      </c>
      <c r="C44" s="109">
        <f t="shared" si="8"/>
        <v>11718.5</v>
      </c>
      <c r="D44" s="147">
        <v>17752578.850000001</v>
      </c>
      <c r="E44" s="133">
        <v>621289</v>
      </c>
      <c r="F44" s="134"/>
      <c r="G44" s="135">
        <f t="shared" si="15"/>
        <v>10374.5</v>
      </c>
      <c r="H44" s="147"/>
      <c r="I44" s="167">
        <f t="shared" si="16"/>
        <v>1224.5</v>
      </c>
      <c r="J44" s="133"/>
      <c r="K44" s="142"/>
      <c r="L44" s="135">
        <f t="shared" si="17"/>
        <v>113.5</v>
      </c>
      <c r="M44" s="133"/>
      <c r="N44" s="142"/>
      <c r="O44" s="135">
        <v>6</v>
      </c>
      <c r="P44" s="133"/>
      <c r="Q44" s="135">
        <f t="shared" si="18"/>
        <v>30.5</v>
      </c>
      <c r="R44" s="133"/>
      <c r="S44" s="136"/>
      <c r="T44" s="166">
        <v>73</v>
      </c>
      <c r="U44" s="133"/>
      <c r="V44" s="142"/>
      <c r="W44" s="135">
        <f t="shared" si="19"/>
        <v>2932</v>
      </c>
      <c r="Y44" s="80"/>
      <c r="AA44" s="98"/>
      <c r="AB44" s="96"/>
      <c r="AE44" s="80"/>
      <c r="AF44" s="80"/>
      <c r="AH44" s="103"/>
      <c r="AI44" s="103"/>
    </row>
    <row r="45" spans="1:35" x14ac:dyDescent="0.2">
      <c r="A45" s="62">
        <v>2017</v>
      </c>
      <c r="B45" s="63" t="s">
        <v>72</v>
      </c>
      <c r="C45" s="109">
        <f t="shared" si="8"/>
        <v>11718.5</v>
      </c>
      <c r="D45" s="147">
        <v>16267869.65</v>
      </c>
      <c r="E45" s="133">
        <v>422987</v>
      </c>
      <c r="F45" s="134"/>
      <c r="G45" s="135">
        <f t="shared" si="15"/>
        <v>10374.5</v>
      </c>
      <c r="H45" s="147"/>
      <c r="I45" s="167">
        <f t="shared" si="16"/>
        <v>1224.5</v>
      </c>
      <c r="J45" s="133"/>
      <c r="K45" s="142"/>
      <c r="L45" s="135">
        <f t="shared" si="17"/>
        <v>113.5</v>
      </c>
      <c r="M45" s="133"/>
      <c r="N45" s="142"/>
      <c r="O45" s="135">
        <v>6</v>
      </c>
      <c r="P45" s="133"/>
      <c r="Q45" s="135">
        <f t="shared" si="18"/>
        <v>30.5</v>
      </c>
      <c r="R45" s="133"/>
      <c r="S45" s="136"/>
      <c r="T45" s="166">
        <v>73</v>
      </c>
      <c r="U45" s="133"/>
      <c r="V45" s="142"/>
      <c r="W45" s="135">
        <f t="shared" si="19"/>
        <v>2932</v>
      </c>
      <c r="Y45" s="80"/>
      <c r="AA45" s="98"/>
      <c r="AB45" s="96"/>
      <c r="AE45" s="80"/>
      <c r="AF45" s="80"/>
      <c r="AH45" s="103"/>
      <c r="AI45" s="103"/>
    </row>
    <row r="46" spans="1:35" x14ac:dyDescent="0.2">
      <c r="A46" s="62">
        <v>2017</v>
      </c>
      <c r="B46" s="63" t="s">
        <v>73</v>
      </c>
      <c r="C46" s="109">
        <f t="shared" si="8"/>
        <v>11718.5</v>
      </c>
      <c r="D46" s="147">
        <v>17286540.039999999</v>
      </c>
      <c r="E46" s="133">
        <v>285862</v>
      </c>
      <c r="F46" s="134"/>
      <c r="G46" s="135">
        <f t="shared" si="15"/>
        <v>10374.5</v>
      </c>
      <c r="H46" s="147"/>
      <c r="I46" s="167">
        <f t="shared" si="16"/>
        <v>1224.5</v>
      </c>
      <c r="J46" s="133"/>
      <c r="K46" s="142"/>
      <c r="L46" s="135">
        <f t="shared" si="17"/>
        <v>113.5</v>
      </c>
      <c r="M46" s="133"/>
      <c r="N46" s="142"/>
      <c r="O46" s="135">
        <v>6</v>
      </c>
      <c r="P46" s="133"/>
      <c r="Q46" s="135">
        <f t="shared" si="18"/>
        <v>30.5</v>
      </c>
      <c r="R46" s="133"/>
      <c r="S46" s="136"/>
      <c r="T46" s="166">
        <v>73</v>
      </c>
      <c r="U46" s="133"/>
      <c r="V46" s="142"/>
      <c r="W46" s="135">
        <f t="shared" si="19"/>
        <v>2932</v>
      </c>
      <c r="Y46" s="80"/>
      <c r="AA46" s="98"/>
      <c r="AB46" s="96"/>
      <c r="AE46" s="80"/>
      <c r="AF46" s="80"/>
      <c r="AH46" s="103"/>
      <c r="AI46" s="103"/>
    </row>
    <row r="47" spans="1:35" x14ac:dyDescent="0.2">
      <c r="A47" s="62">
        <v>2017</v>
      </c>
      <c r="B47" s="63" t="s">
        <v>74</v>
      </c>
      <c r="C47" s="109">
        <f t="shared" si="8"/>
        <v>11718.5</v>
      </c>
      <c r="D47" s="147">
        <v>20215407.739999998</v>
      </c>
      <c r="E47" s="133">
        <v>172953</v>
      </c>
      <c r="F47" s="134">
        <v>86529651</v>
      </c>
      <c r="G47" s="135">
        <f t="shared" si="15"/>
        <v>10374.5</v>
      </c>
      <c r="H47" s="147">
        <v>27228067</v>
      </c>
      <c r="I47" s="167">
        <f t="shared" si="16"/>
        <v>1224.5</v>
      </c>
      <c r="J47" s="133">
        <v>47449870</v>
      </c>
      <c r="K47" s="142">
        <v>188530</v>
      </c>
      <c r="L47" s="135">
        <f t="shared" si="17"/>
        <v>113.5</v>
      </c>
      <c r="M47" s="133">
        <v>56843411</v>
      </c>
      <c r="N47" s="142">
        <v>143958</v>
      </c>
      <c r="O47" s="135">
        <v>6</v>
      </c>
      <c r="P47" s="133">
        <v>255469</v>
      </c>
      <c r="Q47" s="135">
        <f t="shared" si="18"/>
        <v>30.5</v>
      </c>
      <c r="R47" s="133">
        <v>152795</v>
      </c>
      <c r="S47" s="136">
        <v>406</v>
      </c>
      <c r="T47" s="166">
        <v>73</v>
      </c>
      <c r="U47" s="133">
        <v>1361607</v>
      </c>
      <c r="V47" s="142">
        <v>3705</v>
      </c>
      <c r="W47" s="135">
        <f t="shared" si="19"/>
        <v>2932</v>
      </c>
      <c r="X47" s="80"/>
      <c r="Y47" s="80"/>
      <c r="AA47" s="98"/>
      <c r="AB47" s="96"/>
      <c r="AE47" s="80"/>
      <c r="AF47" s="80"/>
      <c r="AH47" s="103"/>
      <c r="AI47" s="104"/>
    </row>
    <row r="48" spans="1:35" x14ac:dyDescent="0.2">
      <c r="A48" s="62">
        <v>2018</v>
      </c>
      <c r="B48" s="63" t="s">
        <v>64</v>
      </c>
      <c r="C48" s="109">
        <f t="shared" si="8"/>
        <v>12013</v>
      </c>
      <c r="D48" s="146">
        <v>21585922.039999999</v>
      </c>
      <c r="E48" s="129">
        <v>251852</v>
      </c>
      <c r="F48" s="130">
        <f t="shared" ref="F48:V48" si="20">F49</f>
        <v>0</v>
      </c>
      <c r="G48" s="131">
        <f>'Customer Determination'!C6</f>
        <v>10659.5</v>
      </c>
      <c r="H48" s="146">
        <f t="shared" si="20"/>
        <v>0</v>
      </c>
      <c r="I48" s="167">
        <f>'Customer Determination'!E6</f>
        <v>1237</v>
      </c>
      <c r="J48" s="129">
        <f t="shared" si="20"/>
        <v>0</v>
      </c>
      <c r="K48" s="158">
        <f t="shared" si="20"/>
        <v>0</v>
      </c>
      <c r="L48" s="131">
        <f>'Customer Determination'!G6</f>
        <v>110.5</v>
      </c>
      <c r="M48" s="129">
        <f t="shared" si="20"/>
        <v>0</v>
      </c>
      <c r="N48" s="158">
        <f t="shared" si="20"/>
        <v>0</v>
      </c>
      <c r="O48" s="131">
        <f t="shared" si="20"/>
        <v>6</v>
      </c>
      <c r="P48" s="129">
        <f t="shared" si="20"/>
        <v>0</v>
      </c>
      <c r="Q48" s="131">
        <f>'Customer Determination'!K6</f>
        <v>31.5</v>
      </c>
      <c r="R48" s="129">
        <f t="shared" si="20"/>
        <v>0</v>
      </c>
      <c r="S48" s="132">
        <f t="shared" si="20"/>
        <v>0</v>
      </c>
      <c r="T48" s="166">
        <v>73</v>
      </c>
      <c r="U48" s="129">
        <f t="shared" si="20"/>
        <v>0</v>
      </c>
      <c r="V48" s="158">
        <f t="shared" si="20"/>
        <v>0</v>
      </c>
      <c r="W48" s="131">
        <f>'Customer Determination'!O6</f>
        <v>2955</v>
      </c>
      <c r="Y48" s="80"/>
      <c r="AA48" s="98"/>
      <c r="AB48" s="96"/>
      <c r="AE48" s="80"/>
      <c r="AF48" s="80"/>
      <c r="AH48" s="103"/>
      <c r="AI48" s="103"/>
    </row>
    <row r="49" spans="1:35" x14ac:dyDescent="0.2">
      <c r="A49" s="62">
        <v>2018</v>
      </c>
      <c r="B49" s="63" t="s">
        <v>65</v>
      </c>
      <c r="C49" s="109">
        <f t="shared" si="8"/>
        <v>12013</v>
      </c>
      <c r="D49" s="147">
        <v>17656172.989999998</v>
      </c>
      <c r="E49" s="133">
        <v>234936</v>
      </c>
      <c r="F49" s="134"/>
      <c r="G49" s="135">
        <f>G48</f>
        <v>10659.5</v>
      </c>
      <c r="H49" s="147"/>
      <c r="I49" s="167">
        <f>I48</f>
        <v>1237</v>
      </c>
      <c r="J49" s="133"/>
      <c r="K49" s="142"/>
      <c r="L49" s="135">
        <f>L48</f>
        <v>110.5</v>
      </c>
      <c r="M49" s="133"/>
      <c r="N49" s="142"/>
      <c r="O49" s="135">
        <v>6</v>
      </c>
      <c r="P49" s="133"/>
      <c r="Q49" s="135">
        <f>Q48</f>
        <v>31.5</v>
      </c>
      <c r="R49" s="133"/>
      <c r="S49" s="136"/>
      <c r="T49" s="166">
        <v>73</v>
      </c>
      <c r="U49" s="133"/>
      <c r="V49" s="142"/>
      <c r="W49" s="135">
        <f>W48</f>
        <v>2955</v>
      </c>
      <c r="Y49" s="80"/>
      <c r="AA49" s="98"/>
      <c r="AB49" s="96"/>
      <c r="AE49" s="80"/>
      <c r="AF49" s="80"/>
      <c r="AH49" s="103"/>
      <c r="AI49" s="103"/>
    </row>
    <row r="50" spans="1:35" x14ac:dyDescent="0.2">
      <c r="A50" s="62">
        <v>2018</v>
      </c>
      <c r="B50" s="63" t="s">
        <v>66</v>
      </c>
      <c r="C50" s="109">
        <f t="shared" si="8"/>
        <v>12013</v>
      </c>
      <c r="D50" s="147">
        <v>18248162.620000001</v>
      </c>
      <c r="E50" s="133">
        <v>574730</v>
      </c>
      <c r="F50" s="134"/>
      <c r="G50" s="135">
        <f t="shared" ref="G50:G59" si="21">G49</f>
        <v>10659.5</v>
      </c>
      <c r="H50" s="147"/>
      <c r="I50" s="167">
        <f t="shared" ref="I50:I59" si="22">I49</f>
        <v>1237</v>
      </c>
      <c r="J50" s="133"/>
      <c r="K50" s="142"/>
      <c r="L50" s="135">
        <f>L49</f>
        <v>110.5</v>
      </c>
      <c r="M50" s="133"/>
      <c r="N50" s="142"/>
      <c r="O50" s="135">
        <v>6</v>
      </c>
      <c r="P50" s="133"/>
      <c r="Q50" s="135">
        <f t="shared" ref="Q50:Q59" si="23">Q49</f>
        <v>31.5</v>
      </c>
      <c r="R50" s="133"/>
      <c r="S50" s="136"/>
      <c r="T50" s="166">
        <v>73</v>
      </c>
      <c r="U50" s="133"/>
      <c r="V50" s="142"/>
      <c r="W50" s="135">
        <f t="shared" ref="W50:W59" si="24">W49</f>
        <v>2955</v>
      </c>
      <c r="Y50" s="80"/>
      <c r="AA50" s="98"/>
      <c r="AB50" s="96"/>
      <c r="AE50" s="80"/>
      <c r="AF50" s="80"/>
      <c r="AH50" s="103"/>
      <c r="AI50" s="103"/>
    </row>
    <row r="51" spans="1:35" x14ac:dyDescent="0.2">
      <c r="A51" s="62">
        <v>2018</v>
      </c>
      <c r="B51" s="63" t="s">
        <v>67</v>
      </c>
      <c r="C51" s="109">
        <f t="shared" si="8"/>
        <v>12013</v>
      </c>
      <c r="D51" s="147">
        <v>16369500.24</v>
      </c>
      <c r="E51" s="133">
        <v>586292</v>
      </c>
      <c r="F51" s="134"/>
      <c r="G51" s="135">
        <f t="shared" si="21"/>
        <v>10659.5</v>
      </c>
      <c r="H51" s="147"/>
      <c r="I51" s="167">
        <f t="shared" si="22"/>
        <v>1237</v>
      </c>
      <c r="J51" s="133"/>
      <c r="K51" s="142"/>
      <c r="L51" s="135">
        <f t="shared" ref="L51:L59" si="25">L50</f>
        <v>110.5</v>
      </c>
      <c r="M51" s="133"/>
      <c r="N51" s="142"/>
      <c r="O51" s="135">
        <v>6</v>
      </c>
      <c r="P51" s="133"/>
      <c r="Q51" s="135">
        <f t="shared" si="23"/>
        <v>31.5</v>
      </c>
      <c r="R51" s="133"/>
      <c r="S51" s="136"/>
      <c r="T51" s="166">
        <v>73</v>
      </c>
      <c r="U51" s="133"/>
      <c r="V51" s="142"/>
      <c r="W51" s="135">
        <f t="shared" si="24"/>
        <v>2955</v>
      </c>
      <c r="Y51" s="80"/>
      <c r="AA51" s="98"/>
      <c r="AB51" s="96"/>
      <c r="AE51" s="80"/>
      <c r="AF51" s="80"/>
      <c r="AH51" s="103"/>
      <c r="AI51" s="103"/>
    </row>
    <row r="52" spans="1:35" x14ac:dyDescent="0.2">
      <c r="A52" s="62">
        <v>2018</v>
      </c>
      <c r="B52" s="63" t="s">
        <v>43</v>
      </c>
      <c r="C52" s="109">
        <f t="shared" si="8"/>
        <v>12013</v>
      </c>
      <c r="D52" s="147">
        <v>17055234.91</v>
      </c>
      <c r="E52" s="133">
        <v>731668</v>
      </c>
      <c r="F52" s="134"/>
      <c r="G52" s="135">
        <f t="shared" si="21"/>
        <v>10659.5</v>
      </c>
      <c r="H52" s="147"/>
      <c r="I52" s="167">
        <f t="shared" si="22"/>
        <v>1237</v>
      </c>
      <c r="J52" s="133"/>
      <c r="K52" s="142"/>
      <c r="L52" s="135">
        <f t="shared" si="25"/>
        <v>110.5</v>
      </c>
      <c r="M52" s="133"/>
      <c r="N52" s="142"/>
      <c r="O52" s="135">
        <v>6</v>
      </c>
      <c r="P52" s="133"/>
      <c r="Q52" s="135">
        <f t="shared" si="23"/>
        <v>31.5</v>
      </c>
      <c r="R52" s="133"/>
      <c r="S52" s="136"/>
      <c r="T52" s="166">
        <v>73</v>
      </c>
      <c r="U52" s="133"/>
      <c r="V52" s="142"/>
      <c r="W52" s="135">
        <f t="shared" si="24"/>
        <v>2955</v>
      </c>
      <c r="Y52" s="80"/>
      <c r="AA52" s="98"/>
      <c r="AB52" s="96"/>
      <c r="AE52" s="80"/>
      <c r="AF52" s="80"/>
      <c r="AH52" s="103"/>
      <c r="AI52" s="103"/>
    </row>
    <row r="53" spans="1:35" x14ac:dyDescent="0.2">
      <c r="A53" s="62">
        <v>2018</v>
      </c>
      <c r="B53" s="63" t="s">
        <v>68</v>
      </c>
      <c r="C53" s="109">
        <f t="shared" si="8"/>
        <v>12013</v>
      </c>
      <c r="D53" s="147">
        <v>19672642.52</v>
      </c>
      <c r="E53" s="133">
        <v>710269</v>
      </c>
      <c r="F53" s="134"/>
      <c r="G53" s="135">
        <f t="shared" si="21"/>
        <v>10659.5</v>
      </c>
      <c r="H53" s="147"/>
      <c r="I53" s="167">
        <f t="shared" si="22"/>
        <v>1237</v>
      </c>
      <c r="J53" s="133"/>
      <c r="K53" s="142"/>
      <c r="L53" s="135">
        <f t="shared" si="25"/>
        <v>110.5</v>
      </c>
      <c r="M53" s="133"/>
      <c r="N53" s="142"/>
      <c r="O53" s="135">
        <v>6</v>
      </c>
      <c r="P53" s="133"/>
      <c r="Q53" s="135">
        <f t="shared" si="23"/>
        <v>31.5</v>
      </c>
      <c r="R53" s="133"/>
      <c r="S53" s="136"/>
      <c r="T53" s="166">
        <v>73</v>
      </c>
      <c r="U53" s="133"/>
      <c r="V53" s="142"/>
      <c r="W53" s="135">
        <f t="shared" si="24"/>
        <v>2955</v>
      </c>
      <c r="Y53" s="80"/>
      <c r="AA53" s="98"/>
      <c r="AB53" s="96"/>
      <c r="AE53" s="80"/>
      <c r="AF53" s="80"/>
      <c r="AH53" s="103"/>
      <c r="AI53" s="103"/>
    </row>
    <row r="54" spans="1:35" x14ac:dyDescent="0.2">
      <c r="A54" s="62">
        <v>2018</v>
      </c>
      <c r="B54" s="63" t="s">
        <v>69</v>
      </c>
      <c r="C54" s="109">
        <f t="shared" si="8"/>
        <v>12013</v>
      </c>
      <c r="D54" s="147">
        <v>24519316.199999999</v>
      </c>
      <c r="E54" s="133">
        <v>778930</v>
      </c>
      <c r="F54" s="134"/>
      <c r="G54" s="135">
        <f t="shared" si="21"/>
        <v>10659.5</v>
      </c>
      <c r="H54" s="147"/>
      <c r="I54" s="167">
        <f t="shared" si="22"/>
        <v>1237</v>
      </c>
      <c r="J54" s="133"/>
      <c r="K54" s="142"/>
      <c r="L54" s="135">
        <f t="shared" si="25"/>
        <v>110.5</v>
      </c>
      <c r="M54" s="133"/>
      <c r="N54" s="142"/>
      <c r="O54" s="135">
        <v>6</v>
      </c>
      <c r="P54" s="133"/>
      <c r="Q54" s="135">
        <f t="shared" si="23"/>
        <v>31.5</v>
      </c>
      <c r="R54" s="133"/>
      <c r="S54" s="136"/>
      <c r="T54" s="166">
        <v>73</v>
      </c>
      <c r="U54" s="133"/>
      <c r="V54" s="142"/>
      <c r="W54" s="135">
        <f t="shared" si="24"/>
        <v>2955</v>
      </c>
      <c r="Y54" s="80"/>
      <c r="AA54" s="98"/>
      <c r="AB54" s="96"/>
      <c r="AE54" s="80"/>
      <c r="AF54" s="80"/>
      <c r="AH54" s="103"/>
      <c r="AI54" s="103"/>
    </row>
    <row r="55" spans="1:35" x14ac:dyDescent="0.2">
      <c r="A55" s="62">
        <v>2018</v>
      </c>
      <c r="B55" s="63" t="s">
        <v>70</v>
      </c>
      <c r="C55" s="109">
        <f t="shared" si="8"/>
        <v>12013</v>
      </c>
      <c r="D55" s="147">
        <v>26369599.34</v>
      </c>
      <c r="E55" s="133">
        <v>636511</v>
      </c>
      <c r="F55" s="134"/>
      <c r="G55" s="135">
        <f t="shared" si="21"/>
        <v>10659.5</v>
      </c>
      <c r="H55" s="147"/>
      <c r="I55" s="167">
        <f t="shared" si="22"/>
        <v>1237</v>
      </c>
      <c r="J55" s="133"/>
      <c r="K55" s="142"/>
      <c r="L55" s="135">
        <f t="shared" si="25"/>
        <v>110.5</v>
      </c>
      <c r="M55" s="133"/>
      <c r="N55" s="142"/>
      <c r="O55" s="135">
        <v>6</v>
      </c>
      <c r="P55" s="133"/>
      <c r="Q55" s="135">
        <f t="shared" si="23"/>
        <v>31.5</v>
      </c>
      <c r="R55" s="133"/>
      <c r="S55" s="136"/>
      <c r="T55" s="166">
        <v>73</v>
      </c>
      <c r="U55" s="133"/>
      <c r="V55" s="142"/>
      <c r="W55" s="135">
        <f t="shared" si="24"/>
        <v>2955</v>
      </c>
      <c r="Y55" s="80"/>
      <c r="AA55" s="98"/>
      <c r="AB55" s="96"/>
      <c r="AE55" s="80"/>
      <c r="AF55" s="80"/>
      <c r="AH55" s="103"/>
      <c r="AI55" s="103"/>
    </row>
    <row r="56" spans="1:35" x14ac:dyDescent="0.2">
      <c r="A56" s="62">
        <v>2018</v>
      </c>
      <c r="B56" s="63" t="s">
        <v>71</v>
      </c>
      <c r="C56" s="109">
        <f t="shared" si="8"/>
        <v>12013</v>
      </c>
      <c r="D56" s="147">
        <v>21334916.59</v>
      </c>
      <c r="E56" s="133">
        <v>500836</v>
      </c>
      <c r="F56" s="134"/>
      <c r="G56" s="135">
        <f t="shared" si="21"/>
        <v>10659.5</v>
      </c>
      <c r="H56" s="147"/>
      <c r="I56" s="167">
        <f t="shared" si="22"/>
        <v>1237</v>
      </c>
      <c r="J56" s="133"/>
      <c r="K56" s="142"/>
      <c r="L56" s="135">
        <f t="shared" si="25"/>
        <v>110.5</v>
      </c>
      <c r="M56" s="133"/>
      <c r="N56" s="142"/>
      <c r="O56" s="135">
        <v>6</v>
      </c>
      <c r="P56" s="133"/>
      <c r="Q56" s="135">
        <f t="shared" si="23"/>
        <v>31.5</v>
      </c>
      <c r="R56" s="133"/>
      <c r="S56" s="136"/>
      <c r="T56" s="166">
        <v>73</v>
      </c>
      <c r="U56" s="133"/>
      <c r="V56" s="142"/>
      <c r="W56" s="135">
        <f t="shared" si="24"/>
        <v>2955</v>
      </c>
      <c r="Y56" s="80"/>
      <c r="AA56" s="98"/>
      <c r="AB56" s="96"/>
      <c r="AE56" s="80"/>
      <c r="AF56" s="80"/>
      <c r="AH56" s="103"/>
      <c r="AI56" s="103"/>
    </row>
    <row r="57" spans="1:35" x14ac:dyDescent="0.2">
      <c r="A57" s="62">
        <v>2018</v>
      </c>
      <c r="B57" s="63" t="s">
        <v>72</v>
      </c>
      <c r="C57" s="109">
        <f t="shared" si="8"/>
        <v>12013</v>
      </c>
      <c r="D57" s="147">
        <v>18577883.890000001</v>
      </c>
      <c r="E57" s="133">
        <v>376066</v>
      </c>
      <c r="F57" s="134"/>
      <c r="G57" s="135">
        <f t="shared" si="21"/>
        <v>10659.5</v>
      </c>
      <c r="H57" s="147"/>
      <c r="I57" s="167">
        <f t="shared" si="22"/>
        <v>1237</v>
      </c>
      <c r="J57" s="133"/>
      <c r="K57" s="142"/>
      <c r="L57" s="135">
        <f t="shared" si="25"/>
        <v>110.5</v>
      </c>
      <c r="M57" s="133"/>
      <c r="N57" s="142"/>
      <c r="O57" s="135">
        <v>6</v>
      </c>
      <c r="P57" s="133"/>
      <c r="Q57" s="135">
        <f t="shared" si="23"/>
        <v>31.5</v>
      </c>
      <c r="R57" s="133"/>
      <c r="S57" s="136"/>
      <c r="T57" s="166">
        <v>73</v>
      </c>
      <c r="U57" s="133"/>
      <c r="V57" s="142"/>
      <c r="W57" s="135">
        <f t="shared" si="24"/>
        <v>2955</v>
      </c>
      <c r="Y57" s="80"/>
      <c r="AA57" s="98"/>
      <c r="AB57" s="96"/>
      <c r="AE57" s="80"/>
      <c r="AF57" s="80"/>
      <c r="AH57" s="103"/>
      <c r="AI57" s="103"/>
    </row>
    <row r="58" spans="1:35" x14ac:dyDescent="0.2">
      <c r="A58" s="62">
        <v>2018</v>
      </c>
      <c r="B58" s="63" t="s">
        <v>73</v>
      </c>
      <c r="C58" s="109">
        <f t="shared" si="8"/>
        <v>12013</v>
      </c>
      <c r="D58" s="147">
        <v>18327764.969999999</v>
      </c>
      <c r="E58" s="133">
        <v>181639</v>
      </c>
      <c r="F58" s="134"/>
      <c r="G58" s="135">
        <f t="shared" si="21"/>
        <v>10659.5</v>
      </c>
      <c r="H58" s="147"/>
      <c r="I58" s="167">
        <f t="shared" si="22"/>
        <v>1237</v>
      </c>
      <c r="J58" s="133"/>
      <c r="K58" s="142"/>
      <c r="L58" s="135">
        <f t="shared" si="25"/>
        <v>110.5</v>
      </c>
      <c r="M58" s="133"/>
      <c r="N58" s="142"/>
      <c r="O58" s="135">
        <v>6</v>
      </c>
      <c r="P58" s="133"/>
      <c r="Q58" s="135">
        <f t="shared" si="23"/>
        <v>31.5</v>
      </c>
      <c r="R58" s="133"/>
      <c r="S58" s="136"/>
      <c r="T58" s="166">
        <v>73</v>
      </c>
      <c r="U58" s="133"/>
      <c r="V58" s="142"/>
      <c r="W58" s="135">
        <f t="shared" si="24"/>
        <v>2955</v>
      </c>
      <c r="Y58" s="80"/>
      <c r="AA58" s="98"/>
      <c r="AB58" s="96"/>
      <c r="AE58" s="80"/>
      <c r="AF58" s="80"/>
      <c r="AH58" s="103"/>
      <c r="AI58" s="103"/>
    </row>
    <row r="59" spans="1:35" x14ac:dyDescent="0.2">
      <c r="A59" s="62">
        <v>2018</v>
      </c>
      <c r="B59" s="63" t="s">
        <v>74</v>
      </c>
      <c r="C59" s="109">
        <f t="shared" si="8"/>
        <v>12013</v>
      </c>
      <c r="D59" s="147">
        <v>19674279.579999998</v>
      </c>
      <c r="E59" s="133">
        <v>208740</v>
      </c>
      <c r="F59" s="134">
        <v>94517191</v>
      </c>
      <c r="G59" s="135">
        <f t="shared" si="21"/>
        <v>10659.5</v>
      </c>
      <c r="H59" s="147">
        <v>28692745</v>
      </c>
      <c r="I59" s="167">
        <f t="shared" si="22"/>
        <v>1237</v>
      </c>
      <c r="J59" s="133">
        <v>59787962</v>
      </c>
      <c r="K59" s="142">
        <v>173784</v>
      </c>
      <c r="L59" s="135">
        <f t="shared" si="25"/>
        <v>110.5</v>
      </c>
      <c r="M59" s="133">
        <v>61680653</v>
      </c>
      <c r="N59" s="142">
        <v>145229</v>
      </c>
      <c r="O59" s="135">
        <v>6</v>
      </c>
      <c r="P59" s="133">
        <v>249143</v>
      </c>
      <c r="Q59" s="135">
        <f t="shared" si="23"/>
        <v>31.5</v>
      </c>
      <c r="R59" s="133">
        <v>149558</v>
      </c>
      <c r="S59" s="136">
        <v>388</v>
      </c>
      <c r="T59" s="166">
        <v>73</v>
      </c>
      <c r="U59" s="133">
        <v>1349349</v>
      </c>
      <c r="V59" s="142">
        <v>3920</v>
      </c>
      <c r="W59" s="135">
        <f t="shared" si="24"/>
        <v>2955</v>
      </c>
      <c r="X59" s="80"/>
      <c r="Y59" s="80"/>
      <c r="AA59" s="98"/>
      <c r="AB59" s="96"/>
      <c r="AE59" s="80"/>
      <c r="AF59" s="80"/>
      <c r="AH59" s="103"/>
      <c r="AI59" s="104"/>
    </row>
    <row r="60" spans="1:35" x14ac:dyDescent="0.2">
      <c r="A60" s="62">
        <v>2019</v>
      </c>
      <c r="B60" s="63" t="s">
        <v>64</v>
      </c>
      <c r="C60" s="109">
        <f t="shared" si="8"/>
        <v>12261.5</v>
      </c>
      <c r="D60" s="146">
        <v>21603461.219999999</v>
      </c>
      <c r="E60" s="129">
        <v>249895</v>
      </c>
      <c r="F60" s="130">
        <f t="shared" ref="F60:V60" si="26">F61</f>
        <v>0</v>
      </c>
      <c r="G60" s="131">
        <f>'Customer Determination'!C7</f>
        <v>10922.5</v>
      </c>
      <c r="H60" s="146">
        <f t="shared" si="26"/>
        <v>0</v>
      </c>
      <c r="I60" s="167">
        <f>'Customer Determination'!E7</f>
        <v>1237</v>
      </c>
      <c r="J60" s="129">
        <f t="shared" si="26"/>
        <v>0</v>
      </c>
      <c r="K60" s="158">
        <f t="shared" si="26"/>
        <v>0</v>
      </c>
      <c r="L60" s="131">
        <f>'Customer Determination'!G7</f>
        <v>96</v>
      </c>
      <c r="M60" s="129">
        <f t="shared" si="26"/>
        <v>0</v>
      </c>
      <c r="N60" s="158">
        <f t="shared" si="26"/>
        <v>0</v>
      </c>
      <c r="O60" s="131">
        <f t="shared" si="26"/>
        <v>6</v>
      </c>
      <c r="P60" s="129">
        <f t="shared" si="26"/>
        <v>0</v>
      </c>
      <c r="Q60" s="131">
        <f>'Customer Determination'!K7</f>
        <v>32</v>
      </c>
      <c r="R60" s="129">
        <f t="shared" si="26"/>
        <v>0</v>
      </c>
      <c r="S60" s="132">
        <f t="shared" si="26"/>
        <v>0</v>
      </c>
      <c r="T60" s="166">
        <v>73</v>
      </c>
      <c r="U60" s="129">
        <f t="shared" si="26"/>
        <v>0</v>
      </c>
      <c r="V60" s="158">
        <f t="shared" si="26"/>
        <v>0</v>
      </c>
      <c r="W60" s="131">
        <f>'Customer Determination'!O7</f>
        <v>2992</v>
      </c>
      <c r="Y60" s="80"/>
      <c r="AA60" s="98"/>
      <c r="AB60" s="96"/>
      <c r="AE60" s="80"/>
      <c r="AF60" s="80"/>
      <c r="AH60" s="103"/>
      <c r="AI60" s="103"/>
    </row>
    <row r="61" spans="1:35" x14ac:dyDescent="0.2">
      <c r="A61" s="62">
        <v>2019</v>
      </c>
      <c r="B61" s="63" t="s">
        <v>65</v>
      </c>
      <c r="C61" s="109">
        <f t="shared" si="8"/>
        <v>12261.5</v>
      </c>
      <c r="D61" s="147">
        <v>18823324.73</v>
      </c>
      <c r="E61" s="133">
        <v>285592</v>
      </c>
      <c r="F61" s="134"/>
      <c r="G61" s="135">
        <f>G60</f>
        <v>10922.5</v>
      </c>
      <c r="H61" s="147"/>
      <c r="I61" s="167">
        <f>I60</f>
        <v>1237</v>
      </c>
      <c r="J61" s="133"/>
      <c r="K61" s="142"/>
      <c r="L61" s="135">
        <f>L60</f>
        <v>96</v>
      </c>
      <c r="M61" s="133"/>
      <c r="N61" s="142"/>
      <c r="O61" s="135">
        <v>6</v>
      </c>
      <c r="P61" s="133"/>
      <c r="Q61" s="135">
        <f>Q60</f>
        <v>32</v>
      </c>
      <c r="R61" s="133"/>
      <c r="S61" s="136"/>
      <c r="T61" s="166">
        <v>73</v>
      </c>
      <c r="U61" s="133"/>
      <c r="V61" s="142"/>
      <c r="W61" s="135">
        <f>W60</f>
        <v>2992</v>
      </c>
      <c r="Y61" s="80"/>
      <c r="AA61" s="98"/>
      <c r="AB61" s="96"/>
      <c r="AE61" s="80"/>
      <c r="AF61" s="80"/>
      <c r="AH61" s="103"/>
      <c r="AI61" s="103"/>
    </row>
    <row r="62" spans="1:35" x14ac:dyDescent="0.2">
      <c r="A62" s="62">
        <v>2019</v>
      </c>
      <c r="B62" s="63" t="s">
        <v>66</v>
      </c>
      <c r="C62" s="109">
        <f t="shared" si="8"/>
        <v>12261.5</v>
      </c>
      <c r="D62" s="147">
        <v>20551304.109999999</v>
      </c>
      <c r="E62" s="133">
        <v>502731</v>
      </c>
      <c r="F62" s="134"/>
      <c r="G62" s="135">
        <f t="shared" ref="G62:G71" si="27">G61</f>
        <v>10922.5</v>
      </c>
      <c r="H62" s="147"/>
      <c r="I62" s="167">
        <f t="shared" ref="I62:I71" si="28">I61</f>
        <v>1237</v>
      </c>
      <c r="J62" s="133"/>
      <c r="K62" s="142"/>
      <c r="L62" s="135">
        <f t="shared" ref="L62:L71" si="29">L61</f>
        <v>96</v>
      </c>
      <c r="M62" s="133"/>
      <c r="N62" s="142"/>
      <c r="O62" s="135">
        <v>6</v>
      </c>
      <c r="P62" s="133"/>
      <c r="Q62" s="135">
        <f t="shared" ref="Q62:Q70" si="30">Q61</f>
        <v>32</v>
      </c>
      <c r="R62" s="133"/>
      <c r="S62" s="136"/>
      <c r="T62" s="166">
        <v>73</v>
      </c>
      <c r="U62" s="133"/>
      <c r="V62" s="142"/>
      <c r="W62" s="135">
        <f t="shared" ref="W62:W71" si="31">W61</f>
        <v>2992</v>
      </c>
      <c r="Y62" s="80"/>
      <c r="AA62" s="98"/>
      <c r="AB62" s="96"/>
      <c r="AE62" s="80"/>
      <c r="AF62" s="80"/>
      <c r="AH62" s="103"/>
      <c r="AI62" s="103"/>
    </row>
    <row r="63" spans="1:35" x14ac:dyDescent="0.2">
      <c r="A63" s="62">
        <v>2019</v>
      </c>
      <c r="B63" s="63" t="s">
        <v>67</v>
      </c>
      <c r="C63" s="109">
        <f t="shared" si="8"/>
        <v>12261.5</v>
      </c>
      <c r="D63" s="147">
        <v>17411654.489999998</v>
      </c>
      <c r="E63" s="133">
        <v>554704</v>
      </c>
      <c r="F63" s="134"/>
      <c r="G63" s="135">
        <f t="shared" si="27"/>
        <v>10922.5</v>
      </c>
      <c r="H63" s="147"/>
      <c r="I63" s="167">
        <f t="shared" si="28"/>
        <v>1237</v>
      </c>
      <c r="J63" s="133"/>
      <c r="K63" s="142"/>
      <c r="L63" s="135">
        <f t="shared" si="29"/>
        <v>96</v>
      </c>
      <c r="M63" s="133"/>
      <c r="N63" s="142"/>
      <c r="O63" s="135">
        <v>6</v>
      </c>
      <c r="P63" s="133"/>
      <c r="Q63" s="135">
        <f t="shared" si="30"/>
        <v>32</v>
      </c>
      <c r="R63" s="133"/>
      <c r="S63" s="136"/>
      <c r="T63" s="166">
        <v>73</v>
      </c>
      <c r="U63" s="133"/>
      <c r="V63" s="142"/>
      <c r="W63" s="135">
        <f t="shared" si="31"/>
        <v>2992</v>
      </c>
      <c r="Y63" s="80"/>
      <c r="AA63" s="98"/>
      <c r="AB63" s="96"/>
      <c r="AE63" s="80"/>
      <c r="AF63" s="80"/>
      <c r="AH63" s="103"/>
      <c r="AI63" s="103"/>
    </row>
    <row r="64" spans="1:35" x14ac:dyDescent="0.2">
      <c r="A64" s="62">
        <v>2019</v>
      </c>
      <c r="B64" s="63" t="s">
        <v>43</v>
      </c>
      <c r="C64" s="109">
        <f t="shared" si="8"/>
        <v>12261.5</v>
      </c>
      <c r="D64" s="147">
        <v>17354971.329999998</v>
      </c>
      <c r="E64" s="133">
        <v>579434</v>
      </c>
      <c r="F64" s="134"/>
      <c r="G64" s="135">
        <f t="shared" si="27"/>
        <v>10922.5</v>
      </c>
      <c r="H64" s="147"/>
      <c r="I64" s="167">
        <f t="shared" si="28"/>
        <v>1237</v>
      </c>
      <c r="J64" s="133"/>
      <c r="K64" s="142"/>
      <c r="L64" s="135">
        <f t="shared" si="29"/>
        <v>96</v>
      </c>
      <c r="M64" s="133"/>
      <c r="N64" s="142"/>
      <c r="O64" s="135">
        <v>6</v>
      </c>
      <c r="P64" s="133"/>
      <c r="Q64" s="135">
        <f t="shared" si="30"/>
        <v>32</v>
      </c>
      <c r="R64" s="133"/>
      <c r="S64" s="136"/>
      <c r="T64" s="166">
        <v>73</v>
      </c>
      <c r="U64" s="133"/>
      <c r="V64" s="142"/>
      <c r="W64" s="135">
        <f t="shared" si="31"/>
        <v>2992</v>
      </c>
      <c r="Y64" s="80"/>
      <c r="AA64" s="98"/>
      <c r="AB64" s="96"/>
      <c r="AE64" s="80"/>
      <c r="AF64" s="80"/>
      <c r="AH64" s="103"/>
      <c r="AI64" s="103"/>
    </row>
    <row r="65" spans="1:35" x14ac:dyDescent="0.2">
      <c r="A65" s="62">
        <v>2019</v>
      </c>
      <c r="B65" s="63" t="s">
        <v>68</v>
      </c>
      <c r="C65" s="109">
        <f t="shared" si="8"/>
        <v>12261.5</v>
      </c>
      <c r="D65" s="147">
        <v>19464198.199999999</v>
      </c>
      <c r="E65" s="133">
        <v>714216</v>
      </c>
      <c r="F65" s="134"/>
      <c r="G65" s="135">
        <f t="shared" si="27"/>
        <v>10922.5</v>
      </c>
      <c r="H65" s="147"/>
      <c r="I65" s="167">
        <f t="shared" si="28"/>
        <v>1237</v>
      </c>
      <c r="J65" s="133"/>
      <c r="K65" s="142"/>
      <c r="L65" s="135">
        <f t="shared" si="29"/>
        <v>96</v>
      </c>
      <c r="M65" s="133"/>
      <c r="N65" s="142"/>
      <c r="O65" s="135">
        <v>6</v>
      </c>
      <c r="P65" s="133"/>
      <c r="Q65" s="135">
        <f t="shared" si="30"/>
        <v>32</v>
      </c>
      <c r="R65" s="133"/>
      <c r="S65" s="136"/>
      <c r="T65" s="166">
        <v>73</v>
      </c>
      <c r="U65" s="133"/>
      <c r="V65" s="142"/>
      <c r="W65" s="135">
        <f t="shared" si="31"/>
        <v>2992</v>
      </c>
      <c r="Y65" s="80"/>
      <c r="AA65" s="98"/>
      <c r="AB65" s="96"/>
      <c r="AE65" s="80"/>
      <c r="AF65" s="80"/>
      <c r="AH65" s="103"/>
      <c r="AI65" s="103"/>
    </row>
    <row r="66" spans="1:35" x14ac:dyDescent="0.2">
      <c r="A66" s="62">
        <v>2019</v>
      </c>
      <c r="B66" s="63" t="s">
        <v>69</v>
      </c>
      <c r="C66" s="109">
        <f t="shared" si="8"/>
        <v>12261.5</v>
      </c>
      <c r="D66" s="147">
        <v>27748687.98</v>
      </c>
      <c r="E66" s="133">
        <v>807602</v>
      </c>
      <c r="F66" s="134"/>
      <c r="G66" s="135">
        <f t="shared" si="27"/>
        <v>10922.5</v>
      </c>
      <c r="H66" s="147"/>
      <c r="I66" s="167">
        <f t="shared" si="28"/>
        <v>1237</v>
      </c>
      <c r="J66" s="133"/>
      <c r="K66" s="142"/>
      <c r="L66" s="135">
        <f t="shared" si="29"/>
        <v>96</v>
      </c>
      <c r="M66" s="133"/>
      <c r="N66" s="142"/>
      <c r="O66" s="135">
        <v>6</v>
      </c>
      <c r="P66" s="133"/>
      <c r="Q66" s="135">
        <f t="shared" si="30"/>
        <v>32</v>
      </c>
      <c r="R66" s="133"/>
      <c r="S66" s="136"/>
      <c r="T66" s="166">
        <v>73</v>
      </c>
      <c r="U66" s="133"/>
      <c r="V66" s="142"/>
      <c r="W66" s="135">
        <f t="shared" si="31"/>
        <v>2992</v>
      </c>
      <c r="Y66" s="80"/>
      <c r="AA66" s="98"/>
      <c r="AB66" s="96"/>
      <c r="AE66" s="80"/>
      <c r="AF66" s="80"/>
      <c r="AH66" s="103"/>
      <c r="AI66" s="103"/>
    </row>
    <row r="67" spans="1:35" x14ac:dyDescent="0.2">
      <c r="A67" s="62">
        <v>2019</v>
      </c>
      <c r="B67" s="63" t="s">
        <v>70</v>
      </c>
      <c r="C67" s="109">
        <f t="shared" si="8"/>
        <v>12261.5</v>
      </c>
      <c r="D67" s="147">
        <v>24726190.98</v>
      </c>
      <c r="E67" s="133">
        <v>740518</v>
      </c>
      <c r="F67" s="134"/>
      <c r="G67" s="135">
        <f t="shared" si="27"/>
        <v>10922.5</v>
      </c>
      <c r="H67" s="147"/>
      <c r="I67" s="167">
        <f t="shared" si="28"/>
        <v>1237</v>
      </c>
      <c r="J67" s="133"/>
      <c r="K67" s="142"/>
      <c r="L67" s="135">
        <f t="shared" si="29"/>
        <v>96</v>
      </c>
      <c r="M67" s="133"/>
      <c r="N67" s="142"/>
      <c r="O67" s="135">
        <v>6</v>
      </c>
      <c r="P67" s="133"/>
      <c r="Q67" s="135">
        <f t="shared" si="30"/>
        <v>32</v>
      </c>
      <c r="R67" s="133"/>
      <c r="S67" s="136"/>
      <c r="T67" s="166">
        <v>73</v>
      </c>
      <c r="U67" s="133"/>
      <c r="V67" s="142"/>
      <c r="W67" s="135">
        <f t="shared" si="31"/>
        <v>2992</v>
      </c>
      <c r="Y67" s="80"/>
      <c r="AA67" s="98"/>
      <c r="AB67" s="96"/>
      <c r="AE67" s="80"/>
      <c r="AF67" s="80"/>
      <c r="AH67" s="103"/>
      <c r="AI67" s="103"/>
    </row>
    <row r="68" spans="1:35" x14ac:dyDescent="0.2">
      <c r="A68" s="62">
        <v>2019</v>
      </c>
      <c r="B68" s="63" t="s">
        <v>71</v>
      </c>
      <c r="C68" s="109">
        <f t="shared" si="8"/>
        <v>12261.5</v>
      </c>
      <c r="D68" s="147">
        <v>20533052.670000002</v>
      </c>
      <c r="E68" s="133">
        <v>524876</v>
      </c>
      <c r="F68" s="134"/>
      <c r="G68" s="135">
        <f t="shared" si="27"/>
        <v>10922.5</v>
      </c>
      <c r="H68" s="147"/>
      <c r="I68" s="167">
        <f t="shared" si="28"/>
        <v>1237</v>
      </c>
      <c r="J68" s="133"/>
      <c r="K68" s="142"/>
      <c r="L68" s="135">
        <f t="shared" si="29"/>
        <v>96</v>
      </c>
      <c r="M68" s="133"/>
      <c r="N68" s="142"/>
      <c r="O68" s="135">
        <v>6</v>
      </c>
      <c r="P68" s="133"/>
      <c r="Q68" s="135">
        <f t="shared" si="30"/>
        <v>32</v>
      </c>
      <c r="R68" s="133"/>
      <c r="S68" s="136"/>
      <c r="T68" s="166">
        <v>73</v>
      </c>
      <c r="U68" s="133"/>
      <c r="V68" s="142"/>
      <c r="W68" s="135">
        <f t="shared" si="31"/>
        <v>2992</v>
      </c>
      <c r="Y68" s="80"/>
      <c r="AA68" s="98"/>
      <c r="AB68" s="96"/>
      <c r="AE68" s="80"/>
      <c r="AF68" s="80"/>
      <c r="AH68" s="103"/>
      <c r="AI68" s="103"/>
    </row>
    <row r="69" spans="1:35" x14ac:dyDescent="0.2">
      <c r="A69" s="62">
        <v>2019</v>
      </c>
      <c r="B69" s="63" t="s">
        <v>72</v>
      </c>
      <c r="C69" s="109">
        <f t="shared" si="8"/>
        <v>12261.5</v>
      </c>
      <c r="D69" s="147">
        <v>17673930.43</v>
      </c>
      <c r="E69" s="133">
        <v>431057</v>
      </c>
      <c r="F69" s="134"/>
      <c r="G69" s="135">
        <f t="shared" si="27"/>
        <v>10922.5</v>
      </c>
      <c r="H69" s="147"/>
      <c r="I69" s="167">
        <f t="shared" si="28"/>
        <v>1237</v>
      </c>
      <c r="J69" s="133"/>
      <c r="K69" s="142"/>
      <c r="L69" s="135">
        <f t="shared" si="29"/>
        <v>96</v>
      </c>
      <c r="M69" s="133"/>
      <c r="N69" s="142"/>
      <c r="O69" s="135">
        <v>6</v>
      </c>
      <c r="P69" s="133"/>
      <c r="Q69" s="135">
        <f t="shared" si="30"/>
        <v>32</v>
      </c>
      <c r="R69" s="133"/>
      <c r="S69" s="136"/>
      <c r="T69" s="166">
        <v>73</v>
      </c>
      <c r="U69" s="133"/>
      <c r="V69" s="142"/>
      <c r="W69" s="135">
        <f t="shared" si="31"/>
        <v>2992</v>
      </c>
      <c r="Y69" s="80"/>
      <c r="AA69" s="98"/>
      <c r="AB69" s="96"/>
      <c r="AE69" s="80"/>
      <c r="AF69" s="80"/>
      <c r="AH69" s="103"/>
      <c r="AI69" s="103"/>
    </row>
    <row r="70" spans="1:35" x14ac:dyDescent="0.2">
      <c r="A70" s="62">
        <v>2019</v>
      </c>
      <c r="B70" s="63" t="s">
        <v>73</v>
      </c>
      <c r="C70" s="109">
        <f t="shared" si="8"/>
        <v>12261.5</v>
      </c>
      <c r="D70" s="147">
        <v>19817492.059999999</v>
      </c>
      <c r="E70" s="133">
        <v>211157</v>
      </c>
      <c r="F70" s="134"/>
      <c r="G70" s="135">
        <f t="shared" si="27"/>
        <v>10922.5</v>
      </c>
      <c r="H70" s="147"/>
      <c r="I70" s="167">
        <f t="shared" si="28"/>
        <v>1237</v>
      </c>
      <c r="J70" s="133"/>
      <c r="K70" s="142"/>
      <c r="L70" s="135">
        <f t="shared" si="29"/>
        <v>96</v>
      </c>
      <c r="M70" s="133"/>
      <c r="N70" s="142"/>
      <c r="O70" s="135">
        <v>6</v>
      </c>
      <c r="P70" s="133"/>
      <c r="Q70" s="135">
        <f t="shared" si="30"/>
        <v>32</v>
      </c>
      <c r="R70" s="133"/>
      <c r="S70" s="136"/>
      <c r="T70" s="166">
        <v>73</v>
      </c>
      <c r="U70" s="133"/>
      <c r="V70" s="142"/>
      <c r="W70" s="135">
        <f t="shared" si="31"/>
        <v>2992</v>
      </c>
      <c r="Y70" s="80"/>
      <c r="AA70" s="98"/>
      <c r="AB70" s="96"/>
      <c r="AE70" s="80"/>
      <c r="AF70" s="80"/>
      <c r="AH70" s="103"/>
      <c r="AI70" s="103"/>
    </row>
    <row r="71" spans="1:35" x14ac:dyDescent="0.2">
      <c r="A71" s="62">
        <v>2019</v>
      </c>
      <c r="B71" s="63" t="s">
        <v>74</v>
      </c>
      <c r="C71" s="109">
        <f t="shared" si="8"/>
        <v>12261.5</v>
      </c>
      <c r="D71" s="147">
        <v>21339148.780000001</v>
      </c>
      <c r="E71" s="133">
        <v>219317</v>
      </c>
      <c r="F71" s="134">
        <v>92484569</v>
      </c>
      <c r="G71" s="135">
        <f t="shared" si="27"/>
        <v>10922.5</v>
      </c>
      <c r="H71" s="147">
        <v>28348056</v>
      </c>
      <c r="I71" s="167">
        <f t="shared" si="28"/>
        <v>1237</v>
      </c>
      <c r="J71" s="133">
        <v>59632442</v>
      </c>
      <c r="K71" s="142">
        <v>201036</v>
      </c>
      <c r="L71" s="135">
        <f t="shared" si="29"/>
        <v>96</v>
      </c>
      <c r="M71" s="133">
        <v>60666329</v>
      </c>
      <c r="N71" s="142">
        <v>139224</v>
      </c>
      <c r="O71" s="135">
        <v>6</v>
      </c>
      <c r="P71" s="133">
        <v>246885</v>
      </c>
      <c r="Q71" s="135">
        <f>Q70</f>
        <v>32</v>
      </c>
      <c r="R71" s="133">
        <v>144657</v>
      </c>
      <c r="S71" s="136">
        <v>364</v>
      </c>
      <c r="T71" s="166">
        <v>73</v>
      </c>
      <c r="U71" s="133">
        <v>1353784</v>
      </c>
      <c r="V71" s="142">
        <v>3756</v>
      </c>
      <c r="W71" s="135">
        <f t="shared" si="31"/>
        <v>2992</v>
      </c>
      <c r="X71" s="80"/>
      <c r="Y71" s="80"/>
      <c r="AA71" s="98"/>
      <c r="AB71" s="96"/>
      <c r="AE71" s="80"/>
      <c r="AF71" s="80"/>
      <c r="AH71" s="103"/>
      <c r="AI71" s="104"/>
    </row>
    <row r="72" spans="1:35" x14ac:dyDescent="0.2">
      <c r="A72" s="62">
        <v>2020</v>
      </c>
      <c r="B72" s="63" t="s">
        <v>64</v>
      </c>
      <c r="C72" s="109">
        <f t="shared" si="8"/>
        <v>12375.5</v>
      </c>
      <c r="D72" s="146">
        <v>21900522.559999999</v>
      </c>
      <c r="E72" s="129">
        <v>185268</v>
      </c>
      <c r="F72" s="130">
        <f t="shared" ref="F72:V72" si="32">F73</f>
        <v>0</v>
      </c>
      <c r="G72" s="131">
        <f>'Customer Determination'!C8</f>
        <v>11019.5</v>
      </c>
      <c r="H72" s="146">
        <f t="shared" si="32"/>
        <v>0</v>
      </c>
      <c r="I72" s="167">
        <f>'Customer Determination'!E8</f>
        <v>1252</v>
      </c>
      <c r="J72" s="129">
        <f>J73</f>
        <v>0</v>
      </c>
      <c r="K72" s="158">
        <f t="shared" si="32"/>
        <v>0</v>
      </c>
      <c r="L72" s="131">
        <f>'Customer Determination'!G8</f>
        <v>98</v>
      </c>
      <c r="M72" s="129">
        <f t="shared" si="32"/>
        <v>0</v>
      </c>
      <c r="N72" s="158">
        <f t="shared" si="32"/>
        <v>0</v>
      </c>
      <c r="O72" s="131">
        <f t="shared" si="32"/>
        <v>6</v>
      </c>
      <c r="P72" s="129">
        <f t="shared" si="32"/>
        <v>0</v>
      </c>
      <c r="Q72" s="131">
        <f>'Customer Determination'!K8</f>
        <v>32</v>
      </c>
      <c r="R72" s="129">
        <f t="shared" si="32"/>
        <v>0</v>
      </c>
      <c r="S72" s="132">
        <f t="shared" si="32"/>
        <v>0</v>
      </c>
      <c r="T72" s="166">
        <v>73</v>
      </c>
      <c r="U72" s="129">
        <f t="shared" si="32"/>
        <v>0</v>
      </c>
      <c r="V72" s="158">
        <f t="shared" si="32"/>
        <v>0</v>
      </c>
      <c r="W72" s="131">
        <f>'Customer Determination'!O8</f>
        <v>3043</v>
      </c>
      <c r="Y72" s="80"/>
      <c r="AA72" s="98"/>
      <c r="AB72" s="96"/>
      <c r="AE72" s="80"/>
      <c r="AF72" s="80"/>
      <c r="AH72" s="103"/>
      <c r="AI72" s="103"/>
    </row>
    <row r="73" spans="1:35" x14ac:dyDescent="0.2">
      <c r="A73" s="62">
        <v>2020</v>
      </c>
      <c r="B73" s="63" t="s">
        <v>65</v>
      </c>
      <c r="C73" s="109">
        <f t="shared" si="8"/>
        <v>12375.5</v>
      </c>
      <c r="D73" s="147">
        <v>20284919.280000001</v>
      </c>
      <c r="E73" s="133">
        <v>327088</v>
      </c>
      <c r="F73" s="134"/>
      <c r="G73" s="135">
        <f>G72</f>
        <v>11019.5</v>
      </c>
      <c r="H73" s="147"/>
      <c r="I73" s="167">
        <f>I72</f>
        <v>1252</v>
      </c>
      <c r="J73" s="133"/>
      <c r="K73" s="142"/>
      <c r="L73" s="135">
        <f>L72</f>
        <v>98</v>
      </c>
      <c r="M73" s="133"/>
      <c r="N73" s="142"/>
      <c r="O73" s="135">
        <v>6</v>
      </c>
      <c r="P73" s="133"/>
      <c r="Q73" s="135">
        <f>Q72</f>
        <v>32</v>
      </c>
      <c r="R73" s="133"/>
      <c r="S73" s="136"/>
      <c r="T73" s="166">
        <v>73</v>
      </c>
      <c r="U73" s="133"/>
      <c r="V73" s="142"/>
      <c r="W73" s="135">
        <f>W72</f>
        <v>3043</v>
      </c>
      <c r="Y73" s="80"/>
      <c r="AA73" s="98"/>
      <c r="AB73" s="96"/>
      <c r="AE73" s="80"/>
      <c r="AF73" s="80"/>
      <c r="AH73" s="103"/>
      <c r="AI73" s="103"/>
    </row>
    <row r="74" spans="1:35" x14ac:dyDescent="0.2">
      <c r="A74" s="62">
        <v>2020</v>
      </c>
      <c r="B74" s="63" t="s">
        <v>66</v>
      </c>
      <c r="C74" s="109">
        <f t="shared" si="8"/>
        <v>12375.5</v>
      </c>
      <c r="D74" s="147">
        <v>19635489.940000001</v>
      </c>
      <c r="E74" s="133">
        <v>440591</v>
      </c>
      <c r="F74" s="134"/>
      <c r="G74" s="135">
        <f t="shared" ref="G74:G83" si="33">G73</f>
        <v>11019.5</v>
      </c>
      <c r="H74" s="147"/>
      <c r="I74" s="167">
        <f t="shared" ref="I74:I83" si="34">I73</f>
        <v>1252</v>
      </c>
      <c r="J74" s="133"/>
      <c r="K74" s="142"/>
      <c r="L74" s="135">
        <f t="shared" ref="L74:L83" si="35">L73</f>
        <v>98</v>
      </c>
      <c r="M74" s="133"/>
      <c r="N74" s="142"/>
      <c r="O74" s="135">
        <v>6</v>
      </c>
      <c r="P74" s="133"/>
      <c r="Q74" s="135">
        <f t="shared" ref="Q74:Q83" si="36">Q73</f>
        <v>32</v>
      </c>
      <c r="R74" s="133"/>
      <c r="S74" s="136"/>
      <c r="T74" s="166">
        <v>73</v>
      </c>
      <c r="U74" s="133"/>
      <c r="V74" s="142"/>
      <c r="W74" s="135">
        <f t="shared" ref="W74:W83" si="37">W73</f>
        <v>3043</v>
      </c>
      <c r="Y74" s="80"/>
      <c r="AA74" s="98"/>
      <c r="AB74" s="96"/>
      <c r="AE74" s="80"/>
      <c r="AF74" s="80"/>
      <c r="AH74" s="103"/>
      <c r="AI74" s="103"/>
    </row>
    <row r="75" spans="1:35" x14ac:dyDescent="0.2">
      <c r="A75" s="62">
        <v>2020</v>
      </c>
      <c r="B75" s="63" t="s">
        <v>67</v>
      </c>
      <c r="C75" s="109">
        <f t="shared" si="8"/>
        <v>12375.5</v>
      </c>
      <c r="D75" s="147">
        <v>17063911.989999998</v>
      </c>
      <c r="E75" s="133">
        <v>618495</v>
      </c>
      <c r="F75" s="134"/>
      <c r="G75" s="135">
        <f t="shared" si="33"/>
        <v>11019.5</v>
      </c>
      <c r="H75" s="147"/>
      <c r="I75" s="167">
        <f t="shared" si="34"/>
        <v>1252</v>
      </c>
      <c r="J75" s="133"/>
      <c r="K75" s="142"/>
      <c r="L75" s="135">
        <f t="shared" si="35"/>
        <v>98</v>
      </c>
      <c r="M75" s="133"/>
      <c r="N75" s="142"/>
      <c r="O75" s="135">
        <v>6</v>
      </c>
      <c r="P75" s="133"/>
      <c r="Q75" s="135">
        <f t="shared" si="36"/>
        <v>32</v>
      </c>
      <c r="R75" s="133"/>
      <c r="S75" s="136"/>
      <c r="T75" s="166">
        <v>73</v>
      </c>
      <c r="U75" s="133"/>
      <c r="V75" s="142"/>
      <c r="W75" s="135">
        <f t="shared" si="37"/>
        <v>3043</v>
      </c>
      <c r="Y75" s="80"/>
      <c r="AA75" s="98"/>
      <c r="AB75" s="96"/>
      <c r="AE75" s="80"/>
      <c r="AF75" s="80"/>
      <c r="AH75" s="103"/>
      <c r="AI75" s="103"/>
    </row>
    <row r="76" spans="1:35" x14ac:dyDescent="0.2">
      <c r="A76" s="62">
        <v>2020</v>
      </c>
      <c r="B76" s="63" t="s">
        <v>43</v>
      </c>
      <c r="C76" s="109">
        <f t="shared" si="8"/>
        <v>12375.5</v>
      </c>
      <c r="D76" s="147">
        <v>17813698.140000001</v>
      </c>
      <c r="E76" s="133">
        <v>716891</v>
      </c>
      <c r="F76" s="134"/>
      <c r="G76" s="135">
        <f t="shared" si="33"/>
        <v>11019.5</v>
      </c>
      <c r="H76" s="147"/>
      <c r="I76" s="167">
        <f t="shared" si="34"/>
        <v>1252</v>
      </c>
      <c r="J76" s="133"/>
      <c r="K76" s="142"/>
      <c r="L76" s="135">
        <f t="shared" si="35"/>
        <v>98</v>
      </c>
      <c r="M76" s="133"/>
      <c r="N76" s="142"/>
      <c r="O76" s="135">
        <v>6</v>
      </c>
      <c r="P76" s="133"/>
      <c r="Q76" s="135">
        <f t="shared" si="36"/>
        <v>32</v>
      </c>
      <c r="R76" s="133"/>
      <c r="S76" s="136"/>
      <c r="T76" s="166">
        <v>73</v>
      </c>
      <c r="U76" s="133"/>
      <c r="V76" s="142"/>
      <c r="W76" s="135">
        <f t="shared" si="37"/>
        <v>3043</v>
      </c>
      <c r="Y76" s="80"/>
      <c r="AA76" s="98"/>
      <c r="AB76" s="96"/>
      <c r="AE76" s="80"/>
      <c r="AF76" s="80"/>
      <c r="AH76" s="103"/>
      <c r="AI76" s="103"/>
    </row>
    <row r="77" spans="1:35" x14ac:dyDescent="0.2">
      <c r="A77" s="62">
        <v>2020</v>
      </c>
      <c r="B77" s="63" t="s">
        <v>68</v>
      </c>
      <c r="C77" s="109">
        <f t="shared" si="8"/>
        <v>12375.5</v>
      </c>
      <c r="D77" s="147">
        <v>22200151.539999999</v>
      </c>
      <c r="E77" s="133">
        <v>865508</v>
      </c>
      <c r="F77" s="134"/>
      <c r="G77" s="135">
        <f t="shared" si="33"/>
        <v>11019.5</v>
      </c>
      <c r="H77" s="147"/>
      <c r="I77" s="167">
        <f t="shared" si="34"/>
        <v>1252</v>
      </c>
      <c r="J77" s="133"/>
      <c r="K77" s="142"/>
      <c r="L77" s="135">
        <f t="shared" si="35"/>
        <v>98</v>
      </c>
      <c r="M77" s="133"/>
      <c r="N77" s="142"/>
      <c r="O77" s="135">
        <v>6</v>
      </c>
      <c r="P77" s="133"/>
      <c r="Q77" s="135">
        <f t="shared" si="36"/>
        <v>32</v>
      </c>
      <c r="R77" s="133"/>
      <c r="S77" s="136"/>
      <c r="T77" s="166">
        <v>73</v>
      </c>
      <c r="U77" s="133"/>
      <c r="V77" s="142"/>
      <c r="W77" s="135">
        <f t="shared" si="37"/>
        <v>3043</v>
      </c>
      <c r="Y77" s="80"/>
      <c r="AA77" s="98"/>
      <c r="AB77" s="96"/>
      <c r="AE77" s="80"/>
      <c r="AF77" s="80"/>
      <c r="AH77" s="103"/>
      <c r="AI77" s="103"/>
    </row>
    <row r="78" spans="1:35" x14ac:dyDescent="0.2">
      <c r="A78" s="62">
        <v>2020</v>
      </c>
      <c r="B78" s="63" t="s">
        <v>69</v>
      </c>
      <c r="C78" s="109">
        <f t="shared" si="8"/>
        <v>12375.5</v>
      </c>
      <c r="D78" s="147">
        <v>28312518.27</v>
      </c>
      <c r="E78" s="133">
        <v>822094</v>
      </c>
      <c r="F78" s="134"/>
      <c r="G78" s="135">
        <f t="shared" si="33"/>
        <v>11019.5</v>
      </c>
      <c r="H78" s="147"/>
      <c r="I78" s="167">
        <f t="shared" si="34"/>
        <v>1252</v>
      </c>
      <c r="J78" s="133"/>
      <c r="K78" s="142"/>
      <c r="L78" s="135">
        <f t="shared" si="35"/>
        <v>98</v>
      </c>
      <c r="M78" s="133"/>
      <c r="N78" s="142"/>
      <c r="O78" s="135">
        <v>6</v>
      </c>
      <c r="P78" s="133"/>
      <c r="Q78" s="135">
        <f t="shared" si="36"/>
        <v>32</v>
      </c>
      <c r="R78" s="133"/>
      <c r="S78" s="136"/>
      <c r="T78" s="166">
        <v>73</v>
      </c>
      <c r="U78" s="133"/>
      <c r="V78" s="142"/>
      <c r="W78" s="135">
        <f t="shared" si="37"/>
        <v>3043</v>
      </c>
      <c r="Y78" s="80"/>
      <c r="AA78" s="98"/>
      <c r="AB78" s="96"/>
      <c r="AE78" s="80"/>
      <c r="AF78" s="80"/>
      <c r="AH78" s="103"/>
      <c r="AI78" s="103"/>
    </row>
    <row r="79" spans="1:35" x14ac:dyDescent="0.2">
      <c r="A79" s="62">
        <v>2020</v>
      </c>
      <c r="B79" s="63" t="s">
        <v>70</v>
      </c>
      <c r="C79" s="109">
        <f t="shared" si="8"/>
        <v>12375.5</v>
      </c>
      <c r="D79" s="147">
        <v>25759720.140000001</v>
      </c>
      <c r="E79" s="133">
        <v>742007</v>
      </c>
      <c r="F79" s="134"/>
      <c r="G79" s="135">
        <f t="shared" si="33"/>
        <v>11019.5</v>
      </c>
      <c r="H79" s="147"/>
      <c r="I79" s="167">
        <f t="shared" si="34"/>
        <v>1252</v>
      </c>
      <c r="J79" s="133"/>
      <c r="K79" s="142"/>
      <c r="L79" s="135">
        <f t="shared" si="35"/>
        <v>98</v>
      </c>
      <c r="M79" s="133"/>
      <c r="N79" s="142"/>
      <c r="O79" s="135">
        <v>6</v>
      </c>
      <c r="P79" s="133"/>
      <c r="Q79" s="135">
        <f t="shared" si="36"/>
        <v>32</v>
      </c>
      <c r="R79" s="133"/>
      <c r="S79" s="136"/>
      <c r="T79" s="166">
        <v>73</v>
      </c>
      <c r="U79" s="133"/>
      <c r="V79" s="142"/>
      <c r="W79" s="135">
        <f t="shared" si="37"/>
        <v>3043</v>
      </c>
      <c r="Y79" s="80"/>
      <c r="AA79" s="98"/>
      <c r="AB79" s="96"/>
      <c r="AE79" s="80"/>
      <c r="AF79" s="80"/>
      <c r="AH79" s="103"/>
      <c r="AI79" s="103"/>
    </row>
    <row r="80" spans="1:35" x14ac:dyDescent="0.2">
      <c r="A80" s="62">
        <v>2020</v>
      </c>
      <c r="B80" s="63" t="s">
        <v>71</v>
      </c>
      <c r="C80" s="109">
        <f t="shared" si="8"/>
        <v>12375.5</v>
      </c>
      <c r="D80" s="147">
        <v>18691559.740000002</v>
      </c>
      <c r="E80" s="133">
        <v>584979</v>
      </c>
      <c r="F80" s="134"/>
      <c r="G80" s="135">
        <f t="shared" si="33"/>
        <v>11019.5</v>
      </c>
      <c r="H80" s="147"/>
      <c r="I80" s="167">
        <f t="shared" si="34"/>
        <v>1252</v>
      </c>
      <c r="J80" s="133"/>
      <c r="K80" s="142"/>
      <c r="L80" s="135">
        <f t="shared" si="35"/>
        <v>98</v>
      </c>
      <c r="M80" s="133"/>
      <c r="N80" s="142"/>
      <c r="O80" s="135">
        <v>6</v>
      </c>
      <c r="P80" s="133"/>
      <c r="Q80" s="135">
        <f t="shared" si="36"/>
        <v>32</v>
      </c>
      <c r="R80" s="133"/>
      <c r="S80" s="136"/>
      <c r="T80" s="166">
        <v>73</v>
      </c>
      <c r="U80" s="133"/>
      <c r="V80" s="142"/>
      <c r="W80" s="135">
        <f t="shared" si="37"/>
        <v>3043</v>
      </c>
      <c r="Y80" s="80"/>
      <c r="AA80" s="98"/>
      <c r="AB80" s="96"/>
      <c r="AE80" s="80"/>
      <c r="AF80" s="80"/>
      <c r="AH80" s="103"/>
      <c r="AI80" s="103"/>
    </row>
    <row r="81" spans="1:35" x14ac:dyDescent="0.2">
      <c r="A81" s="62">
        <v>2020</v>
      </c>
      <c r="B81" s="63" t="s">
        <v>72</v>
      </c>
      <c r="C81" s="109">
        <f t="shared" si="8"/>
        <v>12375.5</v>
      </c>
      <c r="D81" s="147">
        <v>17010847.789999999</v>
      </c>
      <c r="E81" s="133">
        <v>426912</v>
      </c>
      <c r="F81" s="134"/>
      <c r="G81" s="135">
        <f t="shared" si="33"/>
        <v>11019.5</v>
      </c>
      <c r="H81" s="147"/>
      <c r="I81" s="167">
        <f t="shared" si="34"/>
        <v>1252</v>
      </c>
      <c r="J81" s="133"/>
      <c r="K81" s="142"/>
      <c r="L81" s="135">
        <f t="shared" si="35"/>
        <v>98</v>
      </c>
      <c r="M81" s="133"/>
      <c r="N81" s="142"/>
      <c r="O81" s="135">
        <v>6</v>
      </c>
      <c r="P81" s="133"/>
      <c r="Q81" s="135">
        <f t="shared" si="36"/>
        <v>32</v>
      </c>
      <c r="R81" s="133"/>
      <c r="S81" s="136"/>
      <c r="T81" s="166">
        <v>73</v>
      </c>
      <c r="U81" s="133"/>
      <c r="V81" s="142"/>
      <c r="W81" s="135">
        <f t="shared" si="37"/>
        <v>3043</v>
      </c>
      <c r="Y81" s="80"/>
      <c r="AA81" s="98"/>
      <c r="AB81" s="96"/>
      <c r="AE81" s="80"/>
      <c r="AF81" s="80"/>
      <c r="AH81" s="103"/>
      <c r="AI81" s="103"/>
    </row>
    <row r="82" spans="1:35" x14ac:dyDescent="0.2">
      <c r="A82" s="62">
        <v>2020</v>
      </c>
      <c r="B82" s="63" t="s">
        <v>73</v>
      </c>
      <c r="C82" s="109">
        <f t="shared" si="8"/>
        <v>12375.5</v>
      </c>
      <c r="D82" s="147">
        <v>18253420.960000001</v>
      </c>
      <c r="E82" s="133">
        <v>357184</v>
      </c>
      <c r="F82" s="134"/>
      <c r="G82" s="135">
        <f t="shared" si="33"/>
        <v>11019.5</v>
      </c>
      <c r="H82" s="147"/>
      <c r="I82" s="167">
        <f t="shared" si="34"/>
        <v>1252</v>
      </c>
      <c r="J82" s="133"/>
      <c r="K82" s="142"/>
      <c r="L82" s="135">
        <f t="shared" si="35"/>
        <v>98</v>
      </c>
      <c r="M82" s="133"/>
      <c r="N82" s="142"/>
      <c r="O82" s="135">
        <v>6</v>
      </c>
      <c r="P82" s="133"/>
      <c r="Q82" s="135">
        <f t="shared" si="36"/>
        <v>32</v>
      </c>
      <c r="R82" s="133"/>
      <c r="S82" s="136"/>
      <c r="T82" s="166">
        <v>73</v>
      </c>
      <c r="U82" s="133"/>
      <c r="V82" s="142"/>
      <c r="W82" s="135">
        <f t="shared" si="37"/>
        <v>3043</v>
      </c>
      <c r="Y82" s="80"/>
      <c r="AA82" s="98"/>
      <c r="AB82" s="96"/>
      <c r="AE82" s="80"/>
      <c r="AF82" s="80"/>
      <c r="AH82" s="103"/>
      <c r="AI82" s="103"/>
    </row>
    <row r="83" spans="1:35" x14ac:dyDescent="0.2">
      <c r="A83" s="62">
        <v>2020</v>
      </c>
      <c r="B83" s="63" t="s">
        <v>74</v>
      </c>
      <c r="C83" s="109">
        <f t="shared" si="8"/>
        <v>12375.5</v>
      </c>
      <c r="D83" s="147">
        <v>20812449.16</v>
      </c>
      <c r="E83" s="133">
        <v>170241</v>
      </c>
      <c r="F83" s="134">
        <v>98305959</v>
      </c>
      <c r="G83" s="135">
        <f t="shared" si="33"/>
        <v>11019.5</v>
      </c>
      <c r="H83" s="147">
        <v>26410288</v>
      </c>
      <c r="I83" s="167">
        <f t="shared" si="34"/>
        <v>1252</v>
      </c>
      <c r="J83" s="133">
        <v>52047649</v>
      </c>
      <c r="K83" s="142">
        <v>126949</v>
      </c>
      <c r="L83" s="135">
        <f t="shared" si="35"/>
        <v>98</v>
      </c>
      <c r="M83" s="133">
        <v>60666329</v>
      </c>
      <c r="N83" s="142">
        <v>139224</v>
      </c>
      <c r="O83" s="135">
        <v>6</v>
      </c>
      <c r="P83" s="133">
        <v>246885</v>
      </c>
      <c r="Q83" s="135">
        <f t="shared" si="36"/>
        <v>32</v>
      </c>
      <c r="R83" s="133">
        <v>141998</v>
      </c>
      <c r="S83" s="136">
        <v>385</v>
      </c>
      <c r="T83" s="166">
        <v>73</v>
      </c>
      <c r="U83" s="133">
        <v>1283668</v>
      </c>
      <c r="V83" s="142">
        <v>3927</v>
      </c>
      <c r="W83" s="135">
        <f t="shared" si="37"/>
        <v>3043</v>
      </c>
      <c r="X83" s="80"/>
      <c r="Y83" s="80"/>
      <c r="AA83" s="98"/>
      <c r="AB83" s="96"/>
      <c r="AE83" s="80"/>
      <c r="AF83" s="80"/>
      <c r="AH83" s="103"/>
      <c r="AI83" s="104"/>
    </row>
    <row r="84" spans="1:35" x14ac:dyDescent="0.2">
      <c r="A84" s="62">
        <v>2021</v>
      </c>
      <c r="B84" s="63" t="s">
        <v>64</v>
      </c>
      <c r="C84" s="109">
        <f t="shared" si="8"/>
        <v>12439.25</v>
      </c>
      <c r="D84" s="146">
        <v>20791460.91</v>
      </c>
      <c r="E84" s="129">
        <v>203656</v>
      </c>
      <c r="F84" s="130">
        <f t="shared" ref="F84:V84" si="38">F85</f>
        <v>0</v>
      </c>
      <c r="G84" s="166">
        <f>'Customer Determination'!C9</f>
        <v>11096</v>
      </c>
      <c r="H84" s="146">
        <f t="shared" si="38"/>
        <v>0</v>
      </c>
      <c r="I84" s="167">
        <f>'Customer Determination'!E9</f>
        <v>1236.25</v>
      </c>
      <c r="J84" s="129">
        <f t="shared" si="38"/>
        <v>0</v>
      </c>
      <c r="K84" s="158">
        <f t="shared" si="38"/>
        <v>0</v>
      </c>
      <c r="L84" s="131">
        <f>'Customer Determination'!G9</f>
        <v>101</v>
      </c>
      <c r="M84" s="129">
        <f t="shared" si="38"/>
        <v>0</v>
      </c>
      <c r="N84" s="158">
        <f t="shared" si="38"/>
        <v>0</v>
      </c>
      <c r="O84" s="131">
        <f t="shared" si="38"/>
        <v>6</v>
      </c>
      <c r="P84" s="129">
        <f t="shared" si="38"/>
        <v>0</v>
      </c>
      <c r="Q84" s="131">
        <f>'Customer Determination'!K9</f>
        <v>31.5</v>
      </c>
      <c r="R84" s="129">
        <f t="shared" si="38"/>
        <v>0</v>
      </c>
      <c r="S84" s="132">
        <f t="shared" si="38"/>
        <v>0</v>
      </c>
      <c r="T84" s="166">
        <v>73</v>
      </c>
      <c r="U84" s="129">
        <f t="shared" si="38"/>
        <v>0</v>
      </c>
      <c r="V84" s="158">
        <f t="shared" si="38"/>
        <v>0</v>
      </c>
      <c r="W84" s="131">
        <f>'Customer Determination'!O9</f>
        <v>3091.5</v>
      </c>
      <c r="Y84" s="80"/>
      <c r="AA84" s="98"/>
      <c r="AB84" s="96"/>
      <c r="AE84" s="80"/>
      <c r="AF84" s="80"/>
      <c r="AH84" s="103"/>
      <c r="AI84" s="103"/>
    </row>
    <row r="85" spans="1:35" x14ac:dyDescent="0.2">
      <c r="A85" s="62">
        <v>2021</v>
      </c>
      <c r="B85" s="63" t="s">
        <v>65</v>
      </c>
      <c r="C85" s="109">
        <f t="shared" si="8"/>
        <v>12439.25</v>
      </c>
      <c r="D85" s="147">
        <v>19464197.140000001</v>
      </c>
      <c r="E85" s="133">
        <v>359185</v>
      </c>
      <c r="F85" s="134"/>
      <c r="G85" s="166">
        <f>G84</f>
        <v>11096</v>
      </c>
      <c r="H85" s="147"/>
      <c r="I85" s="167">
        <f>I84</f>
        <v>1236.25</v>
      </c>
      <c r="J85" s="133"/>
      <c r="K85" s="142"/>
      <c r="L85" s="135">
        <f>L84</f>
        <v>101</v>
      </c>
      <c r="M85" s="133"/>
      <c r="N85" s="142"/>
      <c r="O85" s="135">
        <v>6</v>
      </c>
      <c r="P85" s="133"/>
      <c r="Q85" s="135">
        <f>Q84</f>
        <v>31.5</v>
      </c>
      <c r="R85" s="133"/>
      <c r="S85" s="136"/>
      <c r="T85" s="166">
        <v>73</v>
      </c>
      <c r="U85" s="133"/>
      <c r="V85" s="142"/>
      <c r="W85" s="135">
        <f>W84</f>
        <v>3091.5</v>
      </c>
      <c r="Y85" s="80"/>
      <c r="AA85" s="98"/>
      <c r="AB85" s="96"/>
      <c r="AE85" s="80"/>
      <c r="AF85" s="80"/>
      <c r="AH85" s="103"/>
      <c r="AI85" s="103"/>
    </row>
    <row r="86" spans="1:35" x14ac:dyDescent="0.2">
      <c r="A86" s="62">
        <v>2021</v>
      </c>
      <c r="B86" s="63" t="s">
        <v>66</v>
      </c>
      <c r="C86" s="109">
        <f t="shared" si="8"/>
        <v>12439.25</v>
      </c>
      <c r="D86" s="147">
        <v>18626681.48</v>
      </c>
      <c r="E86" s="133">
        <v>694681</v>
      </c>
      <c r="F86" s="134"/>
      <c r="G86" s="166">
        <f t="shared" ref="G86:G95" si="39">G85</f>
        <v>11096</v>
      </c>
      <c r="H86" s="147"/>
      <c r="I86" s="167">
        <f t="shared" ref="I86:I95" si="40">I85</f>
        <v>1236.25</v>
      </c>
      <c r="J86" s="133"/>
      <c r="K86" s="142"/>
      <c r="L86" s="135">
        <f t="shared" ref="L86:L95" si="41">L85</f>
        <v>101</v>
      </c>
      <c r="M86" s="133"/>
      <c r="N86" s="142"/>
      <c r="O86" s="135">
        <v>6</v>
      </c>
      <c r="P86" s="133"/>
      <c r="Q86" s="135">
        <f t="shared" ref="Q86:Q95" si="42">Q85</f>
        <v>31.5</v>
      </c>
      <c r="R86" s="133"/>
      <c r="S86" s="136"/>
      <c r="T86" s="166">
        <v>73</v>
      </c>
      <c r="U86" s="133"/>
      <c r="V86" s="142"/>
      <c r="W86" s="135">
        <f t="shared" ref="W86:W95" si="43">W85</f>
        <v>3091.5</v>
      </c>
      <c r="Y86" s="80"/>
      <c r="AA86" s="98"/>
      <c r="AB86" s="96"/>
      <c r="AE86" s="80"/>
      <c r="AF86" s="80"/>
      <c r="AH86" s="103"/>
      <c r="AI86" s="103"/>
    </row>
    <row r="87" spans="1:35" x14ac:dyDescent="0.2">
      <c r="A87" s="62">
        <v>2021</v>
      </c>
      <c r="B87" s="63" t="s">
        <v>67</v>
      </c>
      <c r="C87" s="109">
        <f t="shared" si="8"/>
        <v>12439.25</v>
      </c>
      <c r="D87" s="147">
        <v>16318058.01</v>
      </c>
      <c r="E87" s="133">
        <v>585708</v>
      </c>
      <c r="F87" s="134"/>
      <c r="G87" s="166">
        <f t="shared" si="39"/>
        <v>11096</v>
      </c>
      <c r="H87" s="147"/>
      <c r="I87" s="167">
        <f t="shared" si="40"/>
        <v>1236.25</v>
      </c>
      <c r="J87" s="133"/>
      <c r="K87" s="142"/>
      <c r="L87" s="135">
        <f t="shared" si="41"/>
        <v>101</v>
      </c>
      <c r="M87" s="133"/>
      <c r="N87" s="142"/>
      <c r="O87" s="135">
        <v>6</v>
      </c>
      <c r="P87" s="133"/>
      <c r="Q87" s="135">
        <f t="shared" si="42"/>
        <v>31.5</v>
      </c>
      <c r="R87" s="133"/>
      <c r="S87" s="136"/>
      <c r="T87" s="166">
        <v>73</v>
      </c>
      <c r="U87" s="133"/>
      <c r="V87" s="142"/>
      <c r="W87" s="135">
        <f t="shared" si="43"/>
        <v>3091.5</v>
      </c>
      <c r="Y87" s="80"/>
      <c r="AA87" s="98"/>
      <c r="AB87" s="96"/>
      <c r="AE87" s="80"/>
      <c r="AF87" s="80"/>
      <c r="AH87" s="103"/>
      <c r="AI87" s="103"/>
    </row>
    <row r="88" spans="1:35" x14ac:dyDescent="0.2">
      <c r="A88" s="62">
        <v>2021</v>
      </c>
      <c r="B88" s="63" t="s">
        <v>43</v>
      </c>
      <c r="C88" s="109">
        <f t="shared" ref="C88:C142" si="44">SUM(G88,I88,L88,O88)</f>
        <v>12439.25</v>
      </c>
      <c r="D88" s="147">
        <v>17668256.82</v>
      </c>
      <c r="E88" s="133">
        <v>728119</v>
      </c>
      <c r="F88" s="134"/>
      <c r="G88" s="166">
        <f t="shared" si="39"/>
        <v>11096</v>
      </c>
      <c r="H88" s="147"/>
      <c r="I88" s="167">
        <f t="shared" si="40"/>
        <v>1236.25</v>
      </c>
      <c r="J88" s="133"/>
      <c r="K88" s="142"/>
      <c r="L88" s="135">
        <f t="shared" si="41"/>
        <v>101</v>
      </c>
      <c r="M88" s="133"/>
      <c r="N88" s="142"/>
      <c r="O88" s="135">
        <v>6</v>
      </c>
      <c r="P88" s="133"/>
      <c r="Q88" s="135">
        <f t="shared" si="42"/>
        <v>31.5</v>
      </c>
      <c r="R88" s="133"/>
      <c r="S88" s="136"/>
      <c r="T88" s="166">
        <v>73</v>
      </c>
      <c r="U88" s="133"/>
      <c r="V88" s="142"/>
      <c r="W88" s="135">
        <f t="shared" si="43"/>
        <v>3091.5</v>
      </c>
      <c r="Y88" s="80"/>
      <c r="AA88" s="98"/>
      <c r="AB88" s="96"/>
      <c r="AE88" s="80"/>
      <c r="AF88" s="80"/>
      <c r="AH88" s="103"/>
      <c r="AI88" s="103"/>
    </row>
    <row r="89" spans="1:35" x14ac:dyDescent="0.2">
      <c r="A89" s="62">
        <v>2021</v>
      </c>
      <c r="B89" s="63" t="s">
        <v>68</v>
      </c>
      <c r="C89" s="109">
        <f t="shared" si="44"/>
        <v>12439.25</v>
      </c>
      <c r="D89" s="147">
        <v>23582804.460000001</v>
      </c>
      <c r="E89" s="133">
        <v>715667</v>
      </c>
      <c r="F89" s="134"/>
      <c r="G89" s="166">
        <f t="shared" si="39"/>
        <v>11096</v>
      </c>
      <c r="H89" s="147"/>
      <c r="I89" s="167">
        <f t="shared" si="40"/>
        <v>1236.25</v>
      </c>
      <c r="J89" s="133"/>
      <c r="K89" s="142"/>
      <c r="L89" s="135">
        <f t="shared" si="41"/>
        <v>101</v>
      </c>
      <c r="M89" s="133"/>
      <c r="N89" s="142"/>
      <c r="O89" s="135">
        <v>6</v>
      </c>
      <c r="P89" s="133"/>
      <c r="Q89" s="135">
        <f t="shared" si="42"/>
        <v>31.5</v>
      </c>
      <c r="R89" s="133"/>
      <c r="S89" s="136"/>
      <c r="T89" s="166">
        <v>73</v>
      </c>
      <c r="U89" s="133"/>
      <c r="V89" s="142"/>
      <c r="W89" s="135">
        <f t="shared" si="43"/>
        <v>3091.5</v>
      </c>
      <c r="Y89" s="80"/>
      <c r="AA89" s="98"/>
      <c r="AB89" s="96"/>
      <c r="AE89" s="80"/>
      <c r="AF89" s="80"/>
      <c r="AH89" s="103"/>
      <c r="AI89" s="103"/>
    </row>
    <row r="90" spans="1:35" x14ac:dyDescent="0.2">
      <c r="A90" s="62">
        <v>2021</v>
      </c>
      <c r="B90" s="63" t="s">
        <v>69</v>
      </c>
      <c r="C90" s="109">
        <f t="shared" si="44"/>
        <v>12439.25</v>
      </c>
      <c r="D90" s="147">
        <v>24086129.16</v>
      </c>
      <c r="E90" s="133">
        <v>705394</v>
      </c>
      <c r="F90" s="134"/>
      <c r="G90" s="166">
        <f t="shared" si="39"/>
        <v>11096</v>
      </c>
      <c r="H90" s="147"/>
      <c r="I90" s="167">
        <f t="shared" si="40"/>
        <v>1236.25</v>
      </c>
      <c r="J90" s="133"/>
      <c r="K90" s="142"/>
      <c r="L90" s="135">
        <f t="shared" si="41"/>
        <v>101</v>
      </c>
      <c r="M90" s="133"/>
      <c r="N90" s="142"/>
      <c r="O90" s="135">
        <v>6</v>
      </c>
      <c r="P90" s="133"/>
      <c r="Q90" s="135">
        <f t="shared" si="42"/>
        <v>31.5</v>
      </c>
      <c r="R90" s="133"/>
      <c r="S90" s="136"/>
      <c r="T90" s="166">
        <v>73</v>
      </c>
      <c r="U90" s="133"/>
      <c r="V90" s="142"/>
      <c r="W90" s="135">
        <f t="shared" si="43"/>
        <v>3091.5</v>
      </c>
      <c r="Y90" s="80"/>
      <c r="AA90" s="98"/>
      <c r="AB90" s="96"/>
      <c r="AE90" s="80"/>
      <c r="AF90" s="80"/>
      <c r="AH90" s="103"/>
      <c r="AI90" s="103"/>
    </row>
    <row r="91" spans="1:35" x14ac:dyDescent="0.2">
      <c r="A91" s="62">
        <v>2021</v>
      </c>
      <c r="B91" s="63" t="s">
        <v>70</v>
      </c>
      <c r="C91" s="109">
        <f t="shared" si="44"/>
        <v>12439.25</v>
      </c>
      <c r="D91" s="147">
        <v>26473436.760000002</v>
      </c>
      <c r="E91" s="133">
        <v>724341</v>
      </c>
      <c r="F91" s="134"/>
      <c r="G91" s="166">
        <f t="shared" si="39"/>
        <v>11096</v>
      </c>
      <c r="H91" s="147"/>
      <c r="I91" s="167">
        <f t="shared" si="40"/>
        <v>1236.25</v>
      </c>
      <c r="J91" s="133"/>
      <c r="K91" s="142"/>
      <c r="L91" s="135">
        <f t="shared" si="41"/>
        <v>101</v>
      </c>
      <c r="M91" s="133"/>
      <c r="N91" s="142"/>
      <c r="O91" s="135">
        <v>6</v>
      </c>
      <c r="P91" s="133"/>
      <c r="Q91" s="135">
        <f t="shared" si="42"/>
        <v>31.5</v>
      </c>
      <c r="R91" s="133"/>
      <c r="S91" s="136"/>
      <c r="T91" s="166">
        <v>73</v>
      </c>
      <c r="U91" s="133"/>
      <c r="V91" s="142"/>
      <c r="W91" s="135">
        <f t="shared" si="43"/>
        <v>3091.5</v>
      </c>
      <c r="Y91" s="80"/>
      <c r="AA91" s="98"/>
      <c r="AB91" s="96"/>
      <c r="AE91" s="80"/>
      <c r="AF91" s="80"/>
      <c r="AH91" s="103"/>
      <c r="AI91" s="103"/>
    </row>
    <row r="92" spans="1:35" x14ac:dyDescent="0.2">
      <c r="A92" s="62">
        <v>2021</v>
      </c>
      <c r="B92" s="63" t="s">
        <v>71</v>
      </c>
      <c r="C92" s="109">
        <f t="shared" si="44"/>
        <v>12439.25</v>
      </c>
      <c r="D92" s="147">
        <v>19829635.48</v>
      </c>
      <c r="E92" s="133">
        <v>598439</v>
      </c>
      <c r="F92" s="134"/>
      <c r="G92" s="166">
        <f t="shared" si="39"/>
        <v>11096</v>
      </c>
      <c r="H92" s="147"/>
      <c r="I92" s="167">
        <f t="shared" si="40"/>
        <v>1236.25</v>
      </c>
      <c r="J92" s="133"/>
      <c r="K92" s="142"/>
      <c r="L92" s="135">
        <f t="shared" si="41"/>
        <v>101</v>
      </c>
      <c r="M92" s="133"/>
      <c r="N92" s="142"/>
      <c r="O92" s="135">
        <v>6</v>
      </c>
      <c r="P92" s="133"/>
      <c r="Q92" s="135">
        <f t="shared" si="42"/>
        <v>31.5</v>
      </c>
      <c r="R92" s="133"/>
      <c r="S92" s="136"/>
      <c r="T92" s="166">
        <v>73</v>
      </c>
      <c r="U92" s="133"/>
      <c r="V92" s="142"/>
      <c r="W92" s="135">
        <f t="shared" si="43"/>
        <v>3091.5</v>
      </c>
      <c r="Y92" s="80"/>
      <c r="AA92" s="98"/>
      <c r="AB92" s="96"/>
      <c r="AE92" s="80"/>
      <c r="AF92" s="80"/>
      <c r="AH92" s="103"/>
      <c r="AI92" s="103"/>
    </row>
    <row r="93" spans="1:35" x14ac:dyDescent="0.2">
      <c r="A93" s="62">
        <v>2021</v>
      </c>
      <c r="B93" s="63" t="s">
        <v>72</v>
      </c>
      <c r="C93" s="109">
        <f t="shared" si="44"/>
        <v>12439.25</v>
      </c>
      <c r="D93" s="147">
        <v>18061641.579999998</v>
      </c>
      <c r="E93" s="133">
        <v>366649</v>
      </c>
      <c r="F93" s="134"/>
      <c r="G93" s="166">
        <f t="shared" si="39"/>
        <v>11096</v>
      </c>
      <c r="H93" s="147"/>
      <c r="I93" s="167">
        <f t="shared" si="40"/>
        <v>1236.25</v>
      </c>
      <c r="J93" s="133"/>
      <c r="K93" s="142"/>
      <c r="L93" s="135">
        <f t="shared" si="41"/>
        <v>101</v>
      </c>
      <c r="M93" s="133"/>
      <c r="N93" s="142"/>
      <c r="O93" s="135">
        <v>6</v>
      </c>
      <c r="P93" s="133"/>
      <c r="Q93" s="135">
        <f t="shared" si="42"/>
        <v>31.5</v>
      </c>
      <c r="R93" s="133"/>
      <c r="S93" s="136"/>
      <c r="T93" s="166">
        <v>73</v>
      </c>
      <c r="U93" s="133"/>
      <c r="V93" s="142"/>
      <c r="W93" s="135">
        <f t="shared" si="43"/>
        <v>3091.5</v>
      </c>
      <c r="Y93" s="80"/>
      <c r="AA93" s="98"/>
      <c r="AB93" s="96"/>
      <c r="AE93" s="80"/>
      <c r="AF93" s="80"/>
      <c r="AH93" s="103"/>
      <c r="AI93" s="103"/>
    </row>
    <row r="94" spans="1:35" x14ac:dyDescent="0.2">
      <c r="A94" s="62">
        <v>2021</v>
      </c>
      <c r="B94" s="63" t="s">
        <v>73</v>
      </c>
      <c r="C94" s="109">
        <f t="shared" si="44"/>
        <v>12439.25</v>
      </c>
      <c r="D94" s="147">
        <v>18852663.420000002</v>
      </c>
      <c r="E94" s="133">
        <v>320744</v>
      </c>
      <c r="F94" s="134"/>
      <c r="G94" s="166">
        <f t="shared" si="39"/>
        <v>11096</v>
      </c>
      <c r="H94" s="147"/>
      <c r="I94" s="167">
        <f t="shared" si="40"/>
        <v>1236.25</v>
      </c>
      <c r="J94" s="133"/>
      <c r="K94" s="142"/>
      <c r="L94" s="135">
        <f t="shared" si="41"/>
        <v>101</v>
      </c>
      <c r="M94" s="133"/>
      <c r="N94" s="142"/>
      <c r="O94" s="135">
        <v>6</v>
      </c>
      <c r="P94" s="133"/>
      <c r="Q94" s="135">
        <f t="shared" si="42"/>
        <v>31.5</v>
      </c>
      <c r="R94" s="133"/>
      <c r="S94" s="136"/>
      <c r="T94" s="166">
        <v>73</v>
      </c>
      <c r="U94" s="133"/>
      <c r="V94" s="142"/>
      <c r="W94" s="135">
        <f t="shared" si="43"/>
        <v>3091.5</v>
      </c>
      <c r="Y94" s="80"/>
      <c r="AA94" s="98"/>
      <c r="AB94" s="96"/>
      <c r="AE94" s="80"/>
      <c r="AF94" s="80"/>
      <c r="AH94" s="103"/>
      <c r="AI94" s="103"/>
    </row>
    <row r="95" spans="1:35" x14ac:dyDescent="0.2">
      <c r="A95" s="62">
        <v>2021</v>
      </c>
      <c r="B95" s="63" t="s">
        <v>74</v>
      </c>
      <c r="C95" s="109">
        <f t="shared" si="44"/>
        <v>12439.25</v>
      </c>
      <c r="D95" s="147">
        <v>19904377.539999999</v>
      </c>
      <c r="E95" s="133">
        <v>215572</v>
      </c>
      <c r="F95" s="134">
        <v>106359838</v>
      </c>
      <c r="G95" s="166">
        <f t="shared" si="39"/>
        <v>11096</v>
      </c>
      <c r="H95" s="147">
        <v>27377213</v>
      </c>
      <c r="I95" s="167">
        <f t="shared" si="40"/>
        <v>1236.25</v>
      </c>
      <c r="J95" s="133">
        <v>56544701</v>
      </c>
      <c r="K95" s="142">
        <v>231007</v>
      </c>
      <c r="L95" s="135">
        <f t="shared" si="41"/>
        <v>101</v>
      </c>
      <c r="M95" s="133">
        <v>50859469</v>
      </c>
      <c r="N95" s="142">
        <v>115598</v>
      </c>
      <c r="O95" s="135">
        <v>6</v>
      </c>
      <c r="P95" s="133">
        <v>248173</v>
      </c>
      <c r="Q95" s="135">
        <f t="shared" si="42"/>
        <v>31.5</v>
      </c>
      <c r="R95" s="133">
        <v>137713</v>
      </c>
      <c r="S95" s="136">
        <v>357</v>
      </c>
      <c r="T95" s="166">
        <v>73</v>
      </c>
      <c r="U95" s="133">
        <v>1265084</v>
      </c>
      <c r="V95" s="142">
        <v>3399</v>
      </c>
      <c r="W95" s="135">
        <f t="shared" si="43"/>
        <v>3091.5</v>
      </c>
      <c r="X95" s="80"/>
      <c r="Y95" s="80"/>
      <c r="AA95" s="98"/>
      <c r="AB95" s="96"/>
      <c r="AE95" s="80"/>
      <c r="AF95" s="80"/>
      <c r="AH95" s="103"/>
      <c r="AI95" s="104"/>
    </row>
    <row r="96" spans="1:35" x14ac:dyDescent="0.2">
      <c r="A96" s="62">
        <v>2022</v>
      </c>
      <c r="B96" s="63" t="s">
        <v>64</v>
      </c>
      <c r="C96" s="109">
        <f t="shared" si="44"/>
        <v>12439.125</v>
      </c>
      <c r="D96" s="146">
        <v>21934558.289999999</v>
      </c>
      <c r="E96" s="129">
        <v>261205</v>
      </c>
      <c r="F96" s="130">
        <f t="shared" ref="F96:V96" si="45">F97</f>
        <v>0</v>
      </c>
      <c r="G96" s="131">
        <f>'Customer Determination'!C10</f>
        <v>11136</v>
      </c>
      <c r="H96" s="146">
        <f t="shared" si="45"/>
        <v>0</v>
      </c>
      <c r="I96" s="167">
        <f>'Customer Determination'!E10</f>
        <v>1199.125</v>
      </c>
      <c r="J96" s="129">
        <f t="shared" si="45"/>
        <v>0</v>
      </c>
      <c r="K96" s="158">
        <f t="shared" si="45"/>
        <v>0</v>
      </c>
      <c r="L96" s="131">
        <f>'Customer Determination'!G10</f>
        <v>98</v>
      </c>
      <c r="M96" s="129">
        <f t="shared" si="45"/>
        <v>0</v>
      </c>
      <c r="N96" s="158">
        <f t="shared" si="45"/>
        <v>0</v>
      </c>
      <c r="O96" s="131">
        <f t="shared" si="45"/>
        <v>6</v>
      </c>
      <c r="P96" s="129">
        <f t="shared" si="45"/>
        <v>0</v>
      </c>
      <c r="Q96" s="131">
        <f>'Customer Determination'!K10</f>
        <v>31</v>
      </c>
      <c r="R96" s="129">
        <f t="shared" si="45"/>
        <v>0</v>
      </c>
      <c r="S96" s="132">
        <f t="shared" si="45"/>
        <v>0</v>
      </c>
      <c r="T96" s="166">
        <v>73</v>
      </c>
      <c r="U96" s="129">
        <f t="shared" si="45"/>
        <v>0</v>
      </c>
      <c r="V96" s="158">
        <f t="shared" si="45"/>
        <v>0</v>
      </c>
      <c r="W96" s="131">
        <f>'Customer Determination'!O10</f>
        <v>3133</v>
      </c>
      <c r="Y96" s="80"/>
      <c r="AA96" s="98"/>
      <c r="AB96" s="96"/>
      <c r="AE96" s="80"/>
      <c r="AF96" s="80"/>
      <c r="AH96" s="103"/>
      <c r="AI96" s="103"/>
    </row>
    <row r="97" spans="1:35" x14ac:dyDescent="0.2">
      <c r="A97" s="62">
        <v>2022</v>
      </c>
      <c r="B97" s="63" t="s">
        <v>65</v>
      </c>
      <c r="C97" s="109">
        <f t="shared" si="44"/>
        <v>12439.125</v>
      </c>
      <c r="D97" s="147">
        <v>19400472.890000001</v>
      </c>
      <c r="E97" s="133">
        <v>314288</v>
      </c>
      <c r="F97" s="134"/>
      <c r="G97" s="135">
        <f>G96</f>
        <v>11136</v>
      </c>
      <c r="H97" s="147"/>
      <c r="I97" s="167">
        <f>I96</f>
        <v>1199.125</v>
      </c>
      <c r="J97" s="133"/>
      <c r="K97" s="142"/>
      <c r="L97" s="135">
        <f>L96</f>
        <v>98</v>
      </c>
      <c r="M97" s="133"/>
      <c r="N97" s="142"/>
      <c r="O97" s="135">
        <v>6</v>
      </c>
      <c r="P97" s="133"/>
      <c r="Q97" s="135">
        <f>Q96</f>
        <v>31</v>
      </c>
      <c r="R97" s="133"/>
      <c r="S97" s="136"/>
      <c r="T97" s="166">
        <v>73</v>
      </c>
      <c r="U97" s="133"/>
      <c r="V97" s="142"/>
      <c r="W97" s="135">
        <f>W96</f>
        <v>3133</v>
      </c>
      <c r="Y97" s="80"/>
      <c r="AA97" s="98"/>
      <c r="AB97" s="96"/>
      <c r="AE97" s="80"/>
      <c r="AF97" s="80"/>
      <c r="AH97" s="103"/>
      <c r="AI97" s="103"/>
    </row>
    <row r="98" spans="1:35" x14ac:dyDescent="0.2">
      <c r="A98" s="62">
        <v>2022</v>
      </c>
      <c r="B98" s="63" t="s">
        <v>66</v>
      </c>
      <c r="C98" s="109">
        <f t="shared" si="44"/>
        <v>12439.125</v>
      </c>
      <c r="D98" s="147">
        <v>19279913.75</v>
      </c>
      <c r="E98" s="133">
        <v>497672</v>
      </c>
      <c r="F98" s="134"/>
      <c r="G98" s="135">
        <f t="shared" ref="G98:G107" si="46">G97</f>
        <v>11136</v>
      </c>
      <c r="H98" s="147"/>
      <c r="I98" s="167">
        <f t="shared" ref="I98:I107" si="47">I97</f>
        <v>1199.125</v>
      </c>
      <c r="J98" s="133"/>
      <c r="K98" s="142"/>
      <c r="L98" s="135">
        <f t="shared" ref="L98:L107" si="48">L97</f>
        <v>98</v>
      </c>
      <c r="M98" s="133"/>
      <c r="N98" s="142"/>
      <c r="O98" s="135">
        <v>6</v>
      </c>
      <c r="P98" s="133"/>
      <c r="Q98" s="135">
        <f t="shared" ref="Q98:Q107" si="49">Q97</f>
        <v>31</v>
      </c>
      <c r="R98" s="133"/>
      <c r="S98" s="136"/>
      <c r="T98" s="166">
        <v>73</v>
      </c>
      <c r="U98" s="133"/>
      <c r="V98" s="142"/>
      <c r="W98" s="135">
        <f t="shared" ref="W98:W107" si="50">W97</f>
        <v>3133</v>
      </c>
      <c r="Y98" s="80"/>
      <c r="AA98" s="98"/>
      <c r="AB98" s="96"/>
      <c r="AE98" s="80"/>
      <c r="AF98" s="80"/>
      <c r="AH98" s="103"/>
      <c r="AI98" s="103"/>
    </row>
    <row r="99" spans="1:35" x14ac:dyDescent="0.2">
      <c r="A99" s="62">
        <v>2022</v>
      </c>
      <c r="B99" s="63" t="s">
        <v>67</v>
      </c>
      <c r="C99" s="109">
        <f t="shared" si="44"/>
        <v>12439.125</v>
      </c>
      <c r="D99" s="147">
        <v>16999155.43</v>
      </c>
      <c r="E99" s="133">
        <v>529271</v>
      </c>
      <c r="F99" s="134"/>
      <c r="G99" s="135">
        <f t="shared" si="46"/>
        <v>11136</v>
      </c>
      <c r="H99" s="147"/>
      <c r="I99" s="167">
        <f t="shared" si="47"/>
        <v>1199.125</v>
      </c>
      <c r="J99" s="133"/>
      <c r="K99" s="142"/>
      <c r="L99" s="135">
        <f t="shared" si="48"/>
        <v>98</v>
      </c>
      <c r="M99" s="133"/>
      <c r="N99" s="142"/>
      <c r="O99" s="135">
        <v>6</v>
      </c>
      <c r="P99" s="133"/>
      <c r="Q99" s="135">
        <f t="shared" si="49"/>
        <v>31</v>
      </c>
      <c r="R99" s="133"/>
      <c r="S99" s="136"/>
      <c r="T99" s="166">
        <v>73</v>
      </c>
      <c r="U99" s="133"/>
      <c r="V99" s="142"/>
      <c r="W99" s="135">
        <f t="shared" si="50"/>
        <v>3133</v>
      </c>
      <c r="Y99" s="80"/>
      <c r="AA99" s="98"/>
      <c r="AB99" s="96"/>
      <c r="AE99" s="80"/>
      <c r="AF99" s="80"/>
      <c r="AH99" s="103"/>
      <c r="AI99" s="103"/>
    </row>
    <row r="100" spans="1:35" x14ac:dyDescent="0.2">
      <c r="A100" s="62">
        <v>2022</v>
      </c>
      <c r="B100" s="63" t="s">
        <v>43</v>
      </c>
      <c r="C100" s="109">
        <f t="shared" si="44"/>
        <v>12439.125</v>
      </c>
      <c r="D100" s="147">
        <v>17255063.699999999</v>
      </c>
      <c r="E100" s="133">
        <v>675247</v>
      </c>
      <c r="F100" s="134"/>
      <c r="G100" s="135">
        <f t="shared" si="46"/>
        <v>11136</v>
      </c>
      <c r="H100" s="147"/>
      <c r="I100" s="167">
        <f t="shared" si="47"/>
        <v>1199.125</v>
      </c>
      <c r="J100" s="133"/>
      <c r="K100" s="142"/>
      <c r="L100" s="135">
        <f t="shared" si="48"/>
        <v>98</v>
      </c>
      <c r="M100" s="133"/>
      <c r="N100" s="142"/>
      <c r="O100" s="135">
        <v>6</v>
      </c>
      <c r="P100" s="133"/>
      <c r="Q100" s="135">
        <f t="shared" si="49"/>
        <v>31</v>
      </c>
      <c r="R100" s="133"/>
      <c r="S100" s="136"/>
      <c r="T100" s="166">
        <v>73</v>
      </c>
      <c r="U100" s="133"/>
      <c r="V100" s="142"/>
      <c r="W100" s="135">
        <f t="shared" si="50"/>
        <v>3133</v>
      </c>
      <c r="Y100" s="80"/>
      <c r="AA100" s="98"/>
      <c r="AB100" s="96"/>
      <c r="AE100" s="80"/>
      <c r="AF100" s="80"/>
      <c r="AH100" s="103"/>
      <c r="AI100" s="103"/>
    </row>
    <row r="101" spans="1:35" x14ac:dyDescent="0.2">
      <c r="A101" s="62">
        <v>2022</v>
      </c>
      <c r="B101" s="63" t="s">
        <v>68</v>
      </c>
      <c r="C101" s="109">
        <f t="shared" si="44"/>
        <v>12439.125</v>
      </c>
      <c r="D101" s="147">
        <v>20945313.68</v>
      </c>
      <c r="E101" s="133">
        <v>754041</v>
      </c>
      <c r="F101" s="134"/>
      <c r="G101" s="135">
        <f t="shared" si="46"/>
        <v>11136</v>
      </c>
      <c r="H101" s="147"/>
      <c r="I101" s="167">
        <f t="shared" si="47"/>
        <v>1199.125</v>
      </c>
      <c r="J101" s="133"/>
      <c r="K101" s="142"/>
      <c r="L101" s="135">
        <f t="shared" si="48"/>
        <v>98</v>
      </c>
      <c r="M101" s="133"/>
      <c r="N101" s="142"/>
      <c r="O101" s="135">
        <v>6</v>
      </c>
      <c r="P101" s="133"/>
      <c r="Q101" s="135">
        <f t="shared" si="49"/>
        <v>31</v>
      </c>
      <c r="R101" s="133"/>
      <c r="S101" s="136"/>
      <c r="T101" s="166">
        <v>73</v>
      </c>
      <c r="U101" s="133"/>
      <c r="V101" s="142"/>
      <c r="W101" s="135">
        <f t="shared" si="50"/>
        <v>3133</v>
      </c>
      <c r="Y101" s="80"/>
      <c r="AA101" s="98"/>
      <c r="AB101" s="96"/>
      <c r="AE101" s="80"/>
      <c r="AF101" s="80"/>
      <c r="AH101" s="103"/>
      <c r="AI101" s="103"/>
    </row>
    <row r="102" spans="1:35" x14ac:dyDescent="0.2">
      <c r="A102" s="62">
        <v>2022</v>
      </c>
      <c r="B102" s="63" t="s">
        <v>69</v>
      </c>
      <c r="C102" s="109">
        <f t="shared" si="44"/>
        <v>12439.125</v>
      </c>
      <c r="D102" s="147">
        <v>24398422.25</v>
      </c>
      <c r="E102" s="133">
        <v>726187</v>
      </c>
      <c r="F102" s="134"/>
      <c r="G102" s="135">
        <f t="shared" si="46"/>
        <v>11136</v>
      </c>
      <c r="H102" s="147"/>
      <c r="I102" s="167">
        <f t="shared" si="47"/>
        <v>1199.125</v>
      </c>
      <c r="J102" s="133"/>
      <c r="K102" s="142"/>
      <c r="L102" s="135">
        <f t="shared" si="48"/>
        <v>98</v>
      </c>
      <c r="M102" s="133"/>
      <c r="N102" s="142"/>
      <c r="O102" s="135">
        <v>6</v>
      </c>
      <c r="P102" s="133"/>
      <c r="Q102" s="135">
        <f t="shared" si="49"/>
        <v>31</v>
      </c>
      <c r="R102" s="133"/>
      <c r="S102" s="136"/>
      <c r="T102" s="166">
        <v>73</v>
      </c>
      <c r="U102" s="133"/>
      <c r="V102" s="142"/>
      <c r="W102" s="135">
        <f t="shared" si="50"/>
        <v>3133</v>
      </c>
      <c r="Y102" s="80"/>
      <c r="AA102" s="98"/>
      <c r="AB102" s="96"/>
      <c r="AE102" s="80"/>
      <c r="AF102" s="80"/>
      <c r="AH102" s="103"/>
      <c r="AI102" s="103"/>
    </row>
    <row r="103" spans="1:35" x14ac:dyDescent="0.2">
      <c r="A103" s="62">
        <v>2022</v>
      </c>
      <c r="B103" s="63" t="s">
        <v>70</v>
      </c>
      <c r="C103" s="109">
        <f t="shared" si="44"/>
        <v>12439.125</v>
      </c>
      <c r="D103" s="147">
        <v>24085257.84</v>
      </c>
      <c r="E103" s="133">
        <v>684052</v>
      </c>
      <c r="F103" s="134"/>
      <c r="G103" s="135">
        <f t="shared" si="46"/>
        <v>11136</v>
      </c>
      <c r="H103" s="147"/>
      <c r="I103" s="167">
        <f t="shared" si="47"/>
        <v>1199.125</v>
      </c>
      <c r="J103" s="133"/>
      <c r="K103" s="142"/>
      <c r="L103" s="135">
        <f t="shared" si="48"/>
        <v>98</v>
      </c>
      <c r="M103" s="133"/>
      <c r="N103" s="142"/>
      <c r="O103" s="135">
        <v>6</v>
      </c>
      <c r="P103" s="133"/>
      <c r="Q103" s="135">
        <f t="shared" si="49"/>
        <v>31</v>
      </c>
      <c r="R103" s="133"/>
      <c r="S103" s="136"/>
      <c r="T103" s="166">
        <v>73</v>
      </c>
      <c r="U103" s="133"/>
      <c r="V103" s="142"/>
      <c r="W103" s="135">
        <f t="shared" si="50"/>
        <v>3133</v>
      </c>
      <c r="Y103" s="80"/>
      <c r="AA103" s="98"/>
      <c r="AB103" s="96"/>
      <c r="AE103" s="80"/>
      <c r="AF103" s="80"/>
      <c r="AH103" s="103"/>
      <c r="AI103" s="103"/>
    </row>
    <row r="104" spans="1:35" x14ac:dyDescent="0.2">
      <c r="A104" s="62">
        <v>2022</v>
      </c>
      <c r="B104" s="63" t="s">
        <v>71</v>
      </c>
      <c r="C104" s="109">
        <f t="shared" si="44"/>
        <v>12439.125</v>
      </c>
      <c r="D104" s="147">
        <v>19367767.010000002</v>
      </c>
      <c r="E104" s="133">
        <v>566803</v>
      </c>
      <c r="F104" s="134"/>
      <c r="G104" s="135">
        <f t="shared" si="46"/>
        <v>11136</v>
      </c>
      <c r="H104" s="147"/>
      <c r="I104" s="167">
        <f t="shared" si="47"/>
        <v>1199.125</v>
      </c>
      <c r="J104" s="133"/>
      <c r="K104" s="142"/>
      <c r="L104" s="135">
        <f t="shared" si="48"/>
        <v>98</v>
      </c>
      <c r="M104" s="133"/>
      <c r="N104" s="142"/>
      <c r="O104" s="135">
        <v>6</v>
      </c>
      <c r="P104" s="133"/>
      <c r="Q104" s="135">
        <f t="shared" si="49"/>
        <v>31</v>
      </c>
      <c r="R104" s="133"/>
      <c r="S104" s="136"/>
      <c r="T104" s="166">
        <v>73</v>
      </c>
      <c r="U104" s="133"/>
      <c r="V104" s="142"/>
      <c r="W104" s="135">
        <f t="shared" si="50"/>
        <v>3133</v>
      </c>
      <c r="Y104" s="80"/>
      <c r="AA104" s="98"/>
      <c r="AB104" s="96"/>
      <c r="AE104" s="80"/>
      <c r="AF104" s="80"/>
      <c r="AH104" s="103"/>
      <c r="AI104" s="103"/>
    </row>
    <row r="105" spans="1:35" x14ac:dyDescent="0.2">
      <c r="A105" s="62">
        <v>2022</v>
      </c>
      <c r="B105" s="63" t="s">
        <v>72</v>
      </c>
      <c r="C105" s="109">
        <f t="shared" si="44"/>
        <v>12439.125</v>
      </c>
      <c r="D105" s="147">
        <v>16627474.65</v>
      </c>
      <c r="E105" s="133">
        <v>486880</v>
      </c>
      <c r="F105" s="134"/>
      <c r="G105" s="135">
        <f t="shared" si="46"/>
        <v>11136</v>
      </c>
      <c r="H105" s="147"/>
      <c r="I105" s="167">
        <f t="shared" si="47"/>
        <v>1199.125</v>
      </c>
      <c r="J105" s="133"/>
      <c r="K105" s="142"/>
      <c r="L105" s="135">
        <f t="shared" si="48"/>
        <v>98</v>
      </c>
      <c r="M105" s="133"/>
      <c r="N105" s="142"/>
      <c r="O105" s="135">
        <v>6</v>
      </c>
      <c r="P105" s="133"/>
      <c r="Q105" s="135">
        <f t="shared" si="49"/>
        <v>31</v>
      </c>
      <c r="R105" s="133"/>
      <c r="S105" s="136"/>
      <c r="T105" s="166">
        <v>73</v>
      </c>
      <c r="U105" s="133"/>
      <c r="V105" s="142"/>
      <c r="W105" s="135">
        <f t="shared" si="50"/>
        <v>3133</v>
      </c>
      <c r="Y105" s="80"/>
      <c r="AA105" s="98"/>
      <c r="AB105" s="96"/>
      <c r="AE105" s="80"/>
      <c r="AF105" s="80"/>
      <c r="AH105" s="103"/>
      <c r="AI105" s="103"/>
    </row>
    <row r="106" spans="1:35" x14ac:dyDescent="0.2">
      <c r="A106" s="62">
        <v>2022</v>
      </c>
      <c r="B106" s="63" t="s">
        <v>73</v>
      </c>
      <c r="C106" s="109">
        <f t="shared" si="44"/>
        <v>12439.125</v>
      </c>
      <c r="D106" s="147">
        <v>18072262.77</v>
      </c>
      <c r="E106" s="133">
        <v>324583</v>
      </c>
      <c r="F106" s="134"/>
      <c r="G106" s="135">
        <f t="shared" si="46"/>
        <v>11136</v>
      </c>
      <c r="H106" s="147"/>
      <c r="I106" s="167">
        <f t="shared" si="47"/>
        <v>1199.125</v>
      </c>
      <c r="J106" s="133"/>
      <c r="K106" s="142"/>
      <c r="L106" s="135">
        <f t="shared" si="48"/>
        <v>98</v>
      </c>
      <c r="M106" s="133"/>
      <c r="N106" s="142"/>
      <c r="O106" s="135">
        <v>6</v>
      </c>
      <c r="P106" s="133"/>
      <c r="Q106" s="135">
        <f t="shared" si="49"/>
        <v>31</v>
      </c>
      <c r="R106" s="133"/>
      <c r="S106" s="136"/>
      <c r="T106" s="166">
        <v>73</v>
      </c>
      <c r="U106" s="133"/>
      <c r="V106" s="142"/>
      <c r="W106" s="135">
        <f t="shared" si="50"/>
        <v>3133</v>
      </c>
      <c r="Y106" s="80"/>
      <c r="AA106" s="98"/>
      <c r="AB106" s="96"/>
      <c r="AE106" s="80"/>
      <c r="AF106" s="80"/>
      <c r="AH106" s="103"/>
      <c r="AI106" s="103"/>
    </row>
    <row r="107" spans="1:35" x14ac:dyDescent="0.2">
      <c r="A107" s="62">
        <v>2022</v>
      </c>
      <c r="B107" s="63" t="s">
        <v>74</v>
      </c>
      <c r="C107" s="109">
        <f t="shared" si="44"/>
        <v>12439.125</v>
      </c>
      <c r="D107" s="147">
        <v>21044908.899999999</v>
      </c>
      <c r="E107" s="133">
        <v>147675</v>
      </c>
      <c r="F107" s="134">
        <v>105839455</v>
      </c>
      <c r="G107" s="135">
        <f t="shared" si="46"/>
        <v>11136</v>
      </c>
      <c r="H107" s="147">
        <v>29663800</v>
      </c>
      <c r="I107" s="167">
        <f t="shared" si="47"/>
        <v>1199.125</v>
      </c>
      <c r="J107" s="133">
        <v>55678001.560000002</v>
      </c>
      <c r="K107" s="142">
        <v>151124.07</v>
      </c>
      <c r="L107" s="135">
        <f t="shared" si="48"/>
        <v>98</v>
      </c>
      <c r="M107" s="133">
        <v>45020625</v>
      </c>
      <c r="N107" s="142">
        <v>129568</v>
      </c>
      <c r="O107" s="135">
        <v>6</v>
      </c>
      <c r="P107" s="133">
        <v>248448</v>
      </c>
      <c r="Q107" s="135">
        <f t="shared" si="49"/>
        <v>31</v>
      </c>
      <c r="R107" s="133">
        <v>138479</v>
      </c>
      <c r="S107" s="136">
        <v>360</v>
      </c>
      <c r="T107" s="166">
        <v>73</v>
      </c>
      <c r="U107" s="133">
        <v>1271846</v>
      </c>
      <c r="V107" s="142">
        <v>3342</v>
      </c>
      <c r="W107" s="135">
        <f t="shared" si="50"/>
        <v>3133</v>
      </c>
      <c r="X107" s="80"/>
      <c r="Y107" s="80"/>
      <c r="AA107" s="98"/>
      <c r="AB107" s="96"/>
      <c r="AE107" s="80"/>
      <c r="AF107" s="80"/>
      <c r="AH107" s="103"/>
      <c r="AI107" s="104"/>
    </row>
    <row r="108" spans="1:35" x14ac:dyDescent="0.2">
      <c r="A108" s="62">
        <v>2023</v>
      </c>
      <c r="B108" s="63" t="s">
        <v>64</v>
      </c>
      <c r="C108" s="109">
        <f t="shared" si="44"/>
        <v>12485.375</v>
      </c>
      <c r="D108" s="146">
        <v>20870941.93</v>
      </c>
      <c r="E108" s="129">
        <v>150749</v>
      </c>
      <c r="F108" s="130">
        <f t="shared" ref="F108:V108" si="51">F109</f>
        <v>0</v>
      </c>
      <c r="G108" s="131">
        <f>'Customer Determination'!C11</f>
        <v>11213.5</v>
      </c>
      <c r="H108" s="146">
        <f t="shared" si="51"/>
        <v>0</v>
      </c>
      <c r="I108" s="167">
        <f>'Customer Determination'!E11</f>
        <v>1174.375</v>
      </c>
      <c r="J108" s="129">
        <f t="shared" si="51"/>
        <v>0</v>
      </c>
      <c r="K108" s="158">
        <f t="shared" si="51"/>
        <v>0</v>
      </c>
      <c r="L108" s="131">
        <f>'Customer Determination'!G11</f>
        <v>91.5</v>
      </c>
      <c r="M108" s="129">
        <f t="shared" si="51"/>
        <v>0</v>
      </c>
      <c r="N108" s="161">
        <f t="shared" si="51"/>
        <v>0</v>
      </c>
      <c r="O108" s="131">
        <f t="shared" si="51"/>
        <v>6</v>
      </c>
      <c r="P108" s="129">
        <f t="shared" si="51"/>
        <v>0</v>
      </c>
      <c r="Q108" s="131">
        <f>'Customer Determination'!K11</f>
        <v>30</v>
      </c>
      <c r="R108" s="129">
        <f t="shared" si="51"/>
        <v>0</v>
      </c>
      <c r="S108" s="132">
        <f t="shared" si="51"/>
        <v>0</v>
      </c>
      <c r="T108" s="166">
        <v>73</v>
      </c>
      <c r="U108" s="129">
        <f t="shared" si="51"/>
        <v>0</v>
      </c>
      <c r="V108" s="158">
        <f t="shared" si="51"/>
        <v>0</v>
      </c>
      <c r="W108" s="131">
        <f>'Customer Determination'!O11</f>
        <v>3162</v>
      </c>
      <c r="Y108" s="80"/>
      <c r="AA108" s="98"/>
      <c r="AB108" s="96"/>
      <c r="AE108" s="80"/>
      <c r="AF108" s="80"/>
      <c r="AH108" s="103"/>
      <c r="AI108" s="103"/>
    </row>
    <row r="109" spans="1:35" x14ac:dyDescent="0.2">
      <c r="A109" s="62">
        <v>2023</v>
      </c>
      <c r="B109" s="63" t="s">
        <v>65</v>
      </c>
      <c r="C109" s="109">
        <f t="shared" si="44"/>
        <v>12485.375</v>
      </c>
      <c r="D109" s="147">
        <v>18386953.57</v>
      </c>
      <c r="E109" s="133">
        <v>450450</v>
      </c>
      <c r="F109" s="134"/>
      <c r="G109" s="135">
        <f>G108</f>
        <v>11213.5</v>
      </c>
      <c r="H109" s="147"/>
      <c r="I109" s="167">
        <f>I108</f>
        <v>1174.375</v>
      </c>
      <c r="J109" s="133"/>
      <c r="K109" s="142"/>
      <c r="L109" s="166">
        <f>L108</f>
        <v>91.5</v>
      </c>
      <c r="M109" s="133"/>
      <c r="N109" s="162"/>
      <c r="O109" s="135">
        <v>6</v>
      </c>
      <c r="P109" s="133"/>
      <c r="Q109" s="135">
        <f>Q108</f>
        <v>30</v>
      </c>
      <c r="R109" s="133"/>
      <c r="S109" s="163"/>
      <c r="T109" s="166">
        <v>73</v>
      </c>
      <c r="U109" s="133"/>
      <c r="V109" s="142"/>
      <c r="W109" s="135">
        <f>W108</f>
        <v>3162</v>
      </c>
      <c r="Y109" s="80"/>
      <c r="AA109" s="98"/>
      <c r="AB109" s="96"/>
      <c r="AE109" s="80"/>
      <c r="AF109" s="80"/>
      <c r="AH109" s="103"/>
      <c r="AI109" s="103"/>
    </row>
    <row r="110" spans="1:35" x14ac:dyDescent="0.2">
      <c r="A110" s="62">
        <v>2023</v>
      </c>
      <c r="B110" s="63" t="s">
        <v>66</v>
      </c>
      <c r="C110" s="109">
        <f t="shared" si="44"/>
        <v>12485.375</v>
      </c>
      <c r="D110" s="147">
        <v>20208578.530000001</v>
      </c>
      <c r="E110" s="133">
        <v>466824</v>
      </c>
      <c r="F110" s="134"/>
      <c r="G110" s="135">
        <f t="shared" ref="G110:G119" si="52">G109</f>
        <v>11213.5</v>
      </c>
      <c r="H110" s="147"/>
      <c r="I110" s="167">
        <f t="shared" ref="I110:I119" si="53">I109</f>
        <v>1174.375</v>
      </c>
      <c r="J110" s="133"/>
      <c r="K110" s="142"/>
      <c r="L110" s="166">
        <f t="shared" ref="L110:L119" si="54">L109</f>
        <v>91.5</v>
      </c>
      <c r="M110" s="133"/>
      <c r="N110" s="162"/>
      <c r="O110" s="135">
        <v>6</v>
      </c>
      <c r="P110" s="133"/>
      <c r="Q110" s="135">
        <f t="shared" ref="Q110:Q119" si="55">Q109</f>
        <v>30</v>
      </c>
      <c r="R110" s="133"/>
      <c r="S110" s="163"/>
      <c r="T110" s="166">
        <v>73</v>
      </c>
      <c r="U110" s="133"/>
      <c r="V110" s="142"/>
      <c r="W110" s="135">
        <f t="shared" ref="W110:W119" si="56">W109</f>
        <v>3162</v>
      </c>
      <c r="Y110" s="80"/>
      <c r="AA110" s="98"/>
      <c r="AB110" s="96"/>
      <c r="AE110" s="80"/>
      <c r="AF110" s="80"/>
      <c r="AH110" s="103"/>
      <c r="AI110" s="103"/>
    </row>
    <row r="111" spans="1:35" x14ac:dyDescent="0.2">
      <c r="A111" s="62">
        <v>2023</v>
      </c>
      <c r="B111" s="63" t="s">
        <v>67</v>
      </c>
      <c r="C111" s="109">
        <f t="shared" si="44"/>
        <v>12485.375</v>
      </c>
      <c r="D111" s="147">
        <v>17081228.469999999</v>
      </c>
      <c r="E111" s="133">
        <v>572371</v>
      </c>
      <c r="F111" s="134"/>
      <c r="G111" s="135">
        <f t="shared" si="52"/>
        <v>11213.5</v>
      </c>
      <c r="H111" s="147"/>
      <c r="I111" s="167">
        <f t="shared" si="53"/>
        <v>1174.375</v>
      </c>
      <c r="J111" s="133"/>
      <c r="K111" s="142"/>
      <c r="L111" s="166">
        <f t="shared" si="54"/>
        <v>91.5</v>
      </c>
      <c r="M111" s="133"/>
      <c r="N111" s="162"/>
      <c r="O111" s="135">
        <v>6</v>
      </c>
      <c r="P111" s="133"/>
      <c r="Q111" s="135">
        <f t="shared" si="55"/>
        <v>30</v>
      </c>
      <c r="R111" s="133"/>
      <c r="S111" s="163"/>
      <c r="T111" s="166">
        <v>73</v>
      </c>
      <c r="U111" s="133"/>
      <c r="V111" s="142"/>
      <c r="W111" s="135">
        <f t="shared" si="56"/>
        <v>3162</v>
      </c>
      <c r="Y111" s="80"/>
      <c r="AA111" s="98"/>
      <c r="AB111" s="96"/>
      <c r="AE111" s="80"/>
      <c r="AF111" s="80"/>
      <c r="AH111" s="103"/>
      <c r="AI111" s="103"/>
    </row>
    <row r="112" spans="1:35" x14ac:dyDescent="0.2">
      <c r="A112" s="62">
        <v>2023</v>
      </c>
      <c r="B112" s="63" t="s">
        <v>43</v>
      </c>
      <c r="C112" s="109">
        <f t="shared" si="44"/>
        <v>12485.375</v>
      </c>
      <c r="D112" s="147">
        <v>16769771.85</v>
      </c>
      <c r="E112" s="133">
        <v>706048</v>
      </c>
      <c r="F112" s="134"/>
      <c r="G112" s="135">
        <f t="shared" si="52"/>
        <v>11213.5</v>
      </c>
      <c r="H112" s="147"/>
      <c r="I112" s="167">
        <f t="shared" si="53"/>
        <v>1174.375</v>
      </c>
      <c r="J112" s="133"/>
      <c r="K112" s="142"/>
      <c r="L112" s="166">
        <f t="shared" si="54"/>
        <v>91.5</v>
      </c>
      <c r="M112" s="133"/>
      <c r="N112" s="162"/>
      <c r="O112" s="135">
        <v>6</v>
      </c>
      <c r="P112" s="133"/>
      <c r="Q112" s="135">
        <f t="shared" si="55"/>
        <v>30</v>
      </c>
      <c r="R112" s="133"/>
      <c r="S112" s="163"/>
      <c r="T112" s="166">
        <v>73</v>
      </c>
      <c r="U112" s="133"/>
      <c r="V112" s="142"/>
      <c r="W112" s="135">
        <f t="shared" si="56"/>
        <v>3162</v>
      </c>
      <c r="Y112" s="80"/>
      <c r="AA112" s="98"/>
      <c r="AB112" s="96"/>
      <c r="AE112" s="80"/>
      <c r="AF112" s="80"/>
      <c r="AH112" s="103"/>
      <c r="AI112" s="103"/>
    </row>
    <row r="113" spans="1:35" x14ac:dyDescent="0.2">
      <c r="A113" s="62">
        <v>2023</v>
      </c>
      <c r="B113" s="63" t="s">
        <v>68</v>
      </c>
      <c r="C113" s="109">
        <f t="shared" si="44"/>
        <v>12485.375</v>
      </c>
      <c r="D113" s="147">
        <v>19325508.919999998</v>
      </c>
      <c r="E113" s="133">
        <v>729990</v>
      </c>
      <c r="F113" s="134"/>
      <c r="G113" s="135">
        <f t="shared" si="52"/>
        <v>11213.5</v>
      </c>
      <c r="H113" s="147"/>
      <c r="I113" s="167">
        <f t="shared" si="53"/>
        <v>1174.375</v>
      </c>
      <c r="J113" s="133"/>
      <c r="K113" s="142"/>
      <c r="L113" s="166">
        <f t="shared" si="54"/>
        <v>91.5</v>
      </c>
      <c r="M113" s="133"/>
      <c r="N113" s="162"/>
      <c r="O113" s="135">
        <v>6</v>
      </c>
      <c r="P113" s="133"/>
      <c r="Q113" s="135">
        <f t="shared" si="55"/>
        <v>30</v>
      </c>
      <c r="R113" s="133"/>
      <c r="S113" s="163"/>
      <c r="T113" s="166">
        <v>73</v>
      </c>
      <c r="U113" s="133"/>
      <c r="V113" s="142"/>
      <c r="W113" s="135">
        <f t="shared" si="56"/>
        <v>3162</v>
      </c>
      <c r="Y113" s="80"/>
      <c r="AA113" s="98"/>
      <c r="AB113" s="96"/>
      <c r="AE113" s="80"/>
      <c r="AF113" s="80"/>
      <c r="AH113" s="103"/>
      <c r="AI113" s="103"/>
    </row>
    <row r="114" spans="1:35" x14ac:dyDescent="0.2">
      <c r="A114" s="62">
        <v>2023</v>
      </c>
      <c r="B114" s="63" t="s">
        <v>69</v>
      </c>
      <c r="C114" s="109">
        <f t="shared" si="44"/>
        <v>12485.375</v>
      </c>
      <c r="D114" s="147">
        <v>23824387.459999997</v>
      </c>
      <c r="E114" s="133">
        <v>631543</v>
      </c>
      <c r="F114" s="134"/>
      <c r="G114" s="135">
        <f t="shared" si="52"/>
        <v>11213.5</v>
      </c>
      <c r="H114" s="147"/>
      <c r="I114" s="167">
        <f t="shared" si="53"/>
        <v>1174.375</v>
      </c>
      <c r="J114" s="133"/>
      <c r="K114" s="142"/>
      <c r="L114" s="166">
        <f t="shared" si="54"/>
        <v>91.5</v>
      </c>
      <c r="M114" s="133"/>
      <c r="N114" s="162"/>
      <c r="O114" s="135">
        <v>6</v>
      </c>
      <c r="P114" s="133"/>
      <c r="Q114" s="135">
        <f t="shared" si="55"/>
        <v>30</v>
      </c>
      <c r="R114" s="133"/>
      <c r="S114" s="163"/>
      <c r="T114" s="166">
        <v>73</v>
      </c>
      <c r="U114" s="133"/>
      <c r="V114" s="142"/>
      <c r="W114" s="135">
        <f t="shared" si="56"/>
        <v>3162</v>
      </c>
      <c r="Y114" s="80"/>
      <c r="AA114" s="98"/>
      <c r="AB114" s="96"/>
      <c r="AE114" s="80"/>
      <c r="AF114" s="80"/>
      <c r="AH114" s="103"/>
      <c r="AI114" s="103"/>
    </row>
    <row r="115" spans="1:35" x14ac:dyDescent="0.2">
      <c r="A115" s="62">
        <v>2023</v>
      </c>
      <c r="B115" s="63" t="s">
        <v>70</v>
      </c>
      <c r="C115" s="109">
        <f t="shared" si="44"/>
        <v>12485.375</v>
      </c>
      <c r="D115" s="147">
        <v>22076100</v>
      </c>
      <c r="E115" s="133">
        <v>600895</v>
      </c>
      <c r="F115" s="134"/>
      <c r="G115" s="135">
        <f t="shared" si="52"/>
        <v>11213.5</v>
      </c>
      <c r="H115" s="147"/>
      <c r="I115" s="167">
        <f t="shared" si="53"/>
        <v>1174.375</v>
      </c>
      <c r="J115" s="133"/>
      <c r="K115" s="142"/>
      <c r="L115" s="166">
        <f t="shared" si="54"/>
        <v>91.5</v>
      </c>
      <c r="M115" s="133"/>
      <c r="N115" s="162"/>
      <c r="O115" s="135">
        <v>6</v>
      </c>
      <c r="P115" s="133"/>
      <c r="Q115" s="135">
        <f t="shared" si="55"/>
        <v>30</v>
      </c>
      <c r="R115" s="133"/>
      <c r="S115" s="163"/>
      <c r="T115" s="166">
        <v>73</v>
      </c>
      <c r="U115" s="133"/>
      <c r="V115" s="142"/>
      <c r="W115" s="135">
        <f t="shared" si="56"/>
        <v>3162</v>
      </c>
      <c r="Y115" s="80"/>
      <c r="AA115" s="98"/>
      <c r="AB115" s="96"/>
      <c r="AE115" s="80"/>
      <c r="AF115" s="80"/>
      <c r="AH115" s="103"/>
      <c r="AI115" s="103"/>
    </row>
    <row r="116" spans="1:35" x14ac:dyDescent="0.2">
      <c r="A116" s="62">
        <v>2023</v>
      </c>
      <c r="B116" s="63" t="s">
        <v>71</v>
      </c>
      <c r="C116" s="109">
        <f t="shared" si="44"/>
        <v>12485.375</v>
      </c>
      <c r="D116" s="147">
        <v>19646111.130000003</v>
      </c>
      <c r="E116" s="133">
        <v>542652</v>
      </c>
      <c r="F116" s="134"/>
      <c r="G116" s="135">
        <f t="shared" si="52"/>
        <v>11213.5</v>
      </c>
      <c r="H116" s="147"/>
      <c r="I116" s="167">
        <f t="shared" si="53"/>
        <v>1174.375</v>
      </c>
      <c r="J116" s="133"/>
      <c r="K116" s="142"/>
      <c r="L116" s="166">
        <f t="shared" si="54"/>
        <v>91.5</v>
      </c>
      <c r="M116" s="133"/>
      <c r="N116" s="162"/>
      <c r="O116" s="135">
        <v>6</v>
      </c>
      <c r="P116" s="133"/>
      <c r="Q116" s="135">
        <f t="shared" si="55"/>
        <v>30</v>
      </c>
      <c r="R116" s="133"/>
      <c r="S116" s="163"/>
      <c r="T116" s="166">
        <v>73</v>
      </c>
      <c r="U116" s="133"/>
      <c r="V116" s="142"/>
      <c r="W116" s="135">
        <f t="shared" si="56"/>
        <v>3162</v>
      </c>
      <c r="Y116" s="80"/>
      <c r="AA116" s="98"/>
      <c r="AB116" s="96"/>
      <c r="AE116" s="80"/>
      <c r="AF116" s="80"/>
      <c r="AH116" s="103"/>
      <c r="AI116" s="103"/>
    </row>
    <row r="117" spans="1:35" x14ac:dyDescent="0.2">
      <c r="A117" s="62">
        <v>2023</v>
      </c>
      <c r="B117" s="63" t="s">
        <v>72</v>
      </c>
      <c r="C117" s="109">
        <f t="shared" si="44"/>
        <v>12485.375</v>
      </c>
      <c r="D117" s="147">
        <v>17738587.649999999</v>
      </c>
      <c r="E117" s="133">
        <v>853520</v>
      </c>
      <c r="F117" s="134"/>
      <c r="G117" s="135">
        <f t="shared" si="52"/>
        <v>11213.5</v>
      </c>
      <c r="H117" s="147"/>
      <c r="I117" s="167">
        <f t="shared" si="53"/>
        <v>1174.375</v>
      </c>
      <c r="J117" s="133"/>
      <c r="K117" s="142"/>
      <c r="L117" s="166">
        <f t="shared" si="54"/>
        <v>91.5</v>
      </c>
      <c r="M117" s="133"/>
      <c r="N117" s="162"/>
      <c r="O117" s="135">
        <v>6</v>
      </c>
      <c r="P117" s="133"/>
      <c r="Q117" s="135">
        <f t="shared" si="55"/>
        <v>30</v>
      </c>
      <c r="R117" s="133"/>
      <c r="S117" s="163"/>
      <c r="T117" s="166">
        <v>73</v>
      </c>
      <c r="U117" s="133"/>
      <c r="V117" s="142"/>
      <c r="W117" s="135">
        <f t="shared" si="56"/>
        <v>3162</v>
      </c>
      <c r="Y117" s="80"/>
      <c r="AA117" s="98"/>
      <c r="AB117" s="96"/>
      <c r="AE117" s="80"/>
      <c r="AF117" s="80"/>
      <c r="AH117" s="103"/>
      <c r="AI117" s="103"/>
    </row>
    <row r="118" spans="1:35" x14ac:dyDescent="0.2">
      <c r="A118" s="62">
        <v>2023</v>
      </c>
      <c r="B118" s="63" t="s">
        <v>73</v>
      </c>
      <c r="C118" s="109">
        <f t="shared" si="44"/>
        <v>12485.375</v>
      </c>
      <c r="D118" s="147">
        <v>18187804.18</v>
      </c>
      <c r="E118" s="133">
        <v>312697</v>
      </c>
      <c r="F118" s="134"/>
      <c r="G118" s="135">
        <f t="shared" si="52"/>
        <v>11213.5</v>
      </c>
      <c r="H118" s="147"/>
      <c r="I118" s="167">
        <f t="shared" si="53"/>
        <v>1174.375</v>
      </c>
      <c r="J118" s="133"/>
      <c r="K118" s="142"/>
      <c r="L118" s="166">
        <f t="shared" si="54"/>
        <v>91.5</v>
      </c>
      <c r="M118" s="133"/>
      <c r="N118" s="162"/>
      <c r="O118" s="135">
        <v>6</v>
      </c>
      <c r="P118" s="133"/>
      <c r="Q118" s="135">
        <f t="shared" si="55"/>
        <v>30</v>
      </c>
      <c r="R118" s="133"/>
      <c r="S118" s="163"/>
      <c r="T118" s="166">
        <v>73</v>
      </c>
      <c r="U118" s="133"/>
      <c r="V118" s="142"/>
      <c r="W118" s="135">
        <f t="shared" si="56"/>
        <v>3162</v>
      </c>
      <c r="Y118" s="80"/>
      <c r="AA118" s="98"/>
      <c r="AB118" s="96"/>
      <c r="AE118" s="80"/>
      <c r="AF118" s="80"/>
      <c r="AH118" s="103"/>
      <c r="AI118" s="103"/>
    </row>
    <row r="119" spans="1:35" x14ac:dyDescent="0.2">
      <c r="A119" s="62">
        <v>2023</v>
      </c>
      <c r="B119" s="63" t="s">
        <v>74</v>
      </c>
      <c r="C119" s="109">
        <f t="shared" si="44"/>
        <v>12485.375</v>
      </c>
      <c r="D119" s="147">
        <v>20289839.23</v>
      </c>
      <c r="E119" s="133">
        <v>312697</v>
      </c>
      <c r="F119" s="134">
        <v>96458582.030000001</v>
      </c>
      <c r="G119" s="135">
        <f t="shared" si="52"/>
        <v>11213.5</v>
      </c>
      <c r="H119" s="147">
        <v>28828610.309999999</v>
      </c>
      <c r="I119" s="167">
        <f t="shared" si="53"/>
        <v>1174.375</v>
      </c>
      <c r="J119" s="133">
        <v>59808297.880000003</v>
      </c>
      <c r="K119" s="142">
        <v>215106.83</v>
      </c>
      <c r="L119" s="166">
        <f t="shared" si="54"/>
        <v>91.5</v>
      </c>
      <c r="M119" s="133">
        <v>47435810.810000002</v>
      </c>
      <c r="N119" s="168">
        <v>127663.3</v>
      </c>
      <c r="O119" s="135">
        <v>6</v>
      </c>
      <c r="P119" s="133">
        <v>248859</v>
      </c>
      <c r="Q119" s="135">
        <f t="shared" si="55"/>
        <v>30</v>
      </c>
      <c r="R119" s="133">
        <v>136721.45000000001</v>
      </c>
      <c r="S119" s="169">
        <v>357.1</v>
      </c>
      <c r="T119" s="166">
        <v>73</v>
      </c>
      <c r="U119" s="133">
        <v>1187658.02</v>
      </c>
      <c r="V119" s="142">
        <v>3319.34</v>
      </c>
      <c r="W119" s="135">
        <f t="shared" si="56"/>
        <v>3162</v>
      </c>
      <c r="X119" s="80"/>
      <c r="Y119" s="80"/>
      <c r="AA119" s="98"/>
      <c r="AB119" s="96"/>
      <c r="AE119" s="80"/>
      <c r="AF119" s="80"/>
      <c r="AH119" s="103"/>
      <c r="AI119" s="104"/>
    </row>
    <row r="120" spans="1:35" x14ac:dyDescent="0.2">
      <c r="A120" s="62">
        <v>2024</v>
      </c>
      <c r="B120" s="63" t="s">
        <v>64</v>
      </c>
      <c r="C120" s="109">
        <f t="shared" si="44"/>
        <v>12564.5</v>
      </c>
      <c r="D120" s="146">
        <v>22991783.129999999</v>
      </c>
      <c r="E120" s="129"/>
      <c r="F120" s="130">
        <f t="shared" ref="F120:V120" si="57">F121</f>
        <v>0</v>
      </c>
      <c r="G120" s="131">
        <f>'Customer Determination'!C12</f>
        <v>11298.5</v>
      </c>
      <c r="H120" s="146">
        <f t="shared" si="57"/>
        <v>0</v>
      </c>
      <c r="I120" s="167">
        <f>'Customer Determination'!E12</f>
        <v>1170</v>
      </c>
      <c r="J120" s="129">
        <f t="shared" si="57"/>
        <v>0</v>
      </c>
      <c r="K120" s="158">
        <f t="shared" si="57"/>
        <v>0</v>
      </c>
      <c r="L120" s="131">
        <f>'Customer Determination'!G12</f>
        <v>90</v>
      </c>
      <c r="M120" s="129">
        <f t="shared" si="57"/>
        <v>0</v>
      </c>
      <c r="N120" s="158">
        <f t="shared" si="57"/>
        <v>0</v>
      </c>
      <c r="O120" s="131">
        <f t="shared" si="57"/>
        <v>6</v>
      </c>
      <c r="P120" s="129">
        <f t="shared" si="57"/>
        <v>0</v>
      </c>
      <c r="Q120" s="131">
        <f>'Customer Determination'!K12</f>
        <v>29</v>
      </c>
      <c r="R120" s="129">
        <f t="shared" si="57"/>
        <v>0</v>
      </c>
      <c r="S120" s="132">
        <f t="shared" si="57"/>
        <v>0</v>
      </c>
      <c r="T120" s="166">
        <v>73</v>
      </c>
      <c r="U120" s="129">
        <f t="shared" si="57"/>
        <v>0</v>
      </c>
      <c r="V120" s="158">
        <f t="shared" si="57"/>
        <v>0</v>
      </c>
      <c r="W120" s="131">
        <f>'Customer Determination'!O12</f>
        <v>3158</v>
      </c>
      <c r="Y120" s="80"/>
      <c r="AA120" s="98"/>
      <c r="AB120" s="96"/>
      <c r="AE120" s="80"/>
      <c r="AF120" s="80"/>
      <c r="AH120" s="103"/>
      <c r="AI120" s="103"/>
    </row>
    <row r="121" spans="1:35" x14ac:dyDescent="0.2">
      <c r="A121" s="62">
        <v>2024</v>
      </c>
      <c r="B121" s="63" t="s">
        <v>65</v>
      </c>
      <c r="C121" s="109">
        <f t="shared" si="44"/>
        <v>12564.5</v>
      </c>
      <c r="D121" s="147">
        <v>19909618.18</v>
      </c>
      <c r="E121" s="133"/>
      <c r="F121" s="134"/>
      <c r="G121" s="135">
        <f>G120</f>
        <v>11298.5</v>
      </c>
      <c r="H121" s="147"/>
      <c r="I121" s="226">
        <f>I120</f>
        <v>1170</v>
      </c>
      <c r="J121" s="133"/>
      <c r="K121" s="133"/>
      <c r="L121" s="171">
        <f>L120</f>
        <v>90</v>
      </c>
      <c r="M121" s="133"/>
      <c r="N121" s="133"/>
      <c r="O121" s="133">
        <v>6</v>
      </c>
      <c r="P121" s="133"/>
      <c r="Q121" s="135">
        <f>Q120</f>
        <v>29</v>
      </c>
      <c r="R121" s="133"/>
      <c r="S121" s="133"/>
      <c r="T121" s="166">
        <v>73</v>
      </c>
      <c r="U121" s="133"/>
      <c r="V121" s="133"/>
      <c r="W121" s="147">
        <f>W120</f>
        <v>3158</v>
      </c>
      <c r="Y121" s="80"/>
      <c r="AA121" s="98"/>
      <c r="AB121" s="96"/>
      <c r="AE121" s="80"/>
      <c r="AF121" s="80"/>
      <c r="AH121" s="103"/>
      <c r="AI121" s="103"/>
    </row>
    <row r="122" spans="1:35" x14ac:dyDescent="0.2">
      <c r="A122" s="62">
        <v>2024</v>
      </c>
      <c r="B122" s="63" t="s">
        <v>66</v>
      </c>
      <c r="C122" s="109">
        <f t="shared" si="44"/>
        <v>12564.5</v>
      </c>
      <c r="D122" s="147">
        <v>19769289.739999998</v>
      </c>
      <c r="E122" s="133"/>
      <c r="F122" s="134"/>
      <c r="G122" s="135">
        <f t="shared" ref="G122:G131" si="58">G121</f>
        <v>11298.5</v>
      </c>
      <c r="H122" s="147"/>
      <c r="I122" s="226">
        <f t="shared" ref="I122:I131" si="59">I121</f>
        <v>1170</v>
      </c>
      <c r="J122" s="133"/>
      <c r="K122" s="142"/>
      <c r="L122" s="171">
        <f t="shared" ref="L122:L131" si="60">L121</f>
        <v>90</v>
      </c>
      <c r="M122" s="133"/>
      <c r="N122" s="142"/>
      <c r="O122" s="133">
        <v>6</v>
      </c>
      <c r="P122" s="133"/>
      <c r="Q122" s="135">
        <f t="shared" ref="Q122:Q131" si="61">Q121</f>
        <v>29</v>
      </c>
      <c r="R122" s="133"/>
      <c r="S122" s="136"/>
      <c r="T122" s="166">
        <v>73</v>
      </c>
      <c r="U122" s="133"/>
      <c r="V122" s="142"/>
      <c r="W122" s="147">
        <f t="shared" ref="W122:W131" si="62">W121</f>
        <v>3158</v>
      </c>
      <c r="Y122" s="80"/>
      <c r="AA122" s="98"/>
      <c r="AB122" s="96"/>
      <c r="AE122" s="80"/>
      <c r="AF122" s="80"/>
      <c r="AH122" s="103"/>
      <c r="AI122" s="103"/>
    </row>
    <row r="123" spans="1:35" x14ac:dyDescent="0.2">
      <c r="A123" s="62">
        <v>2024</v>
      </c>
      <c r="B123" s="63" t="s">
        <v>67</v>
      </c>
      <c r="C123" s="109">
        <f t="shared" si="44"/>
        <v>12564.5</v>
      </c>
      <c r="D123" s="147">
        <v>18297046.260000002</v>
      </c>
      <c r="E123" s="133"/>
      <c r="F123" s="134"/>
      <c r="G123" s="135">
        <f t="shared" si="58"/>
        <v>11298.5</v>
      </c>
      <c r="H123" s="147"/>
      <c r="I123" s="226">
        <f t="shared" si="59"/>
        <v>1170</v>
      </c>
      <c r="J123" s="133"/>
      <c r="K123" s="142"/>
      <c r="L123" s="171">
        <f t="shared" si="60"/>
        <v>90</v>
      </c>
      <c r="M123" s="133"/>
      <c r="N123" s="142"/>
      <c r="O123" s="133">
        <v>6</v>
      </c>
      <c r="P123" s="133"/>
      <c r="Q123" s="135">
        <f t="shared" si="61"/>
        <v>29</v>
      </c>
      <c r="R123" s="133"/>
      <c r="S123" s="136"/>
      <c r="T123" s="166">
        <v>73</v>
      </c>
      <c r="U123" s="133"/>
      <c r="V123" s="142"/>
      <c r="W123" s="147">
        <f t="shared" si="62"/>
        <v>3158</v>
      </c>
      <c r="Y123" s="80"/>
      <c r="AA123" s="98"/>
      <c r="AB123" s="96"/>
      <c r="AE123" s="80"/>
      <c r="AF123" s="80"/>
      <c r="AH123" s="103"/>
      <c r="AI123" s="103"/>
    </row>
    <row r="124" spans="1:35" x14ac:dyDescent="0.2">
      <c r="A124" s="62">
        <v>2024</v>
      </c>
      <c r="B124" s="63" t="s">
        <v>43</v>
      </c>
      <c r="C124" s="109">
        <f t="shared" si="44"/>
        <v>12564.5</v>
      </c>
      <c r="D124" s="147">
        <v>19477491.039999999</v>
      </c>
      <c r="E124" s="133"/>
      <c r="F124" s="134"/>
      <c r="G124" s="135">
        <f t="shared" si="58"/>
        <v>11298.5</v>
      </c>
      <c r="H124" s="147"/>
      <c r="I124" s="226">
        <f t="shared" si="59"/>
        <v>1170</v>
      </c>
      <c r="J124" s="133"/>
      <c r="K124" s="142"/>
      <c r="L124" s="171">
        <f t="shared" si="60"/>
        <v>90</v>
      </c>
      <c r="M124" s="133"/>
      <c r="N124" s="142"/>
      <c r="O124" s="133">
        <v>6</v>
      </c>
      <c r="P124" s="133"/>
      <c r="Q124" s="135">
        <f t="shared" si="61"/>
        <v>29</v>
      </c>
      <c r="R124" s="133"/>
      <c r="S124" s="136"/>
      <c r="T124" s="166">
        <v>73</v>
      </c>
      <c r="U124" s="133"/>
      <c r="V124" s="142"/>
      <c r="W124" s="147">
        <f t="shared" si="62"/>
        <v>3158</v>
      </c>
      <c r="Y124" s="80"/>
      <c r="AA124" s="98"/>
      <c r="AB124" s="96"/>
      <c r="AE124" s="80"/>
      <c r="AF124" s="80"/>
      <c r="AH124" s="103"/>
      <c r="AI124" s="103"/>
    </row>
    <row r="125" spans="1:35" x14ac:dyDescent="0.2">
      <c r="A125" s="62">
        <v>2024</v>
      </c>
      <c r="B125" s="63" t="s">
        <v>68</v>
      </c>
      <c r="C125" s="109">
        <f t="shared" si="44"/>
        <v>12564.5</v>
      </c>
      <c r="D125" s="147">
        <v>23588924.969999999</v>
      </c>
      <c r="E125" s="133"/>
      <c r="F125" s="134"/>
      <c r="G125" s="135">
        <f t="shared" si="58"/>
        <v>11298.5</v>
      </c>
      <c r="H125" s="147"/>
      <c r="I125" s="226">
        <f t="shared" si="59"/>
        <v>1170</v>
      </c>
      <c r="J125" s="133"/>
      <c r="K125" s="142"/>
      <c r="L125" s="171">
        <f t="shared" si="60"/>
        <v>90</v>
      </c>
      <c r="M125" s="133"/>
      <c r="N125" s="142"/>
      <c r="O125" s="133">
        <v>6</v>
      </c>
      <c r="P125" s="133"/>
      <c r="Q125" s="135">
        <f t="shared" si="61"/>
        <v>29</v>
      </c>
      <c r="R125" s="133"/>
      <c r="S125" s="136"/>
      <c r="T125" s="166">
        <v>73</v>
      </c>
      <c r="U125" s="133"/>
      <c r="V125" s="142"/>
      <c r="W125" s="147">
        <f t="shared" si="62"/>
        <v>3158</v>
      </c>
      <c r="Y125" s="80"/>
      <c r="AA125" s="98"/>
      <c r="AB125" s="96"/>
      <c r="AE125" s="80"/>
      <c r="AF125" s="80"/>
      <c r="AH125" s="103"/>
      <c r="AI125" s="103"/>
    </row>
    <row r="126" spans="1:35" x14ac:dyDescent="0.2">
      <c r="A126" s="62">
        <v>2024</v>
      </c>
      <c r="B126" s="63" t="s">
        <v>69</v>
      </c>
      <c r="C126" s="109">
        <f t="shared" si="44"/>
        <v>12564.5</v>
      </c>
      <c r="D126" s="147">
        <v>26790209.760000002</v>
      </c>
      <c r="E126" s="133"/>
      <c r="F126" s="134"/>
      <c r="G126" s="135">
        <f t="shared" si="58"/>
        <v>11298.5</v>
      </c>
      <c r="H126" s="147"/>
      <c r="I126" s="226">
        <f t="shared" si="59"/>
        <v>1170</v>
      </c>
      <c r="J126" s="133"/>
      <c r="K126" s="142"/>
      <c r="L126" s="171">
        <f t="shared" si="60"/>
        <v>90</v>
      </c>
      <c r="M126" s="133"/>
      <c r="N126" s="142"/>
      <c r="O126" s="133">
        <v>6</v>
      </c>
      <c r="P126" s="133"/>
      <c r="Q126" s="135">
        <f t="shared" si="61"/>
        <v>29</v>
      </c>
      <c r="R126" s="133"/>
      <c r="S126" s="136"/>
      <c r="T126" s="166">
        <v>73</v>
      </c>
      <c r="U126" s="133"/>
      <c r="V126" s="142"/>
      <c r="W126" s="147">
        <f t="shared" si="62"/>
        <v>3158</v>
      </c>
      <c r="Y126" s="80"/>
      <c r="AA126" s="98"/>
      <c r="AB126" s="96"/>
      <c r="AE126" s="80"/>
      <c r="AF126" s="80"/>
      <c r="AH126" s="103"/>
      <c r="AI126" s="103"/>
    </row>
    <row r="127" spans="1:35" x14ac:dyDescent="0.2">
      <c r="A127" s="62">
        <v>2024</v>
      </c>
      <c r="B127" s="63" t="s">
        <v>70</v>
      </c>
      <c r="C127" s="109">
        <f t="shared" si="44"/>
        <v>12564.5</v>
      </c>
      <c r="D127" s="147">
        <v>25861036.030000001</v>
      </c>
      <c r="E127" s="133"/>
      <c r="F127" s="134"/>
      <c r="G127" s="135">
        <f t="shared" si="58"/>
        <v>11298.5</v>
      </c>
      <c r="H127" s="147"/>
      <c r="I127" s="226">
        <f t="shared" si="59"/>
        <v>1170</v>
      </c>
      <c r="J127" s="133"/>
      <c r="K127" s="142"/>
      <c r="L127" s="171">
        <f t="shared" si="60"/>
        <v>90</v>
      </c>
      <c r="M127" s="133"/>
      <c r="N127" s="142"/>
      <c r="O127" s="133">
        <v>6</v>
      </c>
      <c r="P127" s="133"/>
      <c r="Q127" s="135">
        <f t="shared" si="61"/>
        <v>29</v>
      </c>
      <c r="R127" s="133"/>
      <c r="S127" s="136"/>
      <c r="T127" s="166">
        <v>73</v>
      </c>
      <c r="U127" s="133"/>
      <c r="V127" s="142"/>
      <c r="W127" s="147">
        <f t="shared" si="62"/>
        <v>3158</v>
      </c>
      <c r="Y127" s="80"/>
      <c r="AA127" s="98"/>
      <c r="AB127" s="96"/>
      <c r="AE127" s="80"/>
      <c r="AF127" s="80"/>
      <c r="AH127" s="103"/>
      <c r="AI127" s="103"/>
    </row>
    <row r="128" spans="1:35" x14ac:dyDescent="0.2">
      <c r="A128" s="62">
        <v>2024</v>
      </c>
      <c r="B128" s="63" t="s">
        <v>71</v>
      </c>
      <c r="C128" s="109">
        <f t="shared" si="44"/>
        <v>12564.5</v>
      </c>
      <c r="D128" s="147">
        <v>21076307.850000001</v>
      </c>
      <c r="E128" s="133"/>
      <c r="F128" s="134"/>
      <c r="G128" s="135">
        <f t="shared" si="58"/>
        <v>11298.5</v>
      </c>
      <c r="H128" s="147"/>
      <c r="I128" s="226">
        <f t="shared" si="59"/>
        <v>1170</v>
      </c>
      <c r="J128" s="133"/>
      <c r="K128" s="142"/>
      <c r="L128" s="171">
        <f t="shared" si="60"/>
        <v>90</v>
      </c>
      <c r="M128" s="133"/>
      <c r="N128" s="142"/>
      <c r="O128" s="133">
        <v>6</v>
      </c>
      <c r="P128" s="133"/>
      <c r="Q128" s="135">
        <f t="shared" si="61"/>
        <v>29</v>
      </c>
      <c r="R128" s="133"/>
      <c r="S128" s="136"/>
      <c r="T128" s="166">
        <v>73</v>
      </c>
      <c r="U128" s="133"/>
      <c r="V128" s="142"/>
      <c r="W128" s="147">
        <f t="shared" si="62"/>
        <v>3158</v>
      </c>
      <c r="Y128" s="80"/>
      <c r="AA128" s="98"/>
      <c r="AB128" s="96"/>
      <c r="AE128" s="80"/>
      <c r="AF128" s="80"/>
      <c r="AH128" s="103"/>
      <c r="AI128" s="103"/>
    </row>
    <row r="129" spans="1:35" x14ac:dyDescent="0.2">
      <c r="A129" s="62">
        <v>2024</v>
      </c>
      <c r="B129" s="63" t="s">
        <v>72</v>
      </c>
      <c r="C129" s="109">
        <f t="shared" si="44"/>
        <v>12564.5</v>
      </c>
      <c r="D129" s="147">
        <v>18033862.059999999</v>
      </c>
      <c r="E129" s="133"/>
      <c r="F129" s="134"/>
      <c r="G129" s="135">
        <f t="shared" si="58"/>
        <v>11298.5</v>
      </c>
      <c r="H129" s="147"/>
      <c r="I129" s="226">
        <f t="shared" si="59"/>
        <v>1170</v>
      </c>
      <c r="J129" s="133"/>
      <c r="K129" s="142"/>
      <c r="L129" s="171">
        <f t="shared" si="60"/>
        <v>90</v>
      </c>
      <c r="M129" s="133"/>
      <c r="N129" s="142"/>
      <c r="O129" s="133">
        <v>6</v>
      </c>
      <c r="P129" s="133"/>
      <c r="Q129" s="135">
        <f t="shared" si="61"/>
        <v>29</v>
      </c>
      <c r="R129" s="133"/>
      <c r="S129" s="136"/>
      <c r="T129" s="166">
        <v>73</v>
      </c>
      <c r="U129" s="133"/>
      <c r="V129" s="142"/>
      <c r="W129" s="147">
        <f t="shared" si="62"/>
        <v>3158</v>
      </c>
      <c r="Y129" s="80"/>
      <c r="AA129" s="98"/>
      <c r="AB129" s="96"/>
      <c r="AE129" s="80"/>
      <c r="AF129" s="80"/>
      <c r="AH129" s="103"/>
      <c r="AI129" s="103"/>
    </row>
    <row r="130" spans="1:35" x14ac:dyDescent="0.2">
      <c r="A130" s="62">
        <v>2024</v>
      </c>
      <c r="B130" s="63" t="s">
        <v>73</v>
      </c>
      <c r="C130" s="109">
        <f t="shared" si="44"/>
        <v>12564.5</v>
      </c>
      <c r="D130" s="147">
        <v>18404281.809999999</v>
      </c>
      <c r="E130" s="133"/>
      <c r="F130" s="134"/>
      <c r="G130" s="135">
        <f t="shared" si="58"/>
        <v>11298.5</v>
      </c>
      <c r="H130" s="147"/>
      <c r="I130" s="226">
        <f t="shared" si="59"/>
        <v>1170</v>
      </c>
      <c r="J130" s="133"/>
      <c r="K130" s="142"/>
      <c r="L130" s="171">
        <f t="shared" si="60"/>
        <v>90</v>
      </c>
      <c r="M130" s="133"/>
      <c r="N130" s="142"/>
      <c r="O130" s="133">
        <v>6</v>
      </c>
      <c r="P130" s="133"/>
      <c r="Q130" s="135">
        <f t="shared" si="61"/>
        <v>29</v>
      </c>
      <c r="R130" s="133"/>
      <c r="S130" s="136"/>
      <c r="T130" s="166">
        <v>73</v>
      </c>
      <c r="U130" s="133"/>
      <c r="V130" s="133"/>
      <c r="W130" s="147">
        <f t="shared" si="62"/>
        <v>3158</v>
      </c>
      <c r="Y130" s="80"/>
      <c r="AA130" s="98"/>
      <c r="AB130" s="96"/>
      <c r="AE130" s="80"/>
      <c r="AF130" s="80"/>
      <c r="AH130" s="103"/>
      <c r="AI130" s="103"/>
    </row>
    <row r="131" spans="1:35" x14ac:dyDescent="0.2">
      <c r="A131" s="62">
        <v>2024</v>
      </c>
      <c r="B131" s="63" t="s">
        <v>74</v>
      </c>
      <c r="C131" s="109">
        <f t="shared" si="44"/>
        <v>12564.5</v>
      </c>
      <c r="D131" s="147">
        <v>21228382.489999998</v>
      </c>
      <c r="E131" s="133"/>
      <c r="F131" s="134">
        <v>101363978.92</v>
      </c>
      <c r="G131" s="135">
        <f t="shared" si="58"/>
        <v>11298.5</v>
      </c>
      <c r="H131" s="147">
        <v>30766203.079999998</v>
      </c>
      <c r="I131" s="226">
        <f t="shared" si="59"/>
        <v>1170</v>
      </c>
      <c r="J131" s="133">
        <v>59377098.68</v>
      </c>
      <c r="K131" s="142">
        <v>203008.10000000003</v>
      </c>
      <c r="L131" s="171">
        <f t="shared" si="60"/>
        <v>90</v>
      </c>
      <c r="M131" s="133">
        <v>46518193.75</v>
      </c>
      <c r="N131" s="142">
        <v>121969.7</v>
      </c>
      <c r="O131" s="133">
        <v>6</v>
      </c>
      <c r="P131" s="133">
        <v>250863.24</v>
      </c>
      <c r="Q131" s="135">
        <f t="shared" si="61"/>
        <v>29</v>
      </c>
      <c r="R131" s="133">
        <v>137219.59</v>
      </c>
      <c r="S131" s="136">
        <v>352</v>
      </c>
      <c r="T131" s="166">
        <v>73</v>
      </c>
      <c r="U131" s="133">
        <v>1192252.47</v>
      </c>
      <c r="V131" s="133">
        <v>3338.8</v>
      </c>
      <c r="W131" s="147">
        <f t="shared" si="62"/>
        <v>3158</v>
      </c>
      <c r="X131" s="80"/>
      <c r="Y131" s="80"/>
      <c r="AA131" s="98"/>
      <c r="AB131" s="96"/>
      <c r="AE131" s="80"/>
      <c r="AF131" s="80"/>
      <c r="AH131" s="103"/>
      <c r="AI131" s="104"/>
    </row>
    <row r="132" spans="1:35" x14ac:dyDescent="0.2">
      <c r="A132" s="62">
        <v>2025</v>
      </c>
      <c r="B132" s="63" t="s">
        <v>64</v>
      </c>
      <c r="C132" s="109">
        <f t="shared" si="44"/>
        <v>12628.5</v>
      </c>
      <c r="D132" s="146">
        <v>23926179.079999998</v>
      </c>
      <c r="E132" s="129"/>
      <c r="F132" s="130">
        <f t="shared" ref="F132:V132" si="63">F133</f>
        <v>0</v>
      </c>
      <c r="G132" s="131">
        <f>'Customer Determination'!C13</f>
        <v>11354.5</v>
      </c>
      <c r="H132" s="146">
        <f t="shared" si="63"/>
        <v>0</v>
      </c>
      <c r="I132" s="167">
        <f>'Customer Determination'!E13</f>
        <v>1179</v>
      </c>
      <c r="J132" s="129">
        <f t="shared" si="63"/>
        <v>0</v>
      </c>
      <c r="K132" s="158">
        <f t="shared" si="63"/>
        <v>0</v>
      </c>
      <c r="L132" s="131">
        <f>'Customer Determination'!G13</f>
        <v>89</v>
      </c>
      <c r="M132" s="129">
        <f t="shared" si="63"/>
        <v>0</v>
      </c>
      <c r="N132" s="158">
        <f t="shared" si="63"/>
        <v>0</v>
      </c>
      <c r="O132" s="131">
        <f t="shared" si="63"/>
        <v>6</v>
      </c>
      <c r="P132" s="129">
        <f t="shared" si="63"/>
        <v>0</v>
      </c>
      <c r="Q132" s="131">
        <f>'Customer Determination'!K13</f>
        <v>29</v>
      </c>
      <c r="R132" s="129">
        <f t="shared" si="63"/>
        <v>0</v>
      </c>
      <c r="S132" s="132">
        <f t="shared" si="63"/>
        <v>0</v>
      </c>
      <c r="T132" s="166">
        <v>73</v>
      </c>
      <c r="U132" s="129">
        <f t="shared" si="63"/>
        <v>0</v>
      </c>
      <c r="V132" s="158">
        <f t="shared" si="63"/>
        <v>0</v>
      </c>
      <c r="W132" s="131">
        <f>'Customer Determination'!O13</f>
        <v>3158.5</v>
      </c>
      <c r="Y132" s="80"/>
      <c r="AA132" s="98"/>
      <c r="AB132" s="96"/>
      <c r="AE132" s="80"/>
      <c r="AF132" s="80"/>
      <c r="AH132" s="103"/>
      <c r="AI132" s="103"/>
    </row>
    <row r="133" spans="1:35" x14ac:dyDescent="0.2">
      <c r="A133" s="62">
        <v>2025</v>
      </c>
      <c r="B133" s="63" t="s">
        <v>65</v>
      </c>
      <c r="C133" s="109">
        <f t="shared" si="44"/>
        <v>12628.5</v>
      </c>
      <c r="D133" s="148">
        <v>19907689.393333338</v>
      </c>
      <c r="E133" s="141"/>
      <c r="F133" s="134"/>
      <c r="G133" s="135">
        <f>G132</f>
        <v>11354.5</v>
      </c>
      <c r="H133" s="147"/>
      <c r="I133" s="167">
        <f>I132</f>
        <v>1179</v>
      </c>
      <c r="J133" s="133"/>
      <c r="K133" s="142"/>
      <c r="L133" s="135">
        <f>L132</f>
        <v>89</v>
      </c>
      <c r="M133" s="133"/>
      <c r="N133" s="142"/>
      <c r="O133" s="135">
        <v>6</v>
      </c>
      <c r="P133" s="133"/>
      <c r="Q133" s="142">
        <f>Q132</f>
        <v>29</v>
      </c>
      <c r="R133" s="134"/>
      <c r="S133" s="136"/>
      <c r="T133" s="166">
        <v>73</v>
      </c>
      <c r="U133" s="133"/>
      <c r="V133" s="142"/>
      <c r="W133" s="135">
        <f>W132</f>
        <v>3158.5</v>
      </c>
      <c r="Y133" s="80"/>
      <c r="AA133" s="98"/>
      <c r="AB133" s="96"/>
      <c r="AE133" s="80"/>
      <c r="AF133" s="80"/>
      <c r="AH133" s="103"/>
      <c r="AI133" s="103"/>
    </row>
    <row r="134" spans="1:35" x14ac:dyDescent="0.2">
      <c r="A134" s="62">
        <v>2025</v>
      </c>
      <c r="B134" s="63" t="s">
        <v>66</v>
      </c>
      <c r="C134" s="109">
        <f t="shared" si="44"/>
        <v>12628.5</v>
      </c>
      <c r="D134" s="147">
        <v>20228779.876666665</v>
      </c>
      <c r="E134" s="133"/>
      <c r="F134" s="134"/>
      <c r="G134" s="135">
        <f t="shared" ref="G134:G143" si="64">G133</f>
        <v>11354.5</v>
      </c>
      <c r="H134" s="147"/>
      <c r="I134" s="167">
        <f t="shared" ref="I134:I143" si="65">I133</f>
        <v>1179</v>
      </c>
      <c r="J134" s="133"/>
      <c r="K134" s="142"/>
      <c r="L134" s="135">
        <f t="shared" ref="L134:L143" si="66">L133</f>
        <v>89</v>
      </c>
      <c r="M134" s="133"/>
      <c r="N134" s="142"/>
      <c r="O134" s="135">
        <v>6</v>
      </c>
      <c r="P134" s="133"/>
      <c r="Q134" s="142">
        <f t="shared" ref="Q134:Q143" si="67">Q133</f>
        <v>29</v>
      </c>
      <c r="R134" s="134"/>
      <c r="S134" s="136"/>
      <c r="T134" s="166">
        <v>73</v>
      </c>
      <c r="U134" s="133"/>
      <c r="V134" s="142"/>
      <c r="W134" s="135">
        <f t="shared" ref="W134:W143" si="68">W133</f>
        <v>3158.5</v>
      </c>
      <c r="Y134" s="80"/>
      <c r="AA134" s="98"/>
      <c r="AB134" s="96"/>
      <c r="AE134" s="80"/>
      <c r="AF134" s="80"/>
      <c r="AH134" s="103"/>
      <c r="AI134" s="103"/>
    </row>
    <row r="135" spans="1:35" x14ac:dyDescent="0.2">
      <c r="A135" s="62">
        <v>2025</v>
      </c>
      <c r="B135" s="63" t="s">
        <v>67</v>
      </c>
      <c r="C135" s="109">
        <f t="shared" si="44"/>
        <v>12628.5</v>
      </c>
      <c r="D135" s="147">
        <v>17855399.329999998</v>
      </c>
      <c r="E135" s="133"/>
      <c r="F135" s="134"/>
      <c r="G135" s="135">
        <f t="shared" si="64"/>
        <v>11354.5</v>
      </c>
      <c r="H135" s="147"/>
      <c r="I135" s="167">
        <f t="shared" si="65"/>
        <v>1179</v>
      </c>
      <c r="J135" s="133"/>
      <c r="K135" s="142"/>
      <c r="L135" s="135">
        <f t="shared" si="66"/>
        <v>89</v>
      </c>
      <c r="M135" s="133"/>
      <c r="N135" s="142"/>
      <c r="O135" s="135">
        <v>6</v>
      </c>
      <c r="P135" s="133"/>
      <c r="Q135" s="142">
        <f t="shared" si="67"/>
        <v>29</v>
      </c>
      <c r="R135" s="134"/>
      <c r="S135" s="136"/>
      <c r="T135" s="166">
        <v>73</v>
      </c>
      <c r="U135" s="133"/>
      <c r="V135" s="142"/>
      <c r="W135" s="135">
        <f t="shared" si="68"/>
        <v>3158.5</v>
      </c>
      <c r="Y135" s="80"/>
      <c r="AA135" s="98"/>
      <c r="AB135" s="96"/>
      <c r="AE135" s="80"/>
      <c r="AF135" s="80"/>
      <c r="AH135" s="103"/>
      <c r="AI135" s="103"/>
    </row>
    <row r="136" spans="1:35" x14ac:dyDescent="0.2">
      <c r="A136" s="62">
        <v>2025</v>
      </c>
      <c r="B136" s="63" t="s">
        <v>43</v>
      </c>
      <c r="C136" s="109">
        <f t="shared" si="44"/>
        <v>12628.5</v>
      </c>
      <c r="D136" s="147">
        <v>17778609.603333335</v>
      </c>
      <c r="E136" s="133"/>
      <c r="F136" s="134"/>
      <c r="G136" s="135">
        <f t="shared" si="64"/>
        <v>11354.5</v>
      </c>
      <c r="H136" s="147"/>
      <c r="I136" s="167">
        <f t="shared" si="65"/>
        <v>1179</v>
      </c>
      <c r="J136" s="133"/>
      <c r="K136" s="142"/>
      <c r="L136" s="135">
        <f t="shared" si="66"/>
        <v>89</v>
      </c>
      <c r="M136" s="133"/>
      <c r="N136" s="142"/>
      <c r="O136" s="135">
        <v>6</v>
      </c>
      <c r="P136" s="133"/>
      <c r="Q136" s="142">
        <f t="shared" si="67"/>
        <v>29</v>
      </c>
      <c r="R136" s="134"/>
      <c r="S136" s="136"/>
      <c r="T136" s="166">
        <v>73</v>
      </c>
      <c r="U136" s="133"/>
      <c r="V136" s="142"/>
      <c r="W136" s="135">
        <f t="shared" si="68"/>
        <v>3158.5</v>
      </c>
      <c r="Y136" s="80"/>
      <c r="AA136" s="98"/>
      <c r="AB136" s="96"/>
      <c r="AE136" s="80"/>
      <c r="AF136" s="80"/>
      <c r="AH136" s="103"/>
      <c r="AI136" s="103"/>
    </row>
    <row r="137" spans="1:35" x14ac:dyDescent="0.2">
      <c r="A137" s="62">
        <v>2025</v>
      </c>
      <c r="B137" s="63" t="s">
        <v>68</v>
      </c>
      <c r="C137" s="109">
        <f t="shared" si="44"/>
        <v>12628.5</v>
      </c>
      <c r="D137" s="147">
        <v>22776523.77</v>
      </c>
      <c r="E137" s="133"/>
      <c r="F137" s="134"/>
      <c r="G137" s="135">
        <f t="shared" si="64"/>
        <v>11354.5</v>
      </c>
      <c r="H137" s="147"/>
      <c r="I137" s="167">
        <f t="shared" si="65"/>
        <v>1179</v>
      </c>
      <c r="J137" s="133"/>
      <c r="K137" s="142"/>
      <c r="L137" s="135">
        <f t="shared" si="66"/>
        <v>89</v>
      </c>
      <c r="M137" s="133"/>
      <c r="N137" s="142"/>
      <c r="O137" s="135">
        <v>6</v>
      </c>
      <c r="P137" s="133"/>
      <c r="Q137" s="142">
        <f t="shared" si="67"/>
        <v>29</v>
      </c>
      <c r="R137" s="134"/>
      <c r="S137" s="136"/>
      <c r="T137" s="166">
        <v>73</v>
      </c>
      <c r="U137" s="133"/>
      <c r="V137" s="142"/>
      <c r="W137" s="135">
        <f t="shared" si="68"/>
        <v>3158.5</v>
      </c>
      <c r="Y137" s="80"/>
      <c r="AA137" s="98"/>
      <c r="AB137" s="96"/>
      <c r="AE137" s="80"/>
      <c r="AF137" s="80"/>
      <c r="AH137" s="103"/>
      <c r="AI137" s="103"/>
    </row>
    <row r="138" spans="1:35" x14ac:dyDescent="0.2">
      <c r="A138" s="62">
        <v>2025</v>
      </c>
      <c r="B138" s="63" t="s">
        <v>69</v>
      </c>
      <c r="C138" s="109">
        <f t="shared" si="44"/>
        <v>12628.5</v>
      </c>
      <c r="D138" s="147">
        <v>28102766.048864566</v>
      </c>
      <c r="E138" s="133"/>
      <c r="F138" s="134"/>
      <c r="G138" s="135">
        <f t="shared" si="64"/>
        <v>11354.5</v>
      </c>
      <c r="H138" s="147"/>
      <c r="I138" s="167">
        <f t="shared" si="65"/>
        <v>1179</v>
      </c>
      <c r="J138" s="133"/>
      <c r="K138" s="142"/>
      <c r="L138" s="135">
        <f t="shared" si="66"/>
        <v>89</v>
      </c>
      <c r="M138" s="133"/>
      <c r="N138" s="142"/>
      <c r="O138" s="135">
        <v>6</v>
      </c>
      <c r="P138" s="133"/>
      <c r="Q138" s="142">
        <f t="shared" si="67"/>
        <v>29</v>
      </c>
      <c r="R138" s="134"/>
      <c r="S138" s="136"/>
      <c r="T138" s="166">
        <v>73</v>
      </c>
      <c r="U138" s="133"/>
      <c r="V138" s="142"/>
      <c r="W138" s="135">
        <f t="shared" si="68"/>
        <v>3158.5</v>
      </c>
      <c r="Y138" s="80"/>
      <c r="AA138" s="98"/>
      <c r="AB138" s="96"/>
      <c r="AE138" s="80"/>
      <c r="AF138" s="80"/>
      <c r="AH138" s="103"/>
      <c r="AI138" s="103"/>
    </row>
    <row r="139" spans="1:35" x14ac:dyDescent="0.2">
      <c r="A139" s="62">
        <v>2025</v>
      </c>
      <c r="B139" s="63" t="s">
        <v>70</v>
      </c>
      <c r="C139" s="109">
        <f t="shared" si="44"/>
        <v>12628.5</v>
      </c>
      <c r="D139" s="147">
        <v>24670960.87446877</v>
      </c>
      <c r="E139" s="133"/>
      <c r="F139" s="134"/>
      <c r="G139" s="135">
        <f t="shared" si="64"/>
        <v>11354.5</v>
      </c>
      <c r="H139" s="147"/>
      <c r="I139" s="167">
        <f t="shared" si="65"/>
        <v>1179</v>
      </c>
      <c r="J139" s="133"/>
      <c r="K139" s="142"/>
      <c r="L139" s="135">
        <f t="shared" si="66"/>
        <v>89</v>
      </c>
      <c r="M139" s="133"/>
      <c r="N139" s="142"/>
      <c r="O139" s="135">
        <v>6</v>
      </c>
      <c r="P139" s="133"/>
      <c r="Q139" s="142">
        <f t="shared" si="67"/>
        <v>29</v>
      </c>
      <c r="R139" s="134"/>
      <c r="S139" s="136"/>
      <c r="T139" s="166">
        <v>73</v>
      </c>
      <c r="U139" s="133"/>
      <c r="V139" s="142"/>
      <c r="W139" s="135">
        <f t="shared" si="68"/>
        <v>3158.5</v>
      </c>
      <c r="Y139" s="80"/>
      <c r="AA139" s="98"/>
      <c r="AB139" s="96"/>
      <c r="AE139" s="80"/>
      <c r="AF139" s="80"/>
      <c r="AH139" s="103"/>
      <c r="AI139" s="103"/>
    </row>
    <row r="140" spans="1:35" x14ac:dyDescent="0.2">
      <c r="A140" s="62">
        <v>2025</v>
      </c>
      <c r="B140" s="63" t="s">
        <v>71</v>
      </c>
      <c r="C140" s="109">
        <f t="shared" si="44"/>
        <v>12628.5</v>
      </c>
      <c r="D140" s="147">
        <v>20384897.329999998</v>
      </c>
      <c r="E140" s="133"/>
      <c r="F140" s="134"/>
      <c r="G140" s="135">
        <f t="shared" si="64"/>
        <v>11354.5</v>
      </c>
      <c r="H140" s="147"/>
      <c r="I140" s="167">
        <f t="shared" si="65"/>
        <v>1179</v>
      </c>
      <c r="J140" s="133"/>
      <c r="K140" s="142"/>
      <c r="L140" s="135">
        <f t="shared" si="66"/>
        <v>89</v>
      </c>
      <c r="M140" s="133"/>
      <c r="N140" s="142"/>
      <c r="O140" s="135">
        <v>6</v>
      </c>
      <c r="P140" s="133"/>
      <c r="Q140" s="142">
        <f t="shared" si="67"/>
        <v>29</v>
      </c>
      <c r="R140" s="134"/>
      <c r="S140" s="136"/>
      <c r="T140" s="166">
        <v>73</v>
      </c>
      <c r="U140" s="133"/>
      <c r="V140" s="142"/>
      <c r="W140" s="135">
        <f t="shared" si="68"/>
        <v>3158.5</v>
      </c>
      <c r="Y140" s="80"/>
      <c r="AA140" s="98"/>
      <c r="AB140" s="96"/>
      <c r="AE140" s="80"/>
      <c r="AF140" s="80"/>
      <c r="AH140" s="103"/>
      <c r="AI140" s="103"/>
    </row>
    <row r="141" spans="1:35" x14ac:dyDescent="0.2">
      <c r="A141" s="62">
        <v>2025</v>
      </c>
      <c r="B141" s="63" t="s">
        <v>72</v>
      </c>
      <c r="C141" s="109">
        <f t="shared" si="44"/>
        <v>12628.5</v>
      </c>
      <c r="D141" s="147">
        <v>18368645.043333337</v>
      </c>
      <c r="E141" s="133"/>
      <c r="F141" s="134"/>
      <c r="G141" s="135">
        <f t="shared" si="64"/>
        <v>11354.5</v>
      </c>
      <c r="H141" s="147"/>
      <c r="I141" s="167">
        <f t="shared" si="65"/>
        <v>1179</v>
      </c>
      <c r="J141" s="133"/>
      <c r="K141" s="142"/>
      <c r="L141" s="135">
        <f t="shared" si="66"/>
        <v>89</v>
      </c>
      <c r="M141" s="133"/>
      <c r="N141" s="142"/>
      <c r="O141" s="135">
        <v>6</v>
      </c>
      <c r="P141" s="133"/>
      <c r="Q141" s="142">
        <f t="shared" si="67"/>
        <v>29</v>
      </c>
      <c r="R141" s="134"/>
      <c r="S141" s="136"/>
      <c r="T141" s="166">
        <v>73</v>
      </c>
      <c r="U141" s="133"/>
      <c r="V141" s="136"/>
      <c r="W141" s="135">
        <f t="shared" si="68"/>
        <v>3158.5</v>
      </c>
      <c r="Y141" s="80"/>
      <c r="AA141" s="98"/>
      <c r="AB141" s="96"/>
      <c r="AE141" s="80"/>
      <c r="AF141" s="80"/>
      <c r="AH141" s="103"/>
      <c r="AI141" s="103"/>
    </row>
    <row r="142" spans="1:35" x14ac:dyDescent="0.2">
      <c r="A142" s="62">
        <v>2025</v>
      </c>
      <c r="B142" s="63" t="s">
        <v>73</v>
      </c>
      <c r="C142" s="109">
        <f t="shared" si="44"/>
        <v>12628.5</v>
      </c>
      <c r="D142" s="147">
        <v>19256682.163333334</v>
      </c>
      <c r="E142" s="133"/>
      <c r="F142" s="134"/>
      <c r="G142" s="135">
        <f t="shared" si="64"/>
        <v>11354.5</v>
      </c>
      <c r="H142" s="147"/>
      <c r="I142" s="167">
        <f t="shared" si="65"/>
        <v>1179</v>
      </c>
      <c r="J142" s="133"/>
      <c r="K142" s="142"/>
      <c r="L142" s="135">
        <f t="shared" si="66"/>
        <v>89</v>
      </c>
      <c r="M142" s="133"/>
      <c r="N142" s="142"/>
      <c r="O142" s="135">
        <v>6</v>
      </c>
      <c r="P142" s="133"/>
      <c r="Q142" s="142">
        <f t="shared" si="67"/>
        <v>29</v>
      </c>
      <c r="R142" s="134"/>
      <c r="S142" s="136"/>
      <c r="T142" s="166">
        <v>73</v>
      </c>
      <c r="U142" s="133"/>
      <c r="V142" s="136"/>
      <c r="W142" s="135">
        <f t="shared" si="68"/>
        <v>3158.5</v>
      </c>
      <c r="Y142" s="80"/>
      <c r="AA142" s="98"/>
      <c r="AB142" s="96"/>
      <c r="AE142" s="80"/>
      <c r="AF142" s="80"/>
      <c r="AH142" s="103"/>
      <c r="AI142" s="103"/>
    </row>
    <row r="143" spans="1:35" ht="13.5" thickBot="1" x14ac:dyDescent="0.25">
      <c r="A143" s="62">
        <v>2025</v>
      </c>
      <c r="B143" s="63" t="s">
        <v>74</v>
      </c>
      <c r="C143" s="109">
        <f>SUM(G143,I143,L143,O143)</f>
        <v>12628.5</v>
      </c>
      <c r="D143" s="149">
        <v>22775840.99666667</v>
      </c>
      <c r="E143" s="137"/>
      <c r="F143" s="138">
        <v>104661543.73999999</v>
      </c>
      <c r="G143" s="135">
        <f t="shared" si="64"/>
        <v>11354.5</v>
      </c>
      <c r="H143" s="149">
        <v>31964518.84</v>
      </c>
      <c r="I143" s="167">
        <f t="shared" si="65"/>
        <v>1179</v>
      </c>
      <c r="J143" s="137">
        <v>57467167.93</v>
      </c>
      <c r="K143" s="139">
        <v>203060.9</v>
      </c>
      <c r="L143" s="135">
        <f t="shared" si="66"/>
        <v>89</v>
      </c>
      <c r="M143" s="137">
        <v>41943487.75</v>
      </c>
      <c r="N143" s="139">
        <v>116093.29</v>
      </c>
      <c r="O143" s="135">
        <v>6</v>
      </c>
      <c r="P143" s="137">
        <v>235012.72</v>
      </c>
      <c r="Q143" s="142">
        <f t="shared" si="67"/>
        <v>29</v>
      </c>
      <c r="R143" s="138">
        <v>117252.78</v>
      </c>
      <c r="S143" s="140">
        <v>375.7</v>
      </c>
      <c r="T143" s="166">
        <v>73</v>
      </c>
      <c r="U143" s="137">
        <v>1199177.93</v>
      </c>
      <c r="V143" s="140">
        <v>3367.1</v>
      </c>
      <c r="W143" s="135">
        <f t="shared" si="68"/>
        <v>3158.5</v>
      </c>
      <c r="X143" s="80"/>
      <c r="Y143" s="80"/>
      <c r="AA143" s="98"/>
      <c r="AB143" s="96"/>
      <c r="AE143" s="80"/>
      <c r="AF143" s="80"/>
      <c r="AH143" s="103"/>
      <c r="AI143" s="104"/>
    </row>
    <row r="144" spans="1:35" x14ac:dyDescent="0.2">
      <c r="AE144" s="80"/>
      <c r="AF144" s="102"/>
    </row>
    <row r="145" spans="10:32" x14ac:dyDescent="0.2">
      <c r="AE145" s="80"/>
      <c r="AF145" s="80"/>
    </row>
    <row r="146" spans="10:32" x14ac:dyDescent="0.2">
      <c r="AE146" s="80"/>
      <c r="AF146" s="80"/>
    </row>
    <row r="147" spans="10:32" x14ac:dyDescent="0.2">
      <c r="J147" s="80"/>
      <c r="AE147" s="80"/>
      <c r="AF147" s="80"/>
    </row>
    <row r="148" spans="10:32" x14ac:dyDescent="0.2">
      <c r="AE148" s="80"/>
      <c r="AF148" s="80"/>
    </row>
    <row r="149" spans="10:32" x14ac:dyDescent="0.2">
      <c r="AE149" s="80"/>
      <c r="AF149" s="80"/>
    </row>
    <row r="150" spans="10:32" x14ac:dyDescent="0.2">
      <c r="AE150" s="80"/>
      <c r="AF150" s="80"/>
    </row>
    <row r="151" spans="10:32" x14ac:dyDescent="0.2">
      <c r="AE151" s="80"/>
      <c r="AF151" s="80"/>
    </row>
    <row r="152" spans="10:32" x14ac:dyDescent="0.2">
      <c r="AE152" s="80"/>
      <c r="AF152" s="80"/>
    </row>
    <row r="153" spans="10:32" x14ac:dyDescent="0.2">
      <c r="AE153" s="80"/>
      <c r="AF153" s="80"/>
    </row>
    <row r="154" spans="10:32" x14ac:dyDescent="0.2">
      <c r="AE154" s="80"/>
      <c r="AF154" s="80"/>
    </row>
    <row r="155" spans="10:32" x14ac:dyDescent="0.2">
      <c r="AE155" s="80"/>
      <c r="AF155" s="80"/>
    </row>
    <row r="156" spans="10:32" x14ac:dyDescent="0.2">
      <c r="AE156" s="80"/>
      <c r="AF156" s="102"/>
    </row>
    <row r="157" spans="10:32" x14ac:dyDescent="0.2">
      <c r="AE157" s="80"/>
      <c r="AF157" s="80"/>
    </row>
    <row r="158" spans="10:32" x14ac:dyDescent="0.2">
      <c r="AE158" s="80"/>
      <c r="AF158" s="80"/>
    </row>
    <row r="159" spans="10:32" x14ac:dyDescent="0.2">
      <c r="AE159" s="80"/>
      <c r="AF159" s="80"/>
    </row>
    <row r="160" spans="10:32" x14ac:dyDescent="0.2">
      <c r="AE160" s="80"/>
      <c r="AF160" s="80"/>
    </row>
    <row r="161" spans="31:32" x14ac:dyDescent="0.2">
      <c r="AE161" s="80"/>
      <c r="AF161" s="80"/>
    </row>
    <row r="162" spans="31:32" x14ac:dyDescent="0.2">
      <c r="AE162" s="80"/>
      <c r="AF162" s="80"/>
    </row>
    <row r="163" spans="31:32" x14ac:dyDescent="0.2">
      <c r="AE163" s="80"/>
      <c r="AF163" s="80"/>
    </row>
    <row r="164" spans="31:32" x14ac:dyDescent="0.2">
      <c r="AE164" s="80"/>
      <c r="AF164" s="80"/>
    </row>
    <row r="165" spans="31:32" x14ac:dyDescent="0.2">
      <c r="AE165" s="80"/>
      <c r="AF165" s="80"/>
    </row>
    <row r="166" spans="31:32" x14ac:dyDescent="0.2">
      <c r="AE166" s="80"/>
      <c r="AF166" s="80"/>
    </row>
    <row r="167" spans="31:32" x14ac:dyDescent="0.2">
      <c r="AE167" s="80"/>
      <c r="AF167" s="80"/>
    </row>
    <row r="168" spans="31:32" x14ac:dyDescent="0.2">
      <c r="AE168" s="80"/>
      <c r="AF168" s="102"/>
    </row>
  </sheetData>
  <sheetProtection selectLockedCells="1" selectUnlockedCells="1"/>
  <mergeCells count="12">
    <mergeCell ref="A3:H3"/>
    <mergeCell ref="F20:W20"/>
    <mergeCell ref="A20:B20"/>
    <mergeCell ref="D20:E20"/>
    <mergeCell ref="U21:W21"/>
    <mergeCell ref="F21:G21"/>
    <mergeCell ref="H21:I21"/>
    <mergeCell ref="J21:L21"/>
    <mergeCell ref="P21:Q21"/>
    <mergeCell ref="R21:T21"/>
    <mergeCell ref="M21:O21"/>
    <mergeCell ref="D21:E21"/>
  </mergeCells>
  <pageMargins left="0.7" right="0.7" top="0.75" bottom="0.75" header="0.3" footer="0.3"/>
  <pageSetup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O70"/>
  <sheetViews>
    <sheetView zoomScale="90" zoomScaleNormal="90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C15" sqref="C15"/>
    </sheetView>
  </sheetViews>
  <sheetFormatPr defaultRowHeight="12.75" x14ac:dyDescent="0.2"/>
  <cols>
    <col min="1" max="1" width="42.5703125" customWidth="1"/>
    <col min="2" max="10" width="13.5703125" customWidth="1"/>
    <col min="11" max="11" width="16.28515625" bestFit="1" customWidth="1"/>
    <col min="12" max="13" width="13.5703125" bestFit="1" customWidth="1"/>
    <col min="14" max="14" width="12" bestFit="1" customWidth="1"/>
    <col min="15" max="15" width="11" customWidth="1"/>
  </cols>
  <sheetData>
    <row r="1" spans="1:14" ht="15.75" x14ac:dyDescent="0.25">
      <c r="A1" s="23" t="s">
        <v>272</v>
      </c>
    </row>
    <row r="2" spans="1:14" x14ac:dyDescent="0.2">
      <c r="K2" s="11"/>
      <c r="L2" s="25" t="s">
        <v>111</v>
      </c>
      <c r="M2" s="299" t="s">
        <v>112</v>
      </c>
    </row>
    <row r="3" spans="1:14" ht="25.5" x14ac:dyDescent="0.2">
      <c r="B3" s="25" t="s">
        <v>96</v>
      </c>
      <c r="C3" s="25" t="s">
        <v>97</v>
      </c>
      <c r="D3" s="25" t="s">
        <v>98</v>
      </c>
      <c r="E3" s="25" t="s">
        <v>99</v>
      </c>
      <c r="F3" s="25" t="s">
        <v>100</v>
      </c>
      <c r="G3" s="25" t="s">
        <v>54</v>
      </c>
      <c r="H3" s="25" t="s">
        <v>55</v>
      </c>
      <c r="I3" s="25" t="s">
        <v>87</v>
      </c>
      <c r="J3" s="25" t="s">
        <v>95</v>
      </c>
      <c r="K3" s="25" t="s">
        <v>148</v>
      </c>
      <c r="L3" s="25" t="s">
        <v>77</v>
      </c>
      <c r="M3" s="299" t="s">
        <v>77</v>
      </c>
    </row>
    <row r="4" spans="1:14" x14ac:dyDescent="0.2">
      <c r="A4" s="11" t="s">
        <v>38</v>
      </c>
      <c r="B4" s="18">
        <f>+'Power Purchased Model'!D152</f>
        <v>251277774.03999999</v>
      </c>
      <c r="C4" s="18">
        <f>+'Power Purchased Model'!D153</f>
        <v>234500934.16</v>
      </c>
      <c r="D4" s="18">
        <f>+'Power Purchased Model'!D154</f>
        <v>245163864.89000005</v>
      </c>
      <c r="E4" s="18">
        <f>+'Power Purchased Model'!D155</f>
        <v>252868515.97999999</v>
      </c>
      <c r="F4" s="18">
        <f>+'Power Purchased Model'!D156</f>
        <v>253996467.51000002</v>
      </c>
      <c r="G4" s="18">
        <f>+'Power Purchased Model'!D157</f>
        <v>249877497.75999996</v>
      </c>
      <c r="H4" s="18">
        <f>+'Power Purchased Model'!D158</f>
        <v>245378475.16000003</v>
      </c>
      <c r="I4" s="18">
        <f>+'Power Purchased Model'!D159</f>
        <v>240736248.91999999</v>
      </c>
      <c r="J4" s="18">
        <f>+'Power Purchased Model'!D160</f>
        <v>255428233.31999999</v>
      </c>
      <c r="K4" s="18">
        <f>+'Power Purchased Model'!D161</f>
        <v>256032973.51000002</v>
      </c>
    </row>
    <row r="5" spans="1:14" x14ac:dyDescent="0.2">
      <c r="A5" s="11" t="s">
        <v>39</v>
      </c>
      <c r="B5" s="18">
        <f>+'Power Purchased Model'!K152</f>
        <v>246206141.41602108</v>
      </c>
      <c r="C5" s="18">
        <f>+'Power Purchased Model'!K153</f>
        <v>237415194.60445637</v>
      </c>
      <c r="D5" s="18">
        <f>+'Power Purchased Model'!K154</f>
        <v>248898751.0100446</v>
      </c>
      <c r="E5" s="18">
        <f>+'Power Purchased Model'!K155</f>
        <v>248854549.69445965</v>
      </c>
      <c r="F5" s="18">
        <f>+'Power Purchased Model'!K156</f>
        <v>252089572.78851295</v>
      </c>
      <c r="G5" s="18">
        <f>+'Power Purchased Model'!K157</f>
        <v>253136928.85720545</v>
      </c>
      <c r="H5" s="18">
        <f>+'Power Purchased Model'!K158</f>
        <v>252933336.8035329</v>
      </c>
      <c r="I5" s="18">
        <f>+'Power Purchased Model'!K159</f>
        <v>242414956.83362663</v>
      </c>
      <c r="J5" s="18">
        <f>+'Power Purchased Model'!K160</f>
        <v>249034408.36066878</v>
      </c>
      <c r="K5" s="18">
        <f>+'Power Purchased Model'!K161</f>
        <v>254277144.88147226</v>
      </c>
      <c r="L5" s="18">
        <f>+'Power Purchased Model'!K162</f>
        <v>254298539.12605944</v>
      </c>
      <c r="M5" s="18">
        <f>+'Power Purchased Model'!K163</f>
        <v>255346857.89933771</v>
      </c>
    </row>
    <row r="6" spans="1:14" x14ac:dyDescent="0.2">
      <c r="A6" s="11" t="s">
        <v>4</v>
      </c>
      <c r="B6" s="24">
        <f>(B5-B4)/B4</f>
        <v>-2.0183371344142751E-2</v>
      </c>
      <c r="C6" s="24">
        <f t="shared" ref="C6:K6" si="0">(C5-C4)/C4</f>
        <v>1.2427500363252152E-2</v>
      </c>
      <c r="D6" s="24">
        <f t="shared" si="0"/>
        <v>1.5234243927914603E-2</v>
      </c>
      <c r="E6" s="24">
        <f t="shared" si="0"/>
        <v>-1.5873728961409404E-2</v>
      </c>
      <c r="F6" s="24">
        <f t="shared" si="0"/>
        <v>-7.5075639444158781E-3</v>
      </c>
      <c r="G6" s="24">
        <f t="shared" si="0"/>
        <v>1.3044116122597314E-2</v>
      </c>
      <c r="H6" s="24">
        <f t="shared" si="0"/>
        <v>3.0788607837776701E-2</v>
      </c>
      <c r="I6" s="24">
        <f t="shared" si="0"/>
        <v>6.9732245191894597E-3</v>
      </c>
      <c r="J6" s="24">
        <f t="shared" si="0"/>
        <v>-2.5031786330844026E-2</v>
      </c>
      <c r="K6" s="24">
        <f t="shared" si="0"/>
        <v>-6.8578222736579751E-3</v>
      </c>
      <c r="L6" s="24"/>
    </row>
    <row r="7" spans="1:14" x14ac:dyDescent="0.2">
      <c r="A7" s="11"/>
      <c r="B7" s="24"/>
      <c r="C7" s="24"/>
      <c r="D7" s="24"/>
      <c r="E7" s="24"/>
      <c r="F7" s="24"/>
      <c r="G7" s="24"/>
      <c r="H7" s="24"/>
      <c r="I7" s="24"/>
      <c r="J7" s="24"/>
    </row>
    <row r="8" spans="1:14" x14ac:dyDescent="0.2">
      <c r="A8" s="11"/>
      <c r="B8" s="24"/>
      <c r="C8" s="24"/>
      <c r="D8" s="24"/>
      <c r="E8" s="24"/>
      <c r="F8" s="24"/>
      <c r="G8" s="24"/>
      <c r="H8" s="24"/>
      <c r="I8" s="24"/>
      <c r="J8" s="24"/>
      <c r="L8" s="30"/>
      <c r="M8" s="30"/>
    </row>
    <row r="9" spans="1:14" x14ac:dyDescent="0.2">
      <c r="A9" s="11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4" x14ac:dyDescent="0.2">
      <c r="A10" s="11" t="s">
        <v>49</v>
      </c>
      <c r="B10" s="5">
        <f>'Rate Class Energy Model'!G3</f>
        <v>238667221</v>
      </c>
      <c r="C10" s="5">
        <f>'Rate Class Energy Model'!G4</f>
        <v>219820870</v>
      </c>
      <c r="D10" s="5">
        <f>'Rate Class Energy Model'!G5</f>
        <v>246426601</v>
      </c>
      <c r="E10" s="5">
        <f>'Rate Class Energy Model'!G6</f>
        <v>242876722</v>
      </c>
      <c r="F10" s="5">
        <f>'Rate Class Energy Model'!G7</f>
        <v>239102776</v>
      </c>
      <c r="G10" s="5">
        <f>'Rate Class Energy Model'!G8</f>
        <v>242792191</v>
      </c>
      <c r="H10" s="5">
        <f>'Rate Class Energy Model'!G9</f>
        <v>237860654.56</v>
      </c>
      <c r="I10" s="5">
        <f>'Rate Class Energy Model'!G10</f>
        <v>234104539.5</v>
      </c>
      <c r="J10" s="5">
        <f>'Rate Class Energy Model'!G11</f>
        <v>239605809.73000002</v>
      </c>
      <c r="K10" s="5">
        <f>'Rate Class Energy Model'!G12</f>
        <v>237588161.69</v>
      </c>
      <c r="L10" s="5">
        <f>'Rate Class Energy Model'!G33</f>
        <v>240425961.1667386</v>
      </c>
      <c r="M10" s="5">
        <f>'Rate Class Energy Model'!G34</f>
        <v>241417091.70779774</v>
      </c>
    </row>
    <row r="11" spans="1:14" x14ac:dyDescent="0.2">
      <c r="A11" s="11"/>
      <c r="L11" s="50"/>
      <c r="M11" s="5"/>
    </row>
    <row r="12" spans="1:14" ht="15.75" x14ac:dyDescent="0.25">
      <c r="A12" s="23" t="s">
        <v>40</v>
      </c>
      <c r="B12" s="176"/>
    </row>
    <row r="13" spans="1:14" x14ac:dyDescent="0.2">
      <c r="A13" s="22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4" x14ac:dyDescent="0.2">
      <c r="A14" t="s">
        <v>32</v>
      </c>
      <c r="B14" s="5">
        <f>'Rate Class Customer Model'!B3</f>
        <v>10277</v>
      </c>
      <c r="C14" s="5">
        <f>'Rate Class Customer Model'!B4</f>
        <v>10374.5</v>
      </c>
      <c r="D14" s="5">
        <f>'Rate Class Customer Model'!B5</f>
        <v>10659.5</v>
      </c>
      <c r="E14" s="5">
        <f>'Rate Class Customer Model'!B6</f>
        <v>10922.5</v>
      </c>
      <c r="F14" s="5">
        <f>'Rate Class Customer Model'!B7</f>
        <v>11019.5</v>
      </c>
      <c r="G14" s="5">
        <f>'Rate Class Customer Model'!B8</f>
        <v>11096</v>
      </c>
      <c r="H14" s="5">
        <f>'Rate Class Customer Model'!B9</f>
        <v>11136</v>
      </c>
      <c r="I14" s="5">
        <f>'Rate Class Customer Model'!B10</f>
        <v>11213.5</v>
      </c>
      <c r="J14" s="5">
        <f>'Rate Class Customer Model'!B11</f>
        <v>11298.5</v>
      </c>
      <c r="K14" s="5">
        <f>'Rate Class Customer Model'!B12</f>
        <v>11354.5</v>
      </c>
      <c r="L14" s="5">
        <f>'Rate Class Customer Model'!B13</f>
        <v>11422.71233211763</v>
      </c>
      <c r="M14" s="5">
        <f>'Rate Class Customer Model'!B14</f>
        <v>11491.334450861965</v>
      </c>
      <c r="N14" s="101"/>
    </row>
    <row r="15" spans="1:14" x14ac:dyDescent="0.2">
      <c r="A15" t="s">
        <v>33</v>
      </c>
      <c r="B15" s="5">
        <f>'Rate Class Energy Model'!H3</f>
        <v>91479319</v>
      </c>
      <c r="C15" s="5">
        <f>'Rate Class Energy Model'!H4</f>
        <v>86529651</v>
      </c>
      <c r="D15" s="5">
        <f>'Rate Class Energy Model'!H5</f>
        <v>94517191</v>
      </c>
      <c r="E15" s="29">
        <f>'Rate Class Energy Model'!H6</f>
        <v>92484569</v>
      </c>
      <c r="F15" s="5">
        <f>'Rate Class Energy Model'!H7</f>
        <v>98305959</v>
      </c>
      <c r="G15" s="5">
        <f>'Rate Class Energy Model'!H8</f>
        <v>106359838</v>
      </c>
      <c r="H15" s="5">
        <f>'Rate Class Energy Model'!H9</f>
        <v>105839455</v>
      </c>
      <c r="I15" s="5">
        <f>'Rate Class Energy Model'!H10</f>
        <v>96458582.030000001</v>
      </c>
      <c r="J15" s="5">
        <f>'Rate Class Energy Model'!H11</f>
        <v>101363978.92</v>
      </c>
      <c r="K15" s="5">
        <f>'Rate Class Energy Model'!H12</f>
        <v>104661543.73999999</v>
      </c>
      <c r="L15" s="5">
        <f>'Rate Class Energy Model'!H33</f>
        <v>106440813.26250607</v>
      </c>
      <c r="M15" s="5">
        <f>'Rate Class Energy Model'!H34</f>
        <v>107137096.4970441</v>
      </c>
      <c r="N15" s="101"/>
    </row>
    <row r="16" spans="1:14" x14ac:dyDescent="0.2">
      <c r="C16" s="176"/>
      <c r="D16" s="176"/>
      <c r="E16" s="176"/>
      <c r="F16" s="176"/>
      <c r="G16" s="176"/>
      <c r="H16" s="176"/>
      <c r="I16" s="176"/>
      <c r="J16" s="176"/>
      <c r="N16" s="101"/>
    </row>
    <row r="17" spans="1:14" x14ac:dyDescent="0.2">
      <c r="A17" s="22" t="str">
        <f>'Rate Class Energy Model'!I2</f>
        <v>General Service &lt; 50 kW</v>
      </c>
      <c r="C17" s="41"/>
      <c r="D17" s="1"/>
      <c r="E17" s="1"/>
      <c r="F17" s="1"/>
      <c r="G17" s="5"/>
      <c r="H17" s="5"/>
      <c r="I17" s="5"/>
      <c r="J17" s="5"/>
      <c r="K17" s="5"/>
      <c r="L17" s="5"/>
      <c r="M17" s="5"/>
      <c r="N17" s="105"/>
    </row>
    <row r="18" spans="1:14" ht="13.5" customHeight="1" x14ac:dyDescent="0.2">
      <c r="A18" t="s">
        <v>32</v>
      </c>
      <c r="B18" s="5">
        <f>'Rate Class Customer Model'!C3</f>
        <v>1283</v>
      </c>
      <c r="C18" s="5">
        <f>'Rate Class Customer Model'!C4</f>
        <v>1224.5</v>
      </c>
      <c r="D18" s="5">
        <f>'Rate Class Customer Model'!C5</f>
        <v>1237</v>
      </c>
      <c r="E18" s="5">
        <f>'Rate Class Customer Model'!C6</f>
        <v>1237</v>
      </c>
      <c r="F18" s="5">
        <f>'Rate Class Customer Model'!C7</f>
        <v>1252</v>
      </c>
      <c r="G18" s="5">
        <f>'Rate Class Customer Model'!C8</f>
        <v>1236.25</v>
      </c>
      <c r="H18" s="5">
        <f>'Rate Class Customer Model'!C9</f>
        <v>1199.125</v>
      </c>
      <c r="I18" s="5">
        <f>'Rate Class Customer Model'!C10</f>
        <v>1174.375</v>
      </c>
      <c r="J18" s="5">
        <f>'Rate Class Customer Model'!C11</f>
        <v>1170</v>
      </c>
      <c r="K18" s="5">
        <f>'Rate Class Customer Model'!C12</f>
        <v>1179</v>
      </c>
      <c r="L18" s="5">
        <f>'Rate Class Customer Model'!C13</f>
        <v>1188.0692307692307</v>
      </c>
      <c r="M18" s="5">
        <f>'Rate Class Customer Model'!C14</f>
        <v>1197.2082248520708</v>
      </c>
      <c r="N18" s="101"/>
    </row>
    <row r="19" spans="1:14" x14ac:dyDescent="0.2">
      <c r="A19" t="s">
        <v>33</v>
      </c>
      <c r="B19" s="5">
        <f>'Rate Class Energy Model'!I3</f>
        <v>28315731</v>
      </c>
      <c r="C19" s="5">
        <f>'Rate Class Energy Model'!I4</f>
        <v>27228067</v>
      </c>
      <c r="D19" s="5">
        <f>'Rate Class Energy Model'!I5</f>
        <v>28692745</v>
      </c>
      <c r="E19" s="5">
        <f>'Rate Class Energy Model'!I6</f>
        <v>28348056</v>
      </c>
      <c r="F19" s="5">
        <f>'Rate Class Energy Model'!I7</f>
        <v>26410288</v>
      </c>
      <c r="G19" s="5">
        <f>'Rate Class Energy Model'!I8</f>
        <v>27377213</v>
      </c>
      <c r="H19" s="5">
        <f>'Rate Class Energy Model'!I9</f>
        <v>29663800</v>
      </c>
      <c r="I19" s="5">
        <f>'Rate Class Energy Model'!I10</f>
        <v>28828610.309999999</v>
      </c>
      <c r="J19" s="5">
        <f>'Rate Class Energy Model'!I11</f>
        <v>30766203.079999998</v>
      </c>
      <c r="K19" s="5">
        <f>'Rate Class Energy Model'!I12</f>
        <v>31964518.84</v>
      </c>
      <c r="L19" s="5">
        <f>'Rate Class Energy Model'!I33</f>
        <v>32562364.810462572</v>
      </c>
      <c r="M19" s="5">
        <f>'Rate Class Energy Model'!I34</f>
        <v>32830261.66588974</v>
      </c>
      <c r="N19" s="101"/>
    </row>
    <row r="20" spans="1:14" x14ac:dyDescent="0.2">
      <c r="B20" s="5"/>
      <c r="C20" s="1"/>
      <c r="G20" s="30"/>
      <c r="I20" s="30"/>
      <c r="J20" s="30"/>
      <c r="K20" s="101"/>
      <c r="L20" s="101"/>
      <c r="M20" s="176"/>
      <c r="N20" s="105"/>
    </row>
    <row r="21" spans="1:14" x14ac:dyDescent="0.2">
      <c r="A21" s="22" t="str">
        <f>'Rate Class Energy Model'!J2</f>
        <v>General Service &gt; 50 kW</v>
      </c>
      <c r="B21" s="5"/>
      <c r="C21" s="1"/>
      <c r="D21" s="1"/>
      <c r="E21" s="1"/>
      <c r="F21" s="1"/>
      <c r="N21" s="105"/>
    </row>
    <row r="22" spans="1:14" x14ac:dyDescent="0.2">
      <c r="A22" t="s">
        <v>32</v>
      </c>
      <c r="B22" s="5">
        <f>'Rate Class Customer Model'!D3</f>
        <v>101.5</v>
      </c>
      <c r="C22" s="5">
        <f>'Rate Class Customer Model'!D4</f>
        <v>113.5</v>
      </c>
      <c r="D22" s="5">
        <f>'Rate Class Customer Model'!D5</f>
        <v>110.5</v>
      </c>
      <c r="E22" s="5">
        <f>'Rate Class Customer Model'!D6</f>
        <v>96</v>
      </c>
      <c r="F22" s="5">
        <f>'Rate Class Customer Model'!D7</f>
        <v>98</v>
      </c>
      <c r="G22" s="5">
        <f>'Rate Class Customer Model'!D8</f>
        <v>101</v>
      </c>
      <c r="H22" s="5">
        <f>'Rate Class Customer Model'!D9</f>
        <v>98</v>
      </c>
      <c r="I22" s="5">
        <f>'Rate Class Customer Model'!D10</f>
        <v>91.5</v>
      </c>
      <c r="J22" s="5">
        <f>'Rate Class Customer Model'!D11</f>
        <v>90</v>
      </c>
      <c r="K22" s="5">
        <f>'Rate Class Customer Model'!D12</f>
        <v>89</v>
      </c>
      <c r="L22" s="5">
        <f>'Rate Class Customer Model'!D13</f>
        <v>89</v>
      </c>
      <c r="M22" s="5">
        <f>'Rate Class Customer Model'!D14</f>
        <v>89</v>
      </c>
      <c r="N22" s="101"/>
    </row>
    <row r="23" spans="1:14" x14ac:dyDescent="0.2">
      <c r="A23" t="s">
        <v>33</v>
      </c>
      <c r="B23" s="5">
        <f>'Rate Class Energy Model'!J3</f>
        <v>59051959</v>
      </c>
      <c r="C23" s="5">
        <f>'Rate Class Energy Model'!J4</f>
        <v>47449870</v>
      </c>
      <c r="D23" s="5">
        <f>'Rate Class Energy Model'!J5</f>
        <v>59787962</v>
      </c>
      <c r="E23" s="5">
        <f>'Rate Class Energy Model'!J6</f>
        <v>59632442</v>
      </c>
      <c r="F23" s="5">
        <f>'Rate Class Energy Model'!J7</f>
        <v>52047649</v>
      </c>
      <c r="G23" s="5">
        <f>'Rate Class Energy Model'!J8</f>
        <v>56544701</v>
      </c>
      <c r="H23" s="5">
        <f>'Rate Class Energy Model'!J9</f>
        <v>55678001.560000002</v>
      </c>
      <c r="I23" s="5">
        <f>'Rate Class Energy Model'!J10</f>
        <v>59808297.880000003</v>
      </c>
      <c r="J23" s="5">
        <f>'Rate Class Energy Model'!J11</f>
        <v>59377098.68</v>
      </c>
      <c r="K23" s="5">
        <f>'Rate Class Energy Model'!J12</f>
        <v>57467167.93</v>
      </c>
      <c r="L23" s="5">
        <f>'Rate Class Energy Model'!J33</f>
        <v>57923465.548459642</v>
      </c>
      <c r="M23" s="5">
        <f>'Rate Class Energy Model'!J34</f>
        <v>57945873.244628131</v>
      </c>
      <c r="N23" s="101"/>
    </row>
    <row r="24" spans="1:14" x14ac:dyDescent="0.2">
      <c r="A24" t="s">
        <v>34</v>
      </c>
      <c r="B24" s="5">
        <f>'Rate Class Load Model'!B2</f>
        <v>188539.6</v>
      </c>
      <c r="C24" s="5">
        <f>'Rate Class Load Model'!B3</f>
        <v>188530</v>
      </c>
      <c r="D24" s="5">
        <f>'Rate Class Load Model'!B4</f>
        <v>173784</v>
      </c>
      <c r="E24" s="5">
        <f>'Rate Class Load Model'!B5</f>
        <v>201036</v>
      </c>
      <c r="F24" s="5">
        <f>'Rate Class Load Model'!B6</f>
        <v>126949</v>
      </c>
      <c r="G24" s="5">
        <f>'Rate Class Load Model'!B7</f>
        <v>231007</v>
      </c>
      <c r="H24" s="5">
        <f>'Rate Class Load Model'!B8</f>
        <v>151124.07</v>
      </c>
      <c r="I24" s="5">
        <f>'Rate Class Load Model'!B9</f>
        <v>215106.83</v>
      </c>
      <c r="J24" s="5">
        <f>'Rate Class Load Model'!B10</f>
        <v>203008.10000000003</v>
      </c>
      <c r="K24" s="5">
        <f>'Rate Class Load Model'!B11</f>
        <v>203060.9</v>
      </c>
      <c r="L24" s="5">
        <f>'Rate Class Load Model'!B12</f>
        <v>204673.23289215044</v>
      </c>
      <c r="M24" s="5">
        <f>'Rate Class Load Model'!B13</f>
        <v>204752.41074473649</v>
      </c>
      <c r="N24" s="10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105"/>
    </row>
    <row r="26" spans="1:14" x14ac:dyDescent="0.2">
      <c r="A26" s="94" t="str">
        <f>Inputs!M21</f>
        <v xml:space="preserve">Embedded Distributor </v>
      </c>
      <c r="B26" s="5"/>
      <c r="C26" s="1"/>
      <c r="D26" s="1"/>
      <c r="E26" s="1"/>
      <c r="F26" s="1"/>
      <c r="N26" s="105"/>
    </row>
    <row r="27" spans="1:14" x14ac:dyDescent="0.2">
      <c r="A27" t="s">
        <v>32</v>
      </c>
      <c r="B27" s="5">
        <f>'Rate Class Customer Model'!E3</f>
        <v>6</v>
      </c>
      <c r="C27" s="5">
        <f>'Rate Class Customer Model'!E4</f>
        <v>6</v>
      </c>
      <c r="D27" s="5">
        <f>'Rate Class Customer Model'!E5</f>
        <v>6</v>
      </c>
      <c r="E27" s="5">
        <f>'Rate Class Customer Model'!E6</f>
        <v>6</v>
      </c>
      <c r="F27" s="5">
        <f>'Rate Class Customer Model'!E7</f>
        <v>6</v>
      </c>
      <c r="G27" s="5">
        <f>'Rate Class Customer Model'!E8</f>
        <v>6</v>
      </c>
      <c r="H27" s="5">
        <f>'Rate Class Customer Model'!E9</f>
        <v>6</v>
      </c>
      <c r="I27" s="5">
        <f>'Rate Class Customer Model'!E10</f>
        <v>6</v>
      </c>
      <c r="J27" s="5">
        <f>'Rate Class Customer Model'!E11</f>
        <v>6</v>
      </c>
      <c r="K27" s="5">
        <f>'Rate Class Customer Model'!E12</f>
        <v>6</v>
      </c>
      <c r="L27" s="5">
        <f>'Rate Class Customer Model'!E13</f>
        <v>6</v>
      </c>
      <c r="M27" s="5">
        <f>'Rate Class Customer Model'!E14</f>
        <v>6</v>
      </c>
      <c r="N27" s="101"/>
    </row>
    <row r="28" spans="1:14" x14ac:dyDescent="0.2">
      <c r="A28" t="s">
        <v>33</v>
      </c>
      <c r="B28" s="5">
        <f>'Rate Class Energy Model'!K3</f>
        <v>57823879</v>
      </c>
      <c r="C28" s="5">
        <f>'Rate Class Energy Model'!K4</f>
        <v>56843411</v>
      </c>
      <c r="D28" s="5">
        <f>'Rate Class Energy Model'!K5</f>
        <v>61680653</v>
      </c>
      <c r="E28" s="5">
        <f>'Rate Class Energy Model'!K6</f>
        <v>60666329</v>
      </c>
      <c r="F28" s="5">
        <f>'Rate Class Energy Model'!K7</f>
        <v>60666329</v>
      </c>
      <c r="G28" s="5">
        <f>'Rate Class Energy Model'!K8</f>
        <v>50859469</v>
      </c>
      <c r="H28" s="5">
        <f>'Rate Class Energy Model'!K9</f>
        <v>45020625</v>
      </c>
      <c r="I28" s="5">
        <f>'Rate Class Energy Model'!K10</f>
        <v>47435810.810000002</v>
      </c>
      <c r="J28" s="5">
        <f>'Rate Class Energy Model'!K11</f>
        <v>46518193.75</v>
      </c>
      <c r="K28" s="5">
        <f>'Rate Class Energy Model'!K12</f>
        <v>41943487.75</v>
      </c>
      <c r="L28" s="5">
        <f>'Rate Class Energy Model'!K33</f>
        <v>41943487.75</v>
      </c>
      <c r="M28" s="5">
        <f>'Rate Class Energy Model'!K34</f>
        <v>41943487.75</v>
      </c>
      <c r="N28" s="101"/>
    </row>
    <row r="29" spans="1:14" x14ac:dyDescent="0.2">
      <c r="A29" t="s">
        <v>34</v>
      </c>
      <c r="B29" s="5">
        <f>'Rate Class Load Model'!C2</f>
        <v>117955</v>
      </c>
      <c r="C29" s="5">
        <f>'Rate Class Load Model'!C3</f>
        <v>143958</v>
      </c>
      <c r="D29" s="5">
        <f>'Rate Class Load Model'!C4</f>
        <v>145229</v>
      </c>
      <c r="E29" s="5">
        <f>'Rate Class Load Model'!C5</f>
        <v>139224</v>
      </c>
      <c r="F29" s="5">
        <f>'Rate Class Load Model'!C6</f>
        <v>139224</v>
      </c>
      <c r="G29" s="5">
        <f>'Rate Class Load Model'!C7</f>
        <v>115598</v>
      </c>
      <c r="H29" s="5">
        <f>'Rate Class Load Model'!C8</f>
        <v>129568</v>
      </c>
      <c r="I29" s="5">
        <f>'Rate Class Load Model'!C9</f>
        <v>127663.3</v>
      </c>
      <c r="J29" s="5">
        <f>'Rate Class Load Model'!C10</f>
        <v>121969.7</v>
      </c>
      <c r="K29" s="5">
        <f>'Rate Class Load Model'!C11</f>
        <v>116093.29</v>
      </c>
      <c r="L29" s="5">
        <f>'Rate Class Load Model'!C12</f>
        <v>116093.29</v>
      </c>
      <c r="M29" s="5">
        <f>'Rate Class Load Model'!C13</f>
        <v>116093.29</v>
      </c>
      <c r="N29" s="101"/>
    </row>
    <row r="30" spans="1:14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0"/>
    </row>
    <row r="31" spans="1:14" x14ac:dyDescent="0.2">
      <c r="A31" s="22" t="str">
        <f>'Rate Class Energy Model'!L2</f>
        <v>Unmetered Scatter Load</v>
      </c>
      <c r="E31" s="1"/>
      <c r="F31" s="1"/>
      <c r="H31" s="1"/>
      <c r="K31" s="5"/>
      <c r="N31" s="30"/>
    </row>
    <row r="32" spans="1:14" x14ac:dyDescent="0.2">
      <c r="A32" t="s">
        <v>35</v>
      </c>
      <c r="B32" s="5">
        <f>'Rate Class Customer Model'!F3</f>
        <v>30</v>
      </c>
      <c r="C32" s="5">
        <f>'Rate Class Customer Model'!F4</f>
        <v>30.5</v>
      </c>
      <c r="D32" s="5">
        <f>'Rate Class Customer Model'!F5</f>
        <v>31.5</v>
      </c>
      <c r="E32" s="5">
        <f>'Rate Class Customer Model'!F6</f>
        <v>32</v>
      </c>
      <c r="F32" s="5">
        <f>'Rate Class Customer Model'!F7</f>
        <v>32</v>
      </c>
      <c r="G32" s="5">
        <f>'Rate Class Customer Model'!F8</f>
        <v>31.5</v>
      </c>
      <c r="H32" s="5">
        <f>'Rate Class Customer Model'!F9</f>
        <v>31</v>
      </c>
      <c r="I32" s="5">
        <f>'Rate Class Customer Model'!F10</f>
        <v>30</v>
      </c>
      <c r="J32" s="5">
        <f>'Rate Class Customer Model'!F11</f>
        <v>29</v>
      </c>
      <c r="K32" s="5">
        <f>'Rate Class Customer Model'!F12</f>
        <v>29</v>
      </c>
      <c r="L32" s="5">
        <f>'Rate Class Customer Model'!F13</f>
        <v>28.434631333090945</v>
      </c>
      <c r="M32" s="5">
        <f>'Rate Class Customer Model'!F14</f>
        <v>27.880284794786114</v>
      </c>
      <c r="N32" s="30"/>
    </row>
    <row r="33" spans="1:14" x14ac:dyDescent="0.2">
      <c r="A33" t="s">
        <v>33</v>
      </c>
      <c r="B33" s="5">
        <f>'Rate Class Energy Model'!L3</f>
        <v>257059</v>
      </c>
      <c r="C33" s="5">
        <f>'Rate Class Energy Model'!L4</f>
        <v>255469</v>
      </c>
      <c r="D33" s="5">
        <f>'Rate Class Energy Model'!L5</f>
        <v>249143</v>
      </c>
      <c r="E33" s="5">
        <f>'Rate Class Energy Model'!L6</f>
        <v>246885</v>
      </c>
      <c r="F33" s="5">
        <f>'Rate Class Energy Model'!L7</f>
        <v>246885</v>
      </c>
      <c r="G33" s="5">
        <f>'Rate Class Energy Model'!L8</f>
        <v>248173</v>
      </c>
      <c r="H33" s="5">
        <f>'Rate Class Energy Model'!L9</f>
        <v>248448</v>
      </c>
      <c r="I33" s="5">
        <f>'Rate Class Energy Model'!L10</f>
        <v>248859</v>
      </c>
      <c r="J33" s="5">
        <f>'Rate Class Energy Model'!L11</f>
        <v>250863.24</v>
      </c>
      <c r="K33" s="5">
        <f>'Rate Class Energy Model'!L12</f>
        <v>235012.72</v>
      </c>
      <c r="L33" s="5">
        <f>'Rate Class Energy Model'!L33</f>
        <v>230431.03626851478</v>
      </c>
      <c r="M33" s="5">
        <f>'Rate Class Energy Model'!L34</f>
        <v>225938.67462059745</v>
      </c>
      <c r="N33" s="30"/>
    </row>
    <row r="34" spans="1:14" x14ac:dyDescent="0.2">
      <c r="H34" s="5"/>
      <c r="I34" s="5"/>
      <c r="K34" s="5"/>
      <c r="L34" s="5"/>
      <c r="M34" s="5"/>
    </row>
    <row r="35" spans="1:14" x14ac:dyDescent="0.2">
      <c r="A35" s="22" t="str">
        <f>'Rate Class Energy Model'!M2</f>
        <v>Sentinel Lighting</v>
      </c>
      <c r="E35" s="1"/>
      <c r="G35" s="1"/>
      <c r="K35" s="15"/>
    </row>
    <row r="36" spans="1:14" x14ac:dyDescent="0.2">
      <c r="A36" t="s">
        <v>35</v>
      </c>
      <c r="B36" s="5">
        <f>'Rate Class Customer Model'!G3</f>
        <v>73</v>
      </c>
      <c r="C36" s="5">
        <f>'Rate Class Customer Model'!G4</f>
        <v>73</v>
      </c>
      <c r="D36" s="5">
        <f>'Rate Class Customer Model'!G5</f>
        <v>73</v>
      </c>
      <c r="E36" s="5">
        <f>'Rate Class Customer Model'!G6</f>
        <v>73</v>
      </c>
      <c r="F36" s="5">
        <f>'Rate Class Customer Model'!G7</f>
        <v>73</v>
      </c>
      <c r="G36" s="5">
        <f>'Rate Class Customer Model'!G8</f>
        <v>73</v>
      </c>
      <c r="H36" s="5">
        <f>'Rate Class Customer Model'!G9</f>
        <v>73</v>
      </c>
      <c r="I36" s="5">
        <f>'Rate Class Customer Model'!G10</f>
        <v>73</v>
      </c>
      <c r="J36" s="5">
        <f>'Rate Class Customer Model'!G11</f>
        <v>73</v>
      </c>
      <c r="K36" s="5">
        <f>'Rate Class Customer Model'!G12</f>
        <v>73</v>
      </c>
      <c r="L36" s="5">
        <f>'Rate Class Customer Model'!G13</f>
        <v>73</v>
      </c>
      <c r="M36" s="5">
        <f>'Rate Class Customer Model'!G14</f>
        <v>73</v>
      </c>
    </row>
    <row r="37" spans="1:14" x14ac:dyDescent="0.2">
      <c r="A37" t="s">
        <v>33</v>
      </c>
      <c r="B37" s="5">
        <f>'Rate Class Energy Model'!M3</f>
        <v>153690</v>
      </c>
      <c r="C37" s="5">
        <f>'Rate Class Energy Model'!M4</f>
        <v>152795</v>
      </c>
      <c r="D37" s="5">
        <f>'Rate Class Energy Model'!M5</f>
        <v>149558</v>
      </c>
      <c r="E37" s="5">
        <f>'Rate Class Energy Model'!M6</f>
        <v>144657</v>
      </c>
      <c r="F37" s="5">
        <f>'Rate Class Energy Model'!M7</f>
        <v>141998</v>
      </c>
      <c r="G37" s="5">
        <f>'Rate Class Energy Model'!M8</f>
        <v>137713</v>
      </c>
      <c r="H37" s="5">
        <f>'Rate Class Energy Model'!M9</f>
        <v>138479</v>
      </c>
      <c r="I37" s="5">
        <f>'Rate Class Energy Model'!M10</f>
        <v>136721.45000000001</v>
      </c>
      <c r="J37" s="5">
        <f>'Rate Class Energy Model'!M11</f>
        <v>137219.59</v>
      </c>
      <c r="K37" s="5">
        <f>'Rate Class Energy Model'!M12</f>
        <v>117252.78</v>
      </c>
      <c r="L37" s="5">
        <f>'Rate Class Energy Model'!M33</f>
        <v>117252.78</v>
      </c>
      <c r="M37" s="5">
        <f>'Rate Class Energy Model'!M34</f>
        <v>117252.78</v>
      </c>
    </row>
    <row r="38" spans="1:14" x14ac:dyDescent="0.2">
      <c r="A38" t="s">
        <v>34</v>
      </c>
      <c r="B38" s="5">
        <f>'Rate Class Load Model'!D2</f>
        <v>411</v>
      </c>
      <c r="C38" s="5">
        <f>'Rate Class Load Model'!D3</f>
        <v>406</v>
      </c>
      <c r="D38" s="5">
        <f>'Rate Class Load Model'!D4</f>
        <v>388</v>
      </c>
      <c r="E38" s="5">
        <f>'Rate Class Load Model'!D5</f>
        <v>364</v>
      </c>
      <c r="F38" s="5">
        <f>'Rate Class Load Model'!D6</f>
        <v>385</v>
      </c>
      <c r="G38" s="5">
        <f>'Rate Class Load Model'!D7</f>
        <v>357</v>
      </c>
      <c r="H38" s="5">
        <f>'Rate Class Load Model'!D8</f>
        <v>360</v>
      </c>
      <c r="I38" s="5">
        <f>'Rate Class Load Model'!D9</f>
        <v>357.1</v>
      </c>
      <c r="J38" s="5">
        <f>'Rate Class Load Model'!D10</f>
        <v>352</v>
      </c>
      <c r="K38" s="5">
        <f>'Rate Class Load Model'!D11</f>
        <v>375.7</v>
      </c>
      <c r="L38" s="5">
        <f>'Rate Class Load Model'!D12</f>
        <v>375.7</v>
      </c>
      <c r="M38" s="5">
        <f>'Rate Class Load Model'!D13</f>
        <v>375.7</v>
      </c>
    </row>
    <row r="40" spans="1:14" x14ac:dyDescent="0.2">
      <c r="A40" s="22" t="str">
        <f>'Rate Class Energy Model'!N2</f>
        <v>Street Lighting</v>
      </c>
      <c r="E40" s="1"/>
      <c r="F40" s="1"/>
      <c r="G40" s="1"/>
      <c r="H40" s="1"/>
    </row>
    <row r="41" spans="1:14" x14ac:dyDescent="0.2">
      <c r="A41" t="s">
        <v>35</v>
      </c>
      <c r="B41" s="5">
        <f>'Rate Class Customer Model'!H3</f>
        <v>2969.5</v>
      </c>
      <c r="C41" s="5">
        <f>'Rate Class Customer Model'!H4</f>
        <v>2932</v>
      </c>
      <c r="D41" s="5">
        <f>'Rate Class Customer Model'!H5</f>
        <v>2955</v>
      </c>
      <c r="E41" s="5">
        <f>'Rate Class Customer Model'!H6</f>
        <v>2992</v>
      </c>
      <c r="F41" s="5">
        <f>'Rate Class Customer Model'!H7</f>
        <v>3043</v>
      </c>
      <c r="G41" s="5">
        <f>'Rate Class Customer Model'!H8</f>
        <v>3091.5</v>
      </c>
      <c r="H41" s="5">
        <f>'Rate Class Customer Model'!H9</f>
        <v>3133</v>
      </c>
      <c r="I41" s="5">
        <f>'Rate Class Customer Model'!H10</f>
        <v>3162</v>
      </c>
      <c r="J41" s="5">
        <f>'Rate Class Customer Model'!H11</f>
        <v>3158</v>
      </c>
      <c r="K41" s="5">
        <f>'Rate Class Customer Model'!H12</f>
        <v>3158.5</v>
      </c>
      <c r="L41" s="5">
        <f>'Rate Class Customer Model'!H13</f>
        <v>3182.1208340647199</v>
      </c>
      <c r="M41" s="5">
        <f>'Rate Class Customer Model'!H14</f>
        <v>3205.9183164757792</v>
      </c>
    </row>
    <row r="42" spans="1:14" x14ac:dyDescent="0.2">
      <c r="A42" t="s">
        <v>33</v>
      </c>
      <c r="B42" s="5">
        <f>'Rate Class Energy Model'!N3</f>
        <v>1585584</v>
      </c>
      <c r="C42" s="5">
        <f>'Rate Class Energy Model'!N4</f>
        <v>1361607</v>
      </c>
      <c r="D42" s="5">
        <f>'Rate Class Energy Model'!N5</f>
        <v>1349349</v>
      </c>
      <c r="E42" s="5">
        <f>'Rate Class Energy Model'!N6</f>
        <v>1353784</v>
      </c>
      <c r="F42" s="5">
        <f>'Rate Class Energy Model'!N7</f>
        <v>1283668</v>
      </c>
      <c r="G42" s="5">
        <f>'Rate Class Energy Model'!N8</f>
        <v>1265084</v>
      </c>
      <c r="H42" s="5">
        <f>'Rate Class Energy Model'!N9</f>
        <v>1271846</v>
      </c>
      <c r="I42" s="5">
        <f>'Rate Class Energy Model'!N10</f>
        <v>1187658.02</v>
      </c>
      <c r="J42" s="5">
        <f>'Rate Class Energy Model'!N11</f>
        <v>1192252.47</v>
      </c>
      <c r="K42" s="5">
        <f>'Rate Class Energy Model'!N12</f>
        <v>1199177.93</v>
      </c>
      <c r="L42" s="5">
        <f>'Rate Class Energy Model'!N33</f>
        <v>1208145.9790418248</v>
      </c>
      <c r="M42" s="5">
        <f>'Rate Class Energy Model'!N34</f>
        <v>1217181.0956151683</v>
      </c>
    </row>
    <row r="43" spans="1:14" x14ac:dyDescent="0.2">
      <c r="A43" t="s">
        <v>34</v>
      </c>
      <c r="B43" s="5">
        <f>'Rate Class Load Model'!E2</f>
        <v>4764</v>
      </c>
      <c r="C43" s="5">
        <f>'Rate Class Load Model'!E3</f>
        <v>3705</v>
      </c>
      <c r="D43" s="5">
        <f>'Rate Class Load Model'!E4</f>
        <v>3920</v>
      </c>
      <c r="E43" s="5">
        <f>'Rate Class Load Model'!E5</f>
        <v>3756</v>
      </c>
      <c r="F43" s="5">
        <f>'Rate Class Load Model'!E6</f>
        <v>3927</v>
      </c>
      <c r="G43" s="5">
        <f>'Rate Class Load Model'!E7</f>
        <v>3399</v>
      </c>
      <c r="H43" s="5">
        <f>'Rate Class Load Model'!E8</f>
        <v>3342</v>
      </c>
      <c r="I43" s="5">
        <f>'Rate Class Load Model'!E9</f>
        <v>3319.34</v>
      </c>
      <c r="J43" s="5">
        <f>'Rate Class Load Model'!E10</f>
        <v>3338.8</v>
      </c>
      <c r="K43" s="5">
        <f>'Rate Class Load Model'!E11</f>
        <v>3367.1</v>
      </c>
      <c r="L43" s="5">
        <f>'Rate Class Load Model'!E12</f>
        <v>3392.2808486241311</v>
      </c>
      <c r="M43" s="5">
        <f>'Rate Class Load Model'!E13</f>
        <v>3417.6500121594413</v>
      </c>
    </row>
    <row r="45" spans="1:14" x14ac:dyDescent="0.2">
      <c r="A45" s="22" t="s">
        <v>5</v>
      </c>
      <c r="C45" s="1"/>
      <c r="E45" s="1"/>
      <c r="H45" s="38"/>
    </row>
    <row r="46" spans="1:14" x14ac:dyDescent="0.2">
      <c r="A46" t="s">
        <v>37</v>
      </c>
      <c r="B46" s="5">
        <f>+B14+B18+B22+B27+B32+B36+B41</f>
        <v>14740</v>
      </c>
      <c r="C46" s="5">
        <f t="shared" ref="C46:M46" si="1">+C14+C18+C22+C27+C32+C36+C41</f>
        <v>14754</v>
      </c>
      <c r="D46" s="5">
        <f t="shared" si="1"/>
        <v>15072.5</v>
      </c>
      <c r="E46" s="5">
        <f t="shared" si="1"/>
        <v>15358.5</v>
      </c>
      <c r="F46" s="5">
        <f t="shared" si="1"/>
        <v>15523.5</v>
      </c>
      <c r="G46" s="5">
        <f t="shared" si="1"/>
        <v>15635.25</v>
      </c>
      <c r="H46" s="5">
        <f t="shared" si="1"/>
        <v>15676.125</v>
      </c>
      <c r="I46" s="5">
        <f t="shared" si="1"/>
        <v>15750.375</v>
      </c>
      <c r="J46" s="5">
        <f t="shared" si="1"/>
        <v>15824.5</v>
      </c>
      <c r="K46" s="5">
        <f t="shared" si="1"/>
        <v>15889</v>
      </c>
      <c r="L46" s="5">
        <f t="shared" si="1"/>
        <v>15989.33702828467</v>
      </c>
      <c r="M46" s="5">
        <f t="shared" si="1"/>
        <v>16090.341276984602</v>
      </c>
    </row>
    <row r="47" spans="1:14" x14ac:dyDescent="0.2">
      <c r="A47" t="s">
        <v>33</v>
      </c>
      <c r="B47" s="5">
        <f>+B15+B19+B23+B28+B33+B37+B42</f>
        <v>238667221</v>
      </c>
      <c r="C47" s="5">
        <f t="shared" ref="C47:M47" si="2">+C15+C19+C23+C28+C33+C37+C42</f>
        <v>219820870</v>
      </c>
      <c r="D47" s="5">
        <f t="shared" si="2"/>
        <v>246426601</v>
      </c>
      <c r="E47" s="5">
        <f t="shared" si="2"/>
        <v>242876722</v>
      </c>
      <c r="F47" s="5">
        <f t="shared" si="2"/>
        <v>239102776</v>
      </c>
      <c r="G47" s="5">
        <f t="shared" si="2"/>
        <v>242792191</v>
      </c>
      <c r="H47" s="5">
        <f t="shared" si="2"/>
        <v>237860654.56</v>
      </c>
      <c r="I47" s="5">
        <f t="shared" si="2"/>
        <v>234104539.5</v>
      </c>
      <c r="J47" s="5">
        <f t="shared" si="2"/>
        <v>239605809.73000002</v>
      </c>
      <c r="K47" s="5">
        <f>+K15+K19+K23+K28+K33+K37+K42</f>
        <v>237588161.69</v>
      </c>
      <c r="L47" s="5">
        <f t="shared" si="2"/>
        <v>240425961.1667386</v>
      </c>
      <c r="M47" s="5">
        <f t="shared" si="2"/>
        <v>241417091.70779774</v>
      </c>
      <c r="N47" s="101"/>
    </row>
    <row r="48" spans="1:14" x14ac:dyDescent="0.2">
      <c r="A48" t="s">
        <v>36</v>
      </c>
      <c r="B48" s="5">
        <f>B24+B29+B38+B43</f>
        <v>311669.59999999998</v>
      </c>
      <c r="C48" s="5">
        <f t="shared" ref="C48:M48" si="3">C24+C29+C38+C43</f>
        <v>336599</v>
      </c>
      <c r="D48" s="5">
        <f t="shared" si="3"/>
        <v>323321</v>
      </c>
      <c r="E48" s="5">
        <f t="shared" si="3"/>
        <v>344380</v>
      </c>
      <c r="F48" s="5">
        <f t="shared" si="3"/>
        <v>270485</v>
      </c>
      <c r="G48" s="5">
        <f t="shared" si="3"/>
        <v>350361</v>
      </c>
      <c r="H48" s="5">
        <f t="shared" si="3"/>
        <v>284394.07</v>
      </c>
      <c r="I48" s="5">
        <f t="shared" si="3"/>
        <v>346446.57</v>
      </c>
      <c r="J48" s="5">
        <f t="shared" si="3"/>
        <v>328668.60000000003</v>
      </c>
      <c r="K48" s="5">
        <f t="shared" si="3"/>
        <v>322896.99</v>
      </c>
      <c r="L48" s="5">
        <f t="shared" si="3"/>
        <v>324534.50374077458</v>
      </c>
      <c r="M48" s="5">
        <f t="shared" si="3"/>
        <v>324639.05075689591</v>
      </c>
      <c r="N48" s="101"/>
    </row>
    <row r="49" spans="1:15" x14ac:dyDescent="0.2">
      <c r="C49" s="38"/>
      <c r="D49" s="1"/>
      <c r="E49" s="1"/>
      <c r="F49" s="1"/>
    </row>
    <row r="50" spans="1:15" x14ac:dyDescent="0.2">
      <c r="A50" t="s">
        <v>37</v>
      </c>
      <c r="B50" s="5">
        <f>'Rate Class Customer Model'!I3</f>
        <v>14740</v>
      </c>
      <c r="C50" s="5">
        <f>'Rate Class Customer Model'!I4</f>
        <v>14754</v>
      </c>
      <c r="D50" s="5">
        <f>'Rate Class Customer Model'!I5</f>
        <v>15072.5</v>
      </c>
      <c r="E50" s="5">
        <f>'Rate Class Customer Model'!I6</f>
        <v>15358.5</v>
      </c>
      <c r="F50" s="5">
        <f>'Rate Class Customer Model'!I7</f>
        <v>15523.5</v>
      </c>
      <c r="G50" s="5">
        <f>'Rate Class Customer Model'!I8</f>
        <v>15635.25</v>
      </c>
      <c r="H50" s="5">
        <f>'Rate Class Customer Model'!I9</f>
        <v>15676.125</v>
      </c>
      <c r="I50" s="5">
        <f>'Rate Class Customer Model'!I10</f>
        <v>15750.375</v>
      </c>
      <c r="J50" s="5">
        <f>'Rate Class Customer Model'!I11</f>
        <v>15824.5</v>
      </c>
      <c r="K50" s="5">
        <f>'Rate Class Customer Model'!I12</f>
        <v>15889</v>
      </c>
      <c r="L50" s="5">
        <f>'Rate Class Customer Model'!I13</f>
        <v>15989.33702828467</v>
      </c>
      <c r="M50" s="5">
        <f>'Rate Class Customer Model'!I14</f>
        <v>16090.341276984602</v>
      </c>
    </row>
    <row r="51" spans="1:15" x14ac:dyDescent="0.2">
      <c r="A51" t="s">
        <v>33</v>
      </c>
      <c r="B51" s="5">
        <f>B10</f>
        <v>238667221</v>
      </c>
      <c r="C51" s="5">
        <f t="shared" ref="C51:M51" si="4">C10</f>
        <v>219820870</v>
      </c>
      <c r="D51" s="5">
        <f t="shared" si="4"/>
        <v>246426601</v>
      </c>
      <c r="E51" s="5">
        <f t="shared" si="4"/>
        <v>242876722</v>
      </c>
      <c r="F51" s="5">
        <f t="shared" si="4"/>
        <v>239102776</v>
      </c>
      <c r="G51" s="5">
        <f t="shared" si="4"/>
        <v>242792191</v>
      </c>
      <c r="H51" s="5">
        <f t="shared" si="4"/>
        <v>237860654.56</v>
      </c>
      <c r="I51" s="5">
        <f t="shared" si="4"/>
        <v>234104539.5</v>
      </c>
      <c r="J51" s="5">
        <f t="shared" si="4"/>
        <v>239605809.73000002</v>
      </c>
      <c r="K51" s="5">
        <f t="shared" si="4"/>
        <v>237588161.69</v>
      </c>
      <c r="L51" s="5">
        <f t="shared" si="4"/>
        <v>240425961.1667386</v>
      </c>
      <c r="M51" s="5">
        <f t="shared" si="4"/>
        <v>241417091.70779774</v>
      </c>
      <c r="N51" s="101"/>
    </row>
    <row r="52" spans="1:15" x14ac:dyDescent="0.2">
      <c r="A52" t="s">
        <v>36</v>
      </c>
      <c r="B52" s="5">
        <f>'Rate Class Load Model'!F2</f>
        <v>311669.59999999998</v>
      </c>
      <c r="C52" s="5">
        <f>'Rate Class Load Model'!F3</f>
        <v>336599</v>
      </c>
      <c r="D52" s="5">
        <f>'Rate Class Load Model'!F4</f>
        <v>323321</v>
      </c>
      <c r="E52" s="5">
        <f>'Rate Class Load Model'!F5</f>
        <v>344380</v>
      </c>
      <c r="F52" s="5">
        <f>'Rate Class Load Model'!F6</f>
        <v>270485</v>
      </c>
      <c r="G52" s="5">
        <f>'Rate Class Load Model'!F7</f>
        <v>350361</v>
      </c>
      <c r="H52" s="5">
        <f>'Rate Class Load Model'!F8</f>
        <v>284394.07</v>
      </c>
      <c r="I52" s="5">
        <f>'Rate Class Load Model'!F9</f>
        <v>346446.57</v>
      </c>
      <c r="J52" s="5">
        <f>'Rate Class Load Model'!F10</f>
        <v>328668.60000000003</v>
      </c>
      <c r="K52" s="5">
        <f>'Rate Class Load Model'!F11</f>
        <v>322896.99</v>
      </c>
      <c r="L52" s="5">
        <f>'Rate Class Load Model'!F12</f>
        <v>324534.50374077458</v>
      </c>
      <c r="M52" s="5">
        <f>'Rate Class Load Model'!F13</f>
        <v>324639.05075689591</v>
      </c>
      <c r="N52" s="101"/>
      <c r="O52" s="30"/>
    </row>
    <row r="54" spans="1:15" hidden="1" x14ac:dyDescent="0.2">
      <c r="A54" t="s">
        <v>37</v>
      </c>
      <c r="H54" s="5">
        <f>'Rate Class Load Model'!F12</f>
        <v>324534.50374077458</v>
      </c>
      <c r="I54" s="5" t="e">
        <f>#REF!</f>
        <v>#REF!</v>
      </c>
      <c r="J54" s="5"/>
      <c r="K54" s="5"/>
      <c r="L54" s="5" t="e">
        <f>#REF!</f>
        <v>#REF!</v>
      </c>
      <c r="M54" s="5" t="e">
        <f>#REF!</f>
        <v>#REF!</v>
      </c>
    </row>
    <row r="55" spans="1:15" hidden="1" x14ac:dyDescent="0.2">
      <c r="A55" t="s">
        <v>33</v>
      </c>
      <c r="H55" s="5">
        <f>'Rate Class Load Model'!F13</f>
        <v>324639.05075689591</v>
      </c>
      <c r="I55" s="5" t="e">
        <f>#REF!</f>
        <v>#REF!</v>
      </c>
      <c r="J55" s="5"/>
      <c r="K55" s="5"/>
      <c r="L55" s="5" t="e">
        <f>#REF!</f>
        <v>#REF!</v>
      </c>
      <c r="M55" s="5" t="e">
        <f>#REF!</f>
        <v>#REF!</v>
      </c>
    </row>
    <row r="56" spans="1:15" hidden="1" x14ac:dyDescent="0.2">
      <c r="A56" t="s">
        <v>36</v>
      </c>
      <c r="H56" s="5">
        <f>'Rate Class Load Model'!F14</f>
        <v>0</v>
      </c>
      <c r="I56" s="5" t="e">
        <f>#REF!</f>
        <v>#REF!</v>
      </c>
      <c r="J56" s="5"/>
      <c r="K56" s="5"/>
      <c r="L56" s="5" t="e">
        <f>#REF!</f>
        <v>#REF!</v>
      </c>
      <c r="M56" s="5" t="e">
        <f>#REF!</f>
        <v>#REF!</v>
      </c>
    </row>
    <row r="57" spans="1:15" hidden="1" x14ac:dyDescent="0.2">
      <c r="H57" s="5">
        <f>'Rate Class Load Model'!F15</f>
        <v>0</v>
      </c>
    </row>
    <row r="58" spans="1:15" hidden="1" x14ac:dyDescent="0.2">
      <c r="A58" t="s">
        <v>37</v>
      </c>
      <c r="H58" s="5">
        <f>'Rate Class Load Model'!F16</f>
        <v>0</v>
      </c>
      <c r="I58" s="5" t="e">
        <f>#REF!-I54</f>
        <v>#REF!</v>
      </c>
      <c r="J58" s="5"/>
      <c r="K58" s="5"/>
      <c r="L58" s="5" t="e">
        <f>#REF!-L54</f>
        <v>#REF!</v>
      </c>
      <c r="M58" s="5" t="e">
        <f>#REF!-M54</f>
        <v>#REF!</v>
      </c>
    </row>
    <row r="59" spans="1:15" hidden="1" x14ac:dyDescent="0.2">
      <c r="A59" t="s">
        <v>33</v>
      </c>
      <c r="H59" s="5">
        <f>'Rate Class Load Model'!F17</f>
        <v>0</v>
      </c>
      <c r="I59" s="5" t="e">
        <f>#REF!-I55</f>
        <v>#REF!</v>
      </c>
      <c r="J59" s="5"/>
      <c r="K59" s="5"/>
      <c r="L59" s="5" t="e">
        <f>#REF!-L55</f>
        <v>#REF!</v>
      </c>
      <c r="M59" s="5" t="e">
        <f>#REF!-M55</f>
        <v>#REF!</v>
      </c>
    </row>
    <row r="60" spans="1:15" hidden="1" x14ac:dyDescent="0.2">
      <c r="A60" t="s">
        <v>36</v>
      </c>
      <c r="H60" s="5">
        <f>'Rate Class Load Model'!F18</f>
        <v>0</v>
      </c>
      <c r="I60" s="5" t="e">
        <f>#REF!-I56</f>
        <v>#REF!</v>
      </c>
      <c r="J60" s="5"/>
      <c r="K60" s="5"/>
      <c r="L60" s="5" t="e">
        <f>#REF!-L56</f>
        <v>#REF!</v>
      </c>
      <c r="M60" s="5" t="e">
        <f>#REF!-M56</f>
        <v>#REF!</v>
      </c>
    </row>
    <row r="61" spans="1:15" hidden="1" x14ac:dyDescent="0.2">
      <c r="H61" s="5">
        <f>'Rate Class Load Model'!F19</f>
        <v>0</v>
      </c>
    </row>
    <row r="62" spans="1:15" x14ac:dyDescent="0.2">
      <c r="A62" s="37" t="s">
        <v>10</v>
      </c>
      <c r="H62" s="5"/>
    </row>
    <row r="63" spans="1:15" x14ac:dyDescent="0.2">
      <c r="A63" t="s">
        <v>37</v>
      </c>
      <c r="B63" s="5">
        <f>B46-B50</f>
        <v>0</v>
      </c>
      <c r="C63" s="5">
        <f t="shared" ref="C63:M63" si="5">C46-C50</f>
        <v>0</v>
      </c>
      <c r="D63" s="5">
        <f t="shared" si="5"/>
        <v>0</v>
      </c>
      <c r="E63" s="5">
        <f t="shared" si="5"/>
        <v>0</v>
      </c>
      <c r="F63" s="5">
        <f t="shared" si="5"/>
        <v>0</v>
      </c>
      <c r="G63" s="5">
        <f t="shared" si="5"/>
        <v>0</v>
      </c>
      <c r="H63" s="5">
        <f t="shared" si="5"/>
        <v>0</v>
      </c>
      <c r="I63" s="5">
        <f t="shared" si="5"/>
        <v>0</v>
      </c>
      <c r="J63" s="5">
        <f t="shared" si="5"/>
        <v>0</v>
      </c>
      <c r="K63" s="5">
        <f t="shared" si="5"/>
        <v>0</v>
      </c>
      <c r="L63" s="5">
        <f t="shared" si="5"/>
        <v>0</v>
      </c>
      <c r="M63" s="5">
        <f t="shared" si="5"/>
        <v>0</v>
      </c>
    </row>
    <row r="64" spans="1:15" x14ac:dyDescent="0.2">
      <c r="A64" t="s">
        <v>33</v>
      </c>
      <c r="B64" s="5">
        <f>B47-B51</f>
        <v>0</v>
      </c>
      <c r="C64" s="5">
        <f t="shared" ref="C64:M64" si="6">C47-C51</f>
        <v>0</v>
      </c>
      <c r="D64" s="5">
        <f t="shared" si="6"/>
        <v>0</v>
      </c>
      <c r="E64" s="5">
        <f t="shared" si="6"/>
        <v>0</v>
      </c>
      <c r="F64" s="5">
        <f t="shared" si="6"/>
        <v>0</v>
      </c>
      <c r="G64" s="5">
        <f t="shared" si="6"/>
        <v>0</v>
      </c>
      <c r="H64" s="5">
        <f t="shared" si="6"/>
        <v>0</v>
      </c>
      <c r="I64" s="5">
        <f t="shared" si="6"/>
        <v>0</v>
      </c>
      <c r="J64" s="5">
        <f t="shared" si="6"/>
        <v>0</v>
      </c>
      <c r="K64" s="5">
        <f>K47-K51</f>
        <v>0</v>
      </c>
      <c r="L64" s="5">
        <f t="shared" si="6"/>
        <v>0</v>
      </c>
      <c r="M64" s="5">
        <f t="shared" si="6"/>
        <v>0</v>
      </c>
    </row>
    <row r="65" spans="1:13" x14ac:dyDescent="0.2">
      <c r="A65" t="s">
        <v>36</v>
      </c>
      <c r="B65" s="5">
        <f>B48-B52</f>
        <v>0</v>
      </c>
      <c r="C65" s="5">
        <f t="shared" ref="C65:M65" si="7">C48-C52</f>
        <v>0</v>
      </c>
      <c r="D65" s="5">
        <f t="shared" si="7"/>
        <v>0</v>
      </c>
      <c r="E65" s="5">
        <f t="shared" si="7"/>
        <v>0</v>
      </c>
      <c r="F65" s="5">
        <f t="shared" si="7"/>
        <v>0</v>
      </c>
      <c r="G65" s="5">
        <f t="shared" si="7"/>
        <v>0</v>
      </c>
      <c r="H65" s="5">
        <f t="shared" si="7"/>
        <v>0</v>
      </c>
      <c r="I65" s="5">
        <f t="shared" si="7"/>
        <v>0</v>
      </c>
      <c r="J65" s="5">
        <f t="shared" si="7"/>
        <v>0</v>
      </c>
      <c r="K65" s="5">
        <f t="shared" si="7"/>
        <v>0</v>
      </c>
      <c r="L65" s="5">
        <f t="shared" si="7"/>
        <v>0</v>
      </c>
      <c r="M65" s="5">
        <f t="shared" si="7"/>
        <v>0</v>
      </c>
    </row>
    <row r="67" spans="1:13" x14ac:dyDescent="0.2">
      <c r="H67" s="30">
        <f>H15+H19+H23</f>
        <v>191181256.56</v>
      </c>
      <c r="I67" s="30">
        <f>I15+I19+I23</f>
        <v>185095490.22</v>
      </c>
      <c r="J67" s="30">
        <f t="shared" ref="J67" si="8">J15+J19+J23</f>
        <v>191507280.68000001</v>
      </c>
      <c r="K67" s="30">
        <f>K15+K19+K23</f>
        <v>194093230.50999999</v>
      </c>
      <c r="L67" s="30">
        <f>L15+L19+L23</f>
        <v>196926643.62142828</v>
      </c>
      <c r="M67" s="30">
        <f>M15+M19+M23</f>
        <v>197913231.40756196</v>
      </c>
    </row>
    <row r="68" spans="1:13" x14ac:dyDescent="0.2">
      <c r="H68" s="30"/>
    </row>
    <row r="69" spans="1:13" x14ac:dyDescent="0.2">
      <c r="C69" s="100">
        <f>(C47-B47)/B47</f>
        <v>-7.8964974415150199E-2</v>
      </c>
      <c r="D69" s="100">
        <f t="shared" ref="D69:M69" si="9">(D47-C47)/C47</f>
        <v>0.12103368984027768</v>
      </c>
      <c r="E69" s="100">
        <f t="shared" si="9"/>
        <v>-1.4405421271869915E-2</v>
      </c>
      <c r="F69" s="100">
        <f t="shared" si="9"/>
        <v>-1.5538524931178872E-2</v>
      </c>
      <c r="G69" s="100">
        <f t="shared" si="9"/>
        <v>1.5430247451413947E-2</v>
      </c>
      <c r="H69" s="100">
        <f t="shared" si="9"/>
        <v>-2.0311758873661621E-2</v>
      </c>
      <c r="I69" s="100">
        <f t="shared" si="9"/>
        <v>-1.579124158616375E-2</v>
      </c>
      <c r="J69" s="100">
        <f>(J47-I47)/I47</f>
        <v>2.349920356841273E-2</v>
      </c>
      <c r="K69" s="100">
        <f t="shared" si="9"/>
        <v>-8.4206974875676421E-3</v>
      </c>
      <c r="L69" s="100">
        <f t="shared" si="9"/>
        <v>1.1944195605340399E-2</v>
      </c>
      <c r="M69" s="100">
        <f t="shared" si="9"/>
        <v>4.1223940054118122E-3</v>
      </c>
    </row>
    <row r="70" spans="1:13" x14ac:dyDescent="0.2">
      <c r="C70" s="100">
        <f>(C48-B48)/B48</f>
        <v>7.9986626863832802E-2</v>
      </c>
      <c r="D70" s="100">
        <f t="shared" ref="D70" si="10">(D48-C48)/C48</f>
        <v>-3.944753252386371E-2</v>
      </c>
      <c r="E70" s="100">
        <f t="shared" ref="E70" si="11">(E48-D48)/D48</f>
        <v>6.5133412305417832E-2</v>
      </c>
      <c r="F70" s="100">
        <f t="shared" ref="F70" si="12">(F48-E48)/E48</f>
        <v>-0.21457401707416227</v>
      </c>
      <c r="G70" s="100">
        <f t="shared" ref="G70" si="13">(G48-F48)/F48</f>
        <v>0.29530657892304563</v>
      </c>
      <c r="H70" s="100">
        <f t="shared" ref="H70" si="14">(H48-G48)/G48</f>
        <v>-0.18828274265685963</v>
      </c>
      <c r="I70" s="100">
        <f t="shared" ref="I70" si="15">(I48-H48)/H48</f>
        <v>0.2181919615975115</v>
      </c>
      <c r="J70" s="100">
        <f t="shared" ref="J70" si="16">(J48-I48)/I48</f>
        <v>-5.1315185484445615E-2</v>
      </c>
      <c r="K70" s="100">
        <f>(K48-J48)/J48</f>
        <v>-1.7560576215677567E-2</v>
      </c>
      <c r="L70" s="100">
        <f>(L48-K48)/K48</f>
        <v>5.0713193107640719E-3</v>
      </c>
      <c r="M70" s="100">
        <f>(M48-L48)/L48</f>
        <v>3.2214453291178779E-4</v>
      </c>
    </row>
  </sheetData>
  <phoneticPr fontId="0" type="noConversion"/>
  <pageMargins left="0.38" right="0.75" top="0.73" bottom="0.74" header="0.5" footer="0.5"/>
  <pageSetup scale="62" fitToHeight="2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F196"/>
  <sheetViews>
    <sheetView zoomScale="80" zoomScaleNormal="8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21" sqref="B21"/>
    </sheetView>
  </sheetViews>
  <sheetFormatPr defaultRowHeight="12.75" x14ac:dyDescent="0.2"/>
  <cols>
    <col min="1" max="1" width="11.85546875" style="21" customWidth="1"/>
    <col min="2" max="5" width="16.85546875" style="5" customWidth="1"/>
    <col min="6" max="7" width="11.5703125" style="1" customWidth="1"/>
    <col min="8" max="9" width="13" style="1" customWidth="1"/>
    <col min="10" max="10" width="13" style="1" hidden="1" customWidth="1"/>
    <col min="11" max="11" width="15.5703125" style="1" bestFit="1" customWidth="1"/>
    <col min="12" max="12" width="18.42578125" style="1" customWidth="1"/>
    <col min="13" max="13" width="19" style="1" customWidth="1"/>
    <col min="14" max="14" width="8.42578125" style="1" customWidth="1"/>
    <col min="15" max="15" width="21.140625" style="1" customWidth="1"/>
    <col min="16" max="16" width="18" style="1" customWidth="1"/>
    <col min="17" max="17" width="21.140625" style="1" customWidth="1"/>
    <col min="18" max="18" width="4.85546875" style="1" customWidth="1"/>
    <col min="19" max="19" width="44.42578125" customWidth="1"/>
    <col min="20" max="20" width="22" customWidth="1"/>
    <col min="21" max="27" width="12.5703125" customWidth="1"/>
    <col min="28" max="28" width="42.42578125" bestFit="1" customWidth="1"/>
    <col min="29" max="29" width="15.5703125" bestFit="1" customWidth="1"/>
    <col min="30" max="30" width="26.140625" bestFit="1" customWidth="1"/>
    <col min="31" max="31" width="23" bestFit="1" customWidth="1"/>
    <col min="34" max="34" width="40.5703125" bestFit="1" customWidth="1"/>
    <col min="35" max="35" width="42.85546875" bestFit="1" customWidth="1"/>
  </cols>
  <sheetData>
    <row r="1" spans="1:32" x14ac:dyDescent="0.2">
      <c r="AB1" s="70"/>
      <c r="AC1" s="70"/>
      <c r="AD1" s="70"/>
      <c r="AE1" s="70"/>
      <c r="AF1" s="70"/>
    </row>
    <row r="2" spans="1:32" ht="38.25" x14ac:dyDescent="0.2">
      <c r="A2" s="65" t="s">
        <v>56</v>
      </c>
      <c r="B2" s="66" t="s">
        <v>46</v>
      </c>
      <c r="C2" s="110" t="s">
        <v>115</v>
      </c>
      <c r="D2" s="110" t="s">
        <v>116</v>
      </c>
      <c r="E2" s="110" t="s">
        <v>117</v>
      </c>
      <c r="F2" s="67" t="s">
        <v>103</v>
      </c>
      <c r="G2" s="67" t="s">
        <v>104</v>
      </c>
      <c r="H2" s="68" t="s">
        <v>101</v>
      </c>
      <c r="I2" s="88" t="s">
        <v>102</v>
      </c>
      <c r="J2" s="172" t="s">
        <v>150</v>
      </c>
      <c r="K2" s="67" t="s">
        <v>6</v>
      </c>
      <c r="L2" s="69" t="s">
        <v>89</v>
      </c>
      <c r="M2" s="67" t="s">
        <v>90</v>
      </c>
      <c r="N2" s="67" t="s">
        <v>91</v>
      </c>
      <c r="O2" s="84" t="s">
        <v>92</v>
      </c>
      <c r="P2" s="84" t="s">
        <v>93</v>
      </c>
      <c r="Q2" s="84" t="s">
        <v>94</v>
      </c>
      <c r="R2"/>
      <c r="S2" t="s">
        <v>11</v>
      </c>
      <c r="AB2" s="70"/>
      <c r="AC2" s="70"/>
      <c r="AD2" s="70"/>
      <c r="AE2" s="70"/>
      <c r="AF2" s="70"/>
    </row>
    <row r="3" spans="1:32" ht="13.5" thickBot="1" x14ac:dyDescent="0.25">
      <c r="A3" s="42">
        <v>42400</v>
      </c>
      <c r="B3" s="43">
        <f>Inputs!D24</f>
        <v>22228058.690000001</v>
      </c>
      <c r="C3" s="111">
        <f>Inputs!E24</f>
        <v>234806</v>
      </c>
      <c r="D3" s="111">
        <f>B3+C3</f>
        <v>22462864.690000001</v>
      </c>
      <c r="E3" s="111">
        <f>Inputs!C24</f>
        <v>11667.5</v>
      </c>
      <c r="F3" s="108">
        <v>31</v>
      </c>
      <c r="G3" s="92">
        <v>0</v>
      </c>
      <c r="H3" s="89">
        <v>627.79999999999995</v>
      </c>
      <c r="I3" s="89">
        <v>0</v>
      </c>
      <c r="J3" s="173">
        <v>0</v>
      </c>
      <c r="K3" s="112">
        <f>$T$18+$T$19*E3+$T$20*F3+$T$21*G3+$T$22*H3+$T$23*I3</f>
        <v>21349646.926356368</v>
      </c>
      <c r="L3" s="26">
        <f t="shared" ref="L3:L34" si="0">K3-B3</f>
        <v>-878411.76364363357</v>
      </c>
      <c r="M3" s="35">
        <f>L3/B3</f>
        <v>-3.9518150275481098E-2</v>
      </c>
      <c r="N3" s="9">
        <f>ABS(M3)</f>
        <v>3.9518150275481098E-2</v>
      </c>
      <c r="O3" s="90">
        <f>L3*L3</f>
        <v>771607226507.5188</v>
      </c>
      <c r="P3" s="9"/>
      <c r="Q3" s="9"/>
      <c r="R3" s="9"/>
      <c r="AB3" s="70"/>
      <c r="AC3" s="70"/>
      <c r="AD3" s="70"/>
      <c r="AE3" s="70"/>
      <c r="AF3" s="70"/>
    </row>
    <row r="4" spans="1:32" x14ac:dyDescent="0.2">
      <c r="A4" s="42">
        <v>42429</v>
      </c>
      <c r="B4" s="43">
        <f>Inputs!D25</f>
        <v>19954896.940000001</v>
      </c>
      <c r="C4" s="111">
        <f>Inputs!E25</f>
        <v>297475</v>
      </c>
      <c r="D4" s="111">
        <f t="shared" ref="D4:D67" si="1">B4+C4</f>
        <v>20252371.940000001</v>
      </c>
      <c r="E4" s="111">
        <f>Inputs!C25</f>
        <v>11667.5</v>
      </c>
      <c r="F4" s="108">
        <v>29</v>
      </c>
      <c r="G4" s="92">
        <v>0</v>
      </c>
      <c r="H4" s="89">
        <v>550.20000000000005</v>
      </c>
      <c r="I4" s="89">
        <v>0</v>
      </c>
      <c r="J4" s="173">
        <v>0</v>
      </c>
      <c r="K4" s="112">
        <f t="shared" ref="K4:K67" si="2">$T$18+$T$19*E4+$T$20*F4+$T$21*G4+$T$22*H4+$T$23*I4</f>
        <v>19316660.237047177</v>
      </c>
      <c r="L4" s="26">
        <f t="shared" si="0"/>
        <v>-638236.70295282453</v>
      </c>
      <c r="M4" s="35">
        <f t="shared" ref="M4:M67" si="3">L4/B4</f>
        <v>-3.1983963879736503E-2</v>
      </c>
      <c r="N4" s="9">
        <f t="shared" ref="N4:N67" si="4">ABS(M4)</f>
        <v>3.1983963879736503E-2</v>
      </c>
      <c r="O4" s="90">
        <f t="shared" ref="O4:O67" si="5">L4*L4</f>
        <v>407346088996.09198</v>
      </c>
      <c r="P4" s="90">
        <f>L4-L3</f>
        <v>240175.06069080904</v>
      </c>
      <c r="Q4" s="90">
        <f>P4*P4</f>
        <v>57684059777.833809</v>
      </c>
      <c r="R4" s="9"/>
      <c r="S4" s="127" t="s">
        <v>12</v>
      </c>
      <c r="T4" s="127"/>
      <c r="AB4" s="70"/>
      <c r="AC4" s="70"/>
      <c r="AD4" s="70"/>
      <c r="AE4" s="70"/>
      <c r="AF4" s="70"/>
    </row>
    <row r="5" spans="1:32" x14ac:dyDescent="0.2">
      <c r="A5" s="42">
        <v>42460</v>
      </c>
      <c r="B5" s="43">
        <f>Inputs!D26</f>
        <v>19222037.66</v>
      </c>
      <c r="C5" s="111">
        <f>Inputs!E26</f>
        <v>355013</v>
      </c>
      <c r="D5" s="111">
        <f t="shared" si="1"/>
        <v>19577050.66</v>
      </c>
      <c r="E5" s="111">
        <f>Inputs!C26</f>
        <v>11667.5</v>
      </c>
      <c r="F5" s="108">
        <v>31</v>
      </c>
      <c r="G5" s="92">
        <v>1</v>
      </c>
      <c r="H5" s="89">
        <v>404.4</v>
      </c>
      <c r="I5" s="89">
        <v>0</v>
      </c>
      <c r="J5" s="173">
        <v>0</v>
      </c>
      <c r="K5" s="112">
        <f t="shared" si="2"/>
        <v>18387012.849657893</v>
      </c>
      <c r="L5" s="26">
        <f t="shared" si="0"/>
        <v>-835024.81034210697</v>
      </c>
      <c r="M5" s="35">
        <f t="shared" si="3"/>
        <v>-4.3441014168843689E-2</v>
      </c>
      <c r="N5" s="9">
        <f t="shared" si="4"/>
        <v>4.3441014168843689E-2</v>
      </c>
      <c r="O5" s="90">
        <f t="shared" si="5"/>
        <v>697266433886.8717</v>
      </c>
      <c r="P5" s="90">
        <f t="shared" ref="P5:P68" si="6">L5-L4</f>
        <v>-196788.10738928244</v>
      </c>
      <c r="Q5" s="90">
        <f t="shared" ref="Q5:Q68" si="7">P5*P5</f>
        <v>38725559209.855759</v>
      </c>
      <c r="R5" s="9"/>
      <c r="S5" t="s">
        <v>13</v>
      </c>
      <c r="T5">
        <v>0.95699588263156699</v>
      </c>
      <c r="AB5" s="70"/>
      <c r="AC5" s="70"/>
      <c r="AD5" s="70"/>
      <c r="AE5" s="70"/>
      <c r="AF5" s="70"/>
    </row>
    <row r="6" spans="1:32" x14ac:dyDescent="0.2">
      <c r="A6" s="42">
        <v>42490</v>
      </c>
      <c r="B6" s="43">
        <f>Inputs!D27</f>
        <v>17539922.890000001</v>
      </c>
      <c r="C6" s="111">
        <f>Inputs!E27</f>
        <v>494348</v>
      </c>
      <c r="D6" s="111">
        <f t="shared" si="1"/>
        <v>18034270.890000001</v>
      </c>
      <c r="E6" s="111">
        <f>Inputs!C27</f>
        <v>11667.5</v>
      </c>
      <c r="F6" s="108">
        <v>30</v>
      </c>
      <c r="G6" s="92">
        <v>1</v>
      </c>
      <c r="H6" s="89">
        <v>332.1</v>
      </c>
      <c r="I6" s="89">
        <v>0</v>
      </c>
      <c r="J6" s="173">
        <v>0</v>
      </c>
      <c r="K6" s="112">
        <f t="shared" si="2"/>
        <v>17159235.594745167</v>
      </c>
      <c r="L6" s="26">
        <f t="shared" si="0"/>
        <v>-380687.295254834</v>
      </c>
      <c r="M6" s="35">
        <f t="shared" si="3"/>
        <v>-2.1704046114813563E-2</v>
      </c>
      <c r="N6" s="9">
        <f t="shared" si="4"/>
        <v>2.1704046114813563E-2</v>
      </c>
      <c r="O6" s="90">
        <f t="shared" si="5"/>
        <v>144922816768.44116</v>
      </c>
      <c r="P6" s="90">
        <f t="shared" si="6"/>
        <v>454337.51508727297</v>
      </c>
      <c r="Q6" s="90">
        <f t="shared" si="7"/>
        <v>206422577615.67801</v>
      </c>
      <c r="R6" s="9"/>
      <c r="S6" t="s">
        <v>14</v>
      </c>
      <c r="T6">
        <v>0.91584111937377188</v>
      </c>
      <c r="AB6" s="70"/>
      <c r="AC6" s="70"/>
      <c r="AD6" s="70"/>
      <c r="AE6" s="70"/>
      <c r="AF6" s="70"/>
    </row>
    <row r="7" spans="1:32" x14ac:dyDescent="0.2">
      <c r="A7" s="42">
        <v>42521</v>
      </c>
      <c r="B7" s="43">
        <f>Inputs!D28</f>
        <v>17888192.079999998</v>
      </c>
      <c r="C7" s="111">
        <f>Inputs!E28</f>
        <v>630932</v>
      </c>
      <c r="D7" s="111">
        <f t="shared" si="1"/>
        <v>18519124.079999998</v>
      </c>
      <c r="E7" s="111">
        <f>Inputs!C28</f>
        <v>11667.5</v>
      </c>
      <c r="F7" s="108">
        <v>31</v>
      </c>
      <c r="G7" s="92">
        <v>1</v>
      </c>
      <c r="H7" s="89">
        <v>126.6</v>
      </c>
      <c r="I7" s="89">
        <v>37.4</v>
      </c>
      <c r="J7" s="173">
        <v>0</v>
      </c>
      <c r="K7" s="112">
        <f t="shared" si="2"/>
        <v>18639377.850516364</v>
      </c>
      <c r="L7" s="26">
        <f t="shared" si="0"/>
        <v>751185.77051636577</v>
      </c>
      <c r="M7" s="35">
        <f t="shared" si="3"/>
        <v>4.1993386875369791E-2</v>
      </c>
      <c r="N7" s="9">
        <f t="shared" si="4"/>
        <v>4.1993386875369791E-2</v>
      </c>
      <c r="O7" s="90">
        <f t="shared" si="5"/>
        <v>564280061826.26611</v>
      </c>
      <c r="P7" s="90">
        <f t="shared" si="6"/>
        <v>1131873.0657711998</v>
      </c>
      <c r="Q7" s="90">
        <f t="shared" si="7"/>
        <v>1281136637018.2947</v>
      </c>
      <c r="R7" s="9"/>
      <c r="S7" t="s">
        <v>15</v>
      </c>
      <c r="T7">
        <v>0.91214994039893726</v>
      </c>
      <c r="AB7" s="70"/>
      <c r="AC7" s="70"/>
      <c r="AD7" s="70"/>
      <c r="AE7" s="70"/>
      <c r="AF7" s="70"/>
    </row>
    <row r="8" spans="1:32" x14ac:dyDescent="0.2">
      <c r="A8" s="42">
        <v>42551</v>
      </c>
      <c r="B8" s="43">
        <f>Inputs!D29</f>
        <v>21176370.850000001</v>
      </c>
      <c r="C8" s="111">
        <f>Inputs!E29</f>
        <v>685810</v>
      </c>
      <c r="D8" s="111">
        <f t="shared" si="1"/>
        <v>21862180.850000001</v>
      </c>
      <c r="E8" s="111">
        <f>Inputs!C29</f>
        <v>11667.5</v>
      </c>
      <c r="F8" s="108">
        <v>30</v>
      </c>
      <c r="G8" s="92">
        <v>0</v>
      </c>
      <c r="H8" s="89">
        <v>6.8</v>
      </c>
      <c r="I8" s="89">
        <v>101.3</v>
      </c>
      <c r="J8" s="173">
        <v>0</v>
      </c>
      <c r="K8" s="112">
        <f t="shared" si="2"/>
        <v>22090379.478045743</v>
      </c>
      <c r="L8" s="26">
        <f t="shared" si="0"/>
        <v>914008.62804574147</v>
      </c>
      <c r="M8" s="35">
        <f t="shared" si="3"/>
        <v>4.3161721832319602E-2</v>
      </c>
      <c r="N8" s="9">
        <f t="shared" si="4"/>
        <v>4.3161721832319602E-2</v>
      </c>
      <c r="O8" s="90">
        <f t="shared" si="5"/>
        <v>835411772142.05859</v>
      </c>
      <c r="P8" s="90">
        <f t="shared" si="6"/>
        <v>162822.8575293757</v>
      </c>
      <c r="Q8" s="90">
        <f t="shared" si="7"/>
        <v>26511282934.031376</v>
      </c>
      <c r="R8" s="9"/>
      <c r="S8" t="s">
        <v>16</v>
      </c>
      <c r="T8">
        <v>858649.39044287126</v>
      </c>
      <c r="AB8" s="70"/>
      <c r="AC8" s="70"/>
      <c r="AD8" s="70"/>
      <c r="AE8" s="70"/>
      <c r="AF8" s="70"/>
    </row>
    <row r="9" spans="1:32" ht="13.5" thickBot="1" x14ac:dyDescent="0.25">
      <c r="A9" s="42">
        <v>42582</v>
      </c>
      <c r="B9" s="43">
        <f>Inputs!D30</f>
        <v>25410950.030000001</v>
      </c>
      <c r="C9" s="111">
        <f>Inputs!E30</f>
        <v>653742</v>
      </c>
      <c r="D9" s="111">
        <f t="shared" si="1"/>
        <v>26064692.030000001</v>
      </c>
      <c r="E9" s="111">
        <f>Inputs!C30</f>
        <v>11667.5</v>
      </c>
      <c r="F9" s="108">
        <v>31</v>
      </c>
      <c r="G9" s="92">
        <v>0</v>
      </c>
      <c r="H9" s="89">
        <v>0</v>
      </c>
      <c r="I9" s="89">
        <v>178.3</v>
      </c>
      <c r="J9" s="173">
        <v>0</v>
      </c>
      <c r="K9" s="112">
        <f>$T$18+$T$19*E9+$T$20*F9+$T$21*G9+$T$22*H9+$T$23*I9</f>
        <v>26946072.358634122</v>
      </c>
      <c r="L9" s="26">
        <f t="shared" si="0"/>
        <v>1535122.3286341205</v>
      </c>
      <c r="M9" s="35">
        <f t="shared" si="3"/>
        <v>6.0411843194440394E-2</v>
      </c>
      <c r="N9" s="9">
        <f t="shared" si="4"/>
        <v>6.0411843194440394E-2</v>
      </c>
      <c r="O9" s="90">
        <f t="shared" si="5"/>
        <v>2356600563871.0449</v>
      </c>
      <c r="P9" s="90">
        <f t="shared" si="6"/>
        <v>621113.70058837906</v>
      </c>
      <c r="Q9" s="90">
        <f t="shared" si="7"/>
        <v>385782229058.59058</v>
      </c>
      <c r="R9" s="9"/>
      <c r="S9" s="125" t="s">
        <v>17</v>
      </c>
      <c r="T9" s="125">
        <v>120</v>
      </c>
      <c r="AB9" s="70"/>
      <c r="AC9" s="70"/>
      <c r="AD9" s="70"/>
      <c r="AE9" s="70"/>
      <c r="AF9" s="70"/>
    </row>
    <row r="10" spans="1:32" x14ac:dyDescent="0.2">
      <c r="A10" s="42">
        <v>42613</v>
      </c>
      <c r="B10" s="43">
        <f>Inputs!D31</f>
        <v>26478809.440000001</v>
      </c>
      <c r="C10" s="111">
        <f>Inputs!E31</f>
        <v>604454</v>
      </c>
      <c r="D10" s="111">
        <f t="shared" si="1"/>
        <v>27083263.440000001</v>
      </c>
      <c r="E10" s="111">
        <f>Inputs!C31</f>
        <v>11667.5</v>
      </c>
      <c r="F10" s="108">
        <v>31</v>
      </c>
      <c r="G10" s="92">
        <v>0</v>
      </c>
      <c r="H10" s="89">
        <v>0</v>
      </c>
      <c r="I10" s="89">
        <v>165.6</v>
      </c>
      <c r="J10" s="173">
        <v>0</v>
      </c>
      <c r="K10" s="112">
        <f t="shared" si="2"/>
        <v>26265418.673551075</v>
      </c>
      <c r="L10" s="26">
        <f t="shared" si="0"/>
        <v>-213390.76644892618</v>
      </c>
      <c r="M10" s="35">
        <f t="shared" si="3"/>
        <v>-8.0589260228055848E-3</v>
      </c>
      <c r="N10" s="9">
        <f t="shared" si="4"/>
        <v>8.0589260228055848E-3</v>
      </c>
      <c r="O10" s="90">
        <f t="shared" si="5"/>
        <v>45535619205.660156</v>
      </c>
      <c r="P10" s="90">
        <f t="shared" si="6"/>
        <v>-1748513.0950830467</v>
      </c>
      <c r="Q10" s="90">
        <f t="shared" si="7"/>
        <v>3057298043676.8955</v>
      </c>
      <c r="R10" s="9"/>
      <c r="AB10" s="70"/>
      <c r="AC10" s="70"/>
      <c r="AD10" s="70"/>
      <c r="AE10" s="70"/>
      <c r="AF10" s="70"/>
    </row>
    <row r="11" spans="1:32" ht="13.5" thickBot="1" x14ac:dyDescent="0.25">
      <c r="A11" s="42">
        <v>42643</v>
      </c>
      <c r="B11" s="43">
        <f>Inputs!D32</f>
        <v>19964495.100000001</v>
      </c>
      <c r="C11" s="111">
        <f>Inputs!E32</f>
        <v>499609</v>
      </c>
      <c r="D11" s="111">
        <f t="shared" si="1"/>
        <v>20464104.100000001</v>
      </c>
      <c r="E11" s="111">
        <f>Inputs!C32</f>
        <v>11667.5</v>
      </c>
      <c r="F11" s="108">
        <v>30</v>
      </c>
      <c r="G11" s="92">
        <v>0</v>
      </c>
      <c r="H11" s="89">
        <v>19.399999999999999</v>
      </c>
      <c r="I11" s="89">
        <v>60.7</v>
      </c>
      <c r="J11" s="173">
        <v>0</v>
      </c>
      <c r="K11" s="112">
        <f t="shared" si="2"/>
        <v>19993899.45510076</v>
      </c>
      <c r="L11" s="26">
        <f t="shared" si="0"/>
        <v>29404.355100758374</v>
      </c>
      <c r="M11" s="35">
        <f t="shared" si="3"/>
        <v>1.4728323933801046E-3</v>
      </c>
      <c r="N11" s="9">
        <f t="shared" si="4"/>
        <v>1.4728323933801046E-3</v>
      </c>
      <c r="O11" s="90">
        <f t="shared" si="5"/>
        <v>864616098.89149499</v>
      </c>
      <c r="P11" s="90">
        <f t="shared" si="6"/>
        <v>242795.12154968455</v>
      </c>
      <c r="Q11" s="90">
        <f t="shared" si="7"/>
        <v>58949471048.326096</v>
      </c>
      <c r="R11" s="9"/>
      <c r="S11" t="s">
        <v>18</v>
      </c>
    </row>
    <row r="12" spans="1:32" x14ac:dyDescent="0.2">
      <c r="A12" s="42">
        <v>42674</v>
      </c>
      <c r="B12" s="43">
        <f>Inputs!D33</f>
        <v>16743811.6</v>
      </c>
      <c r="C12" s="111">
        <f>Inputs!E33</f>
        <v>419947</v>
      </c>
      <c r="D12" s="111">
        <f t="shared" si="1"/>
        <v>17163758.600000001</v>
      </c>
      <c r="E12" s="111">
        <f>Inputs!C33</f>
        <v>11667.5</v>
      </c>
      <c r="F12" s="108">
        <v>31</v>
      </c>
      <c r="G12" s="92">
        <v>1</v>
      </c>
      <c r="H12" s="89">
        <v>173.2</v>
      </c>
      <c r="I12" s="89">
        <v>14.1</v>
      </c>
      <c r="J12" s="173">
        <v>0</v>
      </c>
      <c r="K12" s="112">
        <f t="shared" si="2"/>
        <v>17684524.894534219</v>
      </c>
      <c r="L12" s="26">
        <f t="shared" si="0"/>
        <v>940713.29453421943</v>
      </c>
      <c r="M12" s="35">
        <f t="shared" si="3"/>
        <v>5.6182744825808928E-2</v>
      </c>
      <c r="N12" s="9">
        <f t="shared" si="4"/>
        <v>5.6182744825808928E-2</v>
      </c>
      <c r="O12" s="90">
        <f t="shared" si="5"/>
        <v>884941502513.42505</v>
      </c>
      <c r="P12" s="90">
        <f t="shared" si="6"/>
        <v>911308.93943346106</v>
      </c>
      <c r="Q12" s="90">
        <f t="shared" si="7"/>
        <v>830483983091.3396</v>
      </c>
      <c r="R12" s="9"/>
      <c r="S12" s="126"/>
      <c r="T12" s="126" t="s">
        <v>22</v>
      </c>
      <c r="U12" s="126" t="s">
        <v>23</v>
      </c>
      <c r="V12" s="126" t="s">
        <v>24</v>
      </c>
      <c r="W12" s="126" t="s">
        <v>25</v>
      </c>
      <c r="X12" s="126" t="s">
        <v>26</v>
      </c>
    </row>
    <row r="13" spans="1:32" x14ac:dyDescent="0.2">
      <c r="A13" s="42">
        <v>42704</v>
      </c>
      <c r="B13" s="43">
        <f>Inputs!D34</f>
        <v>17780990.670000002</v>
      </c>
      <c r="C13" s="111">
        <f>Inputs!E34</f>
        <v>308938</v>
      </c>
      <c r="D13" s="111">
        <f t="shared" si="1"/>
        <v>18089928.670000002</v>
      </c>
      <c r="E13" s="111">
        <f>Inputs!C34</f>
        <v>11667.5</v>
      </c>
      <c r="F13" s="108">
        <v>30</v>
      </c>
      <c r="G13" s="92">
        <v>1</v>
      </c>
      <c r="H13" s="89">
        <v>315.3</v>
      </c>
      <c r="I13" s="89">
        <v>0</v>
      </c>
      <c r="J13" s="173">
        <v>0</v>
      </c>
      <c r="K13" s="112">
        <f t="shared" si="2"/>
        <v>17053278.290496312</v>
      </c>
      <c r="L13" s="26">
        <f t="shared" si="0"/>
        <v>-727712.37950368971</v>
      </c>
      <c r="M13" s="35">
        <f t="shared" si="3"/>
        <v>-4.0926424911266746E-2</v>
      </c>
      <c r="N13" s="9">
        <f t="shared" si="4"/>
        <v>4.0926424911266746E-2</v>
      </c>
      <c r="O13" s="90">
        <f t="shared" si="5"/>
        <v>529565307282.92212</v>
      </c>
      <c r="P13" s="90">
        <f t="shared" si="6"/>
        <v>-1668425.6740379091</v>
      </c>
      <c r="Q13" s="90">
        <f t="shared" si="7"/>
        <v>2783644229788.8516</v>
      </c>
      <c r="R13" s="9"/>
      <c r="S13" t="s">
        <v>19</v>
      </c>
      <c r="T13">
        <v>5</v>
      </c>
      <c r="U13">
        <v>914653859699560.38</v>
      </c>
      <c r="V13">
        <v>182930771939912.06</v>
      </c>
      <c r="W13">
        <v>248.11615086066604</v>
      </c>
      <c r="X13">
        <v>1.5803626860482346E-59</v>
      </c>
    </row>
    <row r="14" spans="1:32" x14ac:dyDescent="0.2">
      <c r="A14" s="42">
        <v>42735</v>
      </c>
      <c r="B14" s="43">
        <f>Inputs!D35</f>
        <v>21570625.09</v>
      </c>
      <c r="C14" s="111">
        <f>Inputs!E35</f>
        <v>133539</v>
      </c>
      <c r="D14" s="111">
        <f t="shared" si="1"/>
        <v>21704164.09</v>
      </c>
      <c r="E14" s="111">
        <f>Inputs!C35</f>
        <v>11667.5</v>
      </c>
      <c r="F14" s="108">
        <v>31</v>
      </c>
      <c r="G14" s="92">
        <v>0</v>
      </c>
      <c r="H14" s="89">
        <v>623.20000000000005</v>
      </c>
      <c r="I14" s="89">
        <v>0</v>
      </c>
      <c r="J14" s="173">
        <v>0</v>
      </c>
      <c r="K14" s="112">
        <f t="shared" si="2"/>
        <v>21320634.80733585</v>
      </c>
      <c r="L14" s="26">
        <f t="shared" si="0"/>
        <v>-249990.28266415</v>
      </c>
      <c r="M14" s="35">
        <f t="shared" si="3"/>
        <v>-1.1589385176419567E-2</v>
      </c>
      <c r="N14" s="9">
        <f t="shared" si="4"/>
        <v>1.1589385176419567E-2</v>
      </c>
      <c r="O14" s="90">
        <f t="shared" si="5"/>
        <v>62495141426.501617</v>
      </c>
      <c r="P14" s="90">
        <f t="shared" si="6"/>
        <v>477722.09683953971</v>
      </c>
      <c r="Q14" s="90">
        <f t="shared" si="7"/>
        <v>228218401808.76654</v>
      </c>
      <c r="R14" s="9"/>
      <c r="S14" t="s">
        <v>20</v>
      </c>
      <c r="T14">
        <v>114</v>
      </c>
      <c r="U14">
        <v>84049780430702.25</v>
      </c>
      <c r="V14">
        <v>737278775707.91443</v>
      </c>
    </row>
    <row r="15" spans="1:32" ht="13.5" thickBot="1" x14ac:dyDescent="0.25">
      <c r="A15" s="42">
        <v>42766</v>
      </c>
      <c r="B15" s="43">
        <f>Inputs!D36</f>
        <v>21358692.940000001</v>
      </c>
      <c r="C15" s="111">
        <f>Inputs!E36</f>
        <v>142223</v>
      </c>
      <c r="D15" s="111">
        <f t="shared" si="1"/>
        <v>21500915.940000001</v>
      </c>
      <c r="E15" s="111">
        <f>Inputs!C36</f>
        <v>11718.5</v>
      </c>
      <c r="F15" s="108">
        <v>31</v>
      </c>
      <c r="G15" s="92">
        <f>G3</f>
        <v>0</v>
      </c>
      <c r="H15" s="89">
        <v>567.70000000000005</v>
      </c>
      <c r="I15" s="89">
        <v>0</v>
      </c>
      <c r="J15" s="173">
        <v>0</v>
      </c>
      <c r="K15" s="112">
        <f t="shared" si="2"/>
        <v>21027717.202023949</v>
      </c>
      <c r="L15" s="26">
        <f t="shared" si="0"/>
        <v>-330975.73797605187</v>
      </c>
      <c r="M15" s="35">
        <f t="shared" si="3"/>
        <v>-1.5496067053626168E-2</v>
      </c>
      <c r="N15" s="9">
        <f t="shared" si="4"/>
        <v>1.5496067053626168E-2</v>
      </c>
      <c r="O15" s="90">
        <f t="shared" si="5"/>
        <v>109544939128.79214</v>
      </c>
      <c r="P15" s="90">
        <f t="shared" si="6"/>
        <v>-80985.455311901867</v>
      </c>
      <c r="Q15" s="90">
        <f t="shared" si="7"/>
        <v>6558643972.0760546</v>
      </c>
      <c r="R15" s="9"/>
      <c r="S15" s="125" t="s">
        <v>5</v>
      </c>
      <c r="T15" s="125">
        <v>119</v>
      </c>
      <c r="U15" s="125">
        <v>998703640130262.63</v>
      </c>
      <c r="V15" s="125"/>
      <c r="W15" s="125"/>
      <c r="X15" s="125"/>
    </row>
    <row r="16" spans="1:32" ht="13.5" thickBot="1" x14ac:dyDescent="0.25">
      <c r="A16" s="42">
        <v>42794</v>
      </c>
      <c r="B16" s="43">
        <f>Inputs!D37</f>
        <v>17924355.280000001</v>
      </c>
      <c r="C16" s="111">
        <f>Inputs!E37</f>
        <v>311443</v>
      </c>
      <c r="D16" s="111">
        <f t="shared" si="1"/>
        <v>18235798.280000001</v>
      </c>
      <c r="E16" s="111">
        <f>Inputs!C37</f>
        <v>11718.5</v>
      </c>
      <c r="F16" s="108">
        <v>28</v>
      </c>
      <c r="G16" s="92">
        <f t="shared" ref="G16:G79" si="8">G4</f>
        <v>0</v>
      </c>
      <c r="H16" s="89">
        <v>440.7</v>
      </c>
      <c r="I16" s="89">
        <v>0</v>
      </c>
      <c r="J16" s="173">
        <v>0</v>
      </c>
      <c r="K16" s="112">
        <f t="shared" si="2"/>
        <v>17911383.154665045</v>
      </c>
      <c r="L16" s="26">
        <f t="shared" si="0"/>
        <v>-12972.125334955752</v>
      </c>
      <c r="M16" s="35">
        <f t="shared" si="3"/>
        <v>-7.2371503087924457E-4</v>
      </c>
      <c r="N16" s="9">
        <f t="shared" si="4"/>
        <v>7.2371503087924457E-4</v>
      </c>
      <c r="O16" s="90">
        <f t="shared" si="5"/>
        <v>168276035.70580089</v>
      </c>
      <c r="P16" s="90">
        <f t="shared" si="6"/>
        <v>318003.61264109612</v>
      </c>
      <c r="Q16" s="90">
        <f t="shared" si="7"/>
        <v>101126297652.7883</v>
      </c>
      <c r="R16" s="9"/>
    </row>
    <row r="17" spans="1:27" x14ac:dyDescent="0.2">
      <c r="A17" s="42">
        <v>42825</v>
      </c>
      <c r="B17" s="43">
        <f>Inputs!D38</f>
        <v>19428992.539999999</v>
      </c>
      <c r="C17" s="111">
        <f>Inputs!E38</f>
        <v>418801</v>
      </c>
      <c r="D17" s="111">
        <f t="shared" si="1"/>
        <v>19847793.539999999</v>
      </c>
      <c r="E17" s="111">
        <f>Inputs!C38</f>
        <v>11718.5</v>
      </c>
      <c r="F17" s="108">
        <v>31</v>
      </c>
      <c r="G17" s="92">
        <f t="shared" si="8"/>
        <v>1</v>
      </c>
      <c r="H17" s="89">
        <v>507.3</v>
      </c>
      <c r="I17" s="89">
        <v>0</v>
      </c>
      <c r="J17" s="173">
        <v>0</v>
      </c>
      <c r="K17" s="112">
        <f t="shared" si="2"/>
        <v>19093121.255835202</v>
      </c>
      <c r="L17" s="26">
        <f t="shared" si="0"/>
        <v>-335871.28416479751</v>
      </c>
      <c r="M17" s="35">
        <f t="shared" si="3"/>
        <v>-1.728711787156811E-2</v>
      </c>
      <c r="N17" s="9">
        <f t="shared" si="4"/>
        <v>1.728711787156811E-2</v>
      </c>
      <c r="O17" s="90">
        <f t="shared" si="5"/>
        <v>112809519526.51016</v>
      </c>
      <c r="P17" s="90">
        <f t="shared" si="6"/>
        <v>-322899.15882984176</v>
      </c>
      <c r="Q17" s="90">
        <f t="shared" si="7"/>
        <v>104263866773.01938</v>
      </c>
      <c r="R17" s="9"/>
      <c r="S17" s="126"/>
      <c r="T17" s="126" t="s">
        <v>80</v>
      </c>
      <c r="U17" s="126" t="s">
        <v>16</v>
      </c>
      <c r="V17" s="126" t="s">
        <v>81</v>
      </c>
      <c r="W17" s="126" t="s">
        <v>82</v>
      </c>
      <c r="X17" s="126" t="s">
        <v>83</v>
      </c>
      <c r="Y17" s="126" t="s">
        <v>84</v>
      </c>
      <c r="Z17" s="126" t="s">
        <v>85</v>
      </c>
      <c r="AA17" s="126" t="s">
        <v>86</v>
      </c>
    </row>
    <row r="18" spans="1:27" x14ac:dyDescent="0.2">
      <c r="A18" s="42">
        <v>42855</v>
      </c>
      <c r="B18" s="43">
        <f>Inputs!D39</f>
        <v>15946371.67</v>
      </c>
      <c r="C18" s="111">
        <f>Inputs!E39</f>
        <v>473713</v>
      </c>
      <c r="D18" s="111">
        <f t="shared" si="1"/>
        <v>16420084.67</v>
      </c>
      <c r="E18" s="111">
        <f>Inputs!C39</f>
        <v>11718.5</v>
      </c>
      <c r="F18" s="108">
        <v>30</v>
      </c>
      <c r="G18" s="92">
        <f t="shared" si="8"/>
        <v>1</v>
      </c>
      <c r="H18" s="89">
        <v>200.5</v>
      </c>
      <c r="I18" s="89">
        <v>1</v>
      </c>
      <c r="J18" s="173">
        <v>0</v>
      </c>
      <c r="K18" s="112">
        <f t="shared" si="2"/>
        <v>16439951.407468529</v>
      </c>
      <c r="L18" s="26">
        <f t="shared" si="0"/>
        <v>493579.73746852949</v>
      </c>
      <c r="M18" s="35">
        <f t="shared" si="3"/>
        <v>3.0952479202344434E-2</v>
      </c>
      <c r="N18" s="9">
        <f t="shared" si="4"/>
        <v>3.0952479202344434E-2</v>
      </c>
      <c r="O18" s="90">
        <f t="shared" si="5"/>
        <v>243620957239.5025</v>
      </c>
      <c r="P18" s="90">
        <f t="shared" si="6"/>
        <v>829451.02163332701</v>
      </c>
      <c r="Q18" s="90">
        <f t="shared" si="7"/>
        <v>687988997288.56995</v>
      </c>
      <c r="R18" s="9"/>
      <c r="S18" t="s">
        <v>21</v>
      </c>
      <c r="T18" s="295">
        <v>-19602713.041492179</v>
      </c>
      <c r="U18">
        <v>4302721.9190851049</v>
      </c>
      <c r="V18">
        <v>-4.5558865783407025</v>
      </c>
      <c r="W18">
        <v>1.316622544302633E-5</v>
      </c>
      <c r="X18">
        <v>-28126372.023531683</v>
      </c>
      <c r="Y18">
        <v>-11079054.059452677</v>
      </c>
      <c r="Z18">
        <v>-28126372.023531683</v>
      </c>
      <c r="AA18">
        <v>-11079054.059452677</v>
      </c>
    </row>
    <row r="19" spans="1:27" x14ac:dyDescent="0.2">
      <c r="A19" s="42">
        <v>42886</v>
      </c>
      <c r="B19" s="43">
        <f>Inputs!D40</f>
        <v>16906557.140000001</v>
      </c>
      <c r="C19" s="111">
        <f>Inputs!E40</f>
        <v>826417</v>
      </c>
      <c r="D19" s="111">
        <f t="shared" si="1"/>
        <v>17732974.140000001</v>
      </c>
      <c r="E19" s="111">
        <f>Inputs!C40</f>
        <v>11718.5</v>
      </c>
      <c r="F19" s="108">
        <v>31</v>
      </c>
      <c r="G19" s="92">
        <f t="shared" si="8"/>
        <v>1</v>
      </c>
      <c r="H19" s="89">
        <v>132.30000000000001</v>
      </c>
      <c r="I19" s="89">
        <v>17.899999999999999</v>
      </c>
      <c r="J19" s="173">
        <v>0</v>
      </c>
      <c r="K19" s="112">
        <f t="shared" si="2"/>
        <v>17687349.389941875</v>
      </c>
      <c r="L19" s="26">
        <f t="shared" si="0"/>
        <v>780792.2499418743</v>
      </c>
      <c r="M19" s="35">
        <f t="shared" si="3"/>
        <v>4.6182806083833711E-2</v>
      </c>
      <c r="N19" s="9">
        <f t="shared" si="4"/>
        <v>4.6182806083833711E-2</v>
      </c>
      <c r="O19" s="90">
        <f t="shared" si="5"/>
        <v>609636537569.29431</v>
      </c>
      <c r="P19" s="90">
        <f t="shared" si="6"/>
        <v>287212.5124733448</v>
      </c>
      <c r="Q19" s="90">
        <f t="shared" si="7"/>
        <v>82491027321.251251</v>
      </c>
      <c r="R19" s="9"/>
      <c r="S19" t="s">
        <v>117</v>
      </c>
      <c r="T19" s="295">
        <v>1119.9983853542726</v>
      </c>
      <c r="U19">
        <v>241.13714577314485</v>
      </c>
      <c r="V19">
        <v>4.6446530739313641</v>
      </c>
      <c r="W19">
        <v>9.1930752188469286E-6</v>
      </c>
      <c r="X19">
        <v>642.30755682179051</v>
      </c>
      <c r="Y19">
        <v>1597.6892138867547</v>
      </c>
      <c r="Z19">
        <v>642.30755682179051</v>
      </c>
      <c r="AA19">
        <v>1597.6892138867547</v>
      </c>
    </row>
    <row r="20" spans="1:27" x14ac:dyDescent="0.2">
      <c r="A20" s="42">
        <v>42916</v>
      </c>
      <c r="B20" s="43">
        <f>Inputs!D41</f>
        <v>20456312.949999999</v>
      </c>
      <c r="C20" s="111">
        <f>Inputs!E41</f>
        <v>745371</v>
      </c>
      <c r="D20" s="111">
        <f t="shared" si="1"/>
        <v>21201683.949999999</v>
      </c>
      <c r="E20" s="111">
        <f>Inputs!C41</f>
        <v>11718.5</v>
      </c>
      <c r="F20" s="108">
        <v>30</v>
      </c>
      <c r="G20" s="92">
        <f t="shared" si="8"/>
        <v>0</v>
      </c>
      <c r="H20" s="89">
        <v>9.1999999999999993</v>
      </c>
      <c r="I20" s="89">
        <v>102.5</v>
      </c>
      <c r="J20" s="173">
        <v>0</v>
      </c>
      <c r="K20" s="112">
        <f t="shared" si="2"/>
        <v>22226949.887472246</v>
      </c>
      <c r="L20" s="26">
        <f t="shared" si="0"/>
        <v>1770636.9374722466</v>
      </c>
      <c r="M20" s="35">
        <f t="shared" si="3"/>
        <v>8.6556993031935731E-2</v>
      </c>
      <c r="N20" s="9">
        <f t="shared" si="4"/>
        <v>8.6556993031935731E-2</v>
      </c>
      <c r="O20" s="90">
        <f t="shared" si="5"/>
        <v>3135155164341.0967</v>
      </c>
      <c r="P20" s="90">
        <f t="shared" si="6"/>
        <v>989844.68753037229</v>
      </c>
      <c r="Q20" s="90">
        <f t="shared" si="7"/>
        <v>979792505432.10034</v>
      </c>
      <c r="R20" s="9"/>
      <c r="S20" t="s">
        <v>103</v>
      </c>
      <c r="T20" s="295">
        <v>771782.42769890907</v>
      </c>
      <c r="U20">
        <v>105577.45448498639</v>
      </c>
      <c r="V20">
        <v>7.3101064186829792</v>
      </c>
      <c r="W20">
        <v>3.952124716396047E-11</v>
      </c>
      <c r="X20">
        <v>562634.30352425412</v>
      </c>
      <c r="Y20">
        <v>980930.55187356402</v>
      </c>
      <c r="Z20">
        <v>562634.30352425412</v>
      </c>
      <c r="AA20">
        <v>980930.55187356402</v>
      </c>
    </row>
    <row r="21" spans="1:27" x14ac:dyDescent="0.2">
      <c r="A21" s="42">
        <v>42947</v>
      </c>
      <c r="B21" s="43">
        <f>Inputs!D42</f>
        <v>24127924.170000002</v>
      </c>
      <c r="C21" s="111">
        <f>Inputs!E42</f>
        <v>738146</v>
      </c>
      <c r="D21" s="111">
        <f t="shared" si="1"/>
        <v>24866070.170000002</v>
      </c>
      <c r="E21" s="111">
        <f>Inputs!C42</f>
        <v>11718.5</v>
      </c>
      <c r="F21" s="108">
        <v>31</v>
      </c>
      <c r="G21" s="92">
        <f t="shared" si="8"/>
        <v>0</v>
      </c>
      <c r="H21" s="89">
        <v>0</v>
      </c>
      <c r="I21" s="89">
        <v>137</v>
      </c>
      <c r="J21" s="173">
        <v>0</v>
      </c>
      <c r="K21" s="112">
        <f t="shared" si="2"/>
        <v>24789727.930308465</v>
      </c>
      <c r="L21" s="26">
        <f t="shared" si="0"/>
        <v>661803.76030846313</v>
      </c>
      <c r="M21" s="35">
        <f t="shared" si="3"/>
        <v>2.7428955580494227E-2</v>
      </c>
      <c r="N21" s="9">
        <f t="shared" si="4"/>
        <v>2.7428955580494227E-2</v>
      </c>
      <c r="O21" s="90">
        <f t="shared" si="5"/>
        <v>437984217158.42169</v>
      </c>
      <c r="P21" s="90">
        <f t="shared" si="6"/>
        <v>-1108833.1771637835</v>
      </c>
      <c r="Q21" s="90">
        <f t="shared" si="7"/>
        <v>1229511014779.1304</v>
      </c>
      <c r="R21" s="9"/>
      <c r="S21" t="s">
        <v>104</v>
      </c>
      <c r="T21" s="295">
        <v>-1553654.2094845294</v>
      </c>
      <c r="U21">
        <v>214985.63538073984</v>
      </c>
      <c r="V21">
        <v>-7.2267814858095321</v>
      </c>
      <c r="W21">
        <v>6.0227611381731282E-11</v>
      </c>
      <c r="X21">
        <v>-1979539.0973492216</v>
      </c>
      <c r="Y21">
        <v>-1127769.3216198373</v>
      </c>
      <c r="Z21">
        <v>-1979539.0973492216</v>
      </c>
      <c r="AA21">
        <v>-1127769.3216198373</v>
      </c>
    </row>
    <row r="22" spans="1:27" x14ac:dyDescent="0.2">
      <c r="A22" s="42">
        <v>42978</v>
      </c>
      <c r="B22" s="43">
        <f>Inputs!D43</f>
        <v>20981874.190000001</v>
      </c>
      <c r="C22" s="111">
        <f>Inputs!E43</f>
        <v>688252</v>
      </c>
      <c r="D22" s="111">
        <f t="shared" si="1"/>
        <v>21670126.190000001</v>
      </c>
      <c r="E22" s="111">
        <f>Inputs!C43</f>
        <v>11718.5</v>
      </c>
      <c r="F22" s="108">
        <v>31</v>
      </c>
      <c r="G22" s="92">
        <f t="shared" si="8"/>
        <v>0</v>
      </c>
      <c r="H22" s="89">
        <v>6.7</v>
      </c>
      <c r="I22" s="89">
        <v>80.599999999999994</v>
      </c>
      <c r="J22" s="173">
        <v>0</v>
      </c>
      <c r="K22" s="112">
        <f t="shared" si="2"/>
        <v>21809239.213251129</v>
      </c>
      <c r="L22" s="26">
        <f t="shared" si="0"/>
        <v>827365.02325112745</v>
      </c>
      <c r="M22" s="35">
        <f t="shared" si="3"/>
        <v>3.9432369852138903E-2</v>
      </c>
      <c r="N22" s="9">
        <f t="shared" si="4"/>
        <v>3.9432369852138903E-2</v>
      </c>
      <c r="O22" s="90">
        <f t="shared" si="5"/>
        <v>684532881699.33862</v>
      </c>
      <c r="P22" s="90">
        <f t="shared" si="6"/>
        <v>165561.26294266433</v>
      </c>
      <c r="Q22" s="90">
        <f t="shared" si="7"/>
        <v>27410531787.170036</v>
      </c>
      <c r="R22" s="9"/>
      <c r="S22" t="s">
        <v>101</v>
      </c>
      <c r="T22" s="295">
        <v>6306.9823957652043</v>
      </c>
      <c r="U22">
        <v>566.01727499996059</v>
      </c>
      <c r="V22">
        <v>11.14273834798707</v>
      </c>
      <c r="W22">
        <v>5.9237194142133735E-20</v>
      </c>
      <c r="X22">
        <v>5185.7065334689978</v>
      </c>
      <c r="Y22">
        <v>7428.2582580614107</v>
      </c>
      <c r="Z22">
        <v>5185.7065334689978</v>
      </c>
      <c r="AA22">
        <v>7428.2582580614107</v>
      </c>
    </row>
    <row r="23" spans="1:27" ht="13.5" thickBot="1" x14ac:dyDescent="0.25">
      <c r="A23" s="42">
        <v>43008</v>
      </c>
      <c r="B23" s="43">
        <f>Inputs!D44</f>
        <v>17752578.850000001</v>
      </c>
      <c r="C23" s="111">
        <f>Inputs!E44</f>
        <v>621289</v>
      </c>
      <c r="D23" s="111">
        <f t="shared" si="1"/>
        <v>18373867.850000001</v>
      </c>
      <c r="E23" s="111">
        <f>Inputs!C44</f>
        <v>11718.5</v>
      </c>
      <c r="F23" s="108">
        <v>30</v>
      </c>
      <c r="G23" s="92">
        <f t="shared" si="8"/>
        <v>0</v>
      </c>
      <c r="H23" s="89">
        <v>47.5</v>
      </c>
      <c r="I23" s="89">
        <v>56.4</v>
      </c>
      <c r="J23" s="173">
        <v>0</v>
      </c>
      <c r="K23" s="112">
        <f t="shared" si="2"/>
        <v>19997788.03115695</v>
      </c>
      <c r="L23" s="26">
        <f t="shared" si="0"/>
        <v>2245209.1811569482</v>
      </c>
      <c r="M23" s="35">
        <f t="shared" si="3"/>
        <v>0.12647228327375928</v>
      </c>
      <c r="N23" s="9">
        <f t="shared" si="4"/>
        <v>0.12647228327375928</v>
      </c>
      <c r="O23" s="90">
        <f t="shared" si="5"/>
        <v>5040964267151.4541</v>
      </c>
      <c r="P23" s="90">
        <f t="shared" si="6"/>
        <v>1417844.1579058208</v>
      </c>
      <c r="Q23" s="90">
        <f t="shared" si="7"/>
        <v>2010282056107.666</v>
      </c>
      <c r="R23" s="9"/>
      <c r="S23" s="125" t="s">
        <v>102</v>
      </c>
      <c r="T23" s="296">
        <v>53594.778352995767</v>
      </c>
      <c r="U23" s="125">
        <v>2848.753157779674</v>
      </c>
      <c r="V23" s="125">
        <v>18.813416040148486</v>
      </c>
      <c r="W23" s="125">
        <v>9.428862062914163E-37</v>
      </c>
      <c r="X23" s="125">
        <v>47951.420288599824</v>
      </c>
      <c r="Y23" s="125">
        <v>59238.13641739171</v>
      </c>
      <c r="Z23" s="125">
        <v>47951.420288599824</v>
      </c>
      <c r="AA23" s="125">
        <v>59238.13641739171</v>
      </c>
    </row>
    <row r="24" spans="1:27" x14ac:dyDescent="0.2">
      <c r="A24" s="42">
        <v>43039</v>
      </c>
      <c r="B24" s="43">
        <f>Inputs!D45</f>
        <v>16267869.65</v>
      </c>
      <c r="C24" s="111">
        <f>Inputs!E45</f>
        <v>422987</v>
      </c>
      <c r="D24" s="111">
        <f t="shared" si="1"/>
        <v>16690856.65</v>
      </c>
      <c r="E24" s="111">
        <f>Inputs!C45</f>
        <v>11718.5</v>
      </c>
      <c r="F24" s="108">
        <v>31</v>
      </c>
      <c r="G24" s="92">
        <f t="shared" si="8"/>
        <v>1</v>
      </c>
      <c r="H24" s="89">
        <v>151.6</v>
      </c>
      <c r="I24" s="89">
        <v>12</v>
      </c>
      <c r="J24" s="173">
        <v>0</v>
      </c>
      <c r="K24" s="112">
        <f t="shared" si="2"/>
        <v>17492864.957897469</v>
      </c>
      <c r="L24" s="26">
        <f t="shared" si="0"/>
        <v>1224995.307897469</v>
      </c>
      <c r="M24" s="35">
        <f t="shared" si="3"/>
        <v>7.5301519759685867E-2</v>
      </c>
      <c r="N24" s="9">
        <f t="shared" si="4"/>
        <v>7.5301519759685867E-2</v>
      </c>
      <c r="O24" s="90">
        <f t="shared" si="5"/>
        <v>1500613504370.8149</v>
      </c>
      <c r="P24" s="90">
        <f t="shared" si="6"/>
        <v>-1020213.8732594792</v>
      </c>
      <c r="Q24" s="90">
        <f t="shared" si="7"/>
        <v>1040836347191.1086</v>
      </c>
      <c r="R24" s="9"/>
      <c r="T24" s="128"/>
    </row>
    <row r="25" spans="1:27" x14ac:dyDescent="0.2">
      <c r="A25" s="42">
        <v>43069</v>
      </c>
      <c r="B25" s="43">
        <f>Inputs!D46</f>
        <v>17286540.039999999</v>
      </c>
      <c r="C25" s="111">
        <f>Inputs!E46</f>
        <v>285862</v>
      </c>
      <c r="D25" s="111">
        <f t="shared" si="1"/>
        <v>17572402.039999999</v>
      </c>
      <c r="E25" s="111">
        <f>Inputs!C46</f>
        <v>11718.5</v>
      </c>
      <c r="F25" s="108">
        <v>30</v>
      </c>
      <c r="G25" s="92">
        <f t="shared" si="8"/>
        <v>1</v>
      </c>
      <c r="H25" s="89">
        <v>368.1</v>
      </c>
      <c r="I25" s="89">
        <v>0</v>
      </c>
      <c r="J25" s="173">
        <v>0</v>
      </c>
      <c r="K25" s="112">
        <f t="shared" si="2"/>
        <v>17443406.878645781</v>
      </c>
      <c r="L25" s="26">
        <f t="shared" si="0"/>
        <v>156866.83864578232</v>
      </c>
      <c r="M25" s="35">
        <f t="shared" si="3"/>
        <v>9.0745075812049165E-3</v>
      </c>
      <c r="N25" s="9">
        <f t="shared" si="4"/>
        <v>9.0745075812049165E-3</v>
      </c>
      <c r="O25" s="90">
        <f t="shared" si="5"/>
        <v>24607205066.721905</v>
      </c>
      <c r="P25" s="90">
        <f t="shared" si="6"/>
        <v>-1068128.4692516867</v>
      </c>
      <c r="Q25" s="90">
        <f t="shared" si="7"/>
        <v>1140898426825.9514</v>
      </c>
      <c r="R25" s="9"/>
    </row>
    <row r="26" spans="1:27" x14ac:dyDescent="0.2">
      <c r="A26" s="42">
        <v>43100</v>
      </c>
      <c r="B26" s="43">
        <f>Inputs!D47</f>
        <v>20215407.739999998</v>
      </c>
      <c r="C26" s="111">
        <f>Inputs!E47</f>
        <v>172953</v>
      </c>
      <c r="D26" s="111">
        <f t="shared" si="1"/>
        <v>20388360.739999998</v>
      </c>
      <c r="E26" s="111">
        <f>Inputs!C47</f>
        <v>11718.5</v>
      </c>
      <c r="F26" s="108">
        <v>31</v>
      </c>
      <c r="G26" s="92">
        <f t="shared" si="8"/>
        <v>0</v>
      </c>
      <c r="H26" s="89">
        <v>641.9</v>
      </c>
      <c r="I26" s="89">
        <v>0</v>
      </c>
      <c r="J26" s="173">
        <v>0</v>
      </c>
      <c r="K26" s="112">
        <f t="shared" si="2"/>
        <v>21495695.295789726</v>
      </c>
      <c r="L26" s="26">
        <f t="shared" si="0"/>
        <v>1280287.5557897277</v>
      </c>
      <c r="M26" s="35">
        <f t="shared" si="3"/>
        <v>6.333226478813174E-2</v>
      </c>
      <c r="N26" s="9">
        <f t="shared" si="4"/>
        <v>6.333226478813174E-2</v>
      </c>
      <c r="O26" s="90">
        <f t="shared" si="5"/>
        <v>1639136225510.0352</v>
      </c>
      <c r="P26" s="90">
        <f t="shared" si="6"/>
        <v>1123420.7171439454</v>
      </c>
      <c r="Q26" s="90">
        <f t="shared" si="7"/>
        <v>1262074107708.2166</v>
      </c>
      <c r="R26" s="9"/>
      <c r="S26" t="s">
        <v>109</v>
      </c>
      <c r="T26" s="105">
        <f>N123</f>
        <v>4.145647706707932E-2</v>
      </c>
    </row>
    <row r="27" spans="1:27" x14ac:dyDescent="0.2">
      <c r="A27" s="42">
        <v>43131</v>
      </c>
      <c r="B27" s="43">
        <f>Inputs!D48</f>
        <v>21585922.039999999</v>
      </c>
      <c r="C27" s="111">
        <f>Inputs!E48</f>
        <v>251852</v>
      </c>
      <c r="D27" s="111">
        <f t="shared" si="1"/>
        <v>21837774.039999999</v>
      </c>
      <c r="E27" s="111">
        <f>Inputs!C48</f>
        <v>12013</v>
      </c>
      <c r="F27" s="108">
        <v>31</v>
      </c>
      <c r="G27" s="92">
        <f t="shared" si="8"/>
        <v>0</v>
      </c>
      <c r="H27" s="89">
        <v>705.6</v>
      </c>
      <c r="I27" s="89">
        <v>0</v>
      </c>
      <c r="J27" s="173">
        <v>0</v>
      </c>
      <c r="K27" s="112">
        <f t="shared" si="2"/>
        <v>22227289.598886803</v>
      </c>
      <c r="L27" s="26">
        <f t="shared" si="0"/>
        <v>641367.55888680369</v>
      </c>
      <c r="M27" s="35">
        <f t="shared" si="3"/>
        <v>2.9712307757727995E-2</v>
      </c>
      <c r="N27" s="9">
        <f t="shared" si="4"/>
        <v>2.9712307757727995E-2</v>
      </c>
      <c r="O27" s="90">
        <f t="shared" si="5"/>
        <v>411352345592.4176</v>
      </c>
      <c r="P27" s="90">
        <f t="shared" si="6"/>
        <v>-638919.99690292403</v>
      </c>
      <c r="Q27" s="90">
        <f t="shared" si="7"/>
        <v>408218762442.43243</v>
      </c>
      <c r="S27" t="s">
        <v>110</v>
      </c>
      <c r="T27" s="30">
        <f>Q123</f>
        <v>109264968637175.27</v>
      </c>
    </row>
    <row r="28" spans="1:27" x14ac:dyDescent="0.2">
      <c r="A28" s="42">
        <v>43159</v>
      </c>
      <c r="B28" s="43">
        <f>Inputs!D49</f>
        <v>17656172.989999998</v>
      </c>
      <c r="C28" s="111">
        <f>Inputs!E49</f>
        <v>234936</v>
      </c>
      <c r="D28" s="111">
        <f t="shared" si="1"/>
        <v>17891108.989999998</v>
      </c>
      <c r="E28" s="111">
        <f>Inputs!C49</f>
        <v>12013</v>
      </c>
      <c r="F28" s="108">
        <v>28</v>
      </c>
      <c r="G28" s="92">
        <f t="shared" si="8"/>
        <v>0</v>
      </c>
      <c r="H28" s="89">
        <v>544.5</v>
      </c>
      <c r="I28" s="89">
        <v>0</v>
      </c>
      <c r="J28" s="173">
        <v>0</v>
      </c>
      <c r="K28" s="112">
        <f t="shared" si="2"/>
        <v>18895887.451832306</v>
      </c>
      <c r="L28" s="26">
        <f t="shared" si="0"/>
        <v>1239714.4618323073</v>
      </c>
      <c r="M28" s="35">
        <f t="shared" si="3"/>
        <v>7.0214222670702736E-2</v>
      </c>
      <c r="N28" s="9">
        <f t="shared" si="4"/>
        <v>7.0214222670702736E-2</v>
      </c>
      <c r="O28" s="90">
        <f t="shared" si="5"/>
        <v>1536891946876.1672</v>
      </c>
      <c r="P28" s="90">
        <f t="shared" si="6"/>
        <v>598346.90294550359</v>
      </c>
      <c r="Q28" s="90">
        <f t="shared" si="7"/>
        <v>358019016264.47589</v>
      </c>
      <c r="S28" t="s">
        <v>107</v>
      </c>
      <c r="T28" s="30">
        <f>O123</f>
        <v>122294609387157.38</v>
      </c>
    </row>
    <row r="29" spans="1:27" x14ac:dyDescent="0.2">
      <c r="A29" s="42">
        <v>43190</v>
      </c>
      <c r="B29" s="43">
        <f>Inputs!D50</f>
        <v>18248162.620000001</v>
      </c>
      <c r="C29" s="111">
        <f>Inputs!E50</f>
        <v>574730</v>
      </c>
      <c r="D29" s="111">
        <f t="shared" si="1"/>
        <v>18822892.620000001</v>
      </c>
      <c r="E29" s="111">
        <f>Inputs!C50</f>
        <v>12013</v>
      </c>
      <c r="F29" s="108">
        <v>31</v>
      </c>
      <c r="G29" s="92">
        <f t="shared" si="8"/>
        <v>1</v>
      </c>
      <c r="H29" s="89">
        <v>519.9</v>
      </c>
      <c r="I29" s="89">
        <v>0</v>
      </c>
      <c r="J29" s="173">
        <v>0</v>
      </c>
      <c r="K29" s="112">
        <f t="shared" si="2"/>
        <v>19502428.758508675</v>
      </c>
      <c r="L29" s="26">
        <f t="shared" si="0"/>
        <v>1254266.1385086738</v>
      </c>
      <c r="M29" s="35">
        <f t="shared" si="3"/>
        <v>6.8733831708294682E-2</v>
      </c>
      <c r="N29" s="9">
        <f t="shared" si="4"/>
        <v>6.8733831708294682E-2</v>
      </c>
      <c r="O29" s="90">
        <f t="shared" si="5"/>
        <v>1573183546209.4595</v>
      </c>
      <c r="P29" s="90">
        <f t="shared" si="6"/>
        <v>14551.676676366478</v>
      </c>
      <c r="Q29" s="90">
        <f t="shared" si="7"/>
        <v>211751294.09350815</v>
      </c>
    </row>
    <row r="30" spans="1:27" x14ac:dyDescent="0.2">
      <c r="A30" s="42">
        <v>43220</v>
      </c>
      <c r="B30" s="43">
        <f>Inputs!D51</f>
        <v>16369500.24</v>
      </c>
      <c r="C30" s="111">
        <f>Inputs!E51</f>
        <v>586292</v>
      </c>
      <c r="D30" s="111">
        <f t="shared" si="1"/>
        <v>16955792.240000002</v>
      </c>
      <c r="E30" s="111">
        <f>Inputs!C51</f>
        <v>12013</v>
      </c>
      <c r="F30" s="108">
        <v>30</v>
      </c>
      <c r="G30" s="92">
        <f t="shared" si="8"/>
        <v>1</v>
      </c>
      <c r="H30" s="89">
        <v>395.6</v>
      </c>
      <c r="I30" s="89">
        <v>0</v>
      </c>
      <c r="J30" s="173">
        <v>0</v>
      </c>
      <c r="K30" s="112">
        <f t="shared" si="2"/>
        <v>17946688.41901616</v>
      </c>
      <c r="L30" s="26">
        <f t="shared" si="0"/>
        <v>1577188.1790161598</v>
      </c>
      <c r="M30" s="35">
        <f t="shared" si="3"/>
        <v>9.6349195509475113E-2</v>
      </c>
      <c r="N30" s="9">
        <f t="shared" si="4"/>
        <v>9.6349195509475113E-2</v>
      </c>
      <c r="O30" s="90">
        <f t="shared" si="5"/>
        <v>2487522552028.3101</v>
      </c>
      <c r="P30" s="90">
        <f t="shared" si="6"/>
        <v>322922.04050748609</v>
      </c>
      <c r="Q30" s="90">
        <f t="shared" si="7"/>
        <v>104278644245.51849</v>
      </c>
      <c r="S30" t="s">
        <v>108</v>
      </c>
      <c r="T30" s="266">
        <f>T27/T28</f>
        <v>0.89345694944956089</v>
      </c>
    </row>
    <row r="31" spans="1:27" x14ac:dyDescent="0.2">
      <c r="A31" s="42">
        <v>43251</v>
      </c>
      <c r="B31" s="43">
        <f>Inputs!D52</f>
        <v>17055234.91</v>
      </c>
      <c r="C31" s="111">
        <f>Inputs!E52</f>
        <v>731668</v>
      </c>
      <c r="D31" s="111">
        <f t="shared" si="1"/>
        <v>17786902.91</v>
      </c>
      <c r="E31" s="111">
        <f>Inputs!C52</f>
        <v>12013</v>
      </c>
      <c r="F31" s="108">
        <v>31</v>
      </c>
      <c r="G31" s="92">
        <f t="shared" si="8"/>
        <v>1</v>
      </c>
      <c r="H31" s="89">
        <v>62.9</v>
      </c>
      <c r="I31" s="89">
        <v>49.9</v>
      </c>
      <c r="J31" s="173">
        <v>0</v>
      </c>
      <c r="K31" s="112">
        <f t="shared" si="2"/>
        <v>19294517.243458468</v>
      </c>
      <c r="L31" s="26">
        <f t="shared" si="0"/>
        <v>2239282.3334584683</v>
      </c>
      <c r="M31" s="35">
        <f t="shared" si="3"/>
        <v>0.13129589508881578</v>
      </c>
      <c r="N31" s="9">
        <f t="shared" si="4"/>
        <v>0.13129589508881578</v>
      </c>
      <c r="O31" s="90">
        <f t="shared" si="5"/>
        <v>5014385368939.2031</v>
      </c>
      <c r="P31" s="90">
        <f t="shared" si="6"/>
        <v>662094.15444230847</v>
      </c>
      <c r="Q31" s="90">
        <f t="shared" si="7"/>
        <v>438368669346.67542</v>
      </c>
    </row>
    <row r="32" spans="1:27" x14ac:dyDescent="0.2">
      <c r="A32" s="42">
        <v>43281</v>
      </c>
      <c r="B32" s="43">
        <f>Inputs!D53</f>
        <v>19672642.52</v>
      </c>
      <c r="C32" s="111">
        <f>Inputs!E53</f>
        <v>710269</v>
      </c>
      <c r="D32" s="111">
        <f t="shared" si="1"/>
        <v>20382911.52</v>
      </c>
      <c r="E32" s="111">
        <f>Inputs!C53</f>
        <v>12013</v>
      </c>
      <c r="F32" s="108">
        <v>30</v>
      </c>
      <c r="G32" s="92">
        <f t="shared" si="8"/>
        <v>0</v>
      </c>
      <c r="H32" s="89">
        <v>7.6</v>
      </c>
      <c r="I32" s="89">
        <v>93.9</v>
      </c>
      <c r="J32" s="173">
        <v>0</v>
      </c>
      <c r="K32" s="112">
        <f t="shared" si="2"/>
        <v>22085783.14629009</v>
      </c>
      <c r="L32" s="26">
        <f t="shared" si="0"/>
        <v>2413140.6262900904</v>
      </c>
      <c r="M32" s="35">
        <f t="shared" si="3"/>
        <v>0.12266479319373565</v>
      </c>
      <c r="N32" s="9">
        <f t="shared" si="4"/>
        <v>0.12266479319373565</v>
      </c>
      <c r="O32" s="90">
        <f t="shared" si="5"/>
        <v>5823247682251.7295</v>
      </c>
      <c r="P32" s="90">
        <f t="shared" si="6"/>
        <v>173858.29283162206</v>
      </c>
      <c r="Q32" s="90">
        <f t="shared" si="7"/>
        <v>30226705986.32605</v>
      </c>
    </row>
    <row r="33" spans="1:20" x14ac:dyDescent="0.2">
      <c r="A33" s="42">
        <v>43312</v>
      </c>
      <c r="B33" s="43">
        <f>Inputs!D54</f>
        <v>24519316.199999999</v>
      </c>
      <c r="C33" s="111">
        <f>Inputs!E54</f>
        <v>778930</v>
      </c>
      <c r="D33" s="111">
        <f t="shared" si="1"/>
        <v>25298246.199999999</v>
      </c>
      <c r="E33" s="111">
        <f>Inputs!C54</f>
        <v>12013</v>
      </c>
      <c r="F33" s="108">
        <v>31</v>
      </c>
      <c r="G33" s="92">
        <f t="shared" si="8"/>
        <v>0</v>
      </c>
      <c r="H33" s="89">
        <v>0.2</v>
      </c>
      <c r="I33" s="89">
        <v>163.30000000000001</v>
      </c>
      <c r="J33" s="173">
        <v>0</v>
      </c>
      <c r="K33" s="112">
        <f t="shared" si="2"/>
        <v>26530371.521958239</v>
      </c>
      <c r="L33" s="26">
        <f t="shared" si="0"/>
        <v>2011055.3219582401</v>
      </c>
      <c r="M33" s="35">
        <f t="shared" si="3"/>
        <v>8.2019225395781645E-2</v>
      </c>
      <c r="N33" s="9">
        <f t="shared" si="4"/>
        <v>8.2019225395781645E-2</v>
      </c>
      <c r="O33" s="90">
        <f t="shared" si="5"/>
        <v>4044343507976.561</v>
      </c>
      <c r="P33" s="90">
        <f t="shared" si="6"/>
        <v>-402085.30433185026</v>
      </c>
      <c r="Q33" s="90">
        <f t="shared" si="7"/>
        <v>161672591959.63663</v>
      </c>
      <c r="R33"/>
      <c r="T33" s="39"/>
    </row>
    <row r="34" spans="1:20" x14ac:dyDescent="0.2">
      <c r="A34" s="42">
        <v>43343</v>
      </c>
      <c r="B34" s="43">
        <f>Inputs!D55</f>
        <v>26369599.34</v>
      </c>
      <c r="C34" s="111">
        <f>Inputs!E55</f>
        <v>636511</v>
      </c>
      <c r="D34" s="111">
        <f t="shared" si="1"/>
        <v>27006110.34</v>
      </c>
      <c r="E34" s="111">
        <f>Inputs!C55</f>
        <v>12013</v>
      </c>
      <c r="F34" s="108">
        <v>31</v>
      </c>
      <c r="G34" s="92">
        <f t="shared" si="8"/>
        <v>0</v>
      </c>
      <c r="H34" s="89">
        <v>0</v>
      </c>
      <c r="I34" s="89">
        <v>135.5</v>
      </c>
      <c r="J34" s="173">
        <v>0</v>
      </c>
      <c r="K34" s="112">
        <f t="shared" si="2"/>
        <v>25039175.2872658</v>
      </c>
      <c r="L34" s="26">
        <f t="shared" si="0"/>
        <v>-1330424.0527341999</v>
      </c>
      <c r="M34" s="35">
        <f t="shared" si="3"/>
        <v>-5.0452949078982859E-2</v>
      </c>
      <c r="N34" s="9">
        <f t="shared" si="4"/>
        <v>5.0452949078982859E-2</v>
      </c>
      <c r="O34" s="90">
        <f t="shared" si="5"/>
        <v>1770028160093.6931</v>
      </c>
      <c r="P34" s="90">
        <f t="shared" si="6"/>
        <v>-3341479.37469244</v>
      </c>
      <c r="Q34" s="90">
        <f t="shared" si="7"/>
        <v>11165484411494.98</v>
      </c>
      <c r="R34"/>
    </row>
    <row r="35" spans="1:20" x14ac:dyDescent="0.2">
      <c r="A35" s="42">
        <v>43373</v>
      </c>
      <c r="B35" s="43">
        <f>Inputs!D56</f>
        <v>21334916.59</v>
      </c>
      <c r="C35" s="111">
        <f>Inputs!E56</f>
        <v>500836</v>
      </c>
      <c r="D35" s="111">
        <f t="shared" si="1"/>
        <v>21835752.59</v>
      </c>
      <c r="E35" s="111">
        <f>Inputs!C56</f>
        <v>12013</v>
      </c>
      <c r="F35" s="108">
        <v>30</v>
      </c>
      <c r="G35" s="92">
        <f t="shared" si="8"/>
        <v>0</v>
      </c>
      <c r="H35" s="89">
        <v>39.200000000000003</v>
      </c>
      <c r="I35" s="89">
        <v>32.4</v>
      </c>
      <c r="J35" s="173">
        <v>0</v>
      </c>
      <c r="K35" s="112">
        <f t="shared" si="2"/>
        <v>18989004.92128703</v>
      </c>
      <c r="L35" s="26">
        <f t="shared" ref="L35:L66" si="9">K35-B35</f>
        <v>-2345911.6687129699</v>
      </c>
      <c r="M35" s="35">
        <f t="shared" si="3"/>
        <v>-0.10995644903587456</v>
      </c>
      <c r="N35" s="9">
        <f t="shared" si="4"/>
        <v>0.10995644903587456</v>
      </c>
      <c r="O35" s="90">
        <f t="shared" si="5"/>
        <v>5503301557403.6709</v>
      </c>
      <c r="P35" s="90">
        <f t="shared" si="6"/>
        <v>-1015487.61597877</v>
      </c>
      <c r="Q35" s="90">
        <f t="shared" si="7"/>
        <v>1031215098206.2457</v>
      </c>
      <c r="R35"/>
    </row>
    <row r="36" spans="1:20" x14ac:dyDescent="0.2">
      <c r="A36" s="42">
        <v>43404</v>
      </c>
      <c r="B36" s="43">
        <f>Inputs!D57</f>
        <v>18577883.890000001</v>
      </c>
      <c r="C36" s="111">
        <f>Inputs!E57</f>
        <v>376066</v>
      </c>
      <c r="D36" s="111">
        <f t="shared" si="1"/>
        <v>18953949.890000001</v>
      </c>
      <c r="E36" s="111">
        <f>Inputs!C57</f>
        <v>12013</v>
      </c>
      <c r="F36" s="108">
        <v>31</v>
      </c>
      <c r="G36" s="92">
        <f t="shared" si="8"/>
        <v>1</v>
      </c>
      <c r="H36" s="89">
        <v>242.3</v>
      </c>
      <c r="I36" s="89">
        <v>19.600000000000001</v>
      </c>
      <c r="J36" s="173">
        <v>0</v>
      </c>
      <c r="K36" s="112">
        <f t="shared" si="2"/>
        <v>18802068.101162974</v>
      </c>
      <c r="L36" s="26">
        <f t="shared" si="9"/>
        <v>224184.2111629732</v>
      </c>
      <c r="M36" s="35">
        <f t="shared" si="3"/>
        <v>1.2067263015011404E-2</v>
      </c>
      <c r="N36" s="9">
        <f t="shared" si="4"/>
        <v>1.2067263015011404E-2</v>
      </c>
      <c r="O36" s="90">
        <f t="shared" si="5"/>
        <v>50258560534.764557</v>
      </c>
      <c r="P36" s="90">
        <f t="shared" si="6"/>
        <v>2570095.8798759431</v>
      </c>
      <c r="Q36" s="90">
        <f t="shared" si="7"/>
        <v>6605392831755.2979</v>
      </c>
      <c r="R36"/>
    </row>
    <row r="37" spans="1:20" x14ac:dyDescent="0.2">
      <c r="A37" s="42">
        <v>43434</v>
      </c>
      <c r="B37" s="43">
        <f>Inputs!D58</f>
        <v>18327764.969999999</v>
      </c>
      <c r="C37" s="111">
        <f>Inputs!E58</f>
        <v>181639</v>
      </c>
      <c r="D37" s="111">
        <f t="shared" si="1"/>
        <v>18509403.969999999</v>
      </c>
      <c r="E37" s="111">
        <f>Inputs!C58</f>
        <v>12013</v>
      </c>
      <c r="F37" s="108">
        <v>30</v>
      </c>
      <c r="G37" s="92">
        <f t="shared" si="8"/>
        <v>1</v>
      </c>
      <c r="H37" s="89">
        <f>10.7+463.4</f>
        <v>474.09999999999997</v>
      </c>
      <c r="I37" s="89">
        <v>0</v>
      </c>
      <c r="J37" s="173">
        <v>0</v>
      </c>
      <c r="K37" s="112">
        <f t="shared" si="2"/>
        <v>18441786.537083726</v>
      </c>
      <c r="L37" s="26">
        <f t="shared" si="9"/>
        <v>114021.56708372757</v>
      </c>
      <c r="M37" s="35">
        <f t="shared" si="3"/>
        <v>6.2212477773675627E-3</v>
      </c>
      <c r="N37" s="9">
        <f t="shared" si="4"/>
        <v>6.2212477773675627E-3</v>
      </c>
      <c r="O37" s="90">
        <f t="shared" si="5"/>
        <v>13000917760.228987</v>
      </c>
      <c r="P37" s="90">
        <f t="shared" si="6"/>
        <v>-110162.64407924563</v>
      </c>
      <c r="Q37" s="90">
        <f t="shared" si="7"/>
        <v>12135808150.530552</v>
      </c>
      <c r="R37"/>
    </row>
    <row r="38" spans="1:20" x14ac:dyDescent="0.2">
      <c r="A38" s="42">
        <v>43465</v>
      </c>
      <c r="B38" s="43">
        <f>Inputs!D59</f>
        <v>19674279.579999998</v>
      </c>
      <c r="C38" s="111">
        <f>Inputs!E59</f>
        <v>208740</v>
      </c>
      <c r="D38" s="111">
        <f t="shared" si="1"/>
        <v>19883019.579999998</v>
      </c>
      <c r="E38" s="111">
        <f>Inputs!C59</f>
        <v>12013</v>
      </c>
      <c r="F38" s="108">
        <v>31</v>
      </c>
      <c r="G38" s="92">
        <f t="shared" si="8"/>
        <v>0</v>
      </c>
      <c r="H38" s="89">
        <v>533.79999999999995</v>
      </c>
      <c r="I38" s="89">
        <v>0</v>
      </c>
      <c r="J38" s="173">
        <v>0</v>
      </c>
      <c r="K38" s="112">
        <f t="shared" si="2"/>
        <v>21143750.023294341</v>
      </c>
      <c r="L38" s="26">
        <f t="shared" si="9"/>
        <v>1469470.4432943426</v>
      </c>
      <c r="M38" s="35">
        <f t="shared" si="3"/>
        <v>7.4689923832745628E-2</v>
      </c>
      <c r="N38" s="9">
        <f t="shared" si="4"/>
        <v>7.4689923832745628E-2</v>
      </c>
      <c r="O38" s="90">
        <f t="shared" si="5"/>
        <v>2159343383715.6719</v>
      </c>
      <c r="P38" s="90">
        <f t="shared" si="6"/>
        <v>1355448.876210615</v>
      </c>
      <c r="Q38" s="90">
        <f t="shared" si="7"/>
        <v>1837241656020.6191</v>
      </c>
      <c r="R38"/>
    </row>
    <row r="39" spans="1:20" x14ac:dyDescent="0.2">
      <c r="A39" s="42">
        <v>43496</v>
      </c>
      <c r="B39" s="43">
        <f>Inputs!D60</f>
        <v>21603461.219999999</v>
      </c>
      <c r="C39" s="111">
        <f>Inputs!E60</f>
        <v>249895</v>
      </c>
      <c r="D39" s="111">
        <f t="shared" si="1"/>
        <v>21853356.219999999</v>
      </c>
      <c r="E39" s="111">
        <f>Inputs!C60</f>
        <v>12261.5</v>
      </c>
      <c r="F39" s="108">
        <v>31</v>
      </c>
      <c r="G39" s="92">
        <f t="shared" si="8"/>
        <v>0</v>
      </c>
      <c r="H39" s="89">
        <v>711.8</v>
      </c>
      <c r="I39" s="89">
        <v>0</v>
      </c>
      <c r="J39" s="173">
        <v>0</v>
      </c>
      <c r="K39" s="112">
        <f t="shared" si="2"/>
        <v>22544712.488501087</v>
      </c>
      <c r="L39" s="26">
        <f t="shared" si="9"/>
        <v>941251.26850108802</v>
      </c>
      <c r="M39" s="35">
        <f t="shared" si="3"/>
        <v>4.3569465971947996E-2</v>
      </c>
      <c r="N39" s="9">
        <f t="shared" si="4"/>
        <v>4.3569465971947996E-2</v>
      </c>
      <c r="O39" s="90">
        <f t="shared" si="5"/>
        <v>885953950454.90735</v>
      </c>
      <c r="P39" s="90">
        <f t="shared" si="6"/>
        <v>-528219.17479325458</v>
      </c>
      <c r="Q39" s="90">
        <f t="shared" si="7"/>
        <v>279015496619.26685</v>
      </c>
      <c r="R39"/>
    </row>
    <row r="40" spans="1:20" x14ac:dyDescent="0.2">
      <c r="A40" s="42">
        <v>43524</v>
      </c>
      <c r="B40" s="43">
        <f>Inputs!D61</f>
        <v>18823324.73</v>
      </c>
      <c r="C40" s="111">
        <f>Inputs!E61</f>
        <v>285592</v>
      </c>
      <c r="D40" s="111">
        <f t="shared" si="1"/>
        <v>19108916.73</v>
      </c>
      <c r="E40" s="111">
        <f>Inputs!C61</f>
        <v>12261.5</v>
      </c>
      <c r="F40" s="108">
        <v>28</v>
      </c>
      <c r="G40" s="92">
        <f t="shared" si="8"/>
        <v>0</v>
      </c>
      <c r="H40" s="89">
        <v>580.9</v>
      </c>
      <c r="I40" s="89">
        <v>0</v>
      </c>
      <c r="J40" s="173">
        <v>0</v>
      </c>
      <c r="K40" s="112">
        <f t="shared" si="2"/>
        <v>19403781.209798694</v>
      </c>
      <c r="L40" s="26">
        <f t="shared" si="9"/>
        <v>580456.47979869321</v>
      </c>
      <c r="M40" s="35">
        <f t="shared" si="3"/>
        <v>3.0837085803103667E-2</v>
      </c>
      <c r="N40" s="9">
        <f t="shared" si="4"/>
        <v>3.0837085803103667E-2</v>
      </c>
      <c r="O40" s="90">
        <f t="shared" si="5"/>
        <v>336929724940.29071</v>
      </c>
      <c r="P40" s="90">
        <f t="shared" si="6"/>
        <v>-360794.78870239481</v>
      </c>
      <c r="Q40" s="90">
        <f t="shared" si="7"/>
        <v>130172879554.80573</v>
      </c>
      <c r="R40"/>
    </row>
    <row r="41" spans="1:20" x14ac:dyDescent="0.2">
      <c r="A41" s="42">
        <v>43555</v>
      </c>
      <c r="B41" s="43">
        <f>Inputs!D62</f>
        <v>20551304.109999999</v>
      </c>
      <c r="C41" s="111">
        <f>Inputs!E62</f>
        <v>502731</v>
      </c>
      <c r="D41" s="111">
        <f t="shared" si="1"/>
        <v>21054035.109999999</v>
      </c>
      <c r="E41" s="111">
        <f>Inputs!C62</f>
        <v>12261.5</v>
      </c>
      <c r="F41" s="108">
        <v>31</v>
      </c>
      <c r="G41" s="92">
        <f t="shared" si="8"/>
        <v>1</v>
      </c>
      <c r="H41" s="89">
        <v>549.4</v>
      </c>
      <c r="I41" s="89">
        <v>0</v>
      </c>
      <c r="J41" s="173">
        <v>0</v>
      </c>
      <c r="K41" s="112">
        <f t="shared" si="2"/>
        <v>19966804.337944288</v>
      </c>
      <c r="L41" s="26">
        <f t="shared" si="9"/>
        <v>-584499.7720557116</v>
      </c>
      <c r="M41" s="35">
        <f t="shared" si="3"/>
        <v>-2.8441006416293629E-2</v>
      </c>
      <c r="N41" s="9">
        <f t="shared" si="4"/>
        <v>2.8441006416293629E-2</v>
      </c>
      <c r="O41" s="90">
        <f t="shared" si="5"/>
        <v>341639983533.17883</v>
      </c>
      <c r="P41" s="90">
        <f t="shared" si="6"/>
        <v>-1164956.2518544048</v>
      </c>
      <c r="Q41" s="90">
        <f t="shared" si="7"/>
        <v>1357123068734.6633</v>
      </c>
      <c r="R41"/>
    </row>
    <row r="42" spans="1:20" x14ac:dyDescent="0.2">
      <c r="A42" s="42">
        <v>43585</v>
      </c>
      <c r="B42" s="43">
        <f>Inputs!D63</f>
        <v>17411654.489999998</v>
      </c>
      <c r="C42" s="111">
        <f>Inputs!E63</f>
        <v>554704</v>
      </c>
      <c r="D42" s="111">
        <f t="shared" si="1"/>
        <v>17966358.489999998</v>
      </c>
      <c r="E42" s="111">
        <f>Inputs!C63</f>
        <v>12261.5</v>
      </c>
      <c r="F42" s="108">
        <v>30</v>
      </c>
      <c r="G42" s="92">
        <f t="shared" si="8"/>
        <v>1</v>
      </c>
      <c r="H42" s="89">
        <v>278.39999999999998</v>
      </c>
      <c r="I42" s="89">
        <v>0</v>
      </c>
      <c r="J42" s="173">
        <v>0</v>
      </c>
      <c r="K42" s="112">
        <f t="shared" si="2"/>
        <v>17485829.680993013</v>
      </c>
      <c r="L42" s="26">
        <f t="shared" si="9"/>
        <v>74175.190993014723</v>
      </c>
      <c r="M42" s="35">
        <f t="shared" si="3"/>
        <v>4.2600886110860754E-3</v>
      </c>
      <c r="N42" s="9">
        <f t="shared" si="4"/>
        <v>4.2600886110860754E-3</v>
      </c>
      <c r="O42" s="90">
        <f t="shared" si="5"/>
        <v>5501958958.8502121</v>
      </c>
      <c r="P42" s="90">
        <f t="shared" si="6"/>
        <v>658674.96304872632</v>
      </c>
      <c r="Q42" s="90">
        <f t="shared" si="7"/>
        <v>433852706947.24097</v>
      </c>
      <c r="R42"/>
    </row>
    <row r="43" spans="1:20" x14ac:dyDescent="0.2">
      <c r="A43" s="42">
        <v>43616</v>
      </c>
      <c r="B43" s="43">
        <f>Inputs!D64</f>
        <v>17354971.329999998</v>
      </c>
      <c r="C43" s="111">
        <f>Inputs!E64</f>
        <v>579434</v>
      </c>
      <c r="D43" s="111">
        <f t="shared" si="1"/>
        <v>17934405.329999998</v>
      </c>
      <c r="E43" s="111">
        <f>Inputs!C64</f>
        <v>12261.5</v>
      </c>
      <c r="F43" s="108">
        <v>31</v>
      </c>
      <c r="G43" s="92">
        <f t="shared" si="8"/>
        <v>1</v>
      </c>
      <c r="H43" s="89">
        <v>139.5</v>
      </c>
      <c r="I43" s="89">
        <v>10.4</v>
      </c>
      <c r="J43" s="173">
        <v>0</v>
      </c>
      <c r="K43" s="112">
        <f t="shared" si="2"/>
        <v>17938957.948791288</v>
      </c>
      <c r="L43" s="26">
        <f t="shared" si="9"/>
        <v>583986.61879128963</v>
      </c>
      <c r="M43" s="35">
        <f t="shared" si="3"/>
        <v>3.3649529445306761E-2</v>
      </c>
      <c r="N43" s="9">
        <f t="shared" si="4"/>
        <v>3.3649529445306761E-2</v>
      </c>
      <c r="O43" s="90">
        <f t="shared" si="5"/>
        <v>341040370927.28302</v>
      </c>
      <c r="P43" s="90">
        <f t="shared" si="6"/>
        <v>509811.4277982749</v>
      </c>
      <c r="Q43" s="90">
        <f t="shared" si="7"/>
        <v>259907691913.71567</v>
      </c>
      <c r="R43"/>
    </row>
    <row r="44" spans="1:20" x14ac:dyDescent="0.2">
      <c r="A44" s="42">
        <v>43646</v>
      </c>
      <c r="B44" s="43">
        <f>Inputs!D65</f>
        <v>19464198.199999999</v>
      </c>
      <c r="C44" s="111">
        <f>Inputs!E65</f>
        <v>714216</v>
      </c>
      <c r="D44" s="111">
        <f t="shared" si="1"/>
        <v>20178414.199999999</v>
      </c>
      <c r="E44" s="111">
        <f>Inputs!C65</f>
        <v>12261.5</v>
      </c>
      <c r="F44" s="108">
        <v>30</v>
      </c>
      <c r="G44" s="92">
        <f t="shared" si="8"/>
        <v>0</v>
      </c>
      <c r="H44" s="89">
        <v>23.9</v>
      </c>
      <c r="I44" s="89">
        <v>59.9</v>
      </c>
      <c r="J44" s="173">
        <v>0</v>
      </c>
      <c r="K44" s="112">
        <f t="shared" si="2"/>
        <v>20644684.094099745</v>
      </c>
      <c r="L44" s="26">
        <f t="shared" si="9"/>
        <v>1180485.8940997459</v>
      </c>
      <c r="M44" s="35">
        <f t="shared" si="3"/>
        <v>6.064908926480958E-2</v>
      </c>
      <c r="N44" s="9">
        <f t="shared" si="4"/>
        <v>6.064908926480958E-2</v>
      </c>
      <c r="O44" s="90">
        <f t="shared" si="5"/>
        <v>1393546946168.4766</v>
      </c>
      <c r="P44" s="90">
        <f t="shared" si="6"/>
        <v>596499.27530845627</v>
      </c>
      <c r="Q44" s="90">
        <f t="shared" si="7"/>
        <v>355811385443.51349</v>
      </c>
      <c r="R44"/>
    </row>
    <row r="45" spans="1:20" x14ac:dyDescent="0.2">
      <c r="A45" s="42">
        <v>43677</v>
      </c>
      <c r="B45" s="43">
        <f>Inputs!D66</f>
        <v>27748687.98</v>
      </c>
      <c r="C45" s="111">
        <f>Inputs!E66</f>
        <v>807602</v>
      </c>
      <c r="D45" s="111">
        <f t="shared" si="1"/>
        <v>28556289.98</v>
      </c>
      <c r="E45" s="111">
        <f>Inputs!C66</f>
        <v>12261.5</v>
      </c>
      <c r="F45" s="108">
        <v>31</v>
      </c>
      <c r="G45" s="92">
        <f t="shared" si="8"/>
        <v>0</v>
      </c>
      <c r="H45" s="89">
        <v>0</v>
      </c>
      <c r="I45" s="89">
        <v>180.8</v>
      </c>
      <c r="J45" s="173">
        <v>0</v>
      </c>
      <c r="K45" s="112">
        <f t="shared" si="2"/>
        <v>27745338.345417049</v>
      </c>
      <c r="L45" s="26">
        <f t="shared" si="9"/>
        <v>-3349.6345829516649</v>
      </c>
      <c r="M45" s="35">
        <f t="shared" si="3"/>
        <v>-1.20713259861725E-4</v>
      </c>
      <c r="N45" s="9">
        <f t="shared" si="4"/>
        <v>1.20713259861725E-4</v>
      </c>
      <c r="O45" s="90">
        <f t="shared" si="5"/>
        <v>11220051.839305773</v>
      </c>
      <c r="P45" s="90">
        <f t="shared" si="6"/>
        <v>-1183835.5286826976</v>
      </c>
      <c r="Q45" s="90">
        <f t="shared" si="7"/>
        <v>1401466558971.4421</v>
      </c>
      <c r="R45"/>
    </row>
    <row r="46" spans="1:20" x14ac:dyDescent="0.2">
      <c r="A46" s="42">
        <v>43708</v>
      </c>
      <c r="B46" s="43">
        <f>Inputs!D67</f>
        <v>24726190.98</v>
      </c>
      <c r="C46" s="111">
        <f>Inputs!E67</f>
        <v>740518</v>
      </c>
      <c r="D46" s="111">
        <f t="shared" si="1"/>
        <v>25466708.98</v>
      </c>
      <c r="E46" s="111">
        <f>Inputs!C67</f>
        <v>12261.5</v>
      </c>
      <c r="F46" s="108">
        <v>31</v>
      </c>
      <c r="G46" s="92">
        <f t="shared" si="8"/>
        <v>0</v>
      </c>
      <c r="H46" s="89">
        <v>0.4</v>
      </c>
      <c r="I46" s="89">
        <v>121.7</v>
      </c>
      <c r="J46" s="173">
        <v>0</v>
      </c>
      <c r="K46" s="112">
        <f t="shared" si="2"/>
        <v>24580409.737713303</v>
      </c>
      <c r="L46" s="26">
        <f t="shared" si="9"/>
        <v>-145781.24228669703</v>
      </c>
      <c r="M46" s="35">
        <f t="shared" si="3"/>
        <v>-5.8958228707613513E-3</v>
      </c>
      <c r="N46" s="9">
        <f t="shared" si="4"/>
        <v>5.8958228707613513E-3</v>
      </c>
      <c r="O46" s="90">
        <f t="shared" si="5"/>
        <v>21252170602.652664</v>
      </c>
      <c r="P46" s="90">
        <f t="shared" si="6"/>
        <v>-142431.60770374537</v>
      </c>
      <c r="Q46" s="90">
        <f t="shared" si="7"/>
        <v>20286762873.073616</v>
      </c>
      <c r="R46"/>
    </row>
    <row r="47" spans="1:20" x14ac:dyDescent="0.2">
      <c r="A47" s="42">
        <v>43738</v>
      </c>
      <c r="B47" s="43">
        <f>Inputs!D68</f>
        <v>20533052.670000002</v>
      </c>
      <c r="C47" s="111">
        <f>Inputs!E68</f>
        <v>524876</v>
      </c>
      <c r="D47" s="111">
        <f t="shared" si="1"/>
        <v>21057928.670000002</v>
      </c>
      <c r="E47" s="111">
        <f>Inputs!C68</f>
        <v>12261.5</v>
      </c>
      <c r="F47" s="108">
        <v>30</v>
      </c>
      <c r="G47" s="92">
        <f t="shared" si="8"/>
        <v>0</v>
      </c>
      <c r="H47" s="89">
        <v>14.7</v>
      </c>
      <c r="I47" s="89">
        <v>50.9</v>
      </c>
      <c r="J47" s="173">
        <v>0</v>
      </c>
      <c r="K47" s="112">
        <f t="shared" si="2"/>
        <v>20104306.850881744</v>
      </c>
      <c r="L47" s="26">
        <f t="shared" si="9"/>
        <v>-428745.81911825761</v>
      </c>
      <c r="M47" s="35">
        <f t="shared" si="3"/>
        <v>-2.0880763616054055E-2</v>
      </c>
      <c r="N47" s="9">
        <f t="shared" si="4"/>
        <v>2.0880763616054055E-2</v>
      </c>
      <c r="O47" s="90">
        <f t="shared" si="5"/>
        <v>183822977411.38568</v>
      </c>
      <c r="P47" s="90">
        <f t="shared" si="6"/>
        <v>-282964.57683156058</v>
      </c>
      <c r="Q47" s="90">
        <f t="shared" si="7"/>
        <v>80068951741.464157</v>
      </c>
      <c r="R47"/>
    </row>
    <row r="48" spans="1:20" x14ac:dyDescent="0.2">
      <c r="A48" s="42">
        <v>43769</v>
      </c>
      <c r="B48" s="43">
        <f>Inputs!D69</f>
        <v>17673930.43</v>
      </c>
      <c r="C48" s="111">
        <f>Inputs!E69</f>
        <v>431057</v>
      </c>
      <c r="D48" s="111">
        <f t="shared" si="1"/>
        <v>18104987.43</v>
      </c>
      <c r="E48" s="111">
        <f>Inputs!C69</f>
        <v>12261.5</v>
      </c>
      <c r="F48" s="108">
        <v>31</v>
      </c>
      <c r="G48" s="92">
        <f t="shared" si="8"/>
        <v>1</v>
      </c>
      <c r="H48" s="89">
        <v>204.1</v>
      </c>
      <c r="I48" s="89">
        <v>7.7</v>
      </c>
      <c r="J48" s="173">
        <v>0</v>
      </c>
      <c r="K48" s="112">
        <f t="shared" si="2"/>
        <v>18201683.11000463</v>
      </c>
      <c r="L48" s="26">
        <f t="shared" si="9"/>
        <v>527752.68000463024</v>
      </c>
      <c r="M48" s="35">
        <f t="shared" si="3"/>
        <v>2.9860515865153276E-2</v>
      </c>
      <c r="N48" s="9">
        <f t="shared" si="4"/>
        <v>2.9860515865153276E-2</v>
      </c>
      <c r="O48" s="90">
        <f t="shared" si="5"/>
        <v>278522891252.06964</v>
      </c>
      <c r="P48" s="90">
        <f t="shared" si="6"/>
        <v>956498.49912288785</v>
      </c>
      <c r="Q48" s="90">
        <f t="shared" si="7"/>
        <v>914889378824.33704</v>
      </c>
      <c r="R48"/>
    </row>
    <row r="49" spans="1:18" x14ac:dyDescent="0.2">
      <c r="A49" s="42">
        <v>43799</v>
      </c>
      <c r="B49" s="43">
        <f>Inputs!D70</f>
        <v>19817492.059999999</v>
      </c>
      <c r="C49" s="111">
        <f>Inputs!E70</f>
        <v>211157</v>
      </c>
      <c r="D49" s="111">
        <f t="shared" si="1"/>
        <v>20028649.059999999</v>
      </c>
      <c r="E49" s="111">
        <f>Inputs!C70</f>
        <v>12261.5</v>
      </c>
      <c r="F49" s="108">
        <v>30</v>
      </c>
      <c r="G49" s="92">
        <f t="shared" si="8"/>
        <v>1</v>
      </c>
      <c r="H49" s="89">
        <v>495.2</v>
      </c>
      <c r="I49" s="89">
        <v>0</v>
      </c>
      <c r="J49" s="173">
        <v>0</v>
      </c>
      <c r="K49" s="112">
        <f t="shared" si="2"/>
        <v>18853183.464394912</v>
      </c>
      <c r="L49" s="26">
        <f t="shared" si="9"/>
        <v>-964308.59560508654</v>
      </c>
      <c r="M49" s="35">
        <f t="shared" si="3"/>
        <v>-4.8659466731992049E-2</v>
      </c>
      <c r="N49" s="9">
        <f t="shared" si="4"/>
        <v>4.8659466731992049E-2</v>
      </c>
      <c r="O49" s="90">
        <f t="shared" si="5"/>
        <v>929891067557.85437</v>
      </c>
      <c r="P49" s="90">
        <f t="shared" si="6"/>
        <v>-1492061.2756097168</v>
      </c>
      <c r="Q49" s="90">
        <f t="shared" si="7"/>
        <v>2226246850174.0952</v>
      </c>
      <c r="R49"/>
    </row>
    <row r="50" spans="1:18" x14ac:dyDescent="0.2">
      <c r="A50" s="42">
        <v>43830</v>
      </c>
      <c r="B50" s="43">
        <f>Inputs!D71</f>
        <v>21339148.780000001</v>
      </c>
      <c r="C50" s="111">
        <f>Inputs!E71</f>
        <v>219317</v>
      </c>
      <c r="D50" s="111">
        <f t="shared" si="1"/>
        <v>21558465.780000001</v>
      </c>
      <c r="E50" s="111">
        <f>Inputs!C71</f>
        <v>12261.5</v>
      </c>
      <c r="F50" s="108">
        <v>31</v>
      </c>
      <c r="G50" s="92">
        <f t="shared" si="8"/>
        <v>0</v>
      </c>
      <c r="H50" s="89">
        <v>527.9</v>
      </c>
      <c r="I50" s="89">
        <v>0</v>
      </c>
      <c r="J50" s="173">
        <v>0</v>
      </c>
      <c r="K50" s="112">
        <f t="shared" si="2"/>
        <v>21384858.425919864</v>
      </c>
      <c r="L50" s="26">
        <f t="shared" si="9"/>
        <v>45709.645919863135</v>
      </c>
      <c r="M50" s="35">
        <f t="shared" si="3"/>
        <v>2.1420557301097334E-3</v>
      </c>
      <c r="N50" s="9">
        <f t="shared" si="4"/>
        <v>2.1420557301097334E-3</v>
      </c>
      <c r="O50" s="90">
        <f t="shared" si="5"/>
        <v>2089371730.1192605</v>
      </c>
      <c r="P50" s="90">
        <f t="shared" si="6"/>
        <v>1010018.2415249497</v>
      </c>
      <c r="Q50" s="90">
        <f t="shared" si="7"/>
        <v>1020136848213.1516</v>
      </c>
      <c r="R50"/>
    </row>
    <row r="51" spans="1:18" x14ac:dyDescent="0.2">
      <c r="A51" s="42">
        <v>43861</v>
      </c>
      <c r="B51" s="43">
        <f>Inputs!D72</f>
        <v>21900522.559999999</v>
      </c>
      <c r="C51" s="111">
        <f>Inputs!E72</f>
        <v>185268</v>
      </c>
      <c r="D51" s="111">
        <f t="shared" si="1"/>
        <v>22085790.559999999</v>
      </c>
      <c r="E51" s="111">
        <f>Inputs!C72</f>
        <v>12375.5</v>
      </c>
      <c r="F51" s="108">
        <v>31</v>
      </c>
      <c r="G51" s="92">
        <f t="shared" si="8"/>
        <v>0</v>
      </c>
      <c r="H51" s="89">
        <v>561.20000000000005</v>
      </c>
      <c r="I51" s="89">
        <v>0</v>
      </c>
      <c r="J51" s="173">
        <v>0</v>
      </c>
      <c r="K51" s="112">
        <f t="shared" si="2"/>
        <v>21722560.755629234</v>
      </c>
      <c r="L51" s="26">
        <f t="shared" si="9"/>
        <v>-177961.80437076464</v>
      </c>
      <c r="M51" s="35">
        <f t="shared" si="3"/>
        <v>-8.1259158946189389E-3</v>
      </c>
      <c r="N51" s="9">
        <f t="shared" si="4"/>
        <v>8.1259158946189389E-3</v>
      </c>
      <c r="O51" s="90">
        <f t="shared" si="5"/>
        <v>31670403814.898304</v>
      </c>
      <c r="P51" s="90">
        <f t="shared" si="6"/>
        <v>-223671.45029062778</v>
      </c>
      <c r="Q51" s="90">
        <f t="shared" si="7"/>
        <v>50028917675.11277</v>
      </c>
      <c r="R51"/>
    </row>
    <row r="52" spans="1:18" x14ac:dyDescent="0.2">
      <c r="A52" s="42">
        <v>43890</v>
      </c>
      <c r="B52" s="43">
        <f>Inputs!D73</f>
        <v>20284919.280000001</v>
      </c>
      <c r="C52" s="111">
        <f>Inputs!E73</f>
        <v>327088</v>
      </c>
      <c r="D52" s="111">
        <f t="shared" si="1"/>
        <v>20612007.280000001</v>
      </c>
      <c r="E52" s="111">
        <f>Inputs!C73</f>
        <v>12375.5</v>
      </c>
      <c r="F52" s="108">
        <v>29</v>
      </c>
      <c r="G52" s="92">
        <f t="shared" si="8"/>
        <v>0</v>
      </c>
      <c r="H52" s="89">
        <v>569.29999999999995</v>
      </c>
      <c r="I52" s="89">
        <v>0</v>
      </c>
      <c r="J52" s="173">
        <v>0</v>
      </c>
      <c r="K52" s="112">
        <f t="shared" si="2"/>
        <v>20230082.457637116</v>
      </c>
      <c r="L52" s="26">
        <f t="shared" si="9"/>
        <v>-54836.822362884879</v>
      </c>
      <c r="M52" s="35">
        <f t="shared" si="3"/>
        <v>-2.7033295822355805E-3</v>
      </c>
      <c r="N52" s="9">
        <f t="shared" si="4"/>
        <v>2.7033295822355805E-3</v>
      </c>
      <c r="O52" s="90">
        <f t="shared" si="5"/>
        <v>3007077086.8585911</v>
      </c>
      <c r="P52" s="90">
        <f t="shared" si="6"/>
        <v>123124.98200787976</v>
      </c>
      <c r="Q52" s="90">
        <f t="shared" si="7"/>
        <v>15159761194.440716</v>
      </c>
      <c r="R52"/>
    </row>
    <row r="53" spans="1:18" x14ac:dyDescent="0.2">
      <c r="A53" s="42">
        <v>43921</v>
      </c>
      <c r="B53" s="43">
        <f>Inputs!D74</f>
        <v>19635489.940000001</v>
      </c>
      <c r="C53" s="111">
        <f>Inputs!E74</f>
        <v>440591</v>
      </c>
      <c r="D53" s="111">
        <f t="shared" si="1"/>
        <v>20076080.940000001</v>
      </c>
      <c r="E53" s="111">
        <f>Inputs!C74</f>
        <v>12375.5</v>
      </c>
      <c r="F53" s="108">
        <v>31</v>
      </c>
      <c r="G53" s="92">
        <f t="shared" si="8"/>
        <v>1</v>
      </c>
      <c r="H53" s="89">
        <v>422.2</v>
      </c>
      <c r="I53" s="89">
        <v>0</v>
      </c>
      <c r="J53" s="174">
        <v>0.5</v>
      </c>
      <c r="K53" s="112">
        <f t="shared" si="2"/>
        <v>19292235.993133344</v>
      </c>
      <c r="L53" s="26">
        <f t="shared" si="9"/>
        <v>-343253.94686665758</v>
      </c>
      <c r="M53" s="35">
        <f t="shared" si="3"/>
        <v>-1.7481302881442517E-2</v>
      </c>
      <c r="N53" s="9">
        <f t="shared" si="4"/>
        <v>1.7481302881442517E-2</v>
      </c>
      <c r="O53" s="90">
        <f t="shared" si="5"/>
        <v>117823272039.53819</v>
      </c>
      <c r="P53" s="90">
        <f t="shared" si="6"/>
        <v>-288417.12450377271</v>
      </c>
      <c r="Q53" s="90">
        <f t="shared" si="7"/>
        <v>83184437707.024719</v>
      </c>
      <c r="R53"/>
    </row>
    <row r="54" spans="1:18" x14ac:dyDescent="0.2">
      <c r="A54" s="42">
        <v>43951</v>
      </c>
      <c r="B54" s="43">
        <f>Inputs!D75</f>
        <v>17063911.989999998</v>
      </c>
      <c r="C54" s="111">
        <f>Inputs!E75</f>
        <v>618495</v>
      </c>
      <c r="D54" s="111">
        <f t="shared" si="1"/>
        <v>17682406.989999998</v>
      </c>
      <c r="E54" s="111">
        <f>Inputs!C75</f>
        <v>12375.5</v>
      </c>
      <c r="F54" s="108">
        <v>30</v>
      </c>
      <c r="G54" s="92">
        <f t="shared" si="8"/>
        <v>1</v>
      </c>
      <c r="H54" s="89">
        <v>336.5</v>
      </c>
      <c r="I54" s="89">
        <v>0</v>
      </c>
      <c r="J54" s="174">
        <v>1</v>
      </c>
      <c r="K54" s="112">
        <f t="shared" si="2"/>
        <v>17979945.174117357</v>
      </c>
      <c r="L54" s="26">
        <f t="shared" si="9"/>
        <v>916033.18411735818</v>
      </c>
      <c r="M54" s="35">
        <f t="shared" si="3"/>
        <v>5.3682484101780593E-2</v>
      </c>
      <c r="N54" s="9">
        <f t="shared" si="4"/>
        <v>5.3682484101780593E-2</v>
      </c>
      <c r="O54" s="90">
        <f t="shared" si="5"/>
        <v>839116794404.18579</v>
      </c>
      <c r="P54" s="90">
        <f t="shared" si="6"/>
        <v>1259287.1309840158</v>
      </c>
      <c r="Q54" s="90">
        <f t="shared" si="7"/>
        <v>1585804078261.9536</v>
      </c>
      <c r="R54"/>
    </row>
    <row r="55" spans="1:18" x14ac:dyDescent="0.2">
      <c r="A55" s="42">
        <v>43982</v>
      </c>
      <c r="B55" s="43">
        <f>Inputs!D76</f>
        <v>17813698.140000001</v>
      </c>
      <c r="C55" s="111">
        <f>Inputs!E76</f>
        <v>716891</v>
      </c>
      <c r="D55" s="111">
        <f t="shared" si="1"/>
        <v>18530589.140000001</v>
      </c>
      <c r="E55" s="111">
        <f>Inputs!C76</f>
        <v>12375.5</v>
      </c>
      <c r="F55" s="108">
        <v>31</v>
      </c>
      <c r="G55" s="92">
        <f t="shared" si="8"/>
        <v>1</v>
      </c>
      <c r="H55" s="89">
        <v>160.5</v>
      </c>
      <c r="I55" s="89">
        <v>26.5</v>
      </c>
      <c r="J55" s="174">
        <v>1</v>
      </c>
      <c r="K55" s="112">
        <f t="shared" si="2"/>
        <v>19061960.326515976</v>
      </c>
      <c r="L55" s="26">
        <f t="shared" si="9"/>
        <v>1248262.1865159757</v>
      </c>
      <c r="M55" s="35">
        <f t="shared" si="3"/>
        <v>7.007316373645342E-2</v>
      </c>
      <c r="N55" s="9">
        <f t="shared" si="4"/>
        <v>7.007316373645342E-2</v>
      </c>
      <c r="O55" s="90">
        <f t="shared" si="5"/>
        <v>1558158486285.6445</v>
      </c>
      <c r="P55" s="90">
        <f t="shared" si="6"/>
        <v>332229.00239861757</v>
      </c>
      <c r="Q55" s="90">
        <f t="shared" si="7"/>
        <v>110376110034.78064</v>
      </c>
      <c r="R55"/>
    </row>
    <row r="56" spans="1:18" x14ac:dyDescent="0.2">
      <c r="A56" s="42">
        <v>44012</v>
      </c>
      <c r="B56" s="43">
        <f>Inputs!D77</f>
        <v>22200151.539999999</v>
      </c>
      <c r="C56" s="111">
        <f>Inputs!E77</f>
        <v>865508</v>
      </c>
      <c r="D56" s="111">
        <f t="shared" si="1"/>
        <v>23065659.539999999</v>
      </c>
      <c r="E56" s="111">
        <f>Inputs!C77</f>
        <v>12375.5</v>
      </c>
      <c r="F56" s="108">
        <v>30</v>
      </c>
      <c r="G56" s="92">
        <f t="shared" si="8"/>
        <v>0</v>
      </c>
      <c r="H56" s="89">
        <v>10.8</v>
      </c>
      <c r="I56" s="89">
        <v>111.3</v>
      </c>
      <c r="J56" s="174">
        <v>0.5</v>
      </c>
      <c r="K56" s="112">
        <f t="shared" si="2"/>
        <v>23444514.047989588</v>
      </c>
      <c r="L56" s="26">
        <f t="shared" si="9"/>
        <v>1244362.5079895891</v>
      </c>
      <c r="M56" s="35">
        <f t="shared" si="3"/>
        <v>5.6051982606853373E-2</v>
      </c>
      <c r="N56" s="9">
        <f t="shared" si="4"/>
        <v>5.6051982606853373E-2</v>
      </c>
      <c r="O56" s="90">
        <f t="shared" si="5"/>
        <v>1548438051290.1401</v>
      </c>
      <c r="P56" s="90">
        <f t="shared" si="6"/>
        <v>-3899.6785263866186</v>
      </c>
      <c r="Q56" s="90">
        <f t="shared" si="7"/>
        <v>15207492.609160909</v>
      </c>
      <c r="R56"/>
    </row>
    <row r="57" spans="1:18" x14ac:dyDescent="0.2">
      <c r="A57" s="42">
        <v>44043</v>
      </c>
      <c r="B57" s="43">
        <f>Inputs!D78</f>
        <v>28312518.27</v>
      </c>
      <c r="C57" s="111">
        <f>Inputs!E78</f>
        <v>822094</v>
      </c>
      <c r="D57" s="111">
        <f t="shared" si="1"/>
        <v>29134612.27</v>
      </c>
      <c r="E57" s="111">
        <f>Inputs!C78</f>
        <v>12375.5</v>
      </c>
      <c r="F57" s="108">
        <v>31</v>
      </c>
      <c r="G57" s="92">
        <f t="shared" si="8"/>
        <v>0</v>
      </c>
      <c r="H57" s="89">
        <v>0</v>
      </c>
      <c r="I57" s="89">
        <v>205.7</v>
      </c>
      <c r="J57" s="173">
        <v>0</v>
      </c>
      <c r="K57" s="112">
        <f t="shared" si="2"/>
        <v>29207528.142337032</v>
      </c>
      <c r="L57" s="26">
        <f t="shared" si="9"/>
        <v>895009.87233703211</v>
      </c>
      <c r="M57" s="35">
        <f t="shared" si="3"/>
        <v>3.1611807321476816E-2</v>
      </c>
      <c r="N57" s="9">
        <f t="shared" si="4"/>
        <v>3.1611807321476816E-2</v>
      </c>
      <c r="O57" s="90">
        <f t="shared" si="5"/>
        <v>801042671580.75049</v>
      </c>
      <c r="P57" s="90">
        <f t="shared" si="6"/>
        <v>-349352.63565255702</v>
      </c>
      <c r="Q57" s="90">
        <f t="shared" si="7"/>
        <v>122047264037.38824</v>
      </c>
      <c r="R57"/>
    </row>
    <row r="58" spans="1:18" x14ac:dyDescent="0.2">
      <c r="A58" s="42">
        <v>44074</v>
      </c>
      <c r="B58" s="43">
        <f>Inputs!D79</f>
        <v>25759720.140000001</v>
      </c>
      <c r="C58" s="111">
        <f>Inputs!E79</f>
        <v>742007</v>
      </c>
      <c r="D58" s="111">
        <f t="shared" si="1"/>
        <v>26501727.140000001</v>
      </c>
      <c r="E58" s="111">
        <f>Inputs!C79</f>
        <v>12375.5</v>
      </c>
      <c r="F58" s="108">
        <v>31</v>
      </c>
      <c r="G58" s="92">
        <f t="shared" si="8"/>
        <v>0</v>
      </c>
      <c r="H58" s="89">
        <v>0</v>
      </c>
      <c r="I58" s="89">
        <v>116.6</v>
      </c>
      <c r="J58" s="173">
        <v>0</v>
      </c>
      <c r="K58" s="112">
        <f t="shared" si="2"/>
        <v>24432233.391085111</v>
      </c>
      <c r="L58" s="26">
        <f t="shared" si="9"/>
        <v>-1327486.74891489</v>
      </c>
      <c r="M58" s="35">
        <f t="shared" si="3"/>
        <v>-5.1533430553601114E-2</v>
      </c>
      <c r="N58" s="9">
        <f t="shared" si="4"/>
        <v>5.1533430553601114E-2</v>
      </c>
      <c r="O58" s="90">
        <f t="shared" si="5"/>
        <v>1762221068544.6243</v>
      </c>
      <c r="P58" s="90">
        <f t="shared" si="6"/>
        <v>-2222496.6212519221</v>
      </c>
      <c r="Q58" s="90">
        <f t="shared" si="7"/>
        <v>4939491231476.21</v>
      </c>
      <c r="R58"/>
    </row>
    <row r="59" spans="1:18" x14ac:dyDescent="0.2">
      <c r="A59" s="42">
        <v>44104</v>
      </c>
      <c r="B59" s="43">
        <f>Inputs!D80</f>
        <v>18691559.740000002</v>
      </c>
      <c r="C59" s="111">
        <f>Inputs!E80</f>
        <v>584979</v>
      </c>
      <c r="D59" s="111">
        <f t="shared" si="1"/>
        <v>19276538.740000002</v>
      </c>
      <c r="E59" s="111">
        <f>Inputs!C80</f>
        <v>12375.5</v>
      </c>
      <c r="F59" s="108">
        <v>30</v>
      </c>
      <c r="G59" s="92">
        <f t="shared" si="8"/>
        <v>0</v>
      </c>
      <c r="H59" s="89">
        <v>62</v>
      </c>
      <c r="I59" s="89">
        <v>22.2</v>
      </c>
      <c r="J59" s="173">
        <v>0</v>
      </c>
      <c r="K59" s="112">
        <f t="shared" si="2"/>
        <v>18992136.795400847</v>
      </c>
      <c r="L59" s="26">
        <f t="shared" si="9"/>
        <v>300577.05540084466</v>
      </c>
      <c r="M59" s="35">
        <f t="shared" si="3"/>
        <v>1.6080897452212549E-2</v>
      </c>
      <c r="N59" s="9">
        <f t="shared" si="4"/>
        <v>1.6080897452212549E-2</v>
      </c>
      <c r="O59" s="90">
        <f t="shared" si="5"/>
        <v>90346566233.442444</v>
      </c>
      <c r="P59" s="90">
        <f t="shared" si="6"/>
        <v>1628063.8043157347</v>
      </c>
      <c r="Q59" s="90">
        <f t="shared" si="7"/>
        <v>2650591750923.0229</v>
      </c>
      <c r="R59"/>
    </row>
    <row r="60" spans="1:18" x14ac:dyDescent="0.2">
      <c r="A60" s="42">
        <v>44135</v>
      </c>
      <c r="B60" s="43">
        <f>Inputs!D81</f>
        <v>17010847.789999999</v>
      </c>
      <c r="C60" s="111">
        <f>Inputs!E81</f>
        <v>426912</v>
      </c>
      <c r="D60" s="111">
        <f t="shared" si="1"/>
        <v>17437759.789999999</v>
      </c>
      <c r="E60" s="111">
        <f>Inputs!C81</f>
        <v>12375.5</v>
      </c>
      <c r="F60" s="108">
        <v>31</v>
      </c>
      <c r="G60" s="92">
        <f t="shared" si="8"/>
        <v>1</v>
      </c>
      <c r="H60" s="89">
        <v>239.7</v>
      </c>
      <c r="I60" s="89">
        <v>0.8</v>
      </c>
      <c r="J60" s="173">
        <v>0</v>
      </c>
      <c r="K60" s="112">
        <f t="shared" si="2"/>
        <v>18184087.528588589</v>
      </c>
      <c r="L60" s="26">
        <f t="shared" si="9"/>
        <v>1173239.7385885902</v>
      </c>
      <c r="M60" s="35">
        <f t="shared" si="3"/>
        <v>6.8970092089019289E-2</v>
      </c>
      <c r="N60" s="9">
        <f t="shared" si="4"/>
        <v>6.8970092089019289E-2</v>
      </c>
      <c r="O60" s="90">
        <f t="shared" si="5"/>
        <v>1376491484203.4233</v>
      </c>
      <c r="P60" s="90">
        <f t="shared" si="6"/>
        <v>872662.68318774551</v>
      </c>
      <c r="Q60" s="90">
        <f t="shared" si="7"/>
        <v>761540158628.43555</v>
      </c>
      <c r="R60"/>
    </row>
    <row r="61" spans="1:18" x14ac:dyDescent="0.2">
      <c r="A61" s="42">
        <v>44165</v>
      </c>
      <c r="B61" s="43">
        <f>Inputs!D82</f>
        <v>18253420.960000001</v>
      </c>
      <c r="C61" s="111">
        <f>Inputs!E82</f>
        <v>357184</v>
      </c>
      <c r="D61" s="111">
        <f t="shared" si="1"/>
        <v>18610604.960000001</v>
      </c>
      <c r="E61" s="111">
        <f>Inputs!C82</f>
        <v>12375.5</v>
      </c>
      <c r="F61" s="108">
        <v>30</v>
      </c>
      <c r="G61" s="92">
        <f t="shared" si="8"/>
        <v>1</v>
      </c>
      <c r="H61" s="89">
        <v>313</v>
      </c>
      <c r="I61" s="89">
        <v>1.4</v>
      </c>
      <c r="J61" s="173">
        <v>0</v>
      </c>
      <c r="K61" s="112">
        <f t="shared" si="2"/>
        <v>17906763.777511068</v>
      </c>
      <c r="L61" s="26">
        <f t="shared" si="9"/>
        <v>-346657.18248893321</v>
      </c>
      <c r="M61" s="35">
        <f t="shared" si="3"/>
        <v>-1.8991354182242733E-2</v>
      </c>
      <c r="N61" s="9">
        <f t="shared" si="4"/>
        <v>1.8991354182242733E-2</v>
      </c>
      <c r="O61" s="90">
        <f t="shared" si="5"/>
        <v>120171202171.16554</v>
      </c>
      <c r="P61" s="90">
        <f t="shared" si="6"/>
        <v>-1519896.9210775234</v>
      </c>
      <c r="Q61" s="90">
        <f t="shared" si="7"/>
        <v>2310086650700.9355</v>
      </c>
      <c r="R61"/>
    </row>
    <row r="62" spans="1:18" x14ac:dyDescent="0.2">
      <c r="A62" s="42">
        <v>44196</v>
      </c>
      <c r="B62" s="43">
        <f>Inputs!D83</f>
        <v>20812449.16</v>
      </c>
      <c r="C62" s="111">
        <f>Inputs!E83</f>
        <v>170241</v>
      </c>
      <c r="D62" s="111">
        <f t="shared" si="1"/>
        <v>20982690.16</v>
      </c>
      <c r="E62" s="111">
        <f>Inputs!C83</f>
        <v>12375.5</v>
      </c>
      <c r="F62" s="108">
        <v>31</v>
      </c>
      <c r="G62" s="92">
        <f t="shared" si="8"/>
        <v>0</v>
      </c>
      <c r="H62" s="89">
        <v>547.4</v>
      </c>
      <c r="I62" s="89">
        <v>0</v>
      </c>
      <c r="J62" s="173">
        <v>0</v>
      </c>
      <c r="K62" s="112">
        <f t="shared" si="2"/>
        <v>21635524.398567677</v>
      </c>
      <c r="L62" s="26">
        <f t="shared" si="9"/>
        <v>823075.2385676764</v>
      </c>
      <c r="M62" s="35">
        <f t="shared" si="3"/>
        <v>3.9547255214420735E-2</v>
      </c>
      <c r="N62" s="9">
        <f t="shared" si="4"/>
        <v>3.9547255214420735E-2</v>
      </c>
      <c r="O62" s="90">
        <f t="shared" si="5"/>
        <v>677452848343.23743</v>
      </c>
      <c r="P62" s="90">
        <f t="shared" si="6"/>
        <v>1169732.4210566096</v>
      </c>
      <c r="Q62" s="90">
        <f t="shared" si="7"/>
        <v>1368273936870.9575</v>
      </c>
      <c r="R62"/>
    </row>
    <row r="63" spans="1:18" x14ac:dyDescent="0.2">
      <c r="A63" s="42">
        <v>44227</v>
      </c>
      <c r="B63" s="43">
        <f>Inputs!D84</f>
        <v>20791460.91</v>
      </c>
      <c r="C63" s="111">
        <f>Inputs!E84</f>
        <v>203656</v>
      </c>
      <c r="D63" s="111">
        <f t="shared" si="1"/>
        <v>20995116.91</v>
      </c>
      <c r="E63" s="111">
        <f>Inputs!C84</f>
        <v>12439.25</v>
      </c>
      <c r="F63" s="108">
        <v>31</v>
      </c>
      <c r="G63" s="92">
        <f t="shared" si="8"/>
        <v>0</v>
      </c>
      <c r="H63" s="89">
        <v>610.79999999999995</v>
      </c>
      <c r="I63" s="89">
        <v>0</v>
      </c>
      <c r="J63" s="173">
        <v>0</v>
      </c>
      <c r="K63" s="112">
        <f t="shared" si="2"/>
        <v>22106786.979525521</v>
      </c>
      <c r="L63" s="26">
        <f t="shared" si="9"/>
        <v>1315326.0695255212</v>
      </c>
      <c r="M63" s="35">
        <f t="shared" si="3"/>
        <v>6.326280174438792E-2</v>
      </c>
      <c r="N63" s="9">
        <f t="shared" si="4"/>
        <v>6.326280174438792E-2</v>
      </c>
      <c r="O63" s="90">
        <f t="shared" si="5"/>
        <v>1730082669173.4563</v>
      </c>
      <c r="P63" s="90">
        <f t="shared" si="6"/>
        <v>492250.83095784485</v>
      </c>
      <c r="Q63" s="90">
        <f t="shared" si="7"/>
        <v>242310880578.68875</v>
      </c>
      <c r="R63"/>
    </row>
    <row r="64" spans="1:18" x14ac:dyDescent="0.2">
      <c r="A64" s="42">
        <v>44255</v>
      </c>
      <c r="B64" s="43">
        <f>Inputs!D85</f>
        <v>19464197.140000001</v>
      </c>
      <c r="C64" s="111">
        <f>Inputs!E85</f>
        <v>359185</v>
      </c>
      <c r="D64" s="111">
        <f t="shared" si="1"/>
        <v>19823382.140000001</v>
      </c>
      <c r="E64" s="111">
        <f>Inputs!C85</f>
        <v>12439.25</v>
      </c>
      <c r="F64" s="108">
        <v>28</v>
      </c>
      <c r="G64" s="92">
        <f t="shared" si="8"/>
        <v>0</v>
      </c>
      <c r="H64" s="89">
        <v>654.79999999999995</v>
      </c>
      <c r="I64" s="89">
        <v>0</v>
      </c>
      <c r="J64" s="173">
        <v>0</v>
      </c>
      <c r="K64" s="112">
        <f t="shared" si="2"/>
        <v>20068946.921842463</v>
      </c>
      <c r="L64" s="26">
        <f t="shared" si="9"/>
        <v>604749.78184246272</v>
      </c>
      <c r="M64" s="35">
        <f t="shared" si="3"/>
        <v>3.10698549492015E-2</v>
      </c>
      <c r="N64" s="9">
        <f t="shared" si="4"/>
        <v>3.10698549492015E-2</v>
      </c>
      <c r="O64" s="90">
        <f t="shared" si="5"/>
        <v>365722298638.50623</v>
      </c>
      <c r="P64" s="90">
        <f t="shared" si="6"/>
        <v>-710576.28768305853</v>
      </c>
      <c r="Q64" s="90">
        <f t="shared" si="7"/>
        <v>504918660617.43677</v>
      </c>
      <c r="R64"/>
    </row>
    <row r="65" spans="1:18" x14ac:dyDescent="0.2">
      <c r="A65" s="42">
        <v>44286</v>
      </c>
      <c r="B65" s="43">
        <f>Inputs!D86</f>
        <v>18626681.48</v>
      </c>
      <c r="C65" s="111">
        <f>Inputs!E86</f>
        <v>694681</v>
      </c>
      <c r="D65" s="111">
        <f t="shared" si="1"/>
        <v>19321362.48</v>
      </c>
      <c r="E65" s="111">
        <f>Inputs!C86</f>
        <v>12439.25</v>
      </c>
      <c r="F65" s="108">
        <v>31</v>
      </c>
      <c r="G65" s="92">
        <f t="shared" si="8"/>
        <v>1</v>
      </c>
      <c r="H65" s="89">
        <v>398.5</v>
      </c>
      <c r="I65" s="89">
        <v>0</v>
      </c>
      <c r="J65" s="173">
        <v>0</v>
      </c>
      <c r="K65" s="112">
        <f t="shared" si="2"/>
        <v>19214160.407420039</v>
      </c>
      <c r="L65" s="26">
        <f t="shared" si="9"/>
        <v>587478.92742003873</v>
      </c>
      <c r="M65" s="35">
        <f t="shared" si="3"/>
        <v>3.153964532280383E-2</v>
      </c>
      <c r="N65" s="9">
        <f t="shared" si="4"/>
        <v>3.153964532280383E-2</v>
      </c>
      <c r="O65" s="90">
        <f t="shared" si="5"/>
        <v>345131490162.59912</v>
      </c>
      <c r="P65" s="90">
        <f t="shared" si="6"/>
        <v>-17270.854422423989</v>
      </c>
      <c r="Q65" s="90">
        <f t="shared" si="7"/>
        <v>298282412.48056227</v>
      </c>
    </row>
    <row r="66" spans="1:18" x14ac:dyDescent="0.2">
      <c r="A66" s="42">
        <v>44316</v>
      </c>
      <c r="B66" s="43">
        <f>Inputs!D87</f>
        <v>16318058.01</v>
      </c>
      <c r="C66" s="111">
        <f>Inputs!E87</f>
        <v>585708</v>
      </c>
      <c r="D66" s="111">
        <f t="shared" si="1"/>
        <v>16903766.009999998</v>
      </c>
      <c r="E66" s="111">
        <f>Inputs!C87</f>
        <v>12439.25</v>
      </c>
      <c r="F66" s="108">
        <v>30</v>
      </c>
      <c r="G66" s="92">
        <f t="shared" si="8"/>
        <v>1</v>
      </c>
      <c r="H66" s="89">
        <v>254.9</v>
      </c>
      <c r="I66" s="89">
        <v>0.4</v>
      </c>
      <c r="J66" s="173">
        <v>0</v>
      </c>
      <c r="K66" s="112">
        <f t="shared" si="2"/>
        <v>17558133.219030451</v>
      </c>
      <c r="L66" s="26">
        <f t="shared" si="9"/>
        <v>1240075.2090304513</v>
      </c>
      <c r="M66" s="35">
        <f t="shared" si="3"/>
        <v>7.5994043425419308E-2</v>
      </c>
      <c r="N66" s="9">
        <f t="shared" si="4"/>
        <v>7.5994043425419308E-2</v>
      </c>
      <c r="O66" s="90">
        <f t="shared" si="5"/>
        <v>1537786524051.9175</v>
      </c>
      <c r="P66" s="90">
        <f t="shared" si="6"/>
        <v>652596.28161041252</v>
      </c>
      <c r="Q66" s="90">
        <f t="shared" si="7"/>
        <v>425881906771.73682</v>
      </c>
    </row>
    <row r="67" spans="1:18" x14ac:dyDescent="0.2">
      <c r="A67" s="42">
        <v>44347</v>
      </c>
      <c r="B67" s="43">
        <f>Inputs!D88</f>
        <v>17668256.82</v>
      </c>
      <c r="C67" s="111">
        <f>Inputs!E88</f>
        <v>728119</v>
      </c>
      <c r="D67" s="111">
        <f t="shared" si="1"/>
        <v>18396375.82</v>
      </c>
      <c r="E67" s="111">
        <f>Inputs!C88</f>
        <v>12439.25</v>
      </c>
      <c r="F67" s="108">
        <v>31</v>
      </c>
      <c r="G67" s="92">
        <f t="shared" si="8"/>
        <v>1</v>
      </c>
      <c r="H67" s="89">
        <v>140.19999999999999</v>
      </c>
      <c r="I67" s="89">
        <v>31.8</v>
      </c>
      <c r="J67" s="173">
        <v>0</v>
      </c>
      <c r="K67" s="112">
        <f t="shared" si="2"/>
        <v>19289380.806219153</v>
      </c>
      <c r="L67" s="26">
        <f t="shared" ref="L67:L98" si="10">K67-B67</f>
        <v>1621123.9862191528</v>
      </c>
      <c r="M67" s="35">
        <f t="shared" si="3"/>
        <v>9.1753476459776342E-2</v>
      </c>
      <c r="N67" s="9">
        <f t="shared" si="4"/>
        <v>9.1753476459776342E-2</v>
      </c>
      <c r="O67" s="90">
        <f t="shared" si="5"/>
        <v>2628042978695.0762</v>
      </c>
      <c r="P67" s="90">
        <f t="shared" si="6"/>
        <v>381048.77718870156</v>
      </c>
      <c r="Q67" s="90">
        <f t="shared" si="7"/>
        <v>145198170597.00473</v>
      </c>
    </row>
    <row r="68" spans="1:18" x14ac:dyDescent="0.2">
      <c r="A68" s="42">
        <v>44377</v>
      </c>
      <c r="B68" s="43">
        <f>Inputs!D89</f>
        <v>23582804.460000001</v>
      </c>
      <c r="C68" s="111">
        <f>Inputs!E89</f>
        <v>715667</v>
      </c>
      <c r="D68" s="111">
        <f t="shared" ref="D68:D121" si="11">B68+C68</f>
        <v>24298471.460000001</v>
      </c>
      <c r="E68" s="111">
        <f>Inputs!C89</f>
        <v>12439.25</v>
      </c>
      <c r="F68" s="108">
        <v>30</v>
      </c>
      <c r="G68" s="92">
        <f t="shared" si="8"/>
        <v>0</v>
      </c>
      <c r="H68" s="89">
        <v>6.9</v>
      </c>
      <c r="I68" s="89">
        <v>135</v>
      </c>
      <c r="J68" s="173">
        <v>0</v>
      </c>
      <c r="K68" s="112">
        <f t="shared" ref="K68:K131" si="12">$T$18+$T$19*E68+$T$20*F68+$T$21*G68+$T$22*H68+$T$23*I68</f>
        <v>24761512.96067844</v>
      </c>
      <c r="L68" s="26">
        <f t="shared" si="10"/>
        <v>1178708.5006784387</v>
      </c>
      <c r="M68" s="35">
        <f t="shared" ref="M68:M122" si="13">L68/B68</f>
        <v>4.9981693342609289E-2</v>
      </c>
      <c r="N68" s="9">
        <f t="shared" ref="N68:N122" si="14">ABS(M68)</f>
        <v>4.9981693342609289E-2</v>
      </c>
      <c r="O68" s="90">
        <f t="shared" ref="O68:O122" si="15">L68*L68</f>
        <v>1389353729571.6128</v>
      </c>
      <c r="P68" s="90">
        <f t="shared" si="6"/>
        <v>-442415.48554071411</v>
      </c>
      <c r="Q68" s="90">
        <f t="shared" si="7"/>
        <v>195731461846.22583</v>
      </c>
    </row>
    <row r="69" spans="1:18" x14ac:dyDescent="0.2">
      <c r="A69" s="42">
        <v>44408</v>
      </c>
      <c r="B69" s="43">
        <f>Inputs!D90</f>
        <v>24086129.16</v>
      </c>
      <c r="C69" s="111">
        <f>Inputs!E90</f>
        <v>705394</v>
      </c>
      <c r="D69" s="111">
        <f t="shared" si="11"/>
        <v>24791523.16</v>
      </c>
      <c r="E69" s="111">
        <f>Inputs!C90</f>
        <v>12439.25</v>
      </c>
      <c r="F69" s="108">
        <v>31</v>
      </c>
      <c r="G69" s="92">
        <f t="shared" si="8"/>
        <v>0</v>
      </c>
      <c r="H69" s="89">
        <v>0</v>
      </c>
      <c r="I69" s="89">
        <v>130.4</v>
      </c>
      <c r="J69" s="173">
        <v>0</v>
      </c>
      <c r="K69" s="112">
        <f t="shared" si="12"/>
        <v>25243241.229422785</v>
      </c>
      <c r="L69" s="26">
        <f t="shared" si="10"/>
        <v>1157112.0694227852</v>
      </c>
      <c r="M69" s="35">
        <f t="shared" si="13"/>
        <v>4.804059887482498E-2</v>
      </c>
      <c r="N69" s="9">
        <f t="shared" si="14"/>
        <v>4.804059887482498E-2</v>
      </c>
      <c r="O69" s="90">
        <f t="shared" si="15"/>
        <v>1338908341203.8804</v>
      </c>
      <c r="P69" s="90">
        <f t="shared" ref="P69:P122" si="16">L69-L68</f>
        <v>-21596.431255653501</v>
      </c>
      <c r="Q69" s="90">
        <f t="shared" ref="Q69:Q122" si="17">P69*P69</f>
        <v>466405842.98016745</v>
      </c>
    </row>
    <row r="70" spans="1:18" x14ac:dyDescent="0.2">
      <c r="A70" s="42">
        <v>44439</v>
      </c>
      <c r="B70" s="43">
        <f>Inputs!D91</f>
        <v>26473436.760000002</v>
      </c>
      <c r="C70" s="111">
        <f>Inputs!E91</f>
        <v>724341</v>
      </c>
      <c r="D70" s="111">
        <f t="shared" si="11"/>
        <v>27197777.760000002</v>
      </c>
      <c r="E70" s="111">
        <f>Inputs!C91</f>
        <v>12439.25</v>
      </c>
      <c r="F70" s="108">
        <v>31</v>
      </c>
      <c r="G70" s="92">
        <f t="shared" si="8"/>
        <v>0</v>
      </c>
      <c r="H70" s="89">
        <v>0</v>
      </c>
      <c r="I70" s="89">
        <v>137.9</v>
      </c>
      <c r="J70" s="173">
        <v>0</v>
      </c>
      <c r="K70" s="112">
        <f t="shared" si="12"/>
        <v>25645202.067070253</v>
      </c>
      <c r="L70" s="26">
        <f t="shared" si="10"/>
        <v>-828234.69292974845</v>
      </c>
      <c r="M70" s="35">
        <f t="shared" si="13"/>
        <v>-3.128549951554338E-2</v>
      </c>
      <c r="N70" s="9">
        <f t="shared" si="14"/>
        <v>3.128549951554338E-2</v>
      </c>
      <c r="O70" s="90">
        <f t="shared" si="15"/>
        <v>685972706572.43469</v>
      </c>
      <c r="P70" s="90">
        <f t="shared" si="16"/>
        <v>-1985346.7623525336</v>
      </c>
      <c r="Q70" s="90">
        <f t="shared" si="17"/>
        <v>3941601766783.6875</v>
      </c>
    </row>
    <row r="71" spans="1:18" x14ac:dyDescent="0.2">
      <c r="A71" s="42">
        <v>44469</v>
      </c>
      <c r="B71" s="43">
        <f>Inputs!D92</f>
        <v>19829635.48</v>
      </c>
      <c r="C71" s="111">
        <f>Inputs!E92</f>
        <v>598439</v>
      </c>
      <c r="D71" s="111">
        <f t="shared" si="11"/>
        <v>20428074.48</v>
      </c>
      <c r="E71" s="111">
        <f>Inputs!C92</f>
        <v>12439.25</v>
      </c>
      <c r="F71" s="108">
        <v>30</v>
      </c>
      <c r="G71" s="92">
        <f t="shared" si="8"/>
        <v>0</v>
      </c>
      <c r="H71" s="89">
        <v>33.4</v>
      </c>
      <c r="I71" s="89">
        <v>50.9</v>
      </c>
      <c r="J71" s="173">
        <v>0</v>
      </c>
      <c r="K71" s="112">
        <f t="shared" si="12"/>
        <v>20421327.134679273</v>
      </c>
      <c r="L71" s="26">
        <f t="shared" si="10"/>
        <v>591691.65467927232</v>
      </c>
      <c r="M71" s="35">
        <f t="shared" si="13"/>
        <v>2.9838756001140183E-2</v>
      </c>
      <c r="N71" s="9">
        <f t="shared" si="14"/>
        <v>2.9838756001140183E-2</v>
      </c>
      <c r="O71" s="90">
        <f t="shared" si="15"/>
        <v>350099014217.09528</v>
      </c>
      <c r="P71" s="90">
        <f t="shared" si="16"/>
        <v>1419926.3476090208</v>
      </c>
      <c r="Q71" s="90">
        <f t="shared" si="17"/>
        <v>2016190832634.2937</v>
      </c>
    </row>
    <row r="72" spans="1:18" x14ac:dyDescent="0.2">
      <c r="A72" s="42">
        <v>44500</v>
      </c>
      <c r="B72" s="43">
        <f>Inputs!D93</f>
        <v>18061641.579999998</v>
      </c>
      <c r="C72" s="111">
        <f>Inputs!E93</f>
        <v>366649</v>
      </c>
      <c r="D72" s="111">
        <f t="shared" si="11"/>
        <v>18428290.579999998</v>
      </c>
      <c r="E72" s="111">
        <f>Inputs!C93</f>
        <v>12439.25</v>
      </c>
      <c r="F72" s="108">
        <v>31</v>
      </c>
      <c r="G72" s="92">
        <f t="shared" si="8"/>
        <v>1</v>
      </c>
      <c r="H72" s="89">
        <v>123.8</v>
      </c>
      <c r="I72" s="89">
        <v>27</v>
      </c>
      <c r="J72" s="173">
        <v>0</v>
      </c>
      <c r="K72" s="112">
        <f t="shared" si="12"/>
        <v>18928691.358834222</v>
      </c>
      <c r="L72" s="26">
        <f t="shared" si="10"/>
        <v>867049.77883422375</v>
      </c>
      <c r="M72" s="35">
        <f t="shared" si="13"/>
        <v>4.8005037360187935E-2</v>
      </c>
      <c r="N72" s="9">
        <f t="shared" si="14"/>
        <v>4.8005037360187935E-2</v>
      </c>
      <c r="O72" s="90">
        <f t="shared" si="15"/>
        <v>751775318976.47632</v>
      </c>
      <c r="P72" s="90">
        <f t="shared" si="16"/>
        <v>275358.12415495142</v>
      </c>
      <c r="Q72" s="90">
        <f t="shared" si="17"/>
        <v>75822096538.133636</v>
      </c>
    </row>
    <row r="73" spans="1:18" x14ac:dyDescent="0.2">
      <c r="A73" s="42">
        <v>44530</v>
      </c>
      <c r="B73" s="43">
        <f>Inputs!D94</f>
        <v>18852663.420000002</v>
      </c>
      <c r="C73" s="111">
        <f>Inputs!E94</f>
        <v>320744</v>
      </c>
      <c r="D73" s="111">
        <f t="shared" si="11"/>
        <v>19173407.420000002</v>
      </c>
      <c r="E73" s="111">
        <f>Inputs!C94</f>
        <v>12439.25</v>
      </c>
      <c r="F73" s="108">
        <v>30</v>
      </c>
      <c r="G73" s="92">
        <f t="shared" si="8"/>
        <v>1</v>
      </c>
      <c r="H73" s="89">
        <v>422.9</v>
      </c>
      <c r="I73" s="89">
        <v>0</v>
      </c>
      <c r="J73" s="173">
        <v>0</v>
      </c>
      <c r="K73" s="112">
        <f t="shared" si="12"/>
        <v>18596268.35017781</v>
      </c>
      <c r="L73" s="26">
        <f t="shared" si="10"/>
        <v>-256395.06982219219</v>
      </c>
      <c r="M73" s="35">
        <f t="shared" si="13"/>
        <v>-1.3599938857986155E-2</v>
      </c>
      <c r="N73" s="9">
        <f t="shared" si="14"/>
        <v>1.3599938857986155E-2</v>
      </c>
      <c r="O73" s="90">
        <f t="shared" si="15"/>
        <v>65738431829.126808</v>
      </c>
      <c r="P73" s="90">
        <f t="shared" si="16"/>
        <v>-1123444.8486564159</v>
      </c>
      <c r="Q73" s="90">
        <f t="shared" si="17"/>
        <v>1262128327972.6372</v>
      </c>
    </row>
    <row r="74" spans="1:18" x14ac:dyDescent="0.2">
      <c r="A74" s="42">
        <v>44561</v>
      </c>
      <c r="B74" s="43">
        <f>Inputs!D95</f>
        <v>19904377.539999999</v>
      </c>
      <c r="C74" s="111">
        <f>Inputs!E95</f>
        <v>215572</v>
      </c>
      <c r="D74" s="111">
        <f t="shared" si="11"/>
        <v>20119949.539999999</v>
      </c>
      <c r="E74" s="111">
        <f>Inputs!C95</f>
        <v>12439.25</v>
      </c>
      <c r="F74" s="108">
        <v>31</v>
      </c>
      <c r="G74" s="92">
        <f t="shared" si="8"/>
        <v>0</v>
      </c>
      <c r="H74" s="89">
        <v>483.4</v>
      </c>
      <c r="I74" s="89">
        <v>0</v>
      </c>
      <c r="J74" s="173">
        <v>0</v>
      </c>
      <c r="K74" s="112">
        <f t="shared" si="12"/>
        <v>21303277.422305033</v>
      </c>
      <c r="L74" s="26">
        <f t="shared" si="10"/>
        <v>1398899.8823050335</v>
      </c>
      <c r="M74" s="35">
        <f t="shared" si="13"/>
        <v>7.0281016298740964E-2</v>
      </c>
      <c r="N74" s="9">
        <f t="shared" si="14"/>
        <v>7.0281016298740964E-2</v>
      </c>
      <c r="O74" s="90">
        <f t="shared" si="15"/>
        <v>1956920880713.0366</v>
      </c>
      <c r="P74" s="90">
        <f t="shared" si="16"/>
        <v>1655294.9521272257</v>
      </c>
      <c r="Q74" s="90">
        <f t="shared" si="17"/>
        <v>2740001378537.8745</v>
      </c>
    </row>
    <row r="75" spans="1:18" x14ac:dyDescent="0.2">
      <c r="A75" s="42">
        <v>44592</v>
      </c>
      <c r="B75" s="43">
        <f>Inputs!D96</f>
        <v>21934558.289999999</v>
      </c>
      <c r="C75" s="111">
        <f>Inputs!E96</f>
        <v>261205</v>
      </c>
      <c r="D75" s="111">
        <f t="shared" si="11"/>
        <v>22195763.289999999</v>
      </c>
      <c r="E75" s="111">
        <f>Inputs!C96</f>
        <v>12439.125</v>
      </c>
      <c r="F75" s="108">
        <v>31</v>
      </c>
      <c r="G75" s="92">
        <f t="shared" si="8"/>
        <v>0</v>
      </c>
      <c r="H75" s="89">
        <v>766.2</v>
      </c>
      <c r="I75" s="89">
        <v>0</v>
      </c>
      <c r="J75" s="173">
        <v>0</v>
      </c>
      <c r="K75" s="112">
        <f t="shared" si="12"/>
        <v>23086752.044029266</v>
      </c>
      <c r="L75" s="26">
        <f t="shared" si="10"/>
        <v>1152193.7540292665</v>
      </c>
      <c r="M75" s="35">
        <f t="shared" si="13"/>
        <v>5.252869644311705E-2</v>
      </c>
      <c r="N75" s="9">
        <f t="shared" si="14"/>
        <v>5.252869644311705E-2</v>
      </c>
      <c r="O75" s="90">
        <f t="shared" si="15"/>
        <v>1327550446824.054</v>
      </c>
      <c r="P75" s="90">
        <f t="shared" si="16"/>
        <v>-246706.12827576697</v>
      </c>
      <c r="Q75" s="90">
        <f t="shared" si="17"/>
        <v>60863913728.819183</v>
      </c>
      <c r="R75" s="36"/>
    </row>
    <row r="76" spans="1:18" x14ac:dyDescent="0.2">
      <c r="A76" s="42">
        <v>44620</v>
      </c>
      <c r="B76" s="43">
        <f>Inputs!D97</f>
        <v>19400472.890000001</v>
      </c>
      <c r="C76" s="111">
        <f>Inputs!E97</f>
        <v>314288</v>
      </c>
      <c r="D76" s="111">
        <f t="shared" si="11"/>
        <v>19714760.890000001</v>
      </c>
      <c r="E76" s="111">
        <f>Inputs!C97</f>
        <v>12439.125</v>
      </c>
      <c r="F76" s="108">
        <v>28</v>
      </c>
      <c r="G76" s="92">
        <f t="shared" si="8"/>
        <v>0</v>
      </c>
      <c r="H76" s="89">
        <v>607.29999999999995</v>
      </c>
      <c r="I76" s="89">
        <v>0</v>
      </c>
      <c r="J76" s="173">
        <v>0</v>
      </c>
      <c r="K76" s="112">
        <f t="shared" si="12"/>
        <v>19769225.25824545</v>
      </c>
      <c r="L76" s="26">
        <f t="shared" si="10"/>
        <v>368752.36824544892</v>
      </c>
      <c r="M76" s="35">
        <f t="shared" si="13"/>
        <v>1.9007390713425488E-2</v>
      </c>
      <c r="N76" s="9">
        <f t="shared" si="14"/>
        <v>1.9007390713425488E-2</v>
      </c>
      <c r="O76" s="90">
        <f t="shared" si="15"/>
        <v>135978309086.62717</v>
      </c>
      <c r="P76" s="90">
        <f t="shared" si="16"/>
        <v>-783441.38578381762</v>
      </c>
      <c r="Q76" s="90">
        <f t="shared" si="17"/>
        <v>613780404958.86853</v>
      </c>
    </row>
    <row r="77" spans="1:18" x14ac:dyDescent="0.2">
      <c r="A77" s="42">
        <v>44651</v>
      </c>
      <c r="B77" s="43">
        <f>Inputs!D98</f>
        <v>19279913.75</v>
      </c>
      <c r="C77" s="111">
        <f>Inputs!E98</f>
        <v>497672</v>
      </c>
      <c r="D77" s="111">
        <f t="shared" si="11"/>
        <v>19777585.75</v>
      </c>
      <c r="E77" s="111">
        <f>Inputs!C98</f>
        <v>12439.125</v>
      </c>
      <c r="F77" s="108">
        <v>31</v>
      </c>
      <c r="G77" s="92">
        <f t="shared" si="8"/>
        <v>1</v>
      </c>
      <c r="H77" s="89">
        <v>455.3</v>
      </c>
      <c r="I77" s="89">
        <v>0</v>
      </c>
      <c r="J77" s="173">
        <v>0</v>
      </c>
      <c r="K77" s="112">
        <f t="shared" si="12"/>
        <v>19572257.007701337</v>
      </c>
      <c r="L77" s="26">
        <f t="shared" si="10"/>
        <v>292343.25770133734</v>
      </c>
      <c r="M77" s="35">
        <f t="shared" si="13"/>
        <v>1.5163099871301931E-2</v>
      </c>
      <c r="N77" s="9">
        <f t="shared" si="14"/>
        <v>1.5163099871301931E-2</v>
      </c>
      <c r="O77" s="90">
        <f t="shared" si="15"/>
        <v>85464580323.430527</v>
      </c>
      <c r="P77" s="90">
        <f t="shared" si="16"/>
        <v>-76409.11054411158</v>
      </c>
      <c r="Q77" s="90">
        <f t="shared" si="17"/>
        <v>5838352174.1422634</v>
      </c>
    </row>
    <row r="78" spans="1:18" x14ac:dyDescent="0.2">
      <c r="A78" s="42">
        <v>44681</v>
      </c>
      <c r="B78" s="43">
        <f>Inputs!D99</f>
        <v>16999155.43</v>
      </c>
      <c r="C78" s="111">
        <f>Inputs!E99</f>
        <v>529271</v>
      </c>
      <c r="D78" s="111">
        <f t="shared" si="11"/>
        <v>17528426.43</v>
      </c>
      <c r="E78" s="111">
        <f>Inputs!C99</f>
        <v>12439.125</v>
      </c>
      <c r="F78" s="108">
        <v>30</v>
      </c>
      <c r="G78" s="92">
        <f t="shared" si="8"/>
        <v>1</v>
      </c>
      <c r="H78" s="89">
        <v>333.8</v>
      </c>
      <c r="I78" s="89">
        <v>1.3</v>
      </c>
      <c r="J78" s="173">
        <v>0</v>
      </c>
      <c r="K78" s="112">
        <f t="shared" si="12"/>
        <v>18103849.430775851</v>
      </c>
      <c r="L78" s="26">
        <f t="shared" si="10"/>
        <v>1104694.0007758513</v>
      </c>
      <c r="M78" s="35">
        <f t="shared" si="13"/>
        <v>6.4985228550019286E-2</v>
      </c>
      <c r="N78" s="9">
        <f t="shared" si="14"/>
        <v>6.4985228550019286E-2</v>
      </c>
      <c r="O78" s="90">
        <f t="shared" si="15"/>
        <v>1220348835350.1565</v>
      </c>
      <c r="P78" s="90">
        <f t="shared" si="16"/>
        <v>812350.74307451397</v>
      </c>
      <c r="Q78" s="90">
        <f t="shared" si="17"/>
        <v>659913729773.71497</v>
      </c>
    </row>
    <row r="79" spans="1:18" x14ac:dyDescent="0.2">
      <c r="A79" s="42">
        <v>44712</v>
      </c>
      <c r="B79" s="43">
        <f>Inputs!D100</f>
        <v>17255063.699999999</v>
      </c>
      <c r="C79" s="111">
        <f>Inputs!E100</f>
        <v>675247</v>
      </c>
      <c r="D79" s="111">
        <f t="shared" si="11"/>
        <v>17930310.699999999</v>
      </c>
      <c r="E79" s="111">
        <f>Inputs!C100</f>
        <v>12439.125</v>
      </c>
      <c r="F79" s="108">
        <v>31</v>
      </c>
      <c r="G79" s="92">
        <f t="shared" si="8"/>
        <v>1</v>
      </c>
      <c r="H79" s="89">
        <v>92.7</v>
      </c>
      <c r="I79" s="89">
        <v>42.3</v>
      </c>
      <c r="J79" s="173">
        <v>0</v>
      </c>
      <c r="K79" s="112">
        <f t="shared" si="12"/>
        <v>19552404.315328594</v>
      </c>
      <c r="L79" s="26">
        <f t="shared" si="10"/>
        <v>2297340.615328595</v>
      </c>
      <c r="M79" s="35">
        <f t="shared" si="13"/>
        <v>0.13314008312403941</v>
      </c>
      <c r="N79" s="9">
        <f t="shared" si="14"/>
        <v>0.13314008312403941</v>
      </c>
      <c r="O79" s="90">
        <f t="shared" si="15"/>
        <v>5277773902838.3682</v>
      </c>
      <c r="P79" s="90">
        <f t="shared" si="16"/>
        <v>1192646.6145527437</v>
      </c>
      <c r="Q79" s="90">
        <f t="shared" si="17"/>
        <v>1422405947204.1208</v>
      </c>
    </row>
    <row r="80" spans="1:18" x14ac:dyDescent="0.2">
      <c r="A80" s="42">
        <v>44742</v>
      </c>
      <c r="B80" s="43">
        <f>Inputs!D101</f>
        <v>20945313.68</v>
      </c>
      <c r="C80" s="111">
        <f>Inputs!E101</f>
        <v>754041</v>
      </c>
      <c r="D80" s="111">
        <f t="shared" si="11"/>
        <v>21699354.68</v>
      </c>
      <c r="E80" s="111">
        <f>Inputs!C101</f>
        <v>12439.125</v>
      </c>
      <c r="F80" s="108">
        <v>30</v>
      </c>
      <c r="G80" s="92">
        <f t="shared" ref="G80:G143" si="18">G68</f>
        <v>0</v>
      </c>
      <c r="H80" s="89">
        <v>4.4000000000000004</v>
      </c>
      <c r="I80" s="89">
        <v>93.9</v>
      </c>
      <c r="J80" s="173">
        <v>0</v>
      </c>
      <c r="K80" s="112">
        <f t="shared" si="12"/>
        <v>22542860.114582729</v>
      </c>
      <c r="L80" s="26">
        <f t="shared" si="10"/>
        <v>1597546.4345827289</v>
      </c>
      <c r="M80" s="35">
        <f t="shared" si="13"/>
        <v>7.6272261136302491E-2</v>
      </c>
      <c r="N80" s="9">
        <f t="shared" si="14"/>
        <v>7.6272261136302491E-2</v>
      </c>
      <c r="O80" s="90">
        <f t="shared" si="15"/>
        <v>2552154610647.9893</v>
      </c>
      <c r="P80" s="90">
        <f t="shared" si="16"/>
        <v>-699794.18074586615</v>
      </c>
      <c r="Q80" s="90">
        <f t="shared" si="17"/>
        <v>489711895405.77795</v>
      </c>
    </row>
    <row r="81" spans="1:18" x14ac:dyDescent="0.2">
      <c r="A81" s="42">
        <v>44773</v>
      </c>
      <c r="B81" s="43">
        <f>Inputs!D102</f>
        <v>24398422.25</v>
      </c>
      <c r="C81" s="111">
        <f>Inputs!E102</f>
        <v>726187</v>
      </c>
      <c r="D81" s="111">
        <f t="shared" si="11"/>
        <v>25124609.25</v>
      </c>
      <c r="E81" s="111">
        <f>Inputs!C102</f>
        <v>12439.125</v>
      </c>
      <c r="F81" s="108">
        <v>31</v>
      </c>
      <c r="G81" s="92">
        <f t="shared" si="18"/>
        <v>0</v>
      </c>
      <c r="H81" s="89">
        <v>0</v>
      </c>
      <c r="I81" s="89">
        <v>156.6</v>
      </c>
      <c r="J81" s="173">
        <v>0</v>
      </c>
      <c r="K81" s="112">
        <f t="shared" si="12"/>
        <v>26647284.422473103</v>
      </c>
      <c r="L81" s="26">
        <f t="shared" si="10"/>
        <v>2248862.1724731028</v>
      </c>
      <c r="M81" s="35">
        <f t="shared" si="13"/>
        <v>9.2172442522307066E-2</v>
      </c>
      <c r="N81" s="9">
        <f t="shared" si="14"/>
        <v>9.2172442522307066E-2</v>
      </c>
      <c r="O81" s="90">
        <f t="shared" si="15"/>
        <v>5057381070780.4434</v>
      </c>
      <c r="P81" s="90">
        <f t="shared" si="16"/>
        <v>651315.73789037392</v>
      </c>
      <c r="Q81" s="90">
        <f t="shared" si="17"/>
        <v>424212190423.68225</v>
      </c>
      <c r="R81"/>
    </row>
    <row r="82" spans="1:18" x14ac:dyDescent="0.2">
      <c r="A82" s="42">
        <v>44804</v>
      </c>
      <c r="B82" s="43">
        <f>Inputs!D103</f>
        <v>24085257.84</v>
      </c>
      <c r="C82" s="111">
        <f>Inputs!E103</f>
        <v>684052</v>
      </c>
      <c r="D82" s="111">
        <f t="shared" si="11"/>
        <v>24769309.84</v>
      </c>
      <c r="E82" s="111">
        <f>Inputs!C103</f>
        <v>12439.125</v>
      </c>
      <c r="F82" s="108">
        <v>31</v>
      </c>
      <c r="G82" s="92">
        <f t="shared" si="18"/>
        <v>0</v>
      </c>
      <c r="H82" s="89">
        <v>0</v>
      </c>
      <c r="I82" s="89">
        <v>124.1</v>
      </c>
      <c r="J82" s="173">
        <v>0</v>
      </c>
      <c r="K82" s="112">
        <f t="shared" si="12"/>
        <v>24905454.12600074</v>
      </c>
      <c r="L82" s="26">
        <f t="shared" si="10"/>
        <v>820196.28600073978</v>
      </c>
      <c r="M82" s="35">
        <f t="shared" si="13"/>
        <v>3.4053871934830809E-2</v>
      </c>
      <c r="N82" s="9">
        <f t="shared" si="14"/>
        <v>3.4053871934830809E-2</v>
      </c>
      <c r="O82" s="90">
        <f t="shared" si="15"/>
        <v>672721947569.40735</v>
      </c>
      <c r="P82" s="90">
        <f t="shared" si="16"/>
        <v>-1428665.886472363</v>
      </c>
      <c r="Q82" s="90">
        <f t="shared" si="17"/>
        <v>2041086215169.8628</v>
      </c>
      <c r="R82"/>
    </row>
    <row r="83" spans="1:18" x14ac:dyDescent="0.2">
      <c r="A83" s="42">
        <v>44834</v>
      </c>
      <c r="B83" s="43">
        <f>Inputs!D104</f>
        <v>19367767.010000002</v>
      </c>
      <c r="C83" s="111">
        <f>Inputs!E104</f>
        <v>566803</v>
      </c>
      <c r="D83" s="111">
        <f t="shared" si="11"/>
        <v>19934570.010000002</v>
      </c>
      <c r="E83" s="111">
        <f>Inputs!C104</f>
        <v>12439.125</v>
      </c>
      <c r="F83" s="108">
        <v>30</v>
      </c>
      <c r="G83" s="92">
        <f t="shared" si="18"/>
        <v>0</v>
      </c>
      <c r="H83" s="89">
        <v>47.4</v>
      </c>
      <c r="I83" s="89">
        <v>57.9</v>
      </c>
      <c r="J83" s="173">
        <v>0</v>
      </c>
      <c r="K83" s="112">
        <f t="shared" si="12"/>
        <v>20884648.336892787</v>
      </c>
      <c r="L83" s="26">
        <f t="shared" si="10"/>
        <v>1516881.3268927857</v>
      </c>
      <c r="M83" s="35">
        <f t="shared" si="13"/>
        <v>7.8319887166630353E-2</v>
      </c>
      <c r="N83" s="9">
        <f t="shared" si="14"/>
        <v>7.8319887166630353E-2</v>
      </c>
      <c r="O83" s="90">
        <f t="shared" si="15"/>
        <v>2300928959876.0181</v>
      </c>
      <c r="P83" s="90">
        <f t="shared" si="16"/>
        <v>696685.04089204594</v>
      </c>
      <c r="Q83" s="90">
        <f t="shared" si="17"/>
        <v>485370046202.75171</v>
      </c>
      <c r="R83"/>
    </row>
    <row r="84" spans="1:18" x14ac:dyDescent="0.2">
      <c r="A84" s="42">
        <v>44865</v>
      </c>
      <c r="B84" s="43">
        <f>Inputs!D105</f>
        <v>16627474.65</v>
      </c>
      <c r="C84" s="111">
        <f>Inputs!E105</f>
        <v>486880</v>
      </c>
      <c r="D84" s="111">
        <f t="shared" si="11"/>
        <v>17114354.649999999</v>
      </c>
      <c r="E84" s="111">
        <f>Inputs!C105</f>
        <v>12439.125</v>
      </c>
      <c r="F84" s="108">
        <v>31</v>
      </c>
      <c r="G84" s="92">
        <f t="shared" si="18"/>
        <v>1</v>
      </c>
      <c r="H84" s="89">
        <v>181.9</v>
      </c>
      <c r="I84" s="89">
        <v>0.1</v>
      </c>
      <c r="J84" s="173">
        <v>0</v>
      </c>
      <c r="K84" s="112">
        <f t="shared" si="12"/>
        <v>17853287.49853443</v>
      </c>
      <c r="L84" s="26">
        <f t="shared" si="10"/>
        <v>1225812.8485344294</v>
      </c>
      <c r="M84" s="35">
        <f t="shared" si="13"/>
        <v>7.372213004904081E-2</v>
      </c>
      <c r="N84" s="9">
        <f t="shared" si="14"/>
        <v>7.372213004904081E-2</v>
      </c>
      <c r="O84" s="90">
        <f t="shared" si="15"/>
        <v>1502617139632.092</v>
      </c>
      <c r="P84" s="90">
        <f t="shared" si="16"/>
        <v>-291068.47835835628</v>
      </c>
      <c r="Q84" s="90">
        <f t="shared" si="17"/>
        <v>84720859093.848923</v>
      </c>
      <c r="R84"/>
    </row>
    <row r="85" spans="1:18" x14ac:dyDescent="0.2">
      <c r="A85" s="42">
        <v>44895</v>
      </c>
      <c r="B85" s="43">
        <f>Inputs!D106</f>
        <v>18072262.77</v>
      </c>
      <c r="C85" s="111">
        <f>Inputs!E106</f>
        <v>324583</v>
      </c>
      <c r="D85" s="111">
        <f t="shared" si="11"/>
        <v>18396845.77</v>
      </c>
      <c r="E85" s="111">
        <f>Inputs!C106</f>
        <v>12439.125</v>
      </c>
      <c r="F85" s="108">
        <v>30</v>
      </c>
      <c r="G85" s="92">
        <f t="shared" si="18"/>
        <v>1</v>
      </c>
      <c r="H85" s="89">
        <v>368.6</v>
      </c>
      <c r="I85" s="89">
        <v>0</v>
      </c>
      <c r="J85" s="173">
        <v>0</v>
      </c>
      <c r="K85" s="112">
        <f t="shared" si="12"/>
        <v>18253659.206289586</v>
      </c>
      <c r="L85" s="26">
        <f t="shared" si="10"/>
        <v>181396.43628958613</v>
      </c>
      <c r="M85" s="35">
        <f t="shared" si="13"/>
        <v>1.0037284129727498E-2</v>
      </c>
      <c r="N85" s="9">
        <f t="shared" si="14"/>
        <v>1.0037284129727498E-2</v>
      </c>
      <c r="O85" s="90">
        <f t="shared" si="15"/>
        <v>32904667098.561878</v>
      </c>
      <c r="P85" s="90">
        <f t="shared" si="16"/>
        <v>-1044416.4122448433</v>
      </c>
      <c r="Q85" s="90">
        <f t="shared" si="17"/>
        <v>1090805642166.3905</v>
      </c>
      <c r="R85"/>
    </row>
    <row r="86" spans="1:18" x14ac:dyDescent="0.2">
      <c r="A86" s="42">
        <v>44926</v>
      </c>
      <c r="B86" s="43">
        <f>Inputs!D107</f>
        <v>21044908.899999999</v>
      </c>
      <c r="C86" s="111">
        <f>Inputs!E107</f>
        <v>147675</v>
      </c>
      <c r="D86" s="111">
        <f t="shared" si="11"/>
        <v>21192583.899999999</v>
      </c>
      <c r="E86" s="111">
        <f>Inputs!C107</f>
        <v>12439.125</v>
      </c>
      <c r="F86" s="108">
        <v>31</v>
      </c>
      <c r="G86" s="92">
        <f t="shared" si="18"/>
        <v>0</v>
      </c>
      <c r="H86" s="89">
        <v>556.1</v>
      </c>
      <c r="I86" s="89">
        <v>0</v>
      </c>
      <c r="J86" s="173">
        <v>0</v>
      </c>
      <c r="K86" s="112">
        <f t="shared" si="12"/>
        <v>21761655.042678997</v>
      </c>
      <c r="L86" s="26">
        <f t="shared" si="10"/>
        <v>716746.14267899841</v>
      </c>
      <c r="M86" s="35">
        <f t="shared" si="13"/>
        <v>3.4057935155946364E-2</v>
      </c>
      <c r="N86" s="9">
        <f t="shared" si="14"/>
        <v>3.4057935155946364E-2</v>
      </c>
      <c r="O86" s="90">
        <f t="shared" si="15"/>
        <v>513725033045.22314</v>
      </c>
      <c r="P86" s="90">
        <f t="shared" si="16"/>
        <v>535349.70638941228</v>
      </c>
      <c r="Q86" s="90">
        <f t="shared" si="17"/>
        <v>286599308131.22992</v>
      </c>
      <c r="R86"/>
    </row>
    <row r="87" spans="1:18" x14ac:dyDescent="0.2">
      <c r="A87" s="42">
        <v>44957</v>
      </c>
      <c r="B87" s="43">
        <f>Inputs!D108</f>
        <v>20870941.93</v>
      </c>
      <c r="C87" s="111">
        <f>Inputs!E108</f>
        <v>150749</v>
      </c>
      <c r="D87" s="111">
        <f t="shared" si="11"/>
        <v>21021690.93</v>
      </c>
      <c r="E87" s="111">
        <f>Inputs!C108</f>
        <v>12485.375</v>
      </c>
      <c r="F87" s="108">
        <v>31</v>
      </c>
      <c r="G87" s="92">
        <f t="shared" si="18"/>
        <v>0</v>
      </c>
      <c r="H87" s="89">
        <v>548.70000000000005</v>
      </c>
      <c r="I87" s="89">
        <v>0</v>
      </c>
      <c r="J87" s="173">
        <v>0</v>
      </c>
      <c r="K87" s="112">
        <f t="shared" si="12"/>
        <v>21766783.298272967</v>
      </c>
      <c r="L87" s="26">
        <f t="shared" si="10"/>
        <v>895841.36827296764</v>
      </c>
      <c r="M87" s="35">
        <f t="shared" si="13"/>
        <v>4.292290071418773E-2</v>
      </c>
      <c r="N87" s="9">
        <f t="shared" si="14"/>
        <v>4.292290071418773E-2</v>
      </c>
      <c r="O87" s="90">
        <f t="shared" si="15"/>
        <v>802531757109.18286</v>
      </c>
      <c r="P87" s="90">
        <f t="shared" si="16"/>
        <v>179095.22559396923</v>
      </c>
      <c r="Q87" s="90">
        <f t="shared" si="17"/>
        <v>32075099830.554729</v>
      </c>
      <c r="R87"/>
    </row>
    <row r="88" spans="1:18" x14ac:dyDescent="0.2">
      <c r="A88" s="42">
        <v>44985</v>
      </c>
      <c r="B88" s="43">
        <f>Inputs!D109</f>
        <v>18386953.57</v>
      </c>
      <c r="C88" s="111">
        <f>Inputs!E109</f>
        <v>450450</v>
      </c>
      <c r="D88" s="111">
        <f t="shared" si="11"/>
        <v>18837403.57</v>
      </c>
      <c r="E88" s="111">
        <f>Inputs!C109</f>
        <v>12485.375</v>
      </c>
      <c r="F88" s="108">
        <v>28</v>
      </c>
      <c r="G88" s="92">
        <f t="shared" si="18"/>
        <v>0</v>
      </c>
      <c r="H88" s="89">
        <v>474.4</v>
      </c>
      <c r="I88" s="89">
        <v>0</v>
      </c>
      <c r="J88" s="173">
        <v>0</v>
      </c>
      <c r="K88" s="112">
        <f t="shared" si="12"/>
        <v>18982827.223170888</v>
      </c>
      <c r="L88" s="26">
        <f t="shared" si="10"/>
        <v>595873.65317088738</v>
      </c>
      <c r="M88" s="35">
        <f t="shared" si="13"/>
        <v>3.2407415992125516E-2</v>
      </c>
      <c r="N88" s="9">
        <f t="shared" si="14"/>
        <v>3.2407415992125516E-2</v>
      </c>
      <c r="O88" s="90">
        <f t="shared" si="15"/>
        <v>355065410543.21899</v>
      </c>
      <c r="P88" s="90">
        <f t="shared" si="16"/>
        <v>-299967.71510208026</v>
      </c>
      <c r="Q88" s="90">
        <f t="shared" si="17"/>
        <v>89980630103.56279</v>
      </c>
      <c r="R88"/>
    </row>
    <row r="89" spans="1:18" x14ac:dyDescent="0.2">
      <c r="A89" s="42">
        <v>45016</v>
      </c>
      <c r="B89" s="43">
        <f>Inputs!D110</f>
        <v>20208578.530000001</v>
      </c>
      <c r="C89" s="111">
        <f>Inputs!E110</f>
        <v>466824</v>
      </c>
      <c r="D89" s="111">
        <f t="shared" si="11"/>
        <v>20675402.530000001</v>
      </c>
      <c r="E89" s="111">
        <f>Inputs!C110</f>
        <v>12485.375</v>
      </c>
      <c r="F89" s="108">
        <v>31</v>
      </c>
      <c r="G89" s="92">
        <f t="shared" si="18"/>
        <v>1</v>
      </c>
      <c r="H89" s="89">
        <v>480.1</v>
      </c>
      <c r="I89" s="89">
        <v>0</v>
      </c>
      <c r="J89" s="173">
        <v>0</v>
      </c>
      <c r="K89" s="112">
        <f t="shared" si="12"/>
        <v>19780470.096438948</v>
      </c>
      <c r="L89" s="26">
        <f t="shared" si="10"/>
        <v>-428108.43356105313</v>
      </c>
      <c r="M89" s="35">
        <f t="shared" si="13"/>
        <v>-2.118449018695295E-2</v>
      </c>
      <c r="N89" s="9">
        <f t="shared" si="14"/>
        <v>2.118449018695295E-2</v>
      </c>
      <c r="O89" s="90">
        <f t="shared" si="15"/>
        <v>183276830886.09863</v>
      </c>
      <c r="P89" s="90">
        <f t="shared" si="16"/>
        <v>-1023982.0867319405</v>
      </c>
      <c r="Q89" s="90">
        <f t="shared" si="17"/>
        <v>1048539313947.8993</v>
      </c>
      <c r="R89"/>
    </row>
    <row r="90" spans="1:18" x14ac:dyDescent="0.2">
      <c r="A90" s="42">
        <v>45046</v>
      </c>
      <c r="B90" s="43">
        <f>Inputs!D111</f>
        <v>17081228.469999999</v>
      </c>
      <c r="C90" s="111">
        <f>Inputs!E111</f>
        <v>572371</v>
      </c>
      <c r="D90" s="111">
        <f t="shared" si="11"/>
        <v>17653599.469999999</v>
      </c>
      <c r="E90" s="111">
        <f>Inputs!C111</f>
        <v>12485.375</v>
      </c>
      <c r="F90" s="108">
        <v>30</v>
      </c>
      <c r="G90" s="92">
        <f t="shared" si="18"/>
        <v>1</v>
      </c>
      <c r="H90" s="89">
        <v>263.89999999999998</v>
      </c>
      <c r="I90" s="89">
        <v>4.3</v>
      </c>
      <c r="J90" s="173">
        <v>0</v>
      </c>
      <c r="K90" s="112">
        <f t="shared" si="12"/>
        <v>17875575.621693488</v>
      </c>
      <c r="L90" s="26">
        <f t="shared" si="10"/>
        <v>794347.1516934894</v>
      </c>
      <c r="M90" s="35">
        <f t="shared" si="13"/>
        <v>4.6504099695675427E-2</v>
      </c>
      <c r="N90" s="9">
        <f t="shared" si="14"/>
        <v>4.6504099695675427E-2</v>
      </c>
      <c r="O90" s="90">
        <f t="shared" si="15"/>
        <v>630987397403.55945</v>
      </c>
      <c r="P90" s="90">
        <f t="shared" si="16"/>
        <v>1222455.5852545425</v>
      </c>
      <c r="Q90" s="90">
        <f t="shared" si="17"/>
        <v>1494397657920.0261</v>
      </c>
      <c r="R90"/>
    </row>
    <row r="91" spans="1:18" x14ac:dyDescent="0.2">
      <c r="A91" s="42">
        <v>45077</v>
      </c>
      <c r="B91" s="43">
        <f>Inputs!D112</f>
        <v>16769771.85</v>
      </c>
      <c r="C91" s="111">
        <f>Inputs!E112</f>
        <v>706048</v>
      </c>
      <c r="D91" s="111">
        <f t="shared" si="11"/>
        <v>17475819.850000001</v>
      </c>
      <c r="E91" s="111">
        <f>Inputs!C112</f>
        <v>12485.375</v>
      </c>
      <c r="F91" s="108">
        <v>31</v>
      </c>
      <c r="G91" s="92">
        <f t="shared" si="18"/>
        <v>1</v>
      </c>
      <c r="H91" s="89">
        <v>122.5</v>
      </c>
      <c r="I91" s="89">
        <v>14.1</v>
      </c>
      <c r="J91" s="173">
        <v>0</v>
      </c>
      <c r="K91" s="112">
        <f t="shared" si="12"/>
        <v>18280779.56649055</v>
      </c>
      <c r="L91" s="26">
        <f t="shared" si="10"/>
        <v>1511007.71649055</v>
      </c>
      <c r="M91" s="35">
        <f t="shared" si="13"/>
        <v>9.010305745397186E-2</v>
      </c>
      <c r="N91" s="9">
        <f t="shared" si="14"/>
        <v>9.010305745397186E-2</v>
      </c>
      <c r="O91" s="90">
        <f t="shared" si="15"/>
        <v>2283144319293.9863</v>
      </c>
      <c r="P91" s="90">
        <f t="shared" si="16"/>
        <v>716660.56479706056</v>
      </c>
      <c r="Q91" s="90">
        <f t="shared" si="17"/>
        <v>513602365135.24182</v>
      </c>
      <c r="R91"/>
    </row>
    <row r="92" spans="1:18" x14ac:dyDescent="0.2">
      <c r="A92" s="42">
        <v>45107</v>
      </c>
      <c r="B92" s="43">
        <f>Inputs!D113</f>
        <v>19325508.919999998</v>
      </c>
      <c r="C92" s="111">
        <f>Inputs!E113</f>
        <v>729990</v>
      </c>
      <c r="D92" s="111">
        <f t="shared" si="11"/>
        <v>20055498.919999998</v>
      </c>
      <c r="E92" s="111">
        <f>Inputs!C113</f>
        <v>12485.375</v>
      </c>
      <c r="F92" s="108">
        <v>30</v>
      </c>
      <c r="G92" s="92">
        <f t="shared" si="18"/>
        <v>0</v>
      </c>
      <c r="H92" s="89">
        <v>14.6</v>
      </c>
      <c r="I92" s="89">
        <v>65.2</v>
      </c>
      <c r="J92" s="173">
        <v>0</v>
      </c>
      <c r="K92" s="112">
        <f t="shared" si="12"/>
        <v>21120821.121611197</v>
      </c>
      <c r="L92" s="26">
        <f t="shared" si="10"/>
        <v>1795312.2016111985</v>
      </c>
      <c r="M92" s="35">
        <f t="shared" si="13"/>
        <v>9.2898573022996936E-2</v>
      </c>
      <c r="N92" s="9">
        <f t="shared" si="14"/>
        <v>9.2898573022996936E-2</v>
      </c>
      <c r="O92" s="90">
        <f t="shared" si="15"/>
        <v>3223145901254.0488</v>
      </c>
      <c r="P92" s="90">
        <f t="shared" si="16"/>
        <v>284304.48512064852</v>
      </c>
      <c r="Q92" s="90">
        <f t="shared" si="17"/>
        <v>80829040259.717056</v>
      </c>
      <c r="R92"/>
    </row>
    <row r="93" spans="1:18" x14ac:dyDescent="0.2">
      <c r="A93" s="42">
        <v>45138</v>
      </c>
      <c r="B93" s="43">
        <f>Inputs!D114</f>
        <v>23824387.459999997</v>
      </c>
      <c r="C93" s="111">
        <f>Inputs!E114</f>
        <v>631543</v>
      </c>
      <c r="D93" s="111">
        <f t="shared" si="11"/>
        <v>24455930.459999997</v>
      </c>
      <c r="E93" s="111">
        <f>Inputs!C114</f>
        <v>12485.375</v>
      </c>
      <c r="F93" s="108">
        <v>31</v>
      </c>
      <c r="G93" s="92">
        <f t="shared" si="18"/>
        <v>0</v>
      </c>
      <c r="H93" s="89">
        <v>0</v>
      </c>
      <c r="I93" s="89">
        <v>130.5</v>
      </c>
      <c r="J93" s="173">
        <v>0</v>
      </c>
      <c r="K93" s="112">
        <f t="shared" si="12"/>
        <v>25300260.632782549</v>
      </c>
      <c r="L93" s="26">
        <f t="shared" si="10"/>
        <v>1475873.1727825515</v>
      </c>
      <c r="M93" s="35">
        <f t="shared" si="13"/>
        <v>6.1948000772757396E-2</v>
      </c>
      <c r="N93" s="9">
        <f t="shared" si="14"/>
        <v>6.1948000772757396E-2</v>
      </c>
      <c r="O93" s="90">
        <f t="shared" si="15"/>
        <v>2178201622139.2351</v>
      </c>
      <c r="P93" s="90">
        <f t="shared" si="16"/>
        <v>-319439.02882864699</v>
      </c>
      <c r="Q93" s="90">
        <f t="shared" si="17"/>
        <v>102041293138.98917</v>
      </c>
      <c r="R93"/>
    </row>
    <row r="94" spans="1:18" x14ac:dyDescent="0.2">
      <c r="A94" s="42">
        <v>45169</v>
      </c>
      <c r="B94" s="43">
        <f>Inputs!D115</f>
        <v>22076100</v>
      </c>
      <c r="C94" s="111">
        <f>Inputs!E115</f>
        <v>600895</v>
      </c>
      <c r="D94" s="111">
        <f t="shared" si="11"/>
        <v>22676995</v>
      </c>
      <c r="E94" s="111">
        <f>Inputs!C115</f>
        <v>12485.375</v>
      </c>
      <c r="F94" s="108">
        <v>31</v>
      </c>
      <c r="G94" s="92">
        <f t="shared" si="18"/>
        <v>0</v>
      </c>
      <c r="H94" s="89">
        <v>7.4</v>
      </c>
      <c r="I94" s="89">
        <v>59.4</v>
      </c>
      <c r="J94" s="173">
        <v>0</v>
      </c>
      <c r="K94" s="112">
        <f t="shared" si="12"/>
        <v>21536343.561613213</v>
      </c>
      <c r="L94" s="26">
        <f t="shared" si="10"/>
        <v>-539756.43838678673</v>
      </c>
      <c r="M94" s="35">
        <f t="shared" si="13"/>
        <v>-2.4449809449440196E-2</v>
      </c>
      <c r="N94" s="9">
        <f t="shared" si="14"/>
        <v>2.4449809449440196E-2</v>
      </c>
      <c r="O94" s="90">
        <f t="shared" si="15"/>
        <v>291337012779.98907</v>
      </c>
      <c r="P94" s="90">
        <f t="shared" si="16"/>
        <v>-2015629.6111693382</v>
      </c>
      <c r="Q94" s="90">
        <f t="shared" si="17"/>
        <v>4062762729422.6577</v>
      </c>
      <c r="R94"/>
    </row>
    <row r="95" spans="1:18" x14ac:dyDescent="0.2">
      <c r="A95" s="42">
        <v>45199</v>
      </c>
      <c r="B95" s="43">
        <f>Inputs!D116</f>
        <v>19646111.130000003</v>
      </c>
      <c r="C95" s="111">
        <f>Inputs!E116</f>
        <v>542652</v>
      </c>
      <c r="D95" s="111">
        <f t="shared" si="11"/>
        <v>20188763.130000003</v>
      </c>
      <c r="E95" s="111">
        <f>Inputs!C116</f>
        <v>12485.375</v>
      </c>
      <c r="F95" s="108">
        <v>30</v>
      </c>
      <c r="G95" s="92">
        <f t="shared" si="18"/>
        <v>0</v>
      </c>
      <c r="H95" s="89">
        <v>23.9</v>
      </c>
      <c r="I95" s="89">
        <v>34.799999999999997</v>
      </c>
      <c r="J95" s="173">
        <v>0</v>
      </c>
      <c r="K95" s="112">
        <f t="shared" si="12"/>
        <v>19550194.795960739</v>
      </c>
      <c r="L95" s="26">
        <f t="shared" si="10"/>
        <v>-95916.334039263427</v>
      </c>
      <c r="M95" s="35">
        <f t="shared" si="13"/>
        <v>-4.8822045953306904E-3</v>
      </c>
      <c r="N95" s="9">
        <f t="shared" si="14"/>
        <v>4.8822045953306904E-3</v>
      </c>
      <c r="O95" s="90">
        <f t="shared" si="15"/>
        <v>9199943135.5315647</v>
      </c>
      <c r="P95" s="90">
        <f t="shared" si="16"/>
        <v>443840.1043475233</v>
      </c>
      <c r="Q95" s="90">
        <f t="shared" si="17"/>
        <v>196994038227.22037</v>
      </c>
      <c r="R95"/>
    </row>
    <row r="96" spans="1:18" x14ac:dyDescent="0.2">
      <c r="A96" s="42">
        <v>45230</v>
      </c>
      <c r="B96" s="43">
        <f>Inputs!D117</f>
        <v>17738587.649999999</v>
      </c>
      <c r="C96" s="111">
        <f>Inputs!E117</f>
        <v>853520</v>
      </c>
      <c r="D96" s="111">
        <f t="shared" si="11"/>
        <v>18592107.649999999</v>
      </c>
      <c r="E96" s="111">
        <f>Inputs!C117</f>
        <v>12485.375</v>
      </c>
      <c r="F96" s="108">
        <v>31</v>
      </c>
      <c r="G96" s="92">
        <f t="shared" si="18"/>
        <v>1</v>
      </c>
      <c r="H96" s="89">
        <v>191</v>
      </c>
      <c r="I96" s="89">
        <v>13.4</v>
      </c>
      <c r="J96" s="173">
        <v>0</v>
      </c>
      <c r="K96" s="112">
        <f t="shared" si="12"/>
        <v>18675291.51575337</v>
      </c>
      <c r="L96" s="26">
        <f t="shared" si="10"/>
        <v>936703.86575337127</v>
      </c>
      <c r="M96" s="35">
        <f t="shared" si="13"/>
        <v>5.280600035557912E-2</v>
      </c>
      <c r="N96" s="9">
        <f t="shared" si="14"/>
        <v>5.280600035557912E-2</v>
      </c>
      <c r="O96" s="90">
        <f t="shared" si="15"/>
        <v>877414132117.30981</v>
      </c>
      <c r="P96" s="90">
        <f t="shared" si="16"/>
        <v>1032620.1997926347</v>
      </c>
      <c r="Q96" s="90">
        <f t="shared" si="17"/>
        <v>1066304477019.7808</v>
      </c>
      <c r="R96"/>
    </row>
    <row r="97" spans="1:18" x14ac:dyDescent="0.2">
      <c r="A97" s="42">
        <v>45260</v>
      </c>
      <c r="B97" s="43">
        <f>Inputs!D118</f>
        <v>18187804.18</v>
      </c>
      <c r="C97" s="111">
        <f>Inputs!E118</f>
        <v>312697</v>
      </c>
      <c r="D97" s="111">
        <f t="shared" si="11"/>
        <v>18500501.18</v>
      </c>
      <c r="E97" s="111">
        <f>Inputs!C118</f>
        <v>12485.375</v>
      </c>
      <c r="F97" s="108">
        <v>30</v>
      </c>
      <c r="G97" s="92">
        <f t="shared" si="18"/>
        <v>1</v>
      </c>
      <c r="H97" s="89">
        <v>402.4</v>
      </c>
      <c r="I97" s="89">
        <v>0</v>
      </c>
      <c r="J97" s="173">
        <v>0</v>
      </c>
      <c r="K97" s="112">
        <f t="shared" si="12"/>
        <v>18518635.136589088</v>
      </c>
      <c r="L97" s="26">
        <f t="shared" si="10"/>
        <v>330830.95658908784</v>
      </c>
      <c r="M97" s="35">
        <f t="shared" si="13"/>
        <v>1.8189714014673751E-2</v>
      </c>
      <c r="N97" s="9">
        <f t="shared" si="14"/>
        <v>1.8189714014673751E-2</v>
      </c>
      <c r="O97" s="90">
        <f t="shared" si="15"/>
        <v>109449121837.65092</v>
      </c>
      <c r="P97" s="90">
        <f t="shared" si="16"/>
        <v>-605872.90916428342</v>
      </c>
      <c r="Q97" s="90">
        <f t="shared" si="17"/>
        <v>367081982059.19202</v>
      </c>
      <c r="R97"/>
    </row>
    <row r="98" spans="1:18" x14ac:dyDescent="0.2">
      <c r="A98" s="42">
        <v>45291</v>
      </c>
      <c r="B98" s="43">
        <f>Inputs!D119</f>
        <v>20289839.23</v>
      </c>
      <c r="C98" s="111">
        <f>Inputs!E119</f>
        <v>312697</v>
      </c>
      <c r="D98" s="111">
        <f t="shared" si="11"/>
        <v>20602536.23</v>
      </c>
      <c r="E98" s="111">
        <f>Inputs!C119</f>
        <v>12485.375</v>
      </c>
      <c r="F98" s="108">
        <v>31</v>
      </c>
      <c r="G98" s="92">
        <f t="shared" si="18"/>
        <v>0</v>
      </c>
      <c r="H98" s="89">
        <v>431.4</v>
      </c>
      <c r="I98" s="89">
        <v>0</v>
      </c>
      <c r="J98" s="173">
        <v>0</v>
      </c>
      <c r="K98" s="112">
        <f t="shared" si="12"/>
        <v>21026974.26324971</v>
      </c>
      <c r="L98" s="26">
        <f t="shared" si="10"/>
        <v>737135.03324970976</v>
      </c>
      <c r="M98" s="35">
        <f t="shared" si="13"/>
        <v>3.6330255005658306E-2</v>
      </c>
      <c r="N98" s="9">
        <f t="shared" si="14"/>
        <v>3.6330255005658306E-2</v>
      </c>
      <c r="O98" s="90">
        <f t="shared" si="15"/>
        <v>543368057244.05072</v>
      </c>
      <c r="P98" s="90">
        <f t="shared" si="16"/>
        <v>406304.07666062191</v>
      </c>
      <c r="Q98" s="90">
        <f t="shared" si="17"/>
        <v>165083002711.04053</v>
      </c>
      <c r="R98"/>
    </row>
    <row r="99" spans="1:18" x14ac:dyDescent="0.2">
      <c r="A99" s="42">
        <v>45322</v>
      </c>
      <c r="B99" s="43">
        <f>Inputs!D120</f>
        <v>22991783.129999999</v>
      </c>
      <c r="C99" s="111">
        <f>Inputs!E120</f>
        <v>0</v>
      </c>
      <c r="D99" s="111">
        <f t="shared" si="11"/>
        <v>22991783.129999999</v>
      </c>
      <c r="E99" s="111">
        <f>Inputs!C120</f>
        <v>12564.5</v>
      </c>
      <c r="F99" s="108">
        <v>31</v>
      </c>
      <c r="G99" s="92">
        <f t="shared" si="18"/>
        <v>0</v>
      </c>
      <c r="H99" s="89">
        <v>545.20000000000005</v>
      </c>
      <c r="I99" s="89">
        <v>0</v>
      </c>
      <c r="J99" s="173">
        <v>0</v>
      </c>
      <c r="K99" s="112">
        <f t="shared" si="12"/>
        <v>21833328.732128948</v>
      </c>
      <c r="L99" s="26">
        <f t="shared" ref="L99:L122" si="19">K99-B99</f>
        <v>-1158454.397871051</v>
      </c>
      <c r="M99" s="35">
        <f t="shared" si="13"/>
        <v>-5.0385583028550909E-2</v>
      </c>
      <c r="N99" s="9">
        <f t="shared" si="14"/>
        <v>5.0385583028550909E-2</v>
      </c>
      <c r="O99" s="90">
        <f t="shared" si="15"/>
        <v>1342016591946.7793</v>
      </c>
      <c r="P99" s="90">
        <f t="shared" si="16"/>
        <v>-1895589.4311207607</v>
      </c>
      <c r="Q99" s="90">
        <f t="shared" si="17"/>
        <v>3593259291376.7295</v>
      </c>
      <c r="R99"/>
    </row>
    <row r="100" spans="1:18" x14ac:dyDescent="0.2">
      <c r="A100" s="42">
        <v>45351</v>
      </c>
      <c r="B100" s="43">
        <f>Inputs!D121</f>
        <v>19909618.18</v>
      </c>
      <c r="C100" s="111">
        <f>Inputs!E121</f>
        <v>0</v>
      </c>
      <c r="D100" s="111">
        <f t="shared" si="11"/>
        <v>19909618.18</v>
      </c>
      <c r="E100" s="111">
        <f>Inputs!C121</f>
        <v>12564.5</v>
      </c>
      <c r="F100" s="108">
        <v>29</v>
      </c>
      <c r="G100" s="92">
        <f t="shared" si="18"/>
        <v>0</v>
      </c>
      <c r="H100" s="89">
        <v>378</v>
      </c>
      <c r="I100" s="89">
        <v>0</v>
      </c>
      <c r="J100" s="173">
        <v>0</v>
      </c>
      <c r="K100" s="112">
        <f t="shared" si="12"/>
        <v>19235236.420159191</v>
      </c>
      <c r="L100" s="26">
        <f t="shared" si="19"/>
        <v>-674381.75984080881</v>
      </c>
      <c r="M100" s="35">
        <f t="shared" si="13"/>
        <v>-3.3872159362566379E-2</v>
      </c>
      <c r="N100" s="9">
        <f t="shared" si="14"/>
        <v>3.3872159362566379E-2</v>
      </c>
      <c r="O100" s="90">
        <f t="shared" si="15"/>
        <v>454790758005.98633</v>
      </c>
      <c r="P100" s="90">
        <f t="shared" si="16"/>
        <v>484072.63803024217</v>
      </c>
      <c r="Q100" s="90">
        <f t="shared" si="17"/>
        <v>234326318889.55786</v>
      </c>
      <c r="R100"/>
    </row>
    <row r="101" spans="1:18" x14ac:dyDescent="0.2">
      <c r="A101" s="42">
        <v>45382</v>
      </c>
      <c r="B101" s="43">
        <f>Inputs!D122</f>
        <v>19769289.739999998</v>
      </c>
      <c r="C101" s="111">
        <f>Inputs!E122</f>
        <v>0</v>
      </c>
      <c r="D101" s="111">
        <f t="shared" si="11"/>
        <v>19769289.739999998</v>
      </c>
      <c r="E101" s="111">
        <f>Inputs!C122</f>
        <v>12564.5</v>
      </c>
      <c r="F101" s="108">
        <v>31</v>
      </c>
      <c r="G101" s="92">
        <f t="shared" si="18"/>
        <v>1</v>
      </c>
      <c r="H101" s="89">
        <v>411.1</v>
      </c>
      <c r="I101" s="89">
        <v>0</v>
      </c>
      <c r="J101" s="173">
        <v>0</v>
      </c>
      <c r="K101" s="112">
        <f t="shared" si="12"/>
        <v>19433908.183372304</v>
      </c>
      <c r="L101" s="26">
        <f t="shared" si="19"/>
        <v>-335381.55662769452</v>
      </c>
      <c r="M101" s="35">
        <f t="shared" si="13"/>
        <v>-1.6964775216436002E-2</v>
      </c>
      <c r="N101" s="9">
        <f t="shared" si="14"/>
        <v>1.6964775216436002E-2</v>
      </c>
      <c r="O101" s="90">
        <f t="shared" si="15"/>
        <v>112480788526.01546</v>
      </c>
      <c r="P101" s="90">
        <f t="shared" si="16"/>
        <v>339000.20321311429</v>
      </c>
      <c r="Q101" s="90">
        <f t="shared" si="17"/>
        <v>114921137778.53279</v>
      </c>
      <c r="R101"/>
    </row>
    <row r="102" spans="1:18" x14ac:dyDescent="0.2">
      <c r="A102" s="42">
        <v>45412</v>
      </c>
      <c r="B102" s="43">
        <f>Inputs!D123</f>
        <v>18297046.260000002</v>
      </c>
      <c r="C102" s="111">
        <f>Inputs!E123</f>
        <v>0</v>
      </c>
      <c r="D102" s="111">
        <f t="shared" si="11"/>
        <v>18297046.260000002</v>
      </c>
      <c r="E102" s="111">
        <f>Inputs!C123</f>
        <v>12564.5</v>
      </c>
      <c r="F102" s="108">
        <v>30</v>
      </c>
      <c r="G102" s="92">
        <f t="shared" si="18"/>
        <v>1</v>
      </c>
      <c r="H102" s="89">
        <v>215.8</v>
      </c>
      <c r="I102" s="89">
        <v>3.4</v>
      </c>
      <c r="J102" s="173">
        <v>0</v>
      </c>
      <c r="K102" s="112">
        <f t="shared" si="12"/>
        <v>17612594.340180639</v>
      </c>
      <c r="L102" s="26">
        <f t="shared" si="19"/>
        <v>-684451.91981936246</v>
      </c>
      <c r="M102" s="35">
        <f t="shared" si="13"/>
        <v>-3.7407782113754263E-2</v>
      </c>
      <c r="N102" s="9">
        <f t="shared" si="14"/>
        <v>3.7407782113754263E-2</v>
      </c>
      <c r="O102" s="90">
        <f t="shared" si="15"/>
        <v>468474430544.41095</v>
      </c>
      <c r="P102" s="90">
        <f t="shared" si="16"/>
        <v>-349070.36319166794</v>
      </c>
      <c r="Q102" s="90">
        <f t="shared" si="17"/>
        <v>121850118458.76297</v>
      </c>
      <c r="R102"/>
    </row>
    <row r="103" spans="1:18" x14ac:dyDescent="0.2">
      <c r="A103" s="42">
        <v>45443</v>
      </c>
      <c r="B103" s="43">
        <f>Inputs!D124</f>
        <v>19477491.039999999</v>
      </c>
      <c r="C103" s="111">
        <f>Inputs!E124</f>
        <v>0</v>
      </c>
      <c r="D103" s="111">
        <f t="shared" si="11"/>
        <v>19477491.039999999</v>
      </c>
      <c r="E103" s="111">
        <f>Inputs!C124</f>
        <v>12564.5</v>
      </c>
      <c r="F103" s="108">
        <v>31</v>
      </c>
      <c r="G103" s="92">
        <f t="shared" si="18"/>
        <v>1</v>
      </c>
      <c r="H103" s="89">
        <v>53.6</v>
      </c>
      <c r="I103" s="89">
        <v>35</v>
      </c>
      <c r="J103" s="173">
        <v>0</v>
      </c>
      <c r="K103" s="112">
        <f t="shared" si="12"/>
        <v>19054979.219241098</v>
      </c>
      <c r="L103" s="26">
        <f t="shared" si="19"/>
        <v>-422511.82075890154</v>
      </c>
      <c r="M103" s="35">
        <f t="shared" si="13"/>
        <v>-2.1692312418021862E-2</v>
      </c>
      <c r="N103" s="9">
        <f t="shared" si="14"/>
        <v>2.1692312418021862E-2</v>
      </c>
      <c r="O103" s="90">
        <f t="shared" si="15"/>
        <v>178516238681.00214</v>
      </c>
      <c r="P103" s="90">
        <f t="shared" si="16"/>
        <v>261940.09906046093</v>
      </c>
      <c r="Q103" s="90">
        <f t="shared" si="17"/>
        <v>68612615495.804085</v>
      </c>
      <c r="R103"/>
    </row>
    <row r="104" spans="1:18" x14ac:dyDescent="0.2">
      <c r="A104" s="42">
        <v>45473</v>
      </c>
      <c r="B104" s="43">
        <f>Inputs!D125</f>
        <v>23588924.969999999</v>
      </c>
      <c r="C104" s="111">
        <f>Inputs!E125</f>
        <v>0</v>
      </c>
      <c r="D104" s="111">
        <f t="shared" si="11"/>
        <v>23588924.969999999</v>
      </c>
      <c r="E104" s="111">
        <f>Inputs!C125</f>
        <v>12564.5</v>
      </c>
      <c r="F104" s="108">
        <v>30</v>
      </c>
      <c r="G104" s="92">
        <f t="shared" si="18"/>
        <v>0</v>
      </c>
      <c r="H104" s="89">
        <v>7.3</v>
      </c>
      <c r="I104" s="89">
        <v>110.7</v>
      </c>
      <c r="J104" s="173">
        <v>0</v>
      </c>
      <c r="K104" s="112">
        <f t="shared" si="12"/>
        <v>23601962.43742457</v>
      </c>
      <c r="L104" s="26">
        <f t="shared" si="19"/>
        <v>13037.467424571514</v>
      </c>
      <c r="M104" s="35">
        <f t="shared" si="13"/>
        <v>5.5269442932021475E-4</v>
      </c>
      <c r="N104" s="9">
        <f t="shared" si="14"/>
        <v>5.5269442932021475E-4</v>
      </c>
      <c r="O104" s="90">
        <f t="shared" si="15"/>
        <v>169975556.8467634</v>
      </c>
      <c r="P104" s="90">
        <f t="shared" si="16"/>
        <v>435549.28818347305</v>
      </c>
      <c r="Q104" s="90">
        <f t="shared" si="17"/>
        <v>189703182437.13007</v>
      </c>
      <c r="R104"/>
    </row>
    <row r="105" spans="1:18" x14ac:dyDescent="0.2">
      <c r="A105" s="42">
        <v>45504</v>
      </c>
      <c r="B105" s="43">
        <f>Inputs!D126</f>
        <v>26790209.760000002</v>
      </c>
      <c r="C105" s="111">
        <f>Inputs!E126</f>
        <v>0</v>
      </c>
      <c r="D105" s="111">
        <f t="shared" si="11"/>
        <v>26790209.760000002</v>
      </c>
      <c r="E105" s="111">
        <f>Inputs!C126</f>
        <v>12564.5</v>
      </c>
      <c r="F105" s="108">
        <v>31</v>
      </c>
      <c r="G105" s="92">
        <f t="shared" si="18"/>
        <v>0</v>
      </c>
      <c r="H105" s="89">
        <v>0.5</v>
      </c>
      <c r="I105" s="89">
        <v>130</v>
      </c>
      <c r="J105" s="173">
        <v>0</v>
      </c>
      <c r="K105" s="112">
        <f t="shared" si="12"/>
        <v>25365236.607045092</v>
      </c>
      <c r="L105" s="26">
        <f t="shared" si="19"/>
        <v>-1424973.15295491</v>
      </c>
      <c r="M105" s="35">
        <f t="shared" si="13"/>
        <v>-5.3190070765422398E-2</v>
      </c>
      <c r="N105" s="9">
        <f t="shared" si="14"/>
        <v>5.3190070765422398E-2</v>
      </c>
      <c r="O105" s="90">
        <f t="shared" si="15"/>
        <v>2030548486642.2571</v>
      </c>
      <c r="P105" s="90">
        <f t="shared" si="16"/>
        <v>-1438010.6203794815</v>
      </c>
      <c r="Q105" s="90">
        <f t="shared" si="17"/>
        <v>2067874544324.1812</v>
      </c>
      <c r="R105"/>
    </row>
    <row r="106" spans="1:18" x14ac:dyDescent="0.2">
      <c r="A106" s="42">
        <v>45535</v>
      </c>
      <c r="B106" s="43">
        <f>Inputs!D127</f>
        <v>25861036.030000001</v>
      </c>
      <c r="C106" s="111">
        <f>Inputs!E127</f>
        <v>0</v>
      </c>
      <c r="D106" s="111">
        <f t="shared" si="11"/>
        <v>25861036.030000001</v>
      </c>
      <c r="E106" s="111">
        <f>Inputs!C127</f>
        <v>12564.5</v>
      </c>
      <c r="F106" s="108">
        <v>31</v>
      </c>
      <c r="G106" s="92">
        <f t="shared" si="18"/>
        <v>0</v>
      </c>
      <c r="H106" s="89">
        <v>4.2</v>
      </c>
      <c r="I106" s="89">
        <v>115.2</v>
      </c>
      <c r="J106" s="173">
        <v>0</v>
      </c>
      <c r="K106" s="112">
        <f t="shared" si="12"/>
        <v>24595369.722285084</v>
      </c>
      <c r="L106" s="26">
        <f t="shared" si="19"/>
        <v>-1265666.3077149168</v>
      </c>
      <c r="M106" s="35">
        <f t="shared" si="13"/>
        <v>-4.8941051945741276E-2</v>
      </c>
      <c r="N106" s="9">
        <f t="shared" si="14"/>
        <v>4.8941051945741276E-2</v>
      </c>
      <c r="O106" s="90">
        <f t="shared" si="15"/>
        <v>1601911202484.7104</v>
      </c>
      <c r="P106" s="90">
        <f t="shared" si="16"/>
        <v>159306.84523999318</v>
      </c>
      <c r="Q106" s="90">
        <f t="shared" si="17"/>
        <v>25378670940.319138</v>
      </c>
      <c r="R106"/>
    </row>
    <row r="107" spans="1:18" x14ac:dyDescent="0.2">
      <c r="A107" s="42">
        <v>45565</v>
      </c>
      <c r="B107" s="43">
        <f>Inputs!D128</f>
        <v>21076307.850000001</v>
      </c>
      <c r="C107" s="111">
        <f>Inputs!E128</f>
        <v>0</v>
      </c>
      <c r="D107" s="111">
        <f t="shared" si="11"/>
        <v>21076307.850000001</v>
      </c>
      <c r="E107" s="111">
        <f>Inputs!C128</f>
        <v>12564.5</v>
      </c>
      <c r="F107" s="108">
        <v>30</v>
      </c>
      <c r="G107" s="92">
        <f t="shared" si="18"/>
        <v>0</v>
      </c>
      <c r="H107" s="89">
        <v>17.2</v>
      </c>
      <c r="I107" s="89">
        <v>45.3</v>
      </c>
      <c r="J107" s="173">
        <v>0</v>
      </c>
      <c r="K107" s="112">
        <f t="shared" si="12"/>
        <v>20159303.058856722</v>
      </c>
      <c r="L107" s="26">
        <f t="shared" si="19"/>
        <v>-917004.79114327952</v>
      </c>
      <c r="M107" s="35">
        <f t="shared" si="13"/>
        <v>-4.3508796591395366E-2</v>
      </c>
      <c r="N107" s="9">
        <f t="shared" si="14"/>
        <v>4.3508796591395366E-2</v>
      </c>
      <c r="O107" s="90">
        <f t="shared" si="15"/>
        <v>840897786979.72974</v>
      </c>
      <c r="P107" s="90">
        <f t="shared" si="16"/>
        <v>348661.51657163724</v>
      </c>
      <c r="Q107" s="90">
        <f t="shared" si="17"/>
        <v>121564853138.03407</v>
      </c>
      <c r="R107"/>
    </row>
    <row r="108" spans="1:18" x14ac:dyDescent="0.2">
      <c r="A108" s="42">
        <v>45596</v>
      </c>
      <c r="B108" s="43">
        <f>Inputs!D129</f>
        <v>18033862.059999999</v>
      </c>
      <c r="C108" s="111">
        <f>Inputs!E129</f>
        <v>0</v>
      </c>
      <c r="D108" s="111">
        <f t="shared" si="11"/>
        <v>18033862.059999999</v>
      </c>
      <c r="E108" s="111">
        <f>Inputs!C129</f>
        <v>12564.5</v>
      </c>
      <c r="F108" s="108">
        <v>31</v>
      </c>
      <c r="G108" s="92">
        <f t="shared" si="18"/>
        <v>1</v>
      </c>
      <c r="H108" s="89">
        <v>163.1</v>
      </c>
      <c r="I108" s="89">
        <v>5.3</v>
      </c>
      <c r="J108" s="173">
        <v>0</v>
      </c>
      <c r="K108" s="112">
        <f t="shared" si="12"/>
        <v>18153828.874493413</v>
      </c>
      <c r="L108" s="26">
        <f t="shared" si="19"/>
        <v>119966.81449341401</v>
      </c>
      <c r="M108" s="35">
        <f t="shared" si="13"/>
        <v>6.6523085345931736E-3</v>
      </c>
      <c r="N108" s="9">
        <f t="shared" si="14"/>
        <v>6.6523085345931736E-3</v>
      </c>
      <c r="O108" s="90">
        <f t="shared" si="15"/>
        <v>14392036579.69721</v>
      </c>
      <c r="P108" s="90">
        <f t="shared" si="16"/>
        <v>1036971.6056366935</v>
      </c>
      <c r="Q108" s="90">
        <f t="shared" si="17"/>
        <v>1075310110896.7423</v>
      </c>
      <c r="R108"/>
    </row>
    <row r="109" spans="1:18" x14ac:dyDescent="0.2">
      <c r="A109" s="42">
        <v>45626</v>
      </c>
      <c r="B109" s="43">
        <f>Inputs!D130</f>
        <v>18404281.809999999</v>
      </c>
      <c r="C109" s="111">
        <f>Inputs!E130</f>
        <v>0</v>
      </c>
      <c r="D109" s="111">
        <f t="shared" si="11"/>
        <v>18404281.809999999</v>
      </c>
      <c r="E109" s="111">
        <f>Inputs!C130</f>
        <v>12564.5</v>
      </c>
      <c r="F109" s="108">
        <v>30</v>
      </c>
      <c r="G109" s="92">
        <f t="shared" si="18"/>
        <v>1</v>
      </c>
      <c r="H109" s="89">
        <v>313.10000000000002</v>
      </c>
      <c r="I109" s="89">
        <v>1.9</v>
      </c>
      <c r="J109" s="173">
        <v>0</v>
      </c>
      <c r="K109" s="112">
        <f t="shared" si="12"/>
        <v>18145871.559759099</v>
      </c>
      <c r="L109" s="26">
        <f t="shared" si="19"/>
        <v>-258410.25024089962</v>
      </c>
      <c r="M109" s="35">
        <f t="shared" si="13"/>
        <v>-1.4040767953275524E-2</v>
      </c>
      <c r="N109" s="9">
        <f t="shared" si="14"/>
        <v>1.4040767953275524E-2</v>
      </c>
      <c r="O109" s="90">
        <f t="shared" si="15"/>
        <v>66775857429.564362</v>
      </c>
      <c r="P109" s="90">
        <f t="shared" si="16"/>
        <v>-378377.06473431364</v>
      </c>
      <c r="Q109" s="90">
        <f t="shared" si="17"/>
        <v>143169203116.95499</v>
      </c>
      <c r="R109"/>
    </row>
    <row r="110" spans="1:18" x14ac:dyDescent="0.2">
      <c r="A110" s="42">
        <v>45657</v>
      </c>
      <c r="B110" s="43">
        <f>Inputs!D131</f>
        <v>21228382.489999998</v>
      </c>
      <c r="C110" s="111">
        <f>Inputs!E131</f>
        <v>0</v>
      </c>
      <c r="D110" s="111">
        <f t="shared" si="11"/>
        <v>21228382.489999998</v>
      </c>
      <c r="E110" s="111">
        <f>Inputs!C131</f>
        <v>12564.5</v>
      </c>
      <c r="F110" s="108">
        <v>31</v>
      </c>
      <c r="G110" s="92">
        <f t="shared" si="18"/>
        <v>0</v>
      </c>
      <c r="H110" s="89">
        <v>546.70000000000005</v>
      </c>
      <c r="I110" s="89">
        <v>0</v>
      </c>
      <c r="J110" s="173">
        <v>0</v>
      </c>
      <c r="K110" s="112">
        <f t="shared" si="12"/>
        <v>21842789.205722596</v>
      </c>
      <c r="L110" s="26">
        <f t="shared" si="19"/>
        <v>614406.71572259814</v>
      </c>
      <c r="M110" s="35">
        <f t="shared" si="13"/>
        <v>2.8942700463025158E-2</v>
      </c>
      <c r="N110" s="9">
        <f t="shared" si="14"/>
        <v>2.8942700463025158E-2</v>
      </c>
      <c r="O110" s="90">
        <f t="shared" si="15"/>
        <v>377495612325.02954</v>
      </c>
      <c r="P110" s="90">
        <f t="shared" si="16"/>
        <v>872816.96596349776</v>
      </c>
      <c r="Q110" s="90">
        <f t="shared" si="17"/>
        <v>761809456073.72559</v>
      </c>
      <c r="R110"/>
    </row>
    <row r="111" spans="1:18" x14ac:dyDescent="0.2">
      <c r="A111" s="42">
        <v>45688</v>
      </c>
      <c r="B111" s="43">
        <f>Inputs!D132</f>
        <v>23926179.079999998</v>
      </c>
      <c r="C111" s="111">
        <f>Inputs!E132</f>
        <v>0</v>
      </c>
      <c r="D111" s="111">
        <f t="shared" si="11"/>
        <v>23926179.079999998</v>
      </c>
      <c r="E111" s="111">
        <f>Inputs!C132</f>
        <v>12628.5</v>
      </c>
      <c r="F111" s="108">
        <v>31</v>
      </c>
      <c r="G111" s="92">
        <f t="shared" si="18"/>
        <v>0</v>
      </c>
      <c r="H111" s="89">
        <v>725.4</v>
      </c>
      <c r="I111" s="89">
        <v>0</v>
      </c>
      <c r="J111" s="173">
        <v>0</v>
      </c>
      <c r="K111" s="112">
        <f t="shared" si="12"/>
        <v>23041526.856508512</v>
      </c>
      <c r="L111" s="26">
        <f t="shared" si="19"/>
        <v>-884652.22349148616</v>
      </c>
      <c r="M111" s="35">
        <f t="shared" si="13"/>
        <v>-3.6974237321117896E-2</v>
      </c>
      <c r="N111" s="9">
        <f t="shared" si="14"/>
        <v>3.6974237321117896E-2</v>
      </c>
      <c r="O111" s="90">
        <f t="shared" si="15"/>
        <v>782609556528.43042</v>
      </c>
      <c r="P111" s="90">
        <f t="shared" si="16"/>
        <v>-1499058.9392140843</v>
      </c>
      <c r="Q111" s="90">
        <f t="shared" si="17"/>
        <v>2247177703237.6558</v>
      </c>
      <c r="R111"/>
    </row>
    <row r="112" spans="1:18" x14ac:dyDescent="0.2">
      <c r="A112" s="42">
        <v>45716</v>
      </c>
      <c r="B112" s="43">
        <f>Inputs!D133</f>
        <v>19907689.393333338</v>
      </c>
      <c r="C112" s="111">
        <f>Inputs!E133</f>
        <v>0</v>
      </c>
      <c r="D112" s="111">
        <f t="shared" si="11"/>
        <v>19907689.393333338</v>
      </c>
      <c r="E112" s="111">
        <f>Inputs!C133</f>
        <v>12628.5</v>
      </c>
      <c r="F112" s="108">
        <v>28</v>
      </c>
      <c r="G112" s="92">
        <f t="shared" si="18"/>
        <v>0</v>
      </c>
      <c r="H112" s="89">
        <v>608.1</v>
      </c>
      <c r="I112" s="89">
        <v>0</v>
      </c>
      <c r="J112" s="173">
        <v>0</v>
      </c>
      <c r="K112" s="112">
        <f t="shared" si="12"/>
        <v>19986370.538388528</v>
      </c>
      <c r="L112" s="26">
        <f t="shared" si="19"/>
        <v>78681.145055189729</v>
      </c>
      <c r="M112" s="35">
        <f t="shared" si="13"/>
        <v>3.9522992096480249E-3</v>
      </c>
      <c r="N112" s="9">
        <f t="shared" si="14"/>
        <v>3.9522992096480249E-3</v>
      </c>
      <c r="O112" s="90">
        <f t="shared" si="15"/>
        <v>6190722587.1958075</v>
      </c>
      <c r="P112" s="90">
        <f t="shared" si="16"/>
        <v>963333.36854667589</v>
      </c>
      <c r="Q112" s="90">
        <f t="shared" si="17"/>
        <v>928011178955.48572</v>
      </c>
      <c r="R112"/>
    </row>
    <row r="113" spans="1:18" x14ac:dyDescent="0.2">
      <c r="A113" s="42">
        <v>45747</v>
      </c>
      <c r="B113" s="43">
        <f>Inputs!D134</f>
        <v>20228779.876666665</v>
      </c>
      <c r="C113" s="111">
        <f>Inputs!E134</f>
        <v>0</v>
      </c>
      <c r="D113" s="111">
        <f t="shared" si="11"/>
        <v>20228779.876666665</v>
      </c>
      <c r="E113" s="111">
        <f>Inputs!C134</f>
        <v>12628.5</v>
      </c>
      <c r="F113" s="108">
        <v>31</v>
      </c>
      <c r="G113" s="92">
        <f t="shared" si="18"/>
        <v>1</v>
      </c>
      <c r="H113" s="89">
        <v>394.5</v>
      </c>
      <c r="I113" s="89">
        <v>0</v>
      </c>
      <c r="J113" s="173">
        <v>0</v>
      </c>
      <c r="K113" s="112">
        <f>$T$18+$T$19*E113+$T$20*F113+$T$21*G113+$T$22*H113+$T$23*I113</f>
        <v>19400892.172265276</v>
      </c>
      <c r="L113" s="26">
        <f t="shared" si="19"/>
        <v>-827887.70440138876</v>
      </c>
      <c r="M113" s="35">
        <f t="shared" si="13"/>
        <v>-4.092623032377421E-2</v>
      </c>
      <c r="N113" s="9">
        <f t="shared" si="14"/>
        <v>4.092623032377421E-2</v>
      </c>
      <c r="O113" s="90">
        <f t="shared" si="15"/>
        <v>685398051099.00122</v>
      </c>
      <c r="P113" s="90">
        <f t="shared" si="16"/>
        <v>-906568.84945657849</v>
      </c>
      <c r="Q113" s="90">
        <f t="shared" si="17"/>
        <v>821867078805.02454</v>
      </c>
      <c r="R113"/>
    </row>
    <row r="114" spans="1:18" x14ac:dyDescent="0.2">
      <c r="A114" s="42">
        <v>45777</v>
      </c>
      <c r="B114" s="43">
        <f>Inputs!D135</f>
        <v>17855399.329999998</v>
      </c>
      <c r="C114" s="111">
        <f>Inputs!E135</f>
        <v>0</v>
      </c>
      <c r="D114" s="111">
        <f t="shared" si="11"/>
        <v>17855399.329999998</v>
      </c>
      <c r="E114" s="111">
        <f>Inputs!C135</f>
        <v>12628.5</v>
      </c>
      <c r="F114" s="108">
        <v>30</v>
      </c>
      <c r="G114" s="92">
        <f t="shared" si="18"/>
        <v>1</v>
      </c>
      <c r="H114" s="89">
        <v>264.60000000000002</v>
      </c>
      <c r="I114" s="89">
        <v>0.4</v>
      </c>
      <c r="J114" s="173">
        <v>0</v>
      </c>
      <c r="K114" s="112">
        <f t="shared" si="12"/>
        <v>17831270.64269767</v>
      </c>
      <c r="L114" s="26">
        <f t="shared" si="19"/>
        <v>-24128.687302328646</v>
      </c>
      <c r="M114" s="35">
        <f t="shared" si="13"/>
        <v>-1.3513384302634159E-3</v>
      </c>
      <c r="N114" s="9">
        <f t="shared" si="14"/>
        <v>1.3513384302634159E-3</v>
      </c>
      <c r="O114" s="90">
        <f t="shared" si="15"/>
        <v>582193550.9335556</v>
      </c>
      <c r="P114" s="90">
        <f t="shared" si="16"/>
        <v>803759.01709906012</v>
      </c>
      <c r="Q114" s="90">
        <f t="shared" si="17"/>
        <v>646028557568.04724</v>
      </c>
      <c r="R114"/>
    </row>
    <row r="115" spans="1:18" x14ac:dyDescent="0.2">
      <c r="A115" s="42">
        <v>45808</v>
      </c>
      <c r="B115" s="43">
        <f>Inputs!D136</f>
        <v>17778609.603333335</v>
      </c>
      <c r="C115" s="111">
        <f>Inputs!E136</f>
        <v>0</v>
      </c>
      <c r="D115" s="111">
        <f t="shared" si="11"/>
        <v>17778609.603333335</v>
      </c>
      <c r="E115" s="111">
        <f>Inputs!C136</f>
        <v>12628.5</v>
      </c>
      <c r="F115" s="108">
        <v>31</v>
      </c>
      <c r="G115" s="92">
        <f t="shared" si="18"/>
        <v>1</v>
      </c>
      <c r="H115" s="89">
        <v>137.30000000000001</v>
      </c>
      <c r="I115" s="89">
        <v>8.1</v>
      </c>
      <c r="J115" s="173">
        <v>0</v>
      </c>
      <c r="K115" s="112">
        <f t="shared" si="12"/>
        <v>18212854.00473373</v>
      </c>
      <c r="L115" s="26">
        <f t="shared" si="19"/>
        <v>434244.40140039474</v>
      </c>
      <c r="M115" s="35">
        <f t="shared" si="13"/>
        <v>2.4425104723542479E-2</v>
      </c>
      <c r="N115" s="9">
        <f t="shared" si="14"/>
        <v>2.4425104723542479E-2</v>
      </c>
      <c r="O115" s="90">
        <f t="shared" si="15"/>
        <v>188568200147.58716</v>
      </c>
      <c r="P115" s="90">
        <f t="shared" si="16"/>
        <v>458373.08870272338</v>
      </c>
      <c r="Q115" s="90">
        <f t="shared" si="17"/>
        <v>210105888446.87473</v>
      </c>
      <c r="R115"/>
    </row>
    <row r="116" spans="1:18" x14ac:dyDescent="0.2">
      <c r="A116" s="42">
        <v>45838</v>
      </c>
      <c r="B116" s="43">
        <f>Inputs!D137</f>
        <v>22776523.77</v>
      </c>
      <c r="C116" s="111">
        <f>Inputs!E137</f>
        <v>0</v>
      </c>
      <c r="D116" s="111">
        <f t="shared" si="11"/>
        <v>22776523.77</v>
      </c>
      <c r="E116" s="111">
        <f>Inputs!C137</f>
        <v>12628.5</v>
      </c>
      <c r="F116" s="108">
        <v>30</v>
      </c>
      <c r="G116" s="92">
        <f t="shared" si="18"/>
        <v>0</v>
      </c>
      <c r="H116" s="89">
        <v>8.6999999999999993</v>
      </c>
      <c r="I116" s="89">
        <v>117.2</v>
      </c>
      <c r="J116" s="173">
        <v>0</v>
      </c>
      <c r="K116" s="112">
        <f t="shared" si="12"/>
        <v>24030838.168735787</v>
      </c>
      <c r="L116" s="26">
        <f t="shared" si="19"/>
        <v>1254314.3987357877</v>
      </c>
      <c r="M116" s="35">
        <f t="shared" si="13"/>
        <v>5.5070493258848503E-2</v>
      </c>
      <c r="N116" s="9">
        <f t="shared" si="14"/>
        <v>5.5070493258848503E-2</v>
      </c>
      <c r="O116" s="90">
        <f t="shared" si="15"/>
        <v>1573304610875.9207</v>
      </c>
      <c r="P116" s="90">
        <f t="shared" si="16"/>
        <v>820069.99733539298</v>
      </c>
      <c r="Q116" s="90">
        <f t="shared" si="17"/>
        <v>672514800529.67151</v>
      </c>
      <c r="R116"/>
    </row>
    <row r="117" spans="1:18" x14ac:dyDescent="0.2">
      <c r="A117" s="42">
        <v>45869</v>
      </c>
      <c r="B117" s="43">
        <f>Inputs!D138</f>
        <v>28102766.048864566</v>
      </c>
      <c r="C117" s="111">
        <f>Inputs!E138</f>
        <v>0</v>
      </c>
      <c r="D117" s="111">
        <f t="shared" si="11"/>
        <v>28102766.048864566</v>
      </c>
      <c r="E117" s="111">
        <f>Inputs!C138</f>
        <v>12628.5</v>
      </c>
      <c r="F117" s="108">
        <v>31</v>
      </c>
      <c r="G117" s="92">
        <f t="shared" si="18"/>
        <v>0</v>
      </c>
      <c r="H117" s="89">
        <v>0</v>
      </c>
      <c r="I117" s="89">
        <v>174.8</v>
      </c>
      <c r="J117" s="173">
        <v>0</v>
      </c>
      <c r="K117" s="112">
        <f t="shared" si="12"/>
        <v>27834809.082724094</v>
      </c>
      <c r="L117" s="26">
        <f t="shared" si="19"/>
        <v>-267956.9661404714</v>
      </c>
      <c r="M117" s="35">
        <f t="shared" si="13"/>
        <v>-9.5348965178215141E-3</v>
      </c>
      <c r="N117" s="9">
        <f t="shared" si="14"/>
        <v>9.5348965178215141E-3</v>
      </c>
      <c r="O117" s="90">
        <f t="shared" si="15"/>
        <v>71800935703.205734</v>
      </c>
      <c r="P117" s="90">
        <f t="shared" si="16"/>
        <v>-1522271.3648762591</v>
      </c>
      <c r="Q117" s="90">
        <f t="shared" si="17"/>
        <v>2317310108322.229</v>
      </c>
      <c r="R117"/>
    </row>
    <row r="118" spans="1:18" x14ac:dyDescent="0.2">
      <c r="A118" s="42">
        <v>45900</v>
      </c>
      <c r="B118" s="43">
        <f>Inputs!D139</f>
        <v>24670960.87446877</v>
      </c>
      <c r="C118" s="111">
        <f>Inputs!E139</f>
        <v>0</v>
      </c>
      <c r="D118" s="111">
        <f t="shared" si="11"/>
        <v>24670960.87446877</v>
      </c>
      <c r="E118" s="111">
        <f>Inputs!C139</f>
        <v>12628.5</v>
      </c>
      <c r="F118" s="108">
        <v>31</v>
      </c>
      <c r="G118" s="92">
        <f t="shared" si="18"/>
        <v>0</v>
      </c>
      <c r="H118" s="89">
        <v>13.2</v>
      </c>
      <c r="I118" s="89">
        <v>101</v>
      </c>
      <c r="J118" s="173">
        <v>0</v>
      </c>
      <c r="K118" s="112">
        <f t="shared" si="12"/>
        <v>23962766.607897107</v>
      </c>
      <c r="L118" s="26">
        <f t="shared" si="19"/>
        <v>-708194.26657166332</v>
      </c>
      <c r="M118" s="35">
        <f t="shared" si="13"/>
        <v>-2.870558103411984E-2</v>
      </c>
      <c r="N118" s="9">
        <f t="shared" si="14"/>
        <v>2.870558103411984E-2</v>
      </c>
      <c r="O118" s="90">
        <f t="shared" si="15"/>
        <v>501539119204.97614</v>
      </c>
      <c r="P118" s="90">
        <f t="shared" si="16"/>
        <v>-440237.30043119192</v>
      </c>
      <c r="Q118" s="90">
        <f t="shared" si="17"/>
        <v>193808880690.94354</v>
      </c>
      <c r="R118"/>
    </row>
    <row r="119" spans="1:18" x14ac:dyDescent="0.2">
      <c r="A119" s="42">
        <v>45930</v>
      </c>
      <c r="B119" s="43">
        <f>Inputs!D140</f>
        <v>20384897.329999998</v>
      </c>
      <c r="C119" s="111">
        <f>Inputs!E140</f>
        <v>0</v>
      </c>
      <c r="D119" s="111">
        <f t="shared" si="11"/>
        <v>20384897.329999998</v>
      </c>
      <c r="E119" s="111">
        <f>Inputs!C140</f>
        <v>12628.5</v>
      </c>
      <c r="F119" s="108">
        <v>30</v>
      </c>
      <c r="G119" s="92">
        <f t="shared" si="18"/>
        <v>0</v>
      </c>
      <c r="H119" s="89">
        <v>21.2</v>
      </c>
      <c r="I119" s="89">
        <v>37.5</v>
      </c>
      <c r="J119" s="173">
        <v>0</v>
      </c>
      <c r="K119" s="112">
        <f t="shared" si="12"/>
        <v>19838171.613949094</v>
      </c>
      <c r="L119" s="26">
        <f t="shared" si="19"/>
        <v>-546725.71605090424</v>
      </c>
      <c r="M119" s="35">
        <f t="shared" si="13"/>
        <v>-2.6820135868248902E-2</v>
      </c>
      <c r="N119" s="9">
        <f t="shared" si="14"/>
        <v>2.6820135868248902E-2</v>
      </c>
      <c r="O119" s="90">
        <f t="shared" si="15"/>
        <v>298909008591.37396</v>
      </c>
      <c r="P119" s="90">
        <f t="shared" si="16"/>
        <v>161468.55052075908</v>
      </c>
      <c r="Q119" s="90">
        <f t="shared" si="17"/>
        <v>26072092807.274925</v>
      </c>
      <c r="R119"/>
    </row>
    <row r="120" spans="1:18" x14ac:dyDescent="0.2">
      <c r="A120" s="42">
        <v>45961</v>
      </c>
      <c r="B120" s="43">
        <f>Inputs!D141</f>
        <v>18368645.043333337</v>
      </c>
      <c r="C120" s="111">
        <f>Inputs!E141</f>
        <v>0</v>
      </c>
      <c r="D120" s="111">
        <f t="shared" si="11"/>
        <v>18368645.043333337</v>
      </c>
      <c r="E120" s="111">
        <f>Inputs!C141</f>
        <v>12628.5</v>
      </c>
      <c r="F120" s="108">
        <v>31</v>
      </c>
      <c r="G120" s="92">
        <f t="shared" si="18"/>
        <v>1</v>
      </c>
      <c r="H120" s="89">
        <v>167.8</v>
      </c>
      <c r="I120" s="89">
        <v>16.100000000000001</v>
      </c>
      <c r="J120" s="173">
        <v>0</v>
      </c>
      <c r="K120" s="112">
        <f t="shared" si="12"/>
        <v>18833975.194628537</v>
      </c>
      <c r="L120" s="26">
        <f t="shared" si="19"/>
        <v>465330.15129519999</v>
      </c>
      <c r="M120" s="35">
        <f t="shared" si="13"/>
        <v>2.5332851181861429E-2</v>
      </c>
      <c r="N120" s="9">
        <f t="shared" si="14"/>
        <v>2.5332851181861429E-2</v>
      </c>
      <c r="O120" s="90">
        <f t="shared" si="15"/>
        <v>216532149704.41373</v>
      </c>
      <c r="P120" s="90">
        <f t="shared" si="16"/>
        <v>1012055.8673461042</v>
      </c>
      <c r="Q120" s="90">
        <f t="shared" si="17"/>
        <v>1024257078629.6753</v>
      </c>
      <c r="R120"/>
    </row>
    <row r="121" spans="1:18" x14ac:dyDescent="0.2">
      <c r="A121" s="42">
        <v>45991</v>
      </c>
      <c r="B121" s="43">
        <f>Inputs!D142</f>
        <v>19256682.163333334</v>
      </c>
      <c r="C121" s="111">
        <f>Inputs!E142</f>
        <v>0</v>
      </c>
      <c r="D121" s="111">
        <f t="shared" si="11"/>
        <v>19256682.163333334</v>
      </c>
      <c r="E121" s="111">
        <f>Inputs!C142</f>
        <v>12628.5</v>
      </c>
      <c r="F121" s="108">
        <v>30</v>
      </c>
      <c r="G121" s="92">
        <f t="shared" si="18"/>
        <v>1</v>
      </c>
      <c r="H121" s="89">
        <v>413.6</v>
      </c>
      <c r="I121" s="89">
        <f>AVERAGE(I13,I25,I37,I49,I61,I73,I85,I97,I109)</f>
        <v>0.36666666666666664</v>
      </c>
      <c r="J121" s="173">
        <v>0</v>
      </c>
      <c r="K121" s="112">
        <f t="shared" si="12"/>
        <v>18769224.527054921</v>
      </c>
      <c r="L121" s="26">
        <f t="shared" si="19"/>
        <v>-487457.63627841324</v>
      </c>
      <c r="M121" s="35">
        <f t="shared" si="13"/>
        <v>-2.5313687588746817E-2</v>
      </c>
      <c r="N121" s="9">
        <f t="shared" si="14"/>
        <v>2.5313687588746817E-2</v>
      </c>
      <c r="O121" s="90">
        <f t="shared" si="15"/>
        <v>237614947166.13782</v>
      </c>
      <c r="P121" s="90">
        <f t="shared" si="16"/>
        <v>-952787.78757361323</v>
      </c>
      <c r="Q121" s="90">
        <f t="shared" si="17"/>
        <v>907804568149.42078</v>
      </c>
      <c r="R121"/>
    </row>
    <row r="122" spans="1:18" x14ac:dyDescent="0.2">
      <c r="A122" s="42">
        <v>46022</v>
      </c>
      <c r="B122" s="43">
        <f>Inputs!D143</f>
        <v>22775840.99666667</v>
      </c>
      <c r="C122" s="111">
        <f>Inputs!E143</f>
        <v>0</v>
      </c>
      <c r="D122" s="111">
        <f>B122+C122</f>
        <v>22775840.99666667</v>
      </c>
      <c r="E122" s="111">
        <f>Inputs!C143</f>
        <v>12628.5</v>
      </c>
      <c r="F122" s="108">
        <v>31</v>
      </c>
      <c r="G122" s="92">
        <f t="shared" si="18"/>
        <v>0</v>
      </c>
      <c r="H122" s="89">
        <v>645</v>
      </c>
      <c r="I122" s="89">
        <f>AVERAGE(I14,I26,I38,I50,I62,I74,I86,I98,I110)</f>
        <v>0</v>
      </c>
      <c r="J122" s="173">
        <v>0</v>
      </c>
      <c r="K122" s="112">
        <f t="shared" si="12"/>
        <v>22534445.471888989</v>
      </c>
      <c r="L122" s="26">
        <f t="shared" si="19"/>
        <v>-241395.52477768064</v>
      </c>
      <c r="M122" s="35">
        <f t="shared" si="13"/>
        <v>-1.0598753513119879E-2</v>
      </c>
      <c r="N122" s="9">
        <f t="shared" si="14"/>
        <v>1.0598753513119879E-2</v>
      </c>
      <c r="O122" s="90">
        <f t="shared" si="15"/>
        <v>58271799382.691826</v>
      </c>
      <c r="P122" s="90">
        <f t="shared" si="16"/>
        <v>246062.1115007326</v>
      </c>
      <c r="Q122" s="90">
        <f t="shared" si="17"/>
        <v>60546562716.198959</v>
      </c>
      <c r="R122"/>
    </row>
    <row r="123" spans="1:18" x14ac:dyDescent="0.2">
      <c r="A123" s="42">
        <v>46053</v>
      </c>
      <c r="B123" s="43"/>
      <c r="C123" s="111"/>
      <c r="D123" s="111"/>
      <c r="E123" s="124" cm="1">
        <f t="array" ref="E123:E134">'Rate Class Customer Model'!Q4:Q15</f>
        <v>12640.38198827998</v>
      </c>
      <c r="F123" s="108">
        <v>31</v>
      </c>
      <c r="G123" s="92">
        <f t="shared" si="18"/>
        <v>0</v>
      </c>
      <c r="H123" s="93">
        <f>AVERAGE(H3,H15,H27,H39,H51,H63,H75,H87,H99,H111)</f>
        <v>637.03999999999985</v>
      </c>
      <c r="I123" s="93">
        <f>AVERAGE(I3,I15,I27,I39,I51,I63,I75,I87,I99,I111)</f>
        <v>0</v>
      </c>
      <c r="J123" s="173">
        <v>0</v>
      </c>
      <c r="K123" s="112">
        <f>$T$18+$T$19*E123+$T$20*F123+$T$21*G123+$T$22*H123+$T$23*I123</f>
        <v>22497549.699707072</v>
      </c>
      <c r="L123" s="26"/>
      <c r="M123" s="37" t="s">
        <v>47</v>
      </c>
      <c r="N123" s="4">
        <f>AVERAGE(N3:N122)</f>
        <v>4.145647706707932E-2</v>
      </c>
      <c r="O123" s="5">
        <f>SUM(O3:O122)</f>
        <v>122294609387157.38</v>
      </c>
      <c r="P123" s="4"/>
      <c r="Q123" s="5">
        <f>SUM(Q4:Q122)</f>
        <v>109264968637175.27</v>
      </c>
      <c r="R123" s="21"/>
    </row>
    <row r="124" spans="1:18" x14ac:dyDescent="0.2">
      <c r="A124" s="42">
        <v>46081</v>
      </c>
      <c r="B124" s="43"/>
      <c r="C124" s="111"/>
      <c r="D124" s="111"/>
      <c r="E124" s="124">
        <v>12652.275156165257</v>
      </c>
      <c r="F124" s="108">
        <v>28</v>
      </c>
      <c r="G124" s="92">
        <f t="shared" si="18"/>
        <v>0</v>
      </c>
      <c r="H124" s="93">
        <f>AVERAGE(H4,H16,H28,H40,H52,H64,H76,H88,H100,H112)</f>
        <v>540.82000000000005</v>
      </c>
      <c r="I124" s="93">
        <f>AVERAGE(I4,I16,I28,I40,I52,I64,I76,I88,I100,I112)</f>
        <v>0</v>
      </c>
      <c r="J124" s="173">
        <v>0</v>
      </c>
      <c r="K124" s="112">
        <f t="shared" si="12"/>
        <v>19588664.899318077</v>
      </c>
      <c r="L124" s="26"/>
      <c r="R124"/>
    </row>
    <row r="125" spans="1:18" x14ac:dyDescent="0.2">
      <c r="A125" s="42">
        <v>46112</v>
      </c>
      <c r="B125" s="43"/>
      <c r="C125" s="111"/>
      <c r="D125" s="111"/>
      <c r="E125" s="124">
        <v>12664.179514174572</v>
      </c>
      <c r="F125" s="108">
        <v>31</v>
      </c>
      <c r="G125" s="92">
        <f t="shared" si="18"/>
        <v>1</v>
      </c>
      <c r="H125" s="93">
        <f t="shared" ref="H125:I134" si="20">AVERAGE(H5,H17,H29,H41,H53,H65,H77,H89,H101,H113)</f>
        <v>454.27</v>
      </c>
      <c r="I125" s="93">
        <f t="shared" si="20"/>
        <v>0</v>
      </c>
      <c r="J125" s="173">
        <v>0</v>
      </c>
      <c r="K125" s="112">
        <f t="shared" si="12"/>
        <v>19817821.508325912</v>
      </c>
      <c r="L125" s="26"/>
      <c r="R125"/>
    </row>
    <row r="126" spans="1:18" x14ac:dyDescent="0.2">
      <c r="A126" s="42">
        <v>46142</v>
      </c>
      <c r="B126" s="43"/>
      <c r="C126" s="111"/>
      <c r="D126" s="111"/>
      <c r="E126" s="124">
        <v>12676.095072836566</v>
      </c>
      <c r="F126" s="108">
        <v>30</v>
      </c>
      <c r="G126" s="92">
        <f t="shared" si="18"/>
        <v>1</v>
      </c>
      <c r="H126" s="93">
        <f t="shared" si="20"/>
        <v>287.61</v>
      </c>
      <c r="I126" s="93">
        <f t="shared" si="20"/>
        <v>1.08</v>
      </c>
      <c r="J126" s="173">
        <v>0</v>
      </c>
      <c r="K126" s="112">
        <f t="shared" si="12"/>
        <v>18066145.161632039</v>
      </c>
      <c r="L126" s="26"/>
      <c r="R126"/>
    </row>
    <row r="127" spans="1:18" x14ac:dyDescent="0.2">
      <c r="A127" s="42">
        <v>46173</v>
      </c>
      <c r="B127" s="43"/>
      <c r="C127" s="111"/>
      <c r="D127" s="111"/>
      <c r="E127" s="124">
        <v>12688.021842689785</v>
      </c>
      <c r="F127" s="108">
        <v>31</v>
      </c>
      <c r="G127" s="92">
        <f t="shared" si="18"/>
        <v>1</v>
      </c>
      <c r="H127" s="93">
        <f t="shared" si="20"/>
        <v>116.80999999999999</v>
      </c>
      <c r="I127" s="93">
        <f t="shared" si="20"/>
        <v>27.339999999999996</v>
      </c>
      <c r="J127" s="173">
        <v>0</v>
      </c>
      <c r="K127" s="112">
        <f t="shared" si="12"/>
        <v>19181451.838662013</v>
      </c>
      <c r="L127" s="26"/>
      <c r="R127"/>
    </row>
    <row r="128" spans="1:18" x14ac:dyDescent="0.2">
      <c r="A128" s="42">
        <v>46203</v>
      </c>
      <c r="B128" s="43"/>
      <c r="C128" s="111"/>
      <c r="D128" s="111"/>
      <c r="E128" s="124">
        <v>12699.959834282687</v>
      </c>
      <c r="F128" s="108">
        <v>30</v>
      </c>
      <c r="G128" s="92">
        <f t="shared" si="18"/>
        <v>0</v>
      </c>
      <c r="H128" s="93">
        <f t="shared" si="20"/>
        <v>10.02</v>
      </c>
      <c r="I128" s="93">
        <f t="shared" si="20"/>
        <v>99.090000000000018</v>
      </c>
      <c r="J128" s="173">
        <v>0</v>
      </c>
      <c r="K128" s="112">
        <f t="shared" si="12"/>
        <v>23148596.84853974</v>
      </c>
      <c r="L128" s="26"/>
      <c r="R128"/>
    </row>
    <row r="129" spans="1:18" x14ac:dyDescent="0.2">
      <c r="A129" s="42">
        <v>46234</v>
      </c>
      <c r="B129" s="43"/>
      <c r="C129" s="111"/>
      <c r="D129" s="111"/>
      <c r="E129" s="124">
        <v>12711.909058173662</v>
      </c>
      <c r="F129" s="108">
        <v>31</v>
      </c>
      <c r="G129" s="92">
        <f t="shared" si="18"/>
        <v>0</v>
      </c>
      <c r="H129" s="93">
        <f t="shared" si="20"/>
        <v>6.9999999999999993E-2</v>
      </c>
      <c r="I129" s="93">
        <f t="shared" si="20"/>
        <v>158.74</v>
      </c>
      <c r="J129" s="173">
        <v>0</v>
      </c>
      <c r="K129" s="112">
        <f t="shared" si="12"/>
        <v>27067936.441621102</v>
      </c>
      <c r="L129" s="26"/>
      <c r="M129"/>
      <c r="N129"/>
      <c r="O129"/>
      <c r="P129"/>
      <c r="Q129"/>
      <c r="R129"/>
    </row>
    <row r="130" spans="1:18" x14ac:dyDescent="0.2">
      <c r="A130" s="42">
        <v>46265</v>
      </c>
      <c r="B130" s="43"/>
      <c r="C130" s="111"/>
      <c r="D130" s="111"/>
      <c r="E130" s="124">
        <v>12723.869524931028</v>
      </c>
      <c r="F130" s="108">
        <v>31</v>
      </c>
      <c r="G130" s="92">
        <f t="shared" si="18"/>
        <v>0</v>
      </c>
      <c r="H130" s="93">
        <f t="shared" si="20"/>
        <v>3.19</v>
      </c>
      <c r="I130" s="93">
        <f t="shared" si="20"/>
        <v>115.75999999999999</v>
      </c>
      <c r="J130" s="173">
        <v>0</v>
      </c>
      <c r="K130" s="112">
        <f t="shared" si="12"/>
        <v>24797506.356540468</v>
      </c>
      <c r="L130" s="26"/>
      <c r="M130"/>
      <c r="N130"/>
      <c r="O130"/>
      <c r="P130"/>
      <c r="Q130"/>
      <c r="R130"/>
    </row>
    <row r="131" spans="1:18" x14ac:dyDescent="0.2">
      <c r="A131" s="42">
        <v>46295</v>
      </c>
      <c r="B131" s="43"/>
      <c r="C131" s="111"/>
      <c r="D131" s="111"/>
      <c r="E131" s="124">
        <v>12735.84124513305</v>
      </c>
      <c r="F131" s="108">
        <v>30</v>
      </c>
      <c r="G131" s="92">
        <f t="shared" si="18"/>
        <v>0</v>
      </c>
      <c r="H131" s="93">
        <f t="shared" si="20"/>
        <v>32.589999999999996</v>
      </c>
      <c r="I131" s="93">
        <f t="shared" si="20"/>
        <v>44.9</v>
      </c>
      <c r="J131" s="173">
        <v>0</v>
      </c>
      <c r="K131" s="112">
        <f t="shared" si="12"/>
        <v>20426831.524479955</v>
      </c>
      <c r="L131" s="26"/>
      <c r="M131"/>
      <c r="N131"/>
      <c r="O131"/>
      <c r="P131"/>
      <c r="Q131"/>
      <c r="R131"/>
    </row>
    <row r="132" spans="1:18" x14ac:dyDescent="0.2">
      <c r="A132" s="42">
        <v>46326</v>
      </c>
      <c r="B132" s="43"/>
      <c r="C132" s="111"/>
      <c r="D132" s="111"/>
      <c r="E132" s="124">
        <v>12747.824229367943</v>
      </c>
      <c r="F132" s="108">
        <v>31</v>
      </c>
      <c r="G132" s="92">
        <f t="shared" si="18"/>
        <v>1</v>
      </c>
      <c r="H132" s="93">
        <f t="shared" si="20"/>
        <v>183.84999999999997</v>
      </c>
      <c r="I132" s="93">
        <f t="shared" si="20"/>
        <v>11.61</v>
      </c>
      <c r="J132" s="173">
        <v>0</v>
      </c>
      <c r="K132" s="112">
        <f t="shared" ref="K132:K146" si="21">$T$18+$T$19*E132+$T$20*F132+$T$21*G132+$T$22*H132+$T$23*I132</f>
        <v>18828204.651501358</v>
      </c>
      <c r="L132" s="26"/>
      <c r="M132"/>
      <c r="N132"/>
      <c r="O132"/>
      <c r="P132"/>
      <c r="Q132"/>
      <c r="R132"/>
    </row>
    <row r="133" spans="1:18" x14ac:dyDescent="0.2">
      <c r="A133" s="42">
        <v>46356</v>
      </c>
      <c r="B133" s="43"/>
      <c r="C133" s="111"/>
      <c r="D133" s="111"/>
      <c r="E133" s="124">
        <v>12759.81848823389</v>
      </c>
      <c r="F133" s="108">
        <v>30</v>
      </c>
      <c r="G133" s="92">
        <f t="shared" si="18"/>
        <v>1</v>
      </c>
      <c r="H133" s="93">
        <f t="shared" si="20"/>
        <v>388.63</v>
      </c>
      <c r="I133" s="93">
        <f t="shared" si="20"/>
        <v>0.36666666666666664</v>
      </c>
      <c r="J133" s="173">
        <v>0</v>
      </c>
      <c r="K133" s="112">
        <f t="shared" si="21"/>
        <v>18758815.671421781</v>
      </c>
      <c r="L133" s="26"/>
      <c r="M133"/>
      <c r="N133"/>
      <c r="O133"/>
      <c r="P133"/>
      <c r="Q133"/>
      <c r="R133"/>
    </row>
    <row r="134" spans="1:18" x14ac:dyDescent="0.2">
      <c r="A134" s="42">
        <v>46387</v>
      </c>
      <c r="B134" s="43"/>
      <c r="C134" s="111"/>
      <c r="D134" s="111"/>
      <c r="E134" s="124">
        <v>12771.824032339038</v>
      </c>
      <c r="F134" s="108">
        <v>31</v>
      </c>
      <c r="G134" s="92">
        <f t="shared" si="18"/>
        <v>0</v>
      </c>
      <c r="H134" s="93">
        <f t="shared" si="20"/>
        <v>553.67999999999995</v>
      </c>
      <c r="I134" s="93">
        <f t="shared" si="20"/>
        <v>0</v>
      </c>
      <c r="J134" s="173">
        <v>0</v>
      </c>
      <c r="K134" s="112">
        <f t="shared" si="21"/>
        <v>22119014.524309896</v>
      </c>
      <c r="L134" s="26"/>
      <c r="M134"/>
      <c r="N134"/>
      <c r="O134"/>
      <c r="P134"/>
      <c r="Q134"/>
      <c r="R134"/>
    </row>
    <row r="135" spans="1:18" x14ac:dyDescent="0.2">
      <c r="A135" s="42">
        <v>46418</v>
      </c>
      <c r="B135" s="43"/>
      <c r="C135" s="111"/>
      <c r="D135" s="111"/>
      <c r="E135" s="124" cm="1">
        <f t="array" ref="E135:E146">'Rate Class Customer Model'!R4:R15</f>
        <v>12773.696254536617</v>
      </c>
      <c r="F135" s="108">
        <v>31</v>
      </c>
      <c r="G135" s="92">
        <f t="shared" si="18"/>
        <v>0</v>
      </c>
      <c r="H135" s="93">
        <f>AVERAGE(H3,H15,H27,H39,H51,H63,H75,H87,H99,H111)</f>
        <v>637.03999999999985</v>
      </c>
      <c r="I135" s="93">
        <f>AVERAGE(I3,I15,I27,I39,I51,I63,I75,I87,I99,I111)</f>
        <v>0</v>
      </c>
      <c r="J135" s="173">
        <v>0</v>
      </c>
      <c r="K135" s="112">
        <f t="shared" si="21"/>
        <v>22646861.462659199</v>
      </c>
      <c r="L135" s="26"/>
      <c r="M135"/>
      <c r="N135"/>
      <c r="O135"/>
      <c r="P135"/>
      <c r="Q135"/>
      <c r="R135"/>
    </row>
    <row r="136" spans="1:18" x14ac:dyDescent="0.2">
      <c r="A136" s="42">
        <v>46446</v>
      </c>
      <c r="B136" s="43"/>
      <c r="C136" s="111"/>
      <c r="D136" s="111"/>
      <c r="E136" s="124">
        <v>12775.568751183324</v>
      </c>
      <c r="F136" s="108">
        <v>28</v>
      </c>
      <c r="G136" s="92">
        <f t="shared" si="18"/>
        <v>0</v>
      </c>
      <c r="H136" s="93">
        <f t="shared" ref="H136:I146" si="22">AVERAGE(H4,H16,H28,H40,H52,H64,H76,H88,H100,H112)</f>
        <v>540.82000000000005</v>
      </c>
      <c r="I136" s="93">
        <f>AVERAGE(I4,I16,I28,I40,I52,I64,I76,I88,I100,I112)</f>
        <v>0</v>
      </c>
      <c r="J136" s="173">
        <v>0</v>
      </c>
      <c r="K136" s="112">
        <f t="shared" si="21"/>
        <v>19726753.526662838</v>
      </c>
      <c r="L136" s="26"/>
      <c r="M136"/>
      <c r="N136"/>
      <c r="O136"/>
      <c r="P136"/>
      <c r="Q136"/>
      <c r="R136"/>
    </row>
    <row r="137" spans="1:18" x14ac:dyDescent="0.2">
      <c r="A137" s="42">
        <v>46477</v>
      </c>
      <c r="B137" s="43"/>
      <c r="C137" s="111"/>
      <c r="D137" s="111"/>
      <c r="E137" s="124">
        <v>12777.441522319388</v>
      </c>
      <c r="F137" s="108">
        <v>31</v>
      </c>
      <c r="G137" s="92">
        <f t="shared" si="18"/>
        <v>1</v>
      </c>
      <c r="H137" s="93">
        <f t="shared" si="22"/>
        <v>454.27</v>
      </c>
      <c r="I137" s="93">
        <f t="shared" si="22"/>
        <v>0</v>
      </c>
      <c r="J137" s="173">
        <v>0</v>
      </c>
      <c r="K137" s="112">
        <f t="shared" si="21"/>
        <v>19944674.774570085</v>
      </c>
      <c r="L137" s="26"/>
      <c r="M137"/>
      <c r="N137"/>
      <c r="O137"/>
      <c r="P137"/>
      <c r="Q137"/>
      <c r="R137"/>
    </row>
    <row r="138" spans="1:18" x14ac:dyDescent="0.2">
      <c r="A138" s="42">
        <v>46507</v>
      </c>
      <c r="B138" s="43"/>
      <c r="C138" s="111"/>
      <c r="D138" s="111"/>
      <c r="E138" s="124">
        <v>12779.31456798505</v>
      </c>
      <c r="F138" s="108">
        <v>30</v>
      </c>
      <c r="G138" s="92">
        <f t="shared" si="18"/>
        <v>1</v>
      </c>
      <c r="H138" s="93">
        <f t="shared" si="22"/>
        <v>287.61</v>
      </c>
      <c r="I138" s="93">
        <f t="shared" si="22"/>
        <v>1.08</v>
      </c>
      <c r="J138" s="173">
        <v>0</v>
      </c>
      <c r="K138" s="112">
        <f t="shared" si="21"/>
        <v>18181750.829535425</v>
      </c>
      <c r="L138" s="26"/>
      <c r="M138"/>
      <c r="N138"/>
      <c r="O138"/>
      <c r="P138"/>
      <c r="Q138"/>
      <c r="R138"/>
    </row>
    <row r="139" spans="1:18" x14ac:dyDescent="0.2">
      <c r="A139" s="42">
        <v>46538</v>
      </c>
      <c r="B139" s="43"/>
      <c r="C139" s="111"/>
      <c r="D139" s="111"/>
      <c r="E139" s="124">
        <v>12781.187888220549</v>
      </c>
      <c r="F139" s="108">
        <v>31</v>
      </c>
      <c r="G139" s="92">
        <f t="shared" si="18"/>
        <v>1</v>
      </c>
      <c r="H139" s="93">
        <f t="shared" si="22"/>
        <v>116.80999999999999</v>
      </c>
      <c r="I139" s="93">
        <f t="shared" si="22"/>
        <v>27.339999999999996</v>
      </c>
      <c r="J139" s="173">
        <v>0</v>
      </c>
      <c r="K139" s="112">
        <f t="shared" si="21"/>
        <v>19285797.659226313</v>
      </c>
      <c r="L139" s="26"/>
      <c r="M139"/>
      <c r="N139"/>
      <c r="O139"/>
      <c r="P139"/>
      <c r="Q139"/>
      <c r="R139"/>
    </row>
    <row r="140" spans="1:18" x14ac:dyDescent="0.2">
      <c r="A140" s="42">
        <v>46568</v>
      </c>
      <c r="B140" s="43"/>
      <c r="C140" s="111"/>
      <c r="D140" s="111"/>
      <c r="E140" s="124">
        <v>12783.061483066138</v>
      </c>
      <c r="F140" s="108">
        <v>30</v>
      </c>
      <c r="G140" s="92">
        <f t="shared" si="18"/>
        <v>0</v>
      </c>
      <c r="H140" s="93">
        <f t="shared" si="22"/>
        <v>10.02</v>
      </c>
      <c r="I140" s="93">
        <f t="shared" si="22"/>
        <v>99.090000000000018</v>
      </c>
      <c r="J140" s="173">
        <v>0</v>
      </c>
      <c r="K140" s="112">
        <f t="shared" si="21"/>
        <v>23241670.560997479</v>
      </c>
      <c r="L140" s="26"/>
      <c r="M140"/>
      <c r="N140"/>
      <c r="O140"/>
      <c r="P140"/>
      <c r="Q140"/>
      <c r="R140"/>
    </row>
    <row r="141" spans="1:18" x14ac:dyDescent="0.2">
      <c r="A141" s="42">
        <v>46599</v>
      </c>
      <c r="B141" s="43"/>
      <c r="C141" s="111"/>
      <c r="D141" s="111"/>
      <c r="E141" s="124">
        <v>12784.93535256207</v>
      </c>
      <c r="F141" s="108">
        <v>31</v>
      </c>
      <c r="G141" s="92">
        <f t="shared" si="18"/>
        <v>0</v>
      </c>
      <c r="H141" s="93">
        <f t="shared" si="22"/>
        <v>6.9999999999999993E-2</v>
      </c>
      <c r="I141" s="93">
        <f t="shared" si="22"/>
        <v>158.74</v>
      </c>
      <c r="J141" s="173">
        <v>0</v>
      </c>
      <c r="K141" s="112">
        <f t="shared" si="21"/>
        <v>27149725.773424529</v>
      </c>
      <c r="L141" s="26"/>
      <c r="M141"/>
      <c r="N141"/>
      <c r="O141"/>
      <c r="P141"/>
      <c r="Q141"/>
      <c r="R141"/>
    </row>
    <row r="142" spans="1:18" x14ac:dyDescent="0.2">
      <c r="A142" s="42">
        <v>46630</v>
      </c>
      <c r="B142" s="43"/>
      <c r="C142" s="111"/>
      <c r="D142" s="111"/>
      <c r="E142" s="124">
        <v>12786.809496748607</v>
      </c>
      <c r="F142" s="108">
        <v>31</v>
      </c>
      <c r="G142" s="92">
        <f t="shared" si="18"/>
        <v>0</v>
      </c>
      <c r="H142" s="93">
        <f t="shared" si="22"/>
        <v>3.19</v>
      </c>
      <c r="I142" s="93">
        <f t="shared" si="22"/>
        <v>115.75999999999999</v>
      </c>
      <c r="J142" s="173">
        <v>0</v>
      </c>
      <c r="K142" s="112">
        <f t="shared" si="21"/>
        <v>24867999.023350399</v>
      </c>
      <c r="L142" s="26"/>
      <c r="M142"/>
      <c r="N142"/>
      <c r="O142"/>
      <c r="P142"/>
      <c r="Q142"/>
      <c r="R142"/>
    </row>
    <row r="143" spans="1:18" x14ac:dyDescent="0.2">
      <c r="A143" s="42">
        <v>46660</v>
      </c>
      <c r="B143" s="43"/>
      <c r="C143" s="111"/>
      <c r="D143" s="111"/>
      <c r="E143" s="124">
        <v>12788.683915666015</v>
      </c>
      <c r="F143" s="108">
        <v>30</v>
      </c>
      <c r="G143" s="92">
        <f t="shared" si="18"/>
        <v>0</v>
      </c>
      <c r="H143" s="93">
        <f t="shared" si="22"/>
        <v>32.589999999999996</v>
      </c>
      <c r="I143" s="93">
        <f t="shared" si="22"/>
        <v>44.9</v>
      </c>
      <c r="J143" s="173">
        <v>0</v>
      </c>
      <c r="K143" s="112">
        <f t="shared" si="21"/>
        <v>20486015.230154682</v>
      </c>
      <c r="L143" s="26"/>
      <c r="M143"/>
      <c r="N143"/>
      <c r="O143"/>
      <c r="P143"/>
      <c r="Q143"/>
      <c r="R143"/>
    </row>
    <row r="144" spans="1:18" x14ac:dyDescent="0.2">
      <c r="A144" s="42">
        <v>46691</v>
      </c>
      <c r="B144" s="43"/>
      <c r="C144" s="111"/>
      <c r="D144" s="111"/>
      <c r="E144" s="124">
        <v>12790.558609354568</v>
      </c>
      <c r="F144" s="108">
        <v>31</v>
      </c>
      <c r="G144" s="92">
        <f t="shared" ref="G144:G146" si="23">G132</f>
        <v>1</v>
      </c>
      <c r="H144" s="93">
        <f t="shared" si="22"/>
        <v>183.84999999999997</v>
      </c>
      <c r="I144" s="93">
        <f t="shared" si="22"/>
        <v>11.61</v>
      </c>
      <c r="J144" s="173">
        <v>0</v>
      </c>
      <c r="K144" s="112">
        <f t="shared" si="21"/>
        <v>18876067.088085495</v>
      </c>
      <c r="L144" s="26"/>
      <c r="M144"/>
      <c r="N144"/>
      <c r="O144"/>
      <c r="P144"/>
      <c r="Q144"/>
      <c r="R144"/>
    </row>
    <row r="145" spans="1:18" x14ac:dyDescent="0.2">
      <c r="A145" s="42">
        <v>46721</v>
      </c>
      <c r="B145" s="43"/>
      <c r="C145" s="111"/>
      <c r="D145" s="111"/>
      <c r="E145" s="124">
        <v>12792.433577854545</v>
      </c>
      <c r="F145" s="108">
        <v>30</v>
      </c>
      <c r="G145" s="92">
        <f t="shared" si="23"/>
        <v>1</v>
      </c>
      <c r="H145" s="93">
        <f t="shared" si="22"/>
        <v>388.63</v>
      </c>
      <c r="I145" s="93">
        <f t="shared" si="22"/>
        <v>0.36666666666666664</v>
      </c>
      <c r="J145" s="173">
        <v>0</v>
      </c>
      <c r="K145" s="112">
        <f t="shared" si="21"/>
        <v>18795344.519135099</v>
      </c>
      <c r="L145" s="26"/>
      <c r="R145"/>
    </row>
    <row r="146" spans="1:18" x14ac:dyDescent="0.2">
      <c r="A146" s="42">
        <v>46752</v>
      </c>
      <c r="B146" s="43"/>
      <c r="C146" s="111"/>
      <c r="D146" s="111"/>
      <c r="E146" s="124">
        <v>12794.308821206228</v>
      </c>
      <c r="F146" s="108">
        <v>31</v>
      </c>
      <c r="G146" s="92">
        <f t="shared" si="23"/>
        <v>0</v>
      </c>
      <c r="H146" s="93">
        <f t="shared" si="22"/>
        <v>553.67999999999995</v>
      </c>
      <c r="I146" s="93">
        <f t="shared" si="22"/>
        <v>0</v>
      </c>
      <c r="J146" s="173">
        <v>0</v>
      </c>
      <c r="K146" s="112">
        <f t="shared" si="21"/>
        <v>22144197.451536179</v>
      </c>
      <c r="L146" s="26"/>
      <c r="R146"/>
    </row>
    <row r="147" spans="1:18" x14ac:dyDescent="0.2">
      <c r="A147" s="27"/>
      <c r="R147"/>
    </row>
    <row r="148" spans="1:18" x14ac:dyDescent="0.2">
      <c r="A148" s="27"/>
      <c r="I148" s="107"/>
      <c r="J148" s="107"/>
      <c r="R148"/>
    </row>
    <row r="149" spans="1:18" x14ac:dyDescent="0.2">
      <c r="A149" s="27"/>
      <c r="F149" s="64" t="s">
        <v>151</v>
      </c>
      <c r="G149" s="64"/>
      <c r="I149" s="107"/>
      <c r="J149" s="107"/>
      <c r="R149"/>
    </row>
    <row r="150" spans="1:18" x14ac:dyDescent="0.2">
      <c r="A150" s="27"/>
      <c r="F150"/>
      <c r="G150"/>
      <c r="I150" s="46"/>
      <c r="J150" s="46"/>
      <c r="K150" s="26">
        <f>SUM(K3:K146)</f>
        <v>2994906382.2753997</v>
      </c>
      <c r="R150"/>
    </row>
    <row r="151" spans="1:18" x14ac:dyDescent="0.2">
      <c r="A151" s="27"/>
      <c r="L151" s="97"/>
      <c r="M151" s="97"/>
      <c r="R151"/>
    </row>
    <row r="152" spans="1:18" x14ac:dyDescent="0.2">
      <c r="A152" s="21">
        <v>2016</v>
      </c>
      <c r="B152" s="5">
        <f>SUM(B3:B14)</f>
        <v>245959161.03999999</v>
      </c>
      <c r="D152" s="5">
        <f t="shared" ref="D152" si="24">SUM(D3:D14)</f>
        <v>251277774.03999999</v>
      </c>
      <c r="F152" s="5"/>
      <c r="G152" s="5"/>
      <c r="H152" s="5"/>
      <c r="I152" s="5"/>
      <c r="J152" s="5"/>
      <c r="K152" s="5">
        <f>SUM(K3:K14)</f>
        <v>246206141.41602108</v>
      </c>
      <c r="L152" s="5"/>
      <c r="M152" s="30"/>
      <c r="N152" s="4"/>
      <c r="O152" s="28"/>
      <c r="P152" s="4"/>
      <c r="Q152" s="4"/>
      <c r="R152"/>
    </row>
    <row r="153" spans="1:18" x14ac:dyDescent="0.2">
      <c r="A153" s="21">
        <v>2017</v>
      </c>
      <c r="B153" s="5">
        <f>SUM(B15:B26)</f>
        <v>228653477.16</v>
      </c>
      <c r="D153" s="5">
        <f t="shared" ref="D153" si="25">SUM(D15:D26)</f>
        <v>234500934.16</v>
      </c>
      <c r="F153" s="95">
        <f>(D153-D152)/D152</f>
        <v>-6.6766111503874404E-2</v>
      </c>
      <c r="G153" s="95" t="e">
        <f>(F153-F152)/F152</f>
        <v>#DIV/0!</v>
      </c>
      <c r="I153" s="35"/>
      <c r="J153" s="35"/>
      <c r="K153" s="5">
        <f>SUM(K15:K26)</f>
        <v>237415194.60445637</v>
      </c>
      <c r="L153" s="5"/>
      <c r="M153" s="30"/>
      <c r="N153" s="4"/>
      <c r="O153" s="28"/>
      <c r="P153" s="4"/>
      <c r="Q153" s="106"/>
      <c r="R153"/>
    </row>
    <row r="154" spans="1:18" x14ac:dyDescent="0.2">
      <c r="A154" s="21">
        <v>2018</v>
      </c>
      <c r="B154" s="5">
        <f>SUM(B27:B38)</f>
        <v>239391395.88999999</v>
      </c>
      <c r="D154" s="5">
        <f t="shared" ref="D154" si="26">SUM(D27:D38)</f>
        <v>245163864.89000005</v>
      </c>
      <c r="F154" s="95">
        <f t="shared" ref="F154:F160" si="27">(D154-D153)/D153</f>
        <v>4.5470738818996478E-2</v>
      </c>
      <c r="G154" s="95">
        <f t="shared" ref="G154:G160" si="28">(F154-F153)/F153</f>
        <v>-1.6810451858703472</v>
      </c>
      <c r="I154" s="35"/>
      <c r="J154" s="35"/>
      <c r="K154" s="5">
        <f>SUM(K27:K38)</f>
        <v>248898751.0100446</v>
      </c>
      <c r="L154" s="5"/>
      <c r="M154" s="30"/>
      <c r="N154" s="4"/>
      <c r="O154" s="28"/>
      <c r="P154" s="4"/>
      <c r="Q154" s="4"/>
      <c r="R154"/>
    </row>
    <row r="155" spans="1:18" x14ac:dyDescent="0.2">
      <c r="A155" s="21">
        <v>2019</v>
      </c>
      <c r="B155" s="5">
        <f>SUM(B39:B50)</f>
        <v>247047416.97999999</v>
      </c>
      <c r="D155" s="5">
        <f t="shared" ref="D155" si="29">SUM(D39:D50)</f>
        <v>252868515.97999999</v>
      </c>
      <c r="F155" s="95">
        <f t="shared" si="27"/>
        <v>3.1426536261601447E-2</v>
      </c>
      <c r="G155" s="95">
        <f t="shared" si="28"/>
        <v>-0.30886242278358877</v>
      </c>
      <c r="I155" s="35"/>
      <c r="J155" s="35"/>
      <c r="K155" s="5">
        <f>SUM(K39:K50)</f>
        <v>248854549.69445965</v>
      </c>
      <c r="L155" s="5"/>
      <c r="M155" s="30"/>
      <c r="N155" s="4"/>
      <c r="O155" s="28"/>
      <c r="P155" s="4"/>
      <c r="Q155" s="4"/>
      <c r="R155"/>
    </row>
    <row r="156" spans="1:18" x14ac:dyDescent="0.2">
      <c r="A156" s="21">
        <v>2020</v>
      </c>
      <c r="B156" s="5">
        <f>SUM(B51:B62)</f>
        <v>247739209.51000002</v>
      </c>
      <c r="D156" s="5">
        <f t="shared" ref="D156" si="30">SUM(D51:D62)</f>
        <v>253996467.51000002</v>
      </c>
      <c r="F156" s="95">
        <f t="shared" si="27"/>
        <v>4.4606246278965133E-3</v>
      </c>
      <c r="G156" s="95">
        <f t="shared" si="28"/>
        <v>-0.8580618433172118</v>
      </c>
      <c r="I156" s="35"/>
      <c r="J156" s="35"/>
      <c r="K156" s="5">
        <f>SUM(K51:K62)</f>
        <v>252089572.78851295</v>
      </c>
      <c r="L156" s="5"/>
      <c r="M156" s="30"/>
      <c r="N156" s="4"/>
      <c r="O156" s="28"/>
      <c r="P156" s="4"/>
      <c r="Q156" s="4"/>
      <c r="R156"/>
    </row>
    <row r="157" spans="1:18" x14ac:dyDescent="0.2">
      <c r="A157" s="21">
        <v>2021</v>
      </c>
      <c r="B157" s="5">
        <f>SUM(B63:B74)</f>
        <v>243659342.76000002</v>
      </c>
      <c r="D157" s="5">
        <f t="shared" ref="D157" si="31">SUM(D63:D74)</f>
        <v>249877497.75999996</v>
      </c>
      <c r="F157" s="95">
        <f t="shared" si="27"/>
        <v>-1.6216641870572049E-2</v>
      </c>
      <c r="G157" s="95">
        <f t="shared" si="28"/>
        <v>-4.6355091995757762</v>
      </c>
      <c r="I157" s="35"/>
      <c r="J157" s="35"/>
      <c r="K157" s="5">
        <f>SUM(K63:K74)</f>
        <v>253136928.85720545</v>
      </c>
      <c r="L157" s="5"/>
      <c r="M157" s="30"/>
      <c r="N157" s="4"/>
      <c r="O157" s="28"/>
      <c r="P157" s="4"/>
      <c r="Q157" s="4"/>
      <c r="R157"/>
    </row>
    <row r="158" spans="1:18" x14ac:dyDescent="0.2">
      <c r="A158" s="21">
        <v>2022</v>
      </c>
      <c r="B158" s="5">
        <f>SUM(B75:B86)</f>
        <v>239410571.16000003</v>
      </c>
      <c r="D158" s="5">
        <f t="shared" ref="D158" si="32">SUM(D75:D86)</f>
        <v>245378475.16000003</v>
      </c>
      <c r="F158" s="95">
        <f t="shared" si="27"/>
        <v>-1.8004912968678413E-2</v>
      </c>
      <c r="G158" s="95">
        <f t="shared" si="28"/>
        <v>0.11027382317368042</v>
      </c>
      <c r="I158" s="35"/>
      <c r="J158" s="35"/>
      <c r="K158" s="5">
        <f>SUM(K75:K86)</f>
        <v>252933336.8035329</v>
      </c>
      <c r="L158" s="5"/>
      <c r="M158" s="30"/>
      <c r="N158" s="4"/>
      <c r="O158" s="28"/>
      <c r="P158" s="4"/>
      <c r="Q158" s="4"/>
      <c r="R158"/>
    </row>
    <row r="159" spans="1:18" x14ac:dyDescent="0.2">
      <c r="A159" s="21">
        <v>2023</v>
      </c>
      <c r="B159" s="5">
        <f>SUM(B87:B98)</f>
        <v>234405812.91999999</v>
      </c>
      <c r="D159" s="5">
        <f t="shared" ref="D159" si="33">SUM(D87:D98)</f>
        <v>240736248.91999999</v>
      </c>
      <c r="F159" s="95">
        <f t="shared" si="27"/>
        <v>-1.8918636758880569E-2</v>
      </c>
      <c r="G159" s="95">
        <f t="shared" si="28"/>
        <v>5.074858133397709E-2</v>
      </c>
      <c r="I159" s="35"/>
      <c r="J159" s="35"/>
      <c r="K159" s="5">
        <f>SUM(K87:K98)</f>
        <v>242414956.83362663</v>
      </c>
      <c r="L159" s="5"/>
      <c r="M159" s="30"/>
      <c r="N159" s="4"/>
      <c r="O159" s="28"/>
      <c r="P159" s="4"/>
      <c r="Q159" s="4"/>
      <c r="R159"/>
    </row>
    <row r="160" spans="1:18" x14ac:dyDescent="0.2">
      <c r="A160" s="21">
        <v>2024</v>
      </c>
      <c r="B160" s="5">
        <f>SUM(B99:B110)</f>
        <v>255428233.31999999</v>
      </c>
      <c r="D160" s="5">
        <f t="shared" ref="D160" si="34">SUM(D99:D110)</f>
        <v>255428233.31999999</v>
      </c>
      <c r="F160" s="95">
        <f t="shared" si="27"/>
        <v>6.1029381598790122E-2</v>
      </c>
      <c r="G160" s="95">
        <f t="shared" si="28"/>
        <v>-4.2258868530864104</v>
      </c>
      <c r="I160" s="35"/>
      <c r="J160" s="35"/>
      <c r="K160" s="5">
        <f>SUM(K99:K110)</f>
        <v>249034408.36066878</v>
      </c>
      <c r="L160" s="5"/>
      <c r="M160" s="30"/>
      <c r="N160" s="4"/>
      <c r="O160" s="28"/>
      <c r="P160" s="4"/>
      <c r="Q160" s="4"/>
      <c r="R160"/>
    </row>
    <row r="161" spans="1:20" x14ac:dyDescent="0.2">
      <c r="A161" s="21">
        <v>2025</v>
      </c>
      <c r="B161" s="5">
        <f>SUM(B111:B122)</f>
        <v>256032973.51000002</v>
      </c>
      <c r="D161" s="5">
        <f t="shared" ref="D161" si="35">SUM(D111:D122)</f>
        <v>256032973.51000002</v>
      </c>
      <c r="F161" s="95">
        <f>(D161-D160)/D160</f>
        <v>2.3675542133293078E-3</v>
      </c>
      <c r="G161" s="95">
        <f>(F161-F160)/F160</f>
        <v>-0.96120632142574025</v>
      </c>
      <c r="H161" s="5"/>
      <c r="I161" s="5"/>
      <c r="J161" s="5">
        <f t="shared" ref="J161" si="36">SUM(J111:J122)</f>
        <v>0</v>
      </c>
      <c r="K161" s="5">
        <f>SUM(K111:K122)</f>
        <v>254277144.88147226</v>
      </c>
      <c r="L161" s="5"/>
      <c r="M161" s="30"/>
      <c r="N161" s="4"/>
      <c r="O161" s="28"/>
      <c r="P161" s="4"/>
      <c r="Q161" s="4"/>
      <c r="R161"/>
    </row>
    <row r="162" spans="1:20" x14ac:dyDescent="0.2">
      <c r="A162" s="21">
        <v>2026</v>
      </c>
      <c r="H162" s="12"/>
      <c r="I162" s="12"/>
      <c r="J162" s="12">
        <f t="shared" ref="J162" si="37">SUM(J123:J134)</f>
        <v>0</v>
      </c>
      <c r="K162" s="12">
        <f>SUM(K123:K134)</f>
        <v>254298539.12605944</v>
      </c>
      <c r="L162" s="5"/>
      <c r="M162" s="5"/>
      <c r="N162" s="4"/>
      <c r="O162" s="28"/>
      <c r="P162" s="4"/>
      <c r="Q162" s="4"/>
      <c r="R162"/>
    </row>
    <row r="163" spans="1:20" x14ac:dyDescent="0.2">
      <c r="A163" s="21">
        <v>2027</v>
      </c>
      <c r="J163" s="12">
        <f t="shared" ref="J163" si="38">SUM(J135:J146)</f>
        <v>0</v>
      </c>
      <c r="K163" s="12">
        <f>SUM(K135:K146)</f>
        <v>255346857.89933771</v>
      </c>
      <c r="L163" s="5"/>
      <c r="M163" s="5"/>
      <c r="N163" s="4"/>
      <c r="O163" s="28"/>
      <c r="P163" s="4"/>
      <c r="Q163" s="4"/>
      <c r="R163"/>
      <c r="S163" s="5"/>
      <c r="T163" s="30"/>
    </row>
    <row r="164" spans="1:20" x14ac:dyDescent="0.2">
      <c r="K164" s="5"/>
      <c r="R164"/>
      <c r="S164" s="5"/>
      <c r="T164" s="30"/>
    </row>
    <row r="165" spans="1:20" x14ac:dyDescent="0.2">
      <c r="A165" s="36" t="s">
        <v>5</v>
      </c>
      <c r="B165" s="5">
        <f>SUM(B152:B161)</f>
        <v>2437727594.2500005</v>
      </c>
      <c r="D165" s="5">
        <f>SUM(D152:D161)</f>
        <v>2485260985.2500005</v>
      </c>
      <c r="K165" s="5">
        <f>SUM(K152:K161)</f>
        <v>2485260985.25</v>
      </c>
      <c r="L165" s="26">
        <f>K165-D165</f>
        <v>0</v>
      </c>
      <c r="M165" s="1" t="s">
        <v>53</v>
      </c>
      <c r="R165" s="4"/>
      <c r="S165" s="5"/>
      <c r="T165" s="30"/>
    </row>
    <row r="166" spans="1:20" x14ac:dyDescent="0.2">
      <c r="R166" s="4"/>
      <c r="S166" s="5"/>
      <c r="T166" s="30"/>
    </row>
    <row r="167" spans="1:20" x14ac:dyDescent="0.2">
      <c r="K167" s="5">
        <f>SUM(K152:K163)</f>
        <v>2994906382.2753973</v>
      </c>
      <c r="L167" s="26">
        <f>K150-K167</f>
        <v>0</v>
      </c>
      <c r="R167" s="4"/>
      <c r="S167" s="5"/>
      <c r="T167" s="30"/>
    </row>
    <row r="168" spans="1:20" x14ac:dyDescent="0.2">
      <c r="K168" s="336"/>
      <c r="L168" s="336"/>
      <c r="M168"/>
      <c r="N168"/>
      <c r="O168"/>
      <c r="P168"/>
      <c r="Q168"/>
      <c r="R168" s="4"/>
      <c r="S168" s="5"/>
      <c r="T168" s="30"/>
    </row>
    <row r="169" spans="1:20" x14ac:dyDescent="0.2">
      <c r="R169" s="5"/>
      <c r="S169" s="5"/>
      <c r="T169" s="30"/>
    </row>
    <row r="170" spans="1:20" x14ac:dyDescent="0.2">
      <c r="L170" s="26"/>
      <c r="R170" s="5"/>
      <c r="S170" s="5"/>
      <c r="T170" s="30"/>
    </row>
    <row r="171" spans="1:20" x14ac:dyDescent="0.2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20" x14ac:dyDescent="0.2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20" x14ac:dyDescent="0.2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20" x14ac:dyDescent="0.2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20" x14ac:dyDescent="0.2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20" x14ac:dyDescent="0.2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8" x14ac:dyDescent="0.2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8" x14ac:dyDescent="0.2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8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</row>
    <row r="180" spans="1:18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</row>
    <row r="181" spans="1:18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</row>
    <row r="182" spans="1:18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</row>
    <row r="183" spans="1:18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</row>
    <row r="184" spans="1:18" x14ac:dyDescent="0.2">
      <c r="A184"/>
      <c r="M184"/>
      <c r="N184"/>
      <c r="O184"/>
      <c r="P184"/>
      <c r="Q184"/>
      <c r="R184"/>
    </row>
    <row r="185" spans="1:18" x14ac:dyDescent="0.2">
      <c r="A185"/>
      <c r="M185"/>
      <c r="N185"/>
      <c r="O185"/>
      <c r="P185"/>
      <c r="Q185"/>
      <c r="R185"/>
    </row>
    <row r="186" spans="1:18" x14ac:dyDescent="0.2">
      <c r="A186"/>
      <c r="M186"/>
      <c r="N186"/>
      <c r="O186"/>
      <c r="P186"/>
      <c r="Q186"/>
      <c r="R186"/>
    </row>
    <row r="187" spans="1:18" x14ac:dyDescent="0.2">
      <c r="A187"/>
      <c r="M187"/>
      <c r="N187"/>
      <c r="O187"/>
      <c r="P187"/>
      <c r="Q187"/>
      <c r="R187"/>
    </row>
    <row r="188" spans="1:18" x14ac:dyDescent="0.2">
      <c r="A188"/>
      <c r="M188"/>
      <c r="N188"/>
      <c r="O188"/>
      <c r="P188"/>
      <c r="Q188"/>
      <c r="R188"/>
    </row>
    <row r="189" spans="1:18" x14ac:dyDescent="0.2">
      <c r="A189"/>
      <c r="M189"/>
      <c r="N189"/>
      <c r="O189"/>
      <c r="P189"/>
      <c r="Q189"/>
      <c r="R189"/>
    </row>
    <row r="190" spans="1:18" x14ac:dyDescent="0.2">
      <c r="A190"/>
      <c r="M190"/>
      <c r="N190"/>
      <c r="O190"/>
      <c r="P190"/>
      <c r="Q190"/>
      <c r="R190"/>
    </row>
    <row r="191" spans="1:18" x14ac:dyDescent="0.2">
      <c r="A191"/>
      <c r="M191"/>
      <c r="N191"/>
      <c r="O191"/>
      <c r="P191"/>
      <c r="Q191"/>
      <c r="R191"/>
    </row>
    <row r="192" spans="1:18" x14ac:dyDescent="0.2">
      <c r="A192"/>
      <c r="M192"/>
      <c r="N192"/>
      <c r="O192"/>
      <c r="P192"/>
      <c r="Q192"/>
      <c r="R192"/>
    </row>
    <row r="193" spans="1:18" x14ac:dyDescent="0.2">
      <c r="A193"/>
      <c r="M193"/>
      <c r="N193"/>
      <c r="O193"/>
      <c r="P193"/>
      <c r="Q193"/>
      <c r="R193"/>
    </row>
    <row r="194" spans="1:18" x14ac:dyDescent="0.2">
      <c r="A194"/>
      <c r="M194"/>
      <c r="N194"/>
      <c r="O194"/>
      <c r="P194"/>
      <c r="Q194"/>
      <c r="R194"/>
    </row>
    <row r="195" spans="1:18" customFormat="1" x14ac:dyDescent="0.2"/>
    <row r="196" spans="1:18" customFormat="1" x14ac:dyDescent="0.2"/>
  </sheetData>
  <mergeCells count="1">
    <mergeCell ref="K168:L168"/>
  </mergeCells>
  <printOptions gridLines="1"/>
  <pageMargins left="0.38" right="0.75" top="0.73" bottom="0.74" header="0.5" footer="0.5"/>
  <pageSetup scale="23" orientation="landscape" r:id="rId1"/>
  <headerFooter alignWithMargins="0">
    <oddFooter>&amp;L&amp;Z&amp;F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7634-E54F-42D0-B916-7CDA01EF858D}">
  <sheetPr>
    <tabColor rgb="FF00B0F0"/>
    <pageSetUpPr fitToPage="1"/>
  </sheetPr>
  <dimension ref="A1:AE196"/>
  <sheetViews>
    <sheetView zoomScale="80" zoomScaleNormal="8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G41" sqref="A2:G41"/>
    </sheetView>
  </sheetViews>
  <sheetFormatPr defaultRowHeight="12.75" x14ac:dyDescent="0.2"/>
  <cols>
    <col min="1" max="1" width="11.85546875" style="21" customWidth="1"/>
    <col min="2" max="5" width="16.85546875" style="5" customWidth="1"/>
    <col min="6" max="7" width="11.5703125" style="1" customWidth="1"/>
    <col min="8" max="9" width="13" style="1" customWidth="1"/>
    <col min="10" max="10" width="15.5703125" style="1" bestFit="1" customWidth="1"/>
    <col min="11" max="11" width="18.42578125" style="1" customWidth="1"/>
    <col min="12" max="12" width="19" style="1" customWidth="1"/>
    <col min="13" max="13" width="11.140625" style="1" bestFit="1" customWidth="1"/>
    <col min="14" max="14" width="21.140625" style="1" customWidth="1"/>
    <col min="15" max="15" width="18" style="1" customWidth="1"/>
    <col min="16" max="16" width="21.140625" style="1" customWidth="1"/>
    <col min="17" max="17" width="4.85546875" style="1" customWidth="1"/>
    <col min="18" max="18" width="44.42578125" customWidth="1"/>
    <col min="19" max="19" width="22" customWidth="1"/>
    <col min="20" max="26" width="12.5703125" customWidth="1"/>
    <col min="27" max="27" width="42.42578125" bestFit="1" customWidth="1"/>
    <col min="28" max="28" width="15.5703125" bestFit="1" customWidth="1"/>
    <col min="29" max="29" width="26.140625" bestFit="1" customWidth="1"/>
    <col min="30" max="30" width="23" bestFit="1" customWidth="1"/>
    <col min="33" max="33" width="40.5703125" bestFit="1" customWidth="1"/>
    <col min="34" max="34" width="42.85546875" bestFit="1" customWidth="1"/>
  </cols>
  <sheetData>
    <row r="1" spans="1:31" x14ac:dyDescent="0.2">
      <c r="AA1" s="70"/>
      <c r="AB1" s="70"/>
      <c r="AC1" s="70"/>
      <c r="AD1" s="70"/>
      <c r="AE1" s="70"/>
    </row>
    <row r="2" spans="1:31" ht="25.5" x14ac:dyDescent="0.2">
      <c r="A2" s="65" t="s">
        <v>56</v>
      </c>
      <c r="B2" s="66" t="s">
        <v>46</v>
      </c>
      <c r="C2" s="110" t="s">
        <v>115</v>
      </c>
      <c r="D2" s="110" t="s">
        <v>116</v>
      </c>
      <c r="E2" s="110" t="s">
        <v>117</v>
      </c>
      <c r="F2" s="67" t="s">
        <v>103</v>
      </c>
      <c r="G2" s="67" t="s">
        <v>104</v>
      </c>
      <c r="H2" s="68" t="s">
        <v>101</v>
      </c>
      <c r="I2" s="88" t="s">
        <v>102</v>
      </c>
      <c r="J2" s="67" t="s">
        <v>6</v>
      </c>
      <c r="K2" s="69" t="s">
        <v>89</v>
      </c>
      <c r="L2" s="67" t="s">
        <v>90</v>
      </c>
      <c r="M2" s="67" t="s">
        <v>91</v>
      </c>
      <c r="N2" s="84" t="s">
        <v>92</v>
      </c>
      <c r="O2" s="84" t="s">
        <v>93</v>
      </c>
      <c r="P2" s="84" t="s">
        <v>94</v>
      </c>
      <c r="Q2"/>
      <c r="R2" t="s">
        <v>11</v>
      </c>
      <c r="AA2" s="70"/>
      <c r="AB2" s="70"/>
      <c r="AC2" s="70"/>
      <c r="AD2" s="70"/>
      <c r="AE2" s="70"/>
    </row>
    <row r="3" spans="1:31" ht="13.5" thickBot="1" x14ac:dyDescent="0.25">
      <c r="A3" s="42">
        <v>42400</v>
      </c>
      <c r="B3" s="43">
        <f>Inputs!D24</f>
        <v>22228058.690000001</v>
      </c>
      <c r="C3" s="111">
        <f>Inputs!E24</f>
        <v>234806</v>
      </c>
      <c r="D3" s="111">
        <f>B3+C3</f>
        <v>22462864.690000001</v>
      </c>
      <c r="E3" s="111">
        <f>Inputs!C24</f>
        <v>11667.5</v>
      </c>
      <c r="F3" s="108">
        <v>31</v>
      </c>
      <c r="G3" s="92">
        <v>0</v>
      </c>
      <c r="H3" s="89">
        <v>637.03999999999985</v>
      </c>
      <c r="I3" s="89">
        <v>0</v>
      </c>
      <c r="J3" s="112">
        <f>$S$18+$S$19*E3+$S$20*F3+$S$21*G3+$S$22*H3+$S$23*I3</f>
        <v>21407923.443693239</v>
      </c>
      <c r="K3" s="26">
        <f t="shared" ref="K3:K34" si="0">J3-B3</f>
        <v>-820135.2463067621</v>
      </c>
      <c r="L3" s="35">
        <f>K3/B3</f>
        <v>-3.6896395575729067E-2</v>
      </c>
      <c r="M3" s="9">
        <f>ABS(L3)</f>
        <v>3.6896395575729067E-2</v>
      </c>
      <c r="N3" s="90">
        <f>K3*K3</f>
        <v>672621822234.65332</v>
      </c>
      <c r="O3" s="9"/>
      <c r="P3" s="9"/>
      <c r="Q3" s="9"/>
      <c r="AA3" s="70"/>
      <c r="AB3" s="70"/>
      <c r="AC3" s="70"/>
      <c r="AD3" s="70"/>
      <c r="AE3" s="70"/>
    </row>
    <row r="4" spans="1:31" x14ac:dyDescent="0.2">
      <c r="A4" s="42">
        <v>42429</v>
      </c>
      <c r="B4" s="43">
        <f>Inputs!D25</f>
        <v>19954896.940000001</v>
      </c>
      <c r="C4" s="111">
        <f>Inputs!E25</f>
        <v>297475</v>
      </c>
      <c r="D4" s="111">
        <f t="shared" ref="D4:D67" si="1">B4+C4</f>
        <v>20252371.940000001</v>
      </c>
      <c r="E4" s="111">
        <f>Inputs!C25</f>
        <v>11667.5</v>
      </c>
      <c r="F4" s="108">
        <v>29</v>
      </c>
      <c r="G4" s="92">
        <v>0</v>
      </c>
      <c r="H4" s="89">
        <v>540.82000000000005</v>
      </c>
      <c r="I4" s="89">
        <v>0</v>
      </c>
      <c r="J4" s="112">
        <f t="shared" ref="J4:J67" si="2">$S$18+$S$19*E4+$S$20*F4+$S$21*G4+$S$22*H4+$S$23*I4</f>
        <v>19257500.742174897</v>
      </c>
      <c r="K4" s="26">
        <f t="shared" si="0"/>
        <v>-697396.197825104</v>
      </c>
      <c r="L4" s="35">
        <f t="shared" ref="L4:L67" si="3">K4/B4</f>
        <v>-3.4948624386386032E-2</v>
      </c>
      <c r="M4" s="9">
        <f t="shared" ref="M4:M67" si="4">ABS(L4)</f>
        <v>3.4948624386386032E-2</v>
      </c>
      <c r="N4" s="90">
        <f t="shared" ref="N4:N67" si="5">K4*K4</f>
        <v>486361456740.91162</v>
      </c>
      <c r="O4" s="90">
        <f>K4-K3</f>
        <v>122739.0484816581</v>
      </c>
      <c r="P4" s="90">
        <f>O4*O4</f>
        <v>15064874022.182817</v>
      </c>
      <c r="Q4" s="9"/>
      <c r="R4" s="127" t="s">
        <v>12</v>
      </c>
      <c r="S4" s="127"/>
      <c r="AA4" s="70"/>
      <c r="AB4" s="70"/>
      <c r="AC4" s="70"/>
      <c r="AD4" s="70"/>
      <c r="AE4" s="70"/>
    </row>
    <row r="5" spans="1:31" x14ac:dyDescent="0.2">
      <c r="A5" s="42">
        <v>42460</v>
      </c>
      <c r="B5" s="43">
        <f>Inputs!D26</f>
        <v>19222037.66</v>
      </c>
      <c r="C5" s="111">
        <f>Inputs!E26</f>
        <v>355013</v>
      </c>
      <c r="D5" s="111">
        <f t="shared" si="1"/>
        <v>19577050.66</v>
      </c>
      <c r="E5" s="111">
        <f>Inputs!C26</f>
        <v>11667.5</v>
      </c>
      <c r="F5" s="108">
        <v>31</v>
      </c>
      <c r="G5" s="92">
        <v>1</v>
      </c>
      <c r="H5" s="89">
        <v>454.27</v>
      </c>
      <c r="I5" s="89">
        <v>0</v>
      </c>
      <c r="J5" s="112">
        <f t="shared" si="2"/>
        <v>18701542.061734706</v>
      </c>
      <c r="K5" s="26">
        <f t="shared" si="0"/>
        <v>-520495.59826529399</v>
      </c>
      <c r="L5" s="35">
        <f t="shared" si="3"/>
        <v>-2.707806568022789E-2</v>
      </c>
      <c r="M5" s="9">
        <f t="shared" si="4"/>
        <v>2.707806568022789E-2</v>
      </c>
      <c r="N5" s="90">
        <f t="shared" si="5"/>
        <v>270915667813.5463</v>
      </c>
      <c r="O5" s="90">
        <f t="shared" ref="O5:O68" si="6">K5-K4</f>
        <v>176900.59955981001</v>
      </c>
      <c r="P5" s="90">
        <f t="shared" ref="P5:P68" si="7">O5*O5</f>
        <v>31293822124.620255</v>
      </c>
      <c r="Q5" s="9"/>
      <c r="R5" t="s">
        <v>13</v>
      </c>
      <c r="S5">
        <v>0.95699588263156699</v>
      </c>
      <c r="AA5" s="70"/>
      <c r="AB5" s="70"/>
      <c r="AC5" s="70"/>
      <c r="AD5" s="70"/>
      <c r="AE5" s="70"/>
    </row>
    <row r="6" spans="1:31" x14ac:dyDescent="0.2">
      <c r="A6" s="42">
        <v>42490</v>
      </c>
      <c r="B6" s="43">
        <f>Inputs!D27</f>
        <v>17539922.890000001</v>
      </c>
      <c r="C6" s="111">
        <f>Inputs!E27</f>
        <v>494348</v>
      </c>
      <c r="D6" s="111">
        <f t="shared" si="1"/>
        <v>18034270.890000001</v>
      </c>
      <c r="E6" s="111">
        <f>Inputs!C27</f>
        <v>11667.5</v>
      </c>
      <c r="F6" s="108">
        <v>30</v>
      </c>
      <c r="G6" s="92">
        <v>1</v>
      </c>
      <c r="H6" s="89">
        <v>287.61</v>
      </c>
      <c r="I6" s="89">
        <v>1.08</v>
      </c>
      <c r="J6" s="112">
        <f t="shared" si="2"/>
        <v>16936520.308578808</v>
      </c>
      <c r="K6" s="26">
        <f t="shared" si="0"/>
        <v>-603402.58142119274</v>
      </c>
      <c r="L6" s="35">
        <f t="shared" si="3"/>
        <v>-3.4401666712298343E-2</v>
      </c>
      <c r="M6" s="9">
        <f t="shared" si="4"/>
        <v>3.4401666712298343E-2</v>
      </c>
      <c r="N6" s="90">
        <f t="shared" si="5"/>
        <v>364094675265.75916</v>
      </c>
      <c r="O6" s="90">
        <f t="shared" si="6"/>
        <v>-82906.98315589875</v>
      </c>
      <c r="P6" s="90">
        <f t="shared" si="7"/>
        <v>6873567856.0124788</v>
      </c>
      <c r="Q6" s="9"/>
      <c r="R6" t="s">
        <v>14</v>
      </c>
      <c r="S6">
        <v>0.91584111937377188</v>
      </c>
      <c r="AA6" s="70"/>
      <c r="AB6" s="70"/>
      <c r="AC6" s="70"/>
      <c r="AD6" s="70"/>
      <c r="AE6" s="70"/>
    </row>
    <row r="7" spans="1:31" x14ac:dyDescent="0.2">
      <c r="A7" s="42">
        <v>42521</v>
      </c>
      <c r="B7" s="43">
        <f>Inputs!D28</f>
        <v>17888192.079999998</v>
      </c>
      <c r="C7" s="111">
        <f>Inputs!E28</f>
        <v>630932</v>
      </c>
      <c r="D7" s="111">
        <f t="shared" si="1"/>
        <v>18519124.079999998</v>
      </c>
      <c r="E7" s="111">
        <f>Inputs!C28</f>
        <v>11667.5</v>
      </c>
      <c r="F7" s="108">
        <v>31</v>
      </c>
      <c r="G7" s="92">
        <v>1</v>
      </c>
      <c r="H7" s="89">
        <v>116.80999999999999</v>
      </c>
      <c r="I7" s="89">
        <v>27.339999999999996</v>
      </c>
      <c r="J7" s="112">
        <f t="shared" si="2"/>
        <v>18038469.022630684</v>
      </c>
      <c r="K7" s="26">
        <f t="shared" si="0"/>
        <v>150276.94263068587</v>
      </c>
      <c r="L7" s="35">
        <f t="shared" si="3"/>
        <v>8.4009016651103562E-3</v>
      </c>
      <c r="M7" s="9">
        <f t="shared" si="4"/>
        <v>8.4009016651103562E-3</v>
      </c>
      <c r="N7" s="90">
        <f t="shared" si="5"/>
        <v>22583159486.426453</v>
      </c>
      <c r="O7" s="90">
        <f t="shared" si="6"/>
        <v>753679.5240518786</v>
      </c>
      <c r="P7" s="90">
        <f t="shared" si="7"/>
        <v>568032824975.06628</v>
      </c>
      <c r="Q7" s="9"/>
      <c r="R7" t="s">
        <v>15</v>
      </c>
      <c r="S7">
        <v>0.91214994039893726</v>
      </c>
      <c r="AA7" s="70"/>
      <c r="AB7" s="70"/>
      <c r="AC7" s="70"/>
      <c r="AD7" s="70"/>
      <c r="AE7" s="70"/>
    </row>
    <row r="8" spans="1:31" x14ac:dyDescent="0.2">
      <c r="A8" s="42">
        <v>42551</v>
      </c>
      <c r="B8" s="43">
        <f>Inputs!D29</f>
        <v>21176370.850000001</v>
      </c>
      <c r="C8" s="111">
        <f>Inputs!E29</f>
        <v>685810</v>
      </c>
      <c r="D8" s="111">
        <f t="shared" si="1"/>
        <v>21862180.850000001</v>
      </c>
      <c r="E8" s="111">
        <f>Inputs!C29</f>
        <v>11667.5</v>
      </c>
      <c r="F8" s="108">
        <v>30</v>
      </c>
      <c r="G8" s="92">
        <v>0</v>
      </c>
      <c r="H8" s="89">
        <v>10.02</v>
      </c>
      <c r="I8" s="89">
        <v>99.090000000000018</v>
      </c>
      <c r="J8" s="112">
        <f t="shared" si="2"/>
        <v>21992243.501199991</v>
      </c>
      <c r="K8" s="26">
        <f t="shared" si="0"/>
        <v>815872.65119998902</v>
      </c>
      <c r="L8" s="35">
        <f t="shared" si="3"/>
        <v>3.8527501099178615E-2</v>
      </c>
      <c r="M8" s="9">
        <f t="shared" si="4"/>
        <v>3.8527501099178615E-2</v>
      </c>
      <c r="N8" s="90">
        <f t="shared" si="5"/>
        <v>665648182976.099</v>
      </c>
      <c r="O8" s="90">
        <f t="shared" si="6"/>
        <v>665595.70856930315</v>
      </c>
      <c r="P8" s="90">
        <f t="shared" si="7"/>
        <v>443017647265.87274</v>
      </c>
      <c r="Q8" s="9"/>
      <c r="R8" t="s">
        <v>16</v>
      </c>
      <c r="S8">
        <v>858649.39044287126</v>
      </c>
      <c r="AA8" s="70"/>
      <c r="AB8" s="70"/>
      <c r="AC8" s="70"/>
      <c r="AD8" s="70"/>
      <c r="AE8" s="70"/>
    </row>
    <row r="9" spans="1:31" ht="13.5" thickBot="1" x14ac:dyDescent="0.25">
      <c r="A9" s="42">
        <v>42582</v>
      </c>
      <c r="B9" s="43">
        <f>Inputs!D30</f>
        <v>25410950.030000001</v>
      </c>
      <c r="C9" s="111">
        <f>Inputs!E30</f>
        <v>653742</v>
      </c>
      <c r="D9" s="111">
        <f t="shared" si="1"/>
        <v>26064692.030000001</v>
      </c>
      <c r="E9" s="111">
        <f>Inputs!C30</f>
        <v>11667.5</v>
      </c>
      <c r="F9" s="108">
        <v>31</v>
      </c>
      <c r="G9" s="92">
        <v>0</v>
      </c>
      <c r="H9" s="89">
        <v>6.9999999999999993E-2</v>
      </c>
      <c r="I9" s="89">
        <v>158.74</v>
      </c>
      <c r="J9" s="112">
        <f t="shared" si="2"/>
        <v>25898199.982817225</v>
      </c>
      <c r="K9" s="26">
        <f t="shared" si="0"/>
        <v>487249.95281722397</v>
      </c>
      <c r="L9" s="35">
        <f t="shared" si="3"/>
        <v>1.9174802683173193E-2</v>
      </c>
      <c r="M9" s="9">
        <f t="shared" si="4"/>
        <v>1.9174802683173193E-2</v>
      </c>
      <c r="N9" s="90">
        <f t="shared" si="5"/>
        <v>237412516520.38699</v>
      </c>
      <c r="O9" s="90">
        <f t="shared" si="6"/>
        <v>-328622.69838276505</v>
      </c>
      <c r="P9" s="90">
        <f t="shared" si="7"/>
        <v>107992877892.36978</v>
      </c>
      <c r="Q9" s="9"/>
      <c r="R9" s="125" t="s">
        <v>17</v>
      </c>
      <c r="S9" s="125">
        <v>120</v>
      </c>
      <c r="AA9" s="70"/>
      <c r="AB9" s="70"/>
      <c r="AC9" s="70"/>
      <c r="AD9" s="70"/>
      <c r="AE9" s="70"/>
    </row>
    <row r="10" spans="1:31" x14ac:dyDescent="0.2">
      <c r="A10" s="42">
        <v>42613</v>
      </c>
      <c r="B10" s="43">
        <f>Inputs!D31</f>
        <v>26478809.440000001</v>
      </c>
      <c r="C10" s="111">
        <f>Inputs!E31</f>
        <v>604454</v>
      </c>
      <c r="D10" s="111">
        <f t="shared" si="1"/>
        <v>27083263.440000001</v>
      </c>
      <c r="E10" s="111">
        <f>Inputs!C31</f>
        <v>11667.5</v>
      </c>
      <c r="F10" s="108">
        <v>31</v>
      </c>
      <c r="G10" s="92">
        <v>0</v>
      </c>
      <c r="H10" s="89">
        <v>3.19</v>
      </c>
      <c r="I10" s="89">
        <v>115.75999999999999</v>
      </c>
      <c r="J10" s="112">
        <f t="shared" si="2"/>
        <v>23614374.194280256</v>
      </c>
      <c r="K10" s="26">
        <f t="shared" si="0"/>
        <v>-2864435.2457197458</v>
      </c>
      <c r="L10" s="35">
        <f t="shared" si="3"/>
        <v>-0.10817840024909162</v>
      </c>
      <c r="M10" s="9">
        <f t="shared" si="4"/>
        <v>0.10817840024909162</v>
      </c>
      <c r="N10" s="90">
        <f t="shared" si="5"/>
        <v>8204989276921.54</v>
      </c>
      <c r="O10" s="90">
        <f t="shared" si="6"/>
        <v>-3351685.1985369697</v>
      </c>
      <c r="P10" s="90">
        <f t="shared" si="7"/>
        <v>11233793670091.807</v>
      </c>
      <c r="Q10" s="9"/>
      <c r="AA10" s="70"/>
      <c r="AB10" s="70"/>
      <c r="AC10" s="70"/>
      <c r="AD10" s="70"/>
      <c r="AE10" s="70"/>
    </row>
    <row r="11" spans="1:31" ht="13.5" thickBot="1" x14ac:dyDescent="0.25">
      <c r="A11" s="42">
        <v>42643</v>
      </c>
      <c r="B11" s="43">
        <f>Inputs!D32</f>
        <v>19964495.100000001</v>
      </c>
      <c r="C11" s="111">
        <f>Inputs!E32</f>
        <v>499609</v>
      </c>
      <c r="D11" s="111">
        <f t="shared" si="1"/>
        <v>20464104.100000001</v>
      </c>
      <c r="E11" s="111">
        <f>Inputs!C32</f>
        <v>11667.5</v>
      </c>
      <c r="F11" s="108">
        <v>30</v>
      </c>
      <c r="G11" s="92">
        <v>0</v>
      </c>
      <c r="H11" s="89">
        <v>32.589999999999996</v>
      </c>
      <c r="I11" s="89">
        <v>44.9</v>
      </c>
      <c r="J11" s="112">
        <f t="shared" si="2"/>
        <v>19230291.054923568</v>
      </c>
      <c r="K11" s="26">
        <f t="shared" si="0"/>
        <v>-734204.04507643357</v>
      </c>
      <c r="L11" s="35">
        <f t="shared" si="3"/>
        <v>-3.6775487754580553E-2</v>
      </c>
      <c r="M11" s="9">
        <f t="shared" si="4"/>
        <v>3.6775487754580553E-2</v>
      </c>
      <c r="N11" s="90">
        <f t="shared" si="5"/>
        <v>539055579806.59772</v>
      </c>
      <c r="O11" s="90">
        <f t="shared" si="6"/>
        <v>2130231.2006433122</v>
      </c>
      <c r="P11" s="90">
        <f t="shared" si="7"/>
        <v>4537884968194.2471</v>
      </c>
      <c r="Q11" s="9"/>
      <c r="R11" t="s">
        <v>18</v>
      </c>
    </row>
    <row r="12" spans="1:31" x14ac:dyDescent="0.2">
      <c r="A12" s="42">
        <v>42674</v>
      </c>
      <c r="B12" s="43">
        <f>Inputs!D33</f>
        <v>16743811.6</v>
      </c>
      <c r="C12" s="111">
        <f>Inputs!E33</f>
        <v>419947</v>
      </c>
      <c r="D12" s="111">
        <f t="shared" si="1"/>
        <v>17163758.600000001</v>
      </c>
      <c r="E12" s="111">
        <f>Inputs!C33</f>
        <v>11667.5</v>
      </c>
      <c r="F12" s="108">
        <v>31</v>
      </c>
      <c r="G12" s="92">
        <v>1</v>
      </c>
      <c r="H12" s="89">
        <v>183.84999999999997</v>
      </c>
      <c r="I12" s="89">
        <v>11.61</v>
      </c>
      <c r="J12" s="112">
        <f t="shared" si="2"/>
        <v>17618243.258950159</v>
      </c>
      <c r="K12" s="26">
        <f t="shared" si="0"/>
        <v>874431.65895015933</v>
      </c>
      <c r="L12" s="35">
        <f t="shared" si="3"/>
        <v>5.2224169731470184E-2</v>
      </c>
      <c r="M12" s="9">
        <f t="shared" si="4"/>
        <v>5.2224169731470184E-2</v>
      </c>
      <c r="N12" s="90">
        <f t="shared" si="5"/>
        <v>764630726174.32776</v>
      </c>
      <c r="O12" s="90">
        <f t="shared" si="6"/>
        <v>1608635.7040265929</v>
      </c>
      <c r="P12" s="90">
        <f t="shared" si="7"/>
        <v>2587708828269.1323</v>
      </c>
      <c r="Q12" s="9"/>
      <c r="R12" s="126"/>
      <c r="S12" s="126" t="s">
        <v>22</v>
      </c>
      <c r="T12" s="126" t="s">
        <v>23</v>
      </c>
      <c r="U12" s="126" t="s">
        <v>24</v>
      </c>
      <c r="V12" s="126" t="s">
        <v>25</v>
      </c>
      <c r="W12" s="126" t="s">
        <v>26</v>
      </c>
    </row>
    <row r="13" spans="1:31" x14ac:dyDescent="0.2">
      <c r="A13" s="42">
        <v>42704</v>
      </c>
      <c r="B13" s="43">
        <f>Inputs!D34</f>
        <v>17780990.670000002</v>
      </c>
      <c r="C13" s="111">
        <f>Inputs!E34</f>
        <v>308938</v>
      </c>
      <c r="D13" s="111">
        <f t="shared" si="1"/>
        <v>18089928.670000002</v>
      </c>
      <c r="E13" s="111">
        <f>Inputs!C34</f>
        <v>11667.5</v>
      </c>
      <c r="F13" s="108">
        <v>30</v>
      </c>
      <c r="G13" s="92">
        <v>1</v>
      </c>
      <c r="H13" s="89">
        <v>388.63</v>
      </c>
      <c r="I13" s="89">
        <v>0.36666666666666664</v>
      </c>
      <c r="J13" s="112">
        <f t="shared" si="2"/>
        <v>17535420.728307202</v>
      </c>
      <c r="K13" s="26">
        <f t="shared" si="0"/>
        <v>-245569.94169279933</v>
      </c>
      <c r="L13" s="35">
        <f t="shared" si="3"/>
        <v>-1.3810813258404308E-2</v>
      </c>
      <c r="M13" s="9">
        <f t="shared" si="4"/>
        <v>1.3810813258404308E-2</v>
      </c>
      <c r="N13" s="90">
        <f t="shared" si="5"/>
        <v>60304596263.00486</v>
      </c>
      <c r="O13" s="90">
        <f t="shared" si="6"/>
        <v>-1120001.6006429587</v>
      </c>
      <c r="P13" s="90">
        <f t="shared" si="7"/>
        <v>1254403585442.7896</v>
      </c>
      <c r="Q13" s="9"/>
      <c r="R13" t="s">
        <v>19</v>
      </c>
      <c r="S13">
        <v>5</v>
      </c>
      <c r="T13">
        <v>914653859699560.38</v>
      </c>
      <c r="U13">
        <v>182930771939912.06</v>
      </c>
      <c r="V13">
        <v>248.11615086066604</v>
      </c>
      <c r="W13">
        <v>1.5803626860482346E-59</v>
      </c>
    </row>
    <row r="14" spans="1:31" x14ac:dyDescent="0.2">
      <c r="A14" s="42">
        <v>42735</v>
      </c>
      <c r="B14" s="43">
        <f>Inputs!D35</f>
        <v>21570625.09</v>
      </c>
      <c r="C14" s="111">
        <f>Inputs!E35</f>
        <v>133539</v>
      </c>
      <c r="D14" s="111">
        <f t="shared" si="1"/>
        <v>21704164.09</v>
      </c>
      <c r="E14" s="111">
        <f>Inputs!C35</f>
        <v>11667.5</v>
      </c>
      <c r="F14" s="108">
        <v>31</v>
      </c>
      <c r="G14" s="92">
        <v>0</v>
      </c>
      <c r="H14" s="89">
        <v>553.67999999999995</v>
      </c>
      <c r="I14" s="89">
        <v>0</v>
      </c>
      <c r="J14" s="112">
        <f t="shared" si="2"/>
        <v>20882173.391182251</v>
      </c>
      <c r="K14" s="26">
        <f t="shared" si="0"/>
        <v>-688451.69881774858</v>
      </c>
      <c r="L14" s="35">
        <f t="shared" si="3"/>
        <v>-3.1916168212339391E-2</v>
      </c>
      <c r="M14" s="9">
        <f t="shared" si="4"/>
        <v>3.1916168212339391E-2</v>
      </c>
      <c r="N14" s="90">
        <f t="shared" si="5"/>
        <v>473965741605.04401</v>
      </c>
      <c r="O14" s="90">
        <f t="shared" si="6"/>
        <v>-442881.75712494925</v>
      </c>
      <c r="P14" s="90">
        <f t="shared" si="7"/>
        <v>196144250794.08252</v>
      </c>
      <c r="Q14" s="9"/>
      <c r="R14" t="s">
        <v>20</v>
      </c>
      <c r="S14">
        <v>114</v>
      </c>
      <c r="T14">
        <v>84049780430702.25</v>
      </c>
      <c r="U14">
        <v>737278775707.91443</v>
      </c>
    </row>
    <row r="15" spans="1:31" ht="13.5" thickBot="1" x14ac:dyDescent="0.25">
      <c r="A15" s="42">
        <v>42766</v>
      </c>
      <c r="B15" s="43">
        <f>Inputs!D36</f>
        <v>21358692.940000001</v>
      </c>
      <c r="C15" s="111">
        <f>Inputs!E36</f>
        <v>142223</v>
      </c>
      <c r="D15" s="111">
        <f t="shared" si="1"/>
        <v>21500915.940000001</v>
      </c>
      <c r="E15" s="111">
        <f>Inputs!C36</f>
        <v>11718.5</v>
      </c>
      <c r="F15" s="108">
        <v>31</v>
      </c>
      <c r="G15" s="92">
        <f>G3</f>
        <v>0</v>
      </c>
      <c r="H15" s="89">
        <f>H3</f>
        <v>637.03999999999985</v>
      </c>
      <c r="I15" s="89">
        <f>I3</f>
        <v>0</v>
      </c>
      <c r="J15" s="112">
        <f t="shared" si="2"/>
        <v>21465043.361346308</v>
      </c>
      <c r="K15" s="26">
        <f t="shared" si="0"/>
        <v>106350.4213463068</v>
      </c>
      <c r="L15" s="35">
        <f t="shared" si="3"/>
        <v>4.979257000653655E-3</v>
      </c>
      <c r="M15" s="9">
        <f t="shared" si="4"/>
        <v>4.979257000653655E-3</v>
      </c>
      <c r="N15" s="90">
        <f t="shared" si="5"/>
        <v>11310412120.536989</v>
      </c>
      <c r="O15" s="90">
        <f t="shared" si="6"/>
        <v>794802.12016405538</v>
      </c>
      <c r="P15" s="90">
        <f t="shared" si="7"/>
        <v>631710410217.27747</v>
      </c>
      <c r="Q15" s="9"/>
      <c r="R15" s="125" t="s">
        <v>5</v>
      </c>
      <c r="S15" s="125">
        <v>119</v>
      </c>
      <c r="T15" s="125">
        <v>998703640130262.63</v>
      </c>
      <c r="U15" s="125"/>
      <c r="V15" s="125"/>
      <c r="W15" s="125"/>
    </row>
    <row r="16" spans="1:31" ht="13.5" thickBot="1" x14ac:dyDescent="0.25">
      <c r="A16" s="42">
        <v>42794</v>
      </c>
      <c r="B16" s="43">
        <f>Inputs!D37</f>
        <v>17924355.280000001</v>
      </c>
      <c r="C16" s="111">
        <f>Inputs!E37</f>
        <v>311443</v>
      </c>
      <c r="D16" s="111">
        <f t="shared" si="1"/>
        <v>18235798.280000001</v>
      </c>
      <c r="E16" s="111">
        <f>Inputs!C37</f>
        <v>11718.5</v>
      </c>
      <c r="F16" s="108">
        <v>28</v>
      </c>
      <c r="G16" s="92">
        <f t="shared" ref="G16:I79" si="8">G4</f>
        <v>0</v>
      </c>
      <c r="H16" s="89">
        <f t="shared" si="8"/>
        <v>540.82000000000005</v>
      </c>
      <c r="I16" s="89">
        <f t="shared" si="8"/>
        <v>0</v>
      </c>
      <c r="J16" s="112">
        <f t="shared" si="2"/>
        <v>18542838.232129056</v>
      </c>
      <c r="K16" s="26">
        <f t="shared" si="0"/>
        <v>618482.95212905481</v>
      </c>
      <c r="L16" s="35">
        <f t="shared" si="3"/>
        <v>3.4505171453455746E-2</v>
      </c>
      <c r="M16" s="9">
        <f t="shared" si="4"/>
        <v>3.4505171453455746E-2</v>
      </c>
      <c r="N16" s="90">
        <f t="shared" si="5"/>
        <v>382521162074.27069</v>
      </c>
      <c r="O16" s="90">
        <f t="shared" si="6"/>
        <v>512132.53078274801</v>
      </c>
      <c r="P16" s="90">
        <f t="shared" si="7"/>
        <v>262279729085.94235</v>
      </c>
      <c r="Q16" s="9"/>
    </row>
    <row r="17" spans="1:26" x14ac:dyDescent="0.2">
      <c r="A17" s="42">
        <v>42825</v>
      </c>
      <c r="B17" s="43">
        <f>Inputs!D38</f>
        <v>19428992.539999999</v>
      </c>
      <c r="C17" s="111">
        <f>Inputs!E38</f>
        <v>418801</v>
      </c>
      <c r="D17" s="111">
        <f t="shared" si="1"/>
        <v>19847793.539999999</v>
      </c>
      <c r="E17" s="111">
        <f>Inputs!C38</f>
        <v>11718.5</v>
      </c>
      <c r="F17" s="108">
        <v>31</v>
      </c>
      <c r="G17" s="92">
        <f t="shared" si="8"/>
        <v>1</v>
      </c>
      <c r="H17" s="89">
        <f t="shared" si="8"/>
        <v>454.27</v>
      </c>
      <c r="I17" s="89">
        <f t="shared" si="8"/>
        <v>0</v>
      </c>
      <c r="J17" s="112">
        <f t="shared" si="2"/>
        <v>18758661.979387775</v>
      </c>
      <c r="K17" s="26">
        <f t="shared" si="0"/>
        <v>-670330.56061222404</v>
      </c>
      <c r="L17" s="35">
        <f t="shared" si="3"/>
        <v>-3.4501560450556641E-2</v>
      </c>
      <c r="M17" s="9">
        <f t="shared" si="4"/>
        <v>3.4501560450556641E-2</v>
      </c>
      <c r="N17" s="90">
        <f t="shared" si="5"/>
        <v>449343060490.69855</v>
      </c>
      <c r="O17" s="90">
        <f t="shared" si="6"/>
        <v>-1288813.5127412789</v>
      </c>
      <c r="P17" s="90">
        <f t="shared" si="7"/>
        <v>1661040270624.5146</v>
      </c>
      <c r="Q17" s="9"/>
      <c r="R17" s="126"/>
      <c r="S17" s="126" t="s">
        <v>80</v>
      </c>
      <c r="T17" s="126" t="s">
        <v>16</v>
      </c>
      <c r="U17" s="126" t="s">
        <v>81</v>
      </c>
      <c r="V17" s="126" t="s">
        <v>82</v>
      </c>
      <c r="W17" s="126" t="s">
        <v>83</v>
      </c>
      <c r="X17" s="126" t="s">
        <v>84</v>
      </c>
      <c r="Y17" s="126" t="s">
        <v>85</v>
      </c>
      <c r="Z17" s="126" t="s">
        <v>86</v>
      </c>
    </row>
    <row r="18" spans="1:26" x14ac:dyDescent="0.2">
      <c r="A18" s="42">
        <v>42855</v>
      </c>
      <c r="B18" s="43">
        <f>Inputs!D39</f>
        <v>15946371.67</v>
      </c>
      <c r="C18" s="111">
        <f>Inputs!E39</f>
        <v>473713</v>
      </c>
      <c r="D18" s="111">
        <f t="shared" si="1"/>
        <v>16420084.67</v>
      </c>
      <c r="E18" s="111">
        <f>Inputs!C39</f>
        <v>11718.5</v>
      </c>
      <c r="F18" s="108">
        <v>30</v>
      </c>
      <c r="G18" s="92">
        <f t="shared" si="8"/>
        <v>1</v>
      </c>
      <c r="H18" s="89">
        <f t="shared" si="8"/>
        <v>287.61</v>
      </c>
      <c r="I18" s="89">
        <f t="shared" si="8"/>
        <v>1.08</v>
      </c>
      <c r="J18" s="112">
        <f t="shared" si="2"/>
        <v>16993640.226231877</v>
      </c>
      <c r="K18" s="26">
        <f t="shared" si="0"/>
        <v>1047268.5562318768</v>
      </c>
      <c r="L18" s="35">
        <f t="shared" si="3"/>
        <v>6.567441032382991E-2</v>
      </c>
      <c r="M18" s="9">
        <f t="shared" si="4"/>
        <v>6.567441032382991E-2</v>
      </c>
      <c r="N18" s="90">
        <f t="shared" si="5"/>
        <v>1096771428871.9998</v>
      </c>
      <c r="O18" s="90">
        <f t="shared" si="6"/>
        <v>1717599.1168441009</v>
      </c>
      <c r="P18" s="90">
        <f t="shared" si="7"/>
        <v>2950146726183.6353</v>
      </c>
      <c r="Q18" s="9"/>
      <c r="R18" t="s">
        <v>21</v>
      </c>
      <c r="S18">
        <v>-19602713.041492179</v>
      </c>
      <c r="T18">
        <v>4302721.9190851049</v>
      </c>
      <c r="U18">
        <v>-4.5558865783407025</v>
      </c>
      <c r="V18">
        <v>1.316622544302633E-5</v>
      </c>
      <c r="W18">
        <v>-28126372.023531683</v>
      </c>
      <c r="X18">
        <v>-11079054.059452677</v>
      </c>
      <c r="Y18">
        <v>-28126372.023531683</v>
      </c>
      <c r="Z18">
        <v>-11079054.059452677</v>
      </c>
    </row>
    <row r="19" spans="1:26" x14ac:dyDescent="0.2">
      <c r="A19" s="42">
        <v>42886</v>
      </c>
      <c r="B19" s="43">
        <f>Inputs!D40</f>
        <v>16906557.140000001</v>
      </c>
      <c r="C19" s="111">
        <f>Inputs!E40</f>
        <v>826417</v>
      </c>
      <c r="D19" s="111">
        <f t="shared" si="1"/>
        <v>17732974.140000001</v>
      </c>
      <c r="E19" s="111">
        <f>Inputs!C40</f>
        <v>11718.5</v>
      </c>
      <c r="F19" s="108">
        <v>31</v>
      </c>
      <c r="G19" s="92">
        <f t="shared" si="8"/>
        <v>1</v>
      </c>
      <c r="H19" s="89">
        <f t="shared" si="8"/>
        <v>116.80999999999999</v>
      </c>
      <c r="I19" s="89">
        <f t="shared" si="8"/>
        <v>27.339999999999996</v>
      </c>
      <c r="J19" s="112">
        <f t="shared" si="2"/>
        <v>18095588.940283753</v>
      </c>
      <c r="K19" s="26">
        <f t="shared" si="0"/>
        <v>1189031.8002837524</v>
      </c>
      <c r="L19" s="35">
        <f t="shared" si="3"/>
        <v>7.0329623615121933E-2</v>
      </c>
      <c r="M19" s="9">
        <f t="shared" si="4"/>
        <v>7.0329623615121933E-2</v>
      </c>
      <c r="N19" s="90">
        <f t="shared" si="5"/>
        <v>1413796622086.0212</v>
      </c>
      <c r="O19" s="90">
        <f t="shared" si="6"/>
        <v>141763.24405187555</v>
      </c>
      <c r="P19" s="90">
        <f t="shared" si="7"/>
        <v>20096817364.111626</v>
      </c>
      <c r="Q19" s="9"/>
      <c r="R19" t="s">
        <v>117</v>
      </c>
      <c r="S19">
        <v>1119.9983853542726</v>
      </c>
      <c r="T19">
        <v>241.13714577314485</v>
      </c>
      <c r="U19">
        <v>4.6446530739313641</v>
      </c>
      <c r="V19">
        <v>9.1930752188469286E-6</v>
      </c>
      <c r="W19">
        <v>642.30755682179051</v>
      </c>
      <c r="X19">
        <v>1597.6892138867547</v>
      </c>
      <c r="Y19">
        <v>642.30755682179051</v>
      </c>
      <c r="Z19">
        <v>1597.6892138867547</v>
      </c>
    </row>
    <row r="20" spans="1:26" x14ac:dyDescent="0.2">
      <c r="A20" s="42">
        <v>42916</v>
      </c>
      <c r="B20" s="43">
        <f>Inputs!D41</f>
        <v>20456312.949999999</v>
      </c>
      <c r="C20" s="111">
        <f>Inputs!E41</f>
        <v>745371</v>
      </c>
      <c r="D20" s="111">
        <f t="shared" si="1"/>
        <v>21201683.949999999</v>
      </c>
      <c r="E20" s="111">
        <f>Inputs!C41</f>
        <v>11718.5</v>
      </c>
      <c r="F20" s="108">
        <v>30</v>
      </c>
      <c r="G20" s="92">
        <f t="shared" si="8"/>
        <v>0</v>
      </c>
      <c r="H20" s="89">
        <f t="shared" si="8"/>
        <v>10.02</v>
      </c>
      <c r="I20" s="89">
        <f t="shared" si="8"/>
        <v>99.090000000000018</v>
      </c>
      <c r="J20" s="112">
        <f t="shared" si="2"/>
        <v>22049363.418853059</v>
      </c>
      <c r="K20" s="26">
        <f t="shared" si="0"/>
        <v>1593050.4688530602</v>
      </c>
      <c r="L20" s="35">
        <f t="shared" si="3"/>
        <v>7.7875738054401455E-2</v>
      </c>
      <c r="M20" s="9">
        <f t="shared" si="4"/>
        <v>7.7875738054401455E-2</v>
      </c>
      <c r="N20" s="90">
        <f t="shared" si="5"/>
        <v>2537809796312.9546</v>
      </c>
      <c r="O20" s="90">
        <f t="shared" si="6"/>
        <v>404018.66856930777</v>
      </c>
      <c r="P20" s="90">
        <f t="shared" si="7"/>
        <v>163231084552.51617</v>
      </c>
      <c r="Q20" s="9"/>
      <c r="R20" t="s">
        <v>103</v>
      </c>
      <c r="S20">
        <v>771782.42769890907</v>
      </c>
      <c r="T20">
        <v>105577.45448498639</v>
      </c>
      <c r="U20">
        <v>7.3101064186829792</v>
      </c>
      <c r="V20">
        <v>3.952124716396047E-11</v>
      </c>
      <c r="W20">
        <v>562634.30352425412</v>
      </c>
      <c r="X20">
        <v>980930.55187356402</v>
      </c>
      <c r="Y20">
        <v>562634.30352425412</v>
      </c>
      <c r="Z20">
        <v>980930.55187356402</v>
      </c>
    </row>
    <row r="21" spans="1:26" x14ac:dyDescent="0.2">
      <c r="A21" s="42">
        <v>42947</v>
      </c>
      <c r="B21" s="43">
        <f>Inputs!D42</f>
        <v>24127924.170000002</v>
      </c>
      <c r="C21" s="111">
        <f>Inputs!E42</f>
        <v>738146</v>
      </c>
      <c r="D21" s="111">
        <f t="shared" si="1"/>
        <v>24866070.170000002</v>
      </c>
      <c r="E21" s="111">
        <f>Inputs!C42</f>
        <v>11718.5</v>
      </c>
      <c r="F21" s="108">
        <v>31</v>
      </c>
      <c r="G21" s="92">
        <f t="shared" si="8"/>
        <v>0</v>
      </c>
      <c r="H21" s="89">
        <f t="shared" si="8"/>
        <v>6.9999999999999993E-2</v>
      </c>
      <c r="I21" s="89">
        <f t="shared" si="8"/>
        <v>158.74</v>
      </c>
      <c r="J21" s="112">
        <f t="shared" si="2"/>
        <v>25955319.900470294</v>
      </c>
      <c r="K21" s="26">
        <f t="shared" si="0"/>
        <v>1827395.7304702923</v>
      </c>
      <c r="L21" s="35">
        <f t="shared" si="3"/>
        <v>7.5737793172544282E-2</v>
      </c>
      <c r="M21" s="9">
        <f t="shared" si="4"/>
        <v>7.5737793172544282E-2</v>
      </c>
      <c r="N21" s="90">
        <f t="shared" si="5"/>
        <v>3339375155741.0532</v>
      </c>
      <c r="O21" s="90">
        <f t="shared" si="6"/>
        <v>234345.26161723211</v>
      </c>
      <c r="P21" s="90">
        <f t="shared" si="7"/>
        <v>54917701642.448959</v>
      </c>
      <c r="Q21" s="9"/>
      <c r="R21" t="s">
        <v>104</v>
      </c>
      <c r="S21">
        <v>-1553654.2094845294</v>
      </c>
      <c r="T21">
        <v>214985.63538073984</v>
      </c>
      <c r="U21">
        <v>-7.2267814858095321</v>
      </c>
      <c r="V21">
        <v>6.0227611381731282E-11</v>
      </c>
      <c r="W21">
        <v>-1979539.0973492216</v>
      </c>
      <c r="X21">
        <v>-1127769.3216198373</v>
      </c>
      <c r="Y21">
        <v>-1979539.0973492216</v>
      </c>
      <c r="Z21">
        <v>-1127769.3216198373</v>
      </c>
    </row>
    <row r="22" spans="1:26" x14ac:dyDescent="0.2">
      <c r="A22" s="42">
        <v>42978</v>
      </c>
      <c r="B22" s="43">
        <f>Inputs!D43</f>
        <v>20981874.190000001</v>
      </c>
      <c r="C22" s="111">
        <f>Inputs!E43</f>
        <v>688252</v>
      </c>
      <c r="D22" s="111">
        <f t="shared" si="1"/>
        <v>21670126.190000001</v>
      </c>
      <c r="E22" s="111">
        <f>Inputs!C43</f>
        <v>11718.5</v>
      </c>
      <c r="F22" s="108">
        <v>31</v>
      </c>
      <c r="G22" s="92">
        <f t="shared" si="8"/>
        <v>0</v>
      </c>
      <c r="H22" s="89">
        <f t="shared" si="8"/>
        <v>3.19</v>
      </c>
      <c r="I22" s="89">
        <f t="shared" si="8"/>
        <v>115.75999999999999</v>
      </c>
      <c r="J22" s="112">
        <f t="shared" si="2"/>
        <v>23671494.111933324</v>
      </c>
      <c r="K22" s="26">
        <f t="shared" si="0"/>
        <v>2689619.9219333231</v>
      </c>
      <c r="L22" s="35">
        <f t="shared" si="3"/>
        <v>0.12818778234859499</v>
      </c>
      <c r="M22" s="9">
        <f t="shared" si="4"/>
        <v>0.12818778234859499</v>
      </c>
      <c r="N22" s="90">
        <f t="shared" si="5"/>
        <v>7234055324460.6152</v>
      </c>
      <c r="O22" s="90">
        <f t="shared" si="6"/>
        <v>862224.19146303087</v>
      </c>
      <c r="P22" s="90">
        <f t="shared" si="7"/>
        <v>743430556344.07727</v>
      </c>
      <c r="Q22" s="9"/>
      <c r="R22" t="s">
        <v>101</v>
      </c>
      <c r="S22">
        <v>6306.9823957652043</v>
      </c>
      <c r="T22">
        <v>566.01727499996059</v>
      </c>
      <c r="U22">
        <v>11.14273834798707</v>
      </c>
      <c r="V22">
        <v>5.9237194142133735E-20</v>
      </c>
      <c r="W22">
        <v>5185.7065334689978</v>
      </c>
      <c r="X22">
        <v>7428.2582580614107</v>
      </c>
      <c r="Y22">
        <v>5185.7065334689978</v>
      </c>
      <c r="Z22">
        <v>7428.2582580614107</v>
      </c>
    </row>
    <row r="23" spans="1:26" ht="13.5" thickBot="1" x14ac:dyDescent="0.25">
      <c r="A23" s="42">
        <v>43008</v>
      </c>
      <c r="B23" s="43">
        <f>Inputs!D44</f>
        <v>17752578.850000001</v>
      </c>
      <c r="C23" s="111">
        <f>Inputs!E44</f>
        <v>621289</v>
      </c>
      <c r="D23" s="111">
        <f t="shared" si="1"/>
        <v>18373867.850000001</v>
      </c>
      <c r="E23" s="111">
        <f>Inputs!C44</f>
        <v>11718.5</v>
      </c>
      <c r="F23" s="108">
        <v>30</v>
      </c>
      <c r="G23" s="92">
        <f t="shared" si="8"/>
        <v>0</v>
      </c>
      <c r="H23" s="89">
        <f t="shared" si="8"/>
        <v>32.589999999999996</v>
      </c>
      <c r="I23" s="89">
        <f t="shared" si="8"/>
        <v>44.9</v>
      </c>
      <c r="J23" s="112">
        <f t="shared" si="2"/>
        <v>19287410.972576637</v>
      </c>
      <c r="K23" s="26">
        <f t="shared" si="0"/>
        <v>1534832.1225766353</v>
      </c>
      <c r="L23" s="35">
        <f t="shared" si="3"/>
        <v>8.645685427143647E-2</v>
      </c>
      <c r="M23" s="9">
        <f t="shared" si="4"/>
        <v>8.645685427143647E-2</v>
      </c>
      <c r="N23" s="90">
        <f t="shared" si="5"/>
        <v>2355709644493.0996</v>
      </c>
      <c r="O23" s="90">
        <f t="shared" si="6"/>
        <v>-1154787.7993566878</v>
      </c>
      <c r="P23" s="90">
        <f t="shared" si="7"/>
        <v>1333534861543.0618</v>
      </c>
      <c r="Q23" s="9"/>
      <c r="R23" s="125" t="s">
        <v>102</v>
      </c>
      <c r="S23" s="125">
        <v>53594.778352995767</v>
      </c>
      <c r="T23" s="125">
        <v>2848.753157779674</v>
      </c>
      <c r="U23" s="125">
        <v>18.813416040148486</v>
      </c>
      <c r="V23" s="125">
        <v>9.428862062914163E-37</v>
      </c>
      <c r="W23" s="125">
        <v>47951.420288599824</v>
      </c>
      <c r="X23" s="125">
        <v>59238.13641739171</v>
      </c>
      <c r="Y23" s="125">
        <v>47951.420288599824</v>
      </c>
      <c r="Z23" s="125">
        <v>59238.13641739171</v>
      </c>
    </row>
    <row r="24" spans="1:26" x14ac:dyDescent="0.2">
      <c r="A24" s="42">
        <v>43039</v>
      </c>
      <c r="B24" s="43">
        <f>Inputs!D45</f>
        <v>16267869.65</v>
      </c>
      <c r="C24" s="111">
        <f>Inputs!E45</f>
        <v>422987</v>
      </c>
      <c r="D24" s="111">
        <f t="shared" si="1"/>
        <v>16690856.65</v>
      </c>
      <c r="E24" s="111">
        <f>Inputs!C45</f>
        <v>11718.5</v>
      </c>
      <c r="F24" s="108">
        <v>31</v>
      </c>
      <c r="G24" s="92">
        <f t="shared" si="8"/>
        <v>1</v>
      </c>
      <c r="H24" s="89">
        <f t="shared" si="8"/>
        <v>183.84999999999997</v>
      </c>
      <c r="I24" s="89">
        <f t="shared" si="8"/>
        <v>11.61</v>
      </c>
      <c r="J24" s="112">
        <f t="shared" si="2"/>
        <v>17675363.176603228</v>
      </c>
      <c r="K24" s="26">
        <f t="shared" si="0"/>
        <v>1407493.5266032275</v>
      </c>
      <c r="L24" s="35">
        <f t="shared" si="3"/>
        <v>8.6519842910299405E-2</v>
      </c>
      <c r="M24" s="9">
        <f t="shared" si="4"/>
        <v>8.6519842910299405E-2</v>
      </c>
      <c r="N24" s="90">
        <f t="shared" si="5"/>
        <v>1981038027429.9902</v>
      </c>
      <c r="O24" s="90">
        <f t="shared" si="6"/>
        <v>-127338.59597340785</v>
      </c>
      <c r="P24" s="90">
        <f t="shared" si="7"/>
        <v>16215118024.478802</v>
      </c>
      <c r="Q24" s="9"/>
      <c r="S24" s="128"/>
    </row>
    <row r="25" spans="1:26" x14ac:dyDescent="0.2">
      <c r="A25" s="42">
        <v>43069</v>
      </c>
      <c r="B25" s="43">
        <f>Inputs!D46</f>
        <v>17286540.039999999</v>
      </c>
      <c r="C25" s="111">
        <f>Inputs!E46</f>
        <v>285862</v>
      </c>
      <c r="D25" s="111">
        <f t="shared" si="1"/>
        <v>17572402.039999999</v>
      </c>
      <c r="E25" s="111">
        <f>Inputs!C46</f>
        <v>11718.5</v>
      </c>
      <c r="F25" s="108">
        <v>30</v>
      </c>
      <c r="G25" s="92">
        <f t="shared" si="8"/>
        <v>1</v>
      </c>
      <c r="H25" s="89">
        <f t="shared" si="8"/>
        <v>388.63</v>
      </c>
      <c r="I25" s="89">
        <f t="shared" si="8"/>
        <v>0.36666666666666664</v>
      </c>
      <c r="J25" s="112">
        <f t="shared" si="2"/>
        <v>17592540.645960271</v>
      </c>
      <c r="K25" s="26">
        <f t="shared" si="0"/>
        <v>306000.60596027225</v>
      </c>
      <c r="L25" s="35">
        <f t="shared" si="3"/>
        <v>1.7701668769586367E-2</v>
      </c>
      <c r="M25" s="9">
        <f t="shared" si="4"/>
        <v>1.7701668769586367E-2</v>
      </c>
      <c r="N25" s="90">
        <f t="shared" si="5"/>
        <v>93636370848.053802</v>
      </c>
      <c r="O25" s="90">
        <f t="shared" si="6"/>
        <v>-1101492.9206429552</v>
      </c>
      <c r="P25" s="90">
        <f t="shared" si="7"/>
        <v>1213286654226.5476</v>
      </c>
      <c r="Q25" s="9"/>
    </row>
    <row r="26" spans="1:26" x14ac:dyDescent="0.2">
      <c r="A26" s="42">
        <v>43100</v>
      </c>
      <c r="B26" s="43">
        <f>Inputs!D47</f>
        <v>20215407.739999998</v>
      </c>
      <c r="C26" s="111">
        <f>Inputs!E47</f>
        <v>172953</v>
      </c>
      <c r="D26" s="111">
        <f t="shared" si="1"/>
        <v>20388360.739999998</v>
      </c>
      <c r="E26" s="111">
        <f>Inputs!C47</f>
        <v>11718.5</v>
      </c>
      <c r="F26" s="108">
        <v>31</v>
      </c>
      <c r="G26" s="92">
        <f t="shared" si="8"/>
        <v>0</v>
      </c>
      <c r="H26" s="89">
        <f t="shared" si="8"/>
        <v>553.67999999999995</v>
      </c>
      <c r="I26" s="89">
        <f t="shared" si="8"/>
        <v>0</v>
      </c>
      <c r="J26" s="112">
        <f t="shared" si="2"/>
        <v>20939293.30883532</v>
      </c>
      <c r="K26" s="26">
        <f t="shared" si="0"/>
        <v>723885.56883532181</v>
      </c>
      <c r="L26" s="35">
        <f t="shared" si="3"/>
        <v>3.5808605898310801E-2</v>
      </c>
      <c r="M26" s="9">
        <f t="shared" si="4"/>
        <v>3.5808605898310801E-2</v>
      </c>
      <c r="N26" s="90">
        <f t="shared" si="5"/>
        <v>524010316768.03741</v>
      </c>
      <c r="O26" s="90">
        <f t="shared" si="6"/>
        <v>417884.96287504956</v>
      </c>
      <c r="P26" s="90">
        <f t="shared" si="7"/>
        <v>174627842197.08154</v>
      </c>
      <c r="Q26" s="9"/>
      <c r="R26" t="s">
        <v>109</v>
      </c>
      <c r="S26" s="105">
        <f>M123</f>
        <v>4.7695411958931712E-2</v>
      </c>
    </row>
    <row r="27" spans="1:26" x14ac:dyDescent="0.2">
      <c r="A27" s="42">
        <v>43131</v>
      </c>
      <c r="B27" s="43">
        <f>Inputs!D48</f>
        <v>21585922.039999999</v>
      </c>
      <c r="C27" s="111">
        <f>Inputs!E48</f>
        <v>251852</v>
      </c>
      <c r="D27" s="111">
        <f t="shared" si="1"/>
        <v>21837774.039999999</v>
      </c>
      <c r="E27" s="111">
        <f>Inputs!C48</f>
        <v>12013</v>
      </c>
      <c r="F27" s="108">
        <v>31</v>
      </c>
      <c r="G27" s="92">
        <f t="shared" si="8"/>
        <v>0</v>
      </c>
      <c r="H27" s="89">
        <f t="shared" si="8"/>
        <v>637.03999999999985</v>
      </c>
      <c r="I27" s="89">
        <f t="shared" si="8"/>
        <v>0</v>
      </c>
      <c r="J27" s="112">
        <f t="shared" si="2"/>
        <v>21794882.88583314</v>
      </c>
      <c r="K27" s="26">
        <f t="shared" si="0"/>
        <v>208960.84583314136</v>
      </c>
      <c r="L27" s="35">
        <f t="shared" si="3"/>
        <v>9.6804225201001133E-3</v>
      </c>
      <c r="M27" s="9">
        <f t="shared" si="4"/>
        <v>9.6804225201001133E-3</v>
      </c>
      <c r="N27" s="90">
        <f t="shared" si="5"/>
        <v>43664635091.301872</v>
      </c>
      <c r="O27" s="90">
        <f t="shared" si="6"/>
        <v>-514924.72300218046</v>
      </c>
      <c r="P27" s="90">
        <f t="shared" si="7"/>
        <v>265147470358.87228</v>
      </c>
      <c r="R27" t="s">
        <v>110</v>
      </c>
      <c r="S27" s="30">
        <f>P123</f>
        <v>216263073714356.56</v>
      </c>
    </row>
    <row r="28" spans="1:26" x14ac:dyDescent="0.2">
      <c r="A28" s="42">
        <v>43159</v>
      </c>
      <c r="B28" s="43">
        <f>Inputs!D49</f>
        <v>17656172.989999998</v>
      </c>
      <c r="C28" s="111">
        <f>Inputs!E49</f>
        <v>234936</v>
      </c>
      <c r="D28" s="111">
        <f t="shared" si="1"/>
        <v>17891108.989999998</v>
      </c>
      <c r="E28" s="111">
        <f>Inputs!C49</f>
        <v>12013</v>
      </c>
      <c r="F28" s="108">
        <v>28</v>
      </c>
      <c r="G28" s="92">
        <f t="shared" si="8"/>
        <v>0</v>
      </c>
      <c r="H28" s="89">
        <f t="shared" si="8"/>
        <v>540.82000000000005</v>
      </c>
      <c r="I28" s="89">
        <f t="shared" si="8"/>
        <v>0</v>
      </c>
      <c r="J28" s="112">
        <f t="shared" si="2"/>
        <v>18872677.756615888</v>
      </c>
      <c r="K28" s="26">
        <f t="shared" si="0"/>
        <v>1216504.76661589</v>
      </c>
      <c r="L28" s="35">
        <f t="shared" si="3"/>
        <v>6.8899685526692955E-2</v>
      </c>
      <c r="M28" s="9">
        <f t="shared" si="4"/>
        <v>6.8899685526692955E-2</v>
      </c>
      <c r="N28" s="90">
        <f t="shared" si="5"/>
        <v>1479883847199.1809</v>
      </c>
      <c r="O28" s="90">
        <f t="shared" si="6"/>
        <v>1007543.9207827486</v>
      </c>
      <c r="P28" s="90">
        <f t="shared" si="7"/>
        <v>1015144752306.2736</v>
      </c>
      <c r="R28" t="s">
        <v>107</v>
      </c>
      <c r="S28" s="30">
        <f>N123</f>
        <v>181678812754923.66</v>
      </c>
    </row>
    <row r="29" spans="1:26" x14ac:dyDescent="0.2">
      <c r="A29" s="42">
        <v>43190</v>
      </c>
      <c r="B29" s="43">
        <f>Inputs!D50</f>
        <v>18248162.620000001</v>
      </c>
      <c r="C29" s="111">
        <f>Inputs!E50</f>
        <v>574730</v>
      </c>
      <c r="D29" s="111">
        <f t="shared" si="1"/>
        <v>18822892.620000001</v>
      </c>
      <c r="E29" s="111">
        <f>Inputs!C50</f>
        <v>12013</v>
      </c>
      <c r="F29" s="108">
        <v>31</v>
      </c>
      <c r="G29" s="92">
        <f t="shared" si="8"/>
        <v>1</v>
      </c>
      <c r="H29" s="89">
        <f t="shared" si="8"/>
        <v>454.27</v>
      </c>
      <c r="I29" s="89">
        <f t="shared" si="8"/>
        <v>0</v>
      </c>
      <c r="J29" s="112">
        <f t="shared" si="2"/>
        <v>19088501.503874607</v>
      </c>
      <c r="K29" s="26">
        <f t="shared" si="0"/>
        <v>840338.88387460634</v>
      </c>
      <c r="L29" s="35">
        <f t="shared" si="3"/>
        <v>4.6050602538668425E-2</v>
      </c>
      <c r="M29" s="9">
        <f t="shared" si="4"/>
        <v>4.6050602538668425E-2</v>
      </c>
      <c r="N29" s="90">
        <f t="shared" si="5"/>
        <v>706169439751.61914</v>
      </c>
      <c r="O29" s="90">
        <f t="shared" si="6"/>
        <v>-376165.88274128363</v>
      </c>
      <c r="P29" s="90">
        <f t="shared" si="7"/>
        <v>141500771338.52914</v>
      </c>
    </row>
    <row r="30" spans="1:26" x14ac:dyDescent="0.2">
      <c r="A30" s="42">
        <v>43220</v>
      </c>
      <c r="B30" s="43">
        <f>Inputs!D51</f>
        <v>16369500.24</v>
      </c>
      <c r="C30" s="111">
        <f>Inputs!E51</f>
        <v>586292</v>
      </c>
      <c r="D30" s="111">
        <f t="shared" si="1"/>
        <v>16955792.240000002</v>
      </c>
      <c r="E30" s="111">
        <f>Inputs!C51</f>
        <v>12013</v>
      </c>
      <c r="F30" s="108">
        <v>30</v>
      </c>
      <c r="G30" s="92">
        <f t="shared" si="8"/>
        <v>1</v>
      </c>
      <c r="H30" s="89">
        <f t="shared" si="8"/>
        <v>287.61</v>
      </c>
      <c r="I30" s="89">
        <f t="shared" si="8"/>
        <v>1.08</v>
      </c>
      <c r="J30" s="112">
        <f t="shared" si="2"/>
        <v>17323479.750718713</v>
      </c>
      <c r="K30" s="26">
        <f t="shared" si="0"/>
        <v>953979.51071871258</v>
      </c>
      <c r="L30" s="35">
        <f t="shared" si="3"/>
        <v>5.8277864121202554E-2</v>
      </c>
      <c r="M30" s="9">
        <f t="shared" si="4"/>
        <v>5.8277864121202554E-2</v>
      </c>
      <c r="N30" s="90">
        <f t="shared" si="5"/>
        <v>910076906871.11426</v>
      </c>
      <c r="O30" s="90">
        <f t="shared" si="6"/>
        <v>113640.62684410624</v>
      </c>
      <c r="P30" s="90">
        <f t="shared" si="7"/>
        <v>12914192069.5214</v>
      </c>
      <c r="R30" t="s">
        <v>108</v>
      </c>
      <c r="S30">
        <f>S27/S28</f>
        <v>1.1903593514015609</v>
      </c>
    </row>
    <row r="31" spans="1:26" x14ac:dyDescent="0.2">
      <c r="A31" s="42">
        <v>43251</v>
      </c>
      <c r="B31" s="43">
        <f>Inputs!D52</f>
        <v>17055234.91</v>
      </c>
      <c r="C31" s="111">
        <f>Inputs!E52</f>
        <v>731668</v>
      </c>
      <c r="D31" s="111">
        <f t="shared" si="1"/>
        <v>17786902.91</v>
      </c>
      <c r="E31" s="111">
        <f>Inputs!C52</f>
        <v>12013</v>
      </c>
      <c r="F31" s="108">
        <v>31</v>
      </c>
      <c r="G31" s="92">
        <f t="shared" si="8"/>
        <v>1</v>
      </c>
      <c r="H31" s="89">
        <f t="shared" si="8"/>
        <v>116.80999999999999</v>
      </c>
      <c r="I31" s="89">
        <f t="shared" si="8"/>
        <v>27.339999999999996</v>
      </c>
      <c r="J31" s="112">
        <f t="shared" si="2"/>
        <v>18425428.464770585</v>
      </c>
      <c r="K31" s="26">
        <f t="shared" si="0"/>
        <v>1370193.5547705851</v>
      </c>
      <c r="L31" s="35">
        <f t="shared" si="3"/>
        <v>8.0338591757959266E-2</v>
      </c>
      <c r="M31" s="9">
        <f t="shared" si="4"/>
        <v>8.0338591757959266E-2</v>
      </c>
      <c r="N31" s="90">
        <f t="shared" si="5"/>
        <v>1877430377534.8525</v>
      </c>
      <c r="O31" s="90">
        <f t="shared" si="6"/>
        <v>416214.04405187257</v>
      </c>
      <c r="P31" s="90">
        <f t="shared" si="7"/>
        <v>173234130466.01413</v>
      </c>
    </row>
    <row r="32" spans="1:26" x14ac:dyDescent="0.2">
      <c r="A32" s="42">
        <v>43281</v>
      </c>
      <c r="B32" s="43">
        <f>Inputs!D53</f>
        <v>19672642.52</v>
      </c>
      <c r="C32" s="111">
        <f>Inputs!E53</f>
        <v>710269</v>
      </c>
      <c r="D32" s="111">
        <f t="shared" si="1"/>
        <v>20382911.52</v>
      </c>
      <c r="E32" s="111">
        <f>Inputs!C53</f>
        <v>12013</v>
      </c>
      <c r="F32" s="108">
        <v>30</v>
      </c>
      <c r="G32" s="92">
        <f t="shared" si="8"/>
        <v>0</v>
      </c>
      <c r="H32" s="89">
        <f t="shared" si="8"/>
        <v>10.02</v>
      </c>
      <c r="I32" s="89">
        <f t="shared" si="8"/>
        <v>99.090000000000018</v>
      </c>
      <c r="J32" s="112">
        <f t="shared" si="2"/>
        <v>22379202.943339892</v>
      </c>
      <c r="K32" s="26">
        <f t="shared" si="0"/>
        <v>2706560.4233398922</v>
      </c>
      <c r="L32" s="35">
        <f t="shared" si="3"/>
        <v>0.13757991182873852</v>
      </c>
      <c r="M32" s="9">
        <f t="shared" si="4"/>
        <v>0.13757991182873852</v>
      </c>
      <c r="N32" s="90">
        <f t="shared" si="5"/>
        <v>7325469325189.8164</v>
      </c>
      <c r="O32" s="90">
        <f t="shared" si="6"/>
        <v>1336366.868569307</v>
      </c>
      <c r="P32" s="90">
        <f t="shared" si="7"/>
        <v>1785876407409.7356</v>
      </c>
    </row>
    <row r="33" spans="1:17" x14ac:dyDescent="0.2">
      <c r="A33" s="42">
        <v>43312</v>
      </c>
      <c r="B33" s="43">
        <f>Inputs!D54</f>
        <v>24519316.199999999</v>
      </c>
      <c r="C33" s="111">
        <f>Inputs!E54</f>
        <v>778930</v>
      </c>
      <c r="D33" s="111">
        <f t="shared" si="1"/>
        <v>25298246.199999999</v>
      </c>
      <c r="E33" s="111">
        <f>Inputs!C54</f>
        <v>12013</v>
      </c>
      <c r="F33" s="108">
        <v>31</v>
      </c>
      <c r="G33" s="92">
        <f t="shared" si="8"/>
        <v>0</v>
      </c>
      <c r="H33" s="89">
        <f t="shared" si="8"/>
        <v>6.9999999999999993E-2</v>
      </c>
      <c r="I33" s="89">
        <f t="shared" si="8"/>
        <v>158.74</v>
      </c>
      <c r="J33" s="112">
        <f t="shared" si="2"/>
        <v>26285159.424957126</v>
      </c>
      <c r="K33" s="26">
        <f t="shared" si="0"/>
        <v>1765843.2249571271</v>
      </c>
      <c r="L33" s="35">
        <f t="shared" si="3"/>
        <v>7.2018453147446551E-2</v>
      </c>
      <c r="M33" s="9">
        <f t="shared" si="4"/>
        <v>7.2018453147446551E-2</v>
      </c>
      <c r="N33" s="90">
        <f t="shared" si="5"/>
        <v>3118202295126.9873</v>
      </c>
      <c r="O33" s="90">
        <f t="shared" si="6"/>
        <v>-940717.19838276505</v>
      </c>
      <c r="P33" s="90">
        <f t="shared" si="7"/>
        <v>884948847333.11853</v>
      </c>
      <c r="Q33"/>
    </row>
    <row r="34" spans="1:17" x14ac:dyDescent="0.2">
      <c r="A34" s="42">
        <v>43343</v>
      </c>
      <c r="B34" s="43">
        <f>Inputs!D55</f>
        <v>26369599.34</v>
      </c>
      <c r="C34" s="111">
        <f>Inputs!E55</f>
        <v>636511</v>
      </c>
      <c r="D34" s="111">
        <f t="shared" si="1"/>
        <v>27006110.34</v>
      </c>
      <c r="E34" s="111">
        <f>Inputs!C55</f>
        <v>12013</v>
      </c>
      <c r="F34" s="108">
        <v>31</v>
      </c>
      <c r="G34" s="92">
        <f t="shared" si="8"/>
        <v>0</v>
      </c>
      <c r="H34" s="89">
        <f t="shared" si="8"/>
        <v>3.19</v>
      </c>
      <c r="I34" s="89">
        <f t="shared" si="8"/>
        <v>115.75999999999999</v>
      </c>
      <c r="J34" s="112">
        <f t="shared" si="2"/>
        <v>24001333.636420157</v>
      </c>
      <c r="K34" s="26">
        <f t="shared" si="0"/>
        <v>-2368265.703579843</v>
      </c>
      <c r="L34" s="35">
        <f t="shared" si="3"/>
        <v>-8.9810454570973516E-2</v>
      </c>
      <c r="M34" s="9">
        <f t="shared" si="4"/>
        <v>8.9810454570973516E-2</v>
      </c>
      <c r="N34" s="90">
        <f t="shared" si="5"/>
        <v>5608682442752.5293</v>
      </c>
      <c r="O34" s="90">
        <f t="shared" si="6"/>
        <v>-4134108.9285369702</v>
      </c>
      <c r="P34" s="90">
        <f t="shared" si="7"/>
        <v>17090856633009.096</v>
      </c>
      <c r="Q34"/>
    </row>
    <row r="35" spans="1:17" x14ac:dyDescent="0.2">
      <c r="A35" s="42">
        <v>43373</v>
      </c>
      <c r="B35" s="43">
        <f>Inputs!D56</f>
        <v>21334916.59</v>
      </c>
      <c r="C35" s="111">
        <f>Inputs!E56</f>
        <v>500836</v>
      </c>
      <c r="D35" s="111">
        <f t="shared" si="1"/>
        <v>21835752.59</v>
      </c>
      <c r="E35" s="111">
        <f>Inputs!C56</f>
        <v>12013</v>
      </c>
      <c r="F35" s="108">
        <v>30</v>
      </c>
      <c r="G35" s="92">
        <f t="shared" si="8"/>
        <v>0</v>
      </c>
      <c r="H35" s="89">
        <f t="shared" si="8"/>
        <v>32.589999999999996</v>
      </c>
      <c r="I35" s="89">
        <f t="shared" si="8"/>
        <v>44.9</v>
      </c>
      <c r="J35" s="112">
        <f t="shared" si="2"/>
        <v>19617250.497063469</v>
      </c>
      <c r="K35" s="26">
        <f t="shared" ref="K35:K66" si="9">J35-B35</f>
        <v>-1717666.0929365307</v>
      </c>
      <c r="L35" s="35">
        <f t="shared" si="3"/>
        <v>-8.0509623072143946E-2</v>
      </c>
      <c r="M35" s="9">
        <f t="shared" si="4"/>
        <v>8.0509623072143946E-2</v>
      </c>
      <c r="N35" s="90">
        <f t="shared" si="5"/>
        <v>2950376806823.8467</v>
      </c>
      <c r="O35" s="90">
        <f t="shared" si="6"/>
        <v>650599.61064331234</v>
      </c>
      <c r="P35" s="90">
        <f t="shared" si="7"/>
        <v>423279853369.22961</v>
      </c>
      <c r="Q35"/>
    </row>
    <row r="36" spans="1:17" x14ac:dyDescent="0.2">
      <c r="A36" s="42">
        <v>43404</v>
      </c>
      <c r="B36" s="43">
        <f>Inputs!D57</f>
        <v>18577883.890000001</v>
      </c>
      <c r="C36" s="111">
        <f>Inputs!E57</f>
        <v>376066</v>
      </c>
      <c r="D36" s="111">
        <f t="shared" si="1"/>
        <v>18953949.890000001</v>
      </c>
      <c r="E36" s="111">
        <f>Inputs!C57</f>
        <v>12013</v>
      </c>
      <c r="F36" s="108">
        <v>31</v>
      </c>
      <c r="G36" s="92">
        <f t="shared" si="8"/>
        <v>1</v>
      </c>
      <c r="H36" s="89">
        <f t="shared" si="8"/>
        <v>183.84999999999997</v>
      </c>
      <c r="I36" s="89">
        <f t="shared" si="8"/>
        <v>11.61</v>
      </c>
      <c r="J36" s="112">
        <f t="shared" si="2"/>
        <v>18005202.70109006</v>
      </c>
      <c r="K36" s="26">
        <f t="shared" si="9"/>
        <v>-572681.18890994042</v>
      </c>
      <c r="L36" s="35">
        <f t="shared" si="3"/>
        <v>-3.0825964480174196E-2</v>
      </c>
      <c r="M36" s="9">
        <f t="shared" si="4"/>
        <v>3.0825964480174196E-2</v>
      </c>
      <c r="N36" s="90">
        <f t="shared" si="5"/>
        <v>327963744131.30286</v>
      </c>
      <c r="O36" s="90">
        <f t="shared" si="6"/>
        <v>1144984.9040265903</v>
      </c>
      <c r="P36" s="90">
        <f t="shared" si="7"/>
        <v>1310990430448.7803</v>
      </c>
      <c r="Q36"/>
    </row>
    <row r="37" spans="1:17" x14ac:dyDescent="0.2">
      <c r="A37" s="42">
        <v>43434</v>
      </c>
      <c r="B37" s="43">
        <f>Inputs!D58</f>
        <v>18327764.969999999</v>
      </c>
      <c r="C37" s="111">
        <f>Inputs!E58</f>
        <v>181639</v>
      </c>
      <c r="D37" s="111">
        <f t="shared" si="1"/>
        <v>18509403.969999999</v>
      </c>
      <c r="E37" s="111">
        <f>Inputs!C58</f>
        <v>12013</v>
      </c>
      <c r="F37" s="108">
        <v>30</v>
      </c>
      <c r="G37" s="92">
        <f t="shared" si="8"/>
        <v>1</v>
      </c>
      <c r="H37" s="89">
        <f t="shared" si="8"/>
        <v>388.63</v>
      </c>
      <c r="I37" s="89">
        <f t="shared" si="8"/>
        <v>0.36666666666666664</v>
      </c>
      <c r="J37" s="112">
        <f t="shared" si="2"/>
        <v>17922380.170447107</v>
      </c>
      <c r="K37" s="26">
        <f t="shared" si="9"/>
        <v>-405384.7995528914</v>
      </c>
      <c r="L37" s="35">
        <f t="shared" si="3"/>
        <v>-2.2118616220605725E-2</v>
      </c>
      <c r="M37" s="9">
        <f t="shared" si="4"/>
        <v>2.2118616220605725E-2</v>
      </c>
      <c r="N37" s="90">
        <f t="shared" si="5"/>
        <v>164336835708.53793</v>
      </c>
      <c r="O37" s="90">
        <f t="shared" si="6"/>
        <v>167296.38935704902</v>
      </c>
      <c r="P37" s="90">
        <f t="shared" si="7"/>
        <v>27988081891.905342</v>
      </c>
      <c r="Q37"/>
    </row>
    <row r="38" spans="1:17" x14ac:dyDescent="0.2">
      <c r="A38" s="42">
        <v>43465</v>
      </c>
      <c r="B38" s="43">
        <f>Inputs!D59</f>
        <v>19674279.579999998</v>
      </c>
      <c r="C38" s="111">
        <f>Inputs!E59</f>
        <v>208740</v>
      </c>
      <c r="D38" s="111">
        <f t="shared" si="1"/>
        <v>19883019.579999998</v>
      </c>
      <c r="E38" s="111">
        <f>Inputs!C59</f>
        <v>12013</v>
      </c>
      <c r="F38" s="108">
        <v>31</v>
      </c>
      <c r="G38" s="92">
        <f t="shared" si="8"/>
        <v>0</v>
      </c>
      <c r="H38" s="89">
        <f t="shared" si="8"/>
        <v>553.67999999999995</v>
      </c>
      <c r="I38" s="89">
        <f t="shared" si="8"/>
        <v>0</v>
      </c>
      <c r="J38" s="112">
        <f t="shared" si="2"/>
        <v>21269132.833322152</v>
      </c>
      <c r="K38" s="26">
        <f t="shared" si="9"/>
        <v>1594853.2533221543</v>
      </c>
      <c r="L38" s="35">
        <f t="shared" si="3"/>
        <v>8.1062854008815216E-2</v>
      </c>
      <c r="M38" s="9">
        <f t="shared" si="4"/>
        <v>8.1062854008815216E-2</v>
      </c>
      <c r="N38" s="90">
        <f t="shared" si="5"/>
        <v>2543556899632.2598</v>
      </c>
      <c r="O38" s="90">
        <f t="shared" si="6"/>
        <v>2000238.0528750457</v>
      </c>
      <c r="P38" s="90">
        <f t="shared" si="7"/>
        <v>4000952268169.354</v>
      </c>
      <c r="Q38"/>
    </row>
    <row r="39" spans="1:17" x14ac:dyDescent="0.2">
      <c r="A39" s="42">
        <v>43496</v>
      </c>
      <c r="B39" s="43">
        <f>Inputs!D60</f>
        <v>21603461.219999999</v>
      </c>
      <c r="C39" s="111">
        <f>Inputs!E60</f>
        <v>249895</v>
      </c>
      <c r="D39" s="111">
        <f t="shared" si="1"/>
        <v>21853356.219999999</v>
      </c>
      <c r="E39" s="111">
        <f>Inputs!C60</f>
        <v>12261.5</v>
      </c>
      <c r="F39" s="108">
        <v>31</v>
      </c>
      <c r="G39" s="92">
        <f t="shared" si="8"/>
        <v>0</v>
      </c>
      <c r="H39" s="89">
        <f t="shared" si="8"/>
        <v>637.03999999999985</v>
      </c>
      <c r="I39" s="89">
        <f t="shared" si="8"/>
        <v>0</v>
      </c>
      <c r="J39" s="112">
        <f t="shared" si="2"/>
        <v>22073202.484593678</v>
      </c>
      <c r="K39" s="26">
        <f t="shared" si="9"/>
        <v>469741.26459367946</v>
      </c>
      <c r="L39" s="35">
        <f t="shared" si="3"/>
        <v>2.1743796506034113E-2</v>
      </c>
      <c r="M39" s="9">
        <f t="shared" si="4"/>
        <v>2.1743796506034113E-2</v>
      </c>
      <c r="N39" s="90">
        <f t="shared" si="5"/>
        <v>220656855662.06918</v>
      </c>
      <c r="O39" s="90">
        <f t="shared" si="6"/>
        <v>-1125111.9887284748</v>
      </c>
      <c r="P39" s="90">
        <f t="shared" si="7"/>
        <v>1265876987180.5437</v>
      </c>
      <c r="Q39"/>
    </row>
    <row r="40" spans="1:17" x14ac:dyDescent="0.2">
      <c r="A40" s="42">
        <v>43524</v>
      </c>
      <c r="B40" s="43">
        <f>Inputs!D61</f>
        <v>18823324.73</v>
      </c>
      <c r="C40" s="111">
        <f>Inputs!E61</f>
        <v>285592</v>
      </c>
      <c r="D40" s="111">
        <f t="shared" si="1"/>
        <v>19108916.73</v>
      </c>
      <c r="E40" s="111">
        <f>Inputs!C61</f>
        <v>12261.5</v>
      </c>
      <c r="F40" s="108">
        <v>28</v>
      </c>
      <c r="G40" s="92">
        <f t="shared" si="8"/>
        <v>0</v>
      </c>
      <c r="H40" s="89">
        <f t="shared" si="8"/>
        <v>540.82000000000005</v>
      </c>
      <c r="I40" s="89">
        <f t="shared" si="8"/>
        <v>0</v>
      </c>
      <c r="J40" s="112">
        <f t="shared" si="2"/>
        <v>19150997.355376426</v>
      </c>
      <c r="K40" s="26">
        <f t="shared" si="9"/>
        <v>327672.62537642568</v>
      </c>
      <c r="L40" s="35">
        <f t="shared" si="3"/>
        <v>1.7407797510616801E-2</v>
      </c>
      <c r="M40" s="9">
        <f t="shared" si="4"/>
        <v>1.7407797510616801E-2</v>
      </c>
      <c r="N40" s="90">
        <f t="shared" si="5"/>
        <v>107369349421.07941</v>
      </c>
      <c r="O40" s="90">
        <f t="shared" si="6"/>
        <v>-142068.63921725377</v>
      </c>
      <c r="P40" s="90">
        <f t="shared" si="7"/>
        <v>20183498249.042217</v>
      </c>
      <c r="Q40"/>
    </row>
    <row r="41" spans="1:17" x14ac:dyDescent="0.2">
      <c r="A41" s="42">
        <v>43555</v>
      </c>
      <c r="B41" s="43">
        <f>Inputs!D62</f>
        <v>20551304.109999999</v>
      </c>
      <c r="C41" s="111">
        <f>Inputs!E62</f>
        <v>502731</v>
      </c>
      <c r="D41" s="111">
        <f t="shared" si="1"/>
        <v>21054035.109999999</v>
      </c>
      <c r="E41" s="111">
        <f>Inputs!C62</f>
        <v>12261.5</v>
      </c>
      <c r="F41" s="108">
        <v>31</v>
      </c>
      <c r="G41" s="92">
        <f t="shared" si="8"/>
        <v>1</v>
      </c>
      <c r="H41" s="89">
        <f t="shared" si="8"/>
        <v>454.27</v>
      </c>
      <c r="I41" s="89">
        <f t="shared" si="8"/>
        <v>0</v>
      </c>
      <c r="J41" s="112">
        <f t="shared" si="2"/>
        <v>19366821.102635145</v>
      </c>
      <c r="K41" s="26">
        <f t="shared" si="9"/>
        <v>-1184483.0073648542</v>
      </c>
      <c r="L41" s="35">
        <f t="shared" si="3"/>
        <v>-5.7635418220905024E-2</v>
      </c>
      <c r="M41" s="9">
        <f t="shared" si="4"/>
        <v>5.7635418220905024E-2</v>
      </c>
      <c r="N41" s="90">
        <f t="shared" si="5"/>
        <v>1402999994736.0894</v>
      </c>
      <c r="O41" s="90">
        <f t="shared" si="6"/>
        <v>-1512155.6327412799</v>
      </c>
      <c r="P41" s="90">
        <f t="shared" si="7"/>
        <v>2286614657631.1807</v>
      </c>
      <c r="Q41"/>
    </row>
    <row r="42" spans="1:17" x14ac:dyDescent="0.2">
      <c r="A42" s="42">
        <v>43585</v>
      </c>
      <c r="B42" s="43">
        <f>Inputs!D63</f>
        <v>17411654.489999998</v>
      </c>
      <c r="C42" s="111">
        <f>Inputs!E63</f>
        <v>554704</v>
      </c>
      <c r="D42" s="111">
        <f t="shared" si="1"/>
        <v>17966358.489999998</v>
      </c>
      <c r="E42" s="111">
        <f>Inputs!C63</f>
        <v>12261.5</v>
      </c>
      <c r="F42" s="108">
        <v>30</v>
      </c>
      <c r="G42" s="92">
        <f t="shared" si="8"/>
        <v>1</v>
      </c>
      <c r="H42" s="89">
        <f t="shared" si="8"/>
        <v>287.61</v>
      </c>
      <c r="I42" s="89">
        <f t="shared" si="8"/>
        <v>1.08</v>
      </c>
      <c r="J42" s="112">
        <f t="shared" si="2"/>
        <v>17601799.349479251</v>
      </c>
      <c r="K42" s="26">
        <f t="shared" si="9"/>
        <v>190144.85947925225</v>
      </c>
      <c r="L42" s="35">
        <f t="shared" si="3"/>
        <v>1.0920550921134909E-2</v>
      </c>
      <c r="M42" s="9">
        <f t="shared" si="4"/>
        <v>1.0920550921134909E-2</v>
      </c>
      <c r="N42" s="90">
        <f t="shared" si="5"/>
        <v>36155067586.384583</v>
      </c>
      <c r="O42" s="90">
        <f t="shared" si="6"/>
        <v>1374627.8668441065</v>
      </c>
      <c r="P42" s="90">
        <f t="shared" si="7"/>
        <v>1889601772304.3784</v>
      </c>
      <c r="Q42"/>
    </row>
    <row r="43" spans="1:17" x14ac:dyDescent="0.2">
      <c r="A43" s="42">
        <v>43616</v>
      </c>
      <c r="B43" s="43">
        <f>Inputs!D64</f>
        <v>17354971.329999998</v>
      </c>
      <c r="C43" s="111">
        <f>Inputs!E64</f>
        <v>579434</v>
      </c>
      <c r="D43" s="111">
        <f t="shared" si="1"/>
        <v>17934405.329999998</v>
      </c>
      <c r="E43" s="111">
        <f>Inputs!C64</f>
        <v>12261.5</v>
      </c>
      <c r="F43" s="108">
        <v>31</v>
      </c>
      <c r="G43" s="92">
        <f t="shared" si="8"/>
        <v>1</v>
      </c>
      <c r="H43" s="89">
        <f t="shared" si="8"/>
        <v>116.80999999999999</v>
      </c>
      <c r="I43" s="89">
        <f t="shared" si="8"/>
        <v>27.339999999999996</v>
      </c>
      <c r="J43" s="112">
        <f t="shared" si="2"/>
        <v>18703748.063531123</v>
      </c>
      <c r="K43" s="26">
        <f t="shared" si="9"/>
        <v>1348776.7335311249</v>
      </c>
      <c r="L43" s="35">
        <f t="shared" si="3"/>
        <v>7.7717024585319497E-2</v>
      </c>
      <c r="M43" s="9">
        <f t="shared" si="4"/>
        <v>7.7717024585319497E-2</v>
      </c>
      <c r="N43" s="90">
        <f t="shared" si="5"/>
        <v>1819198676914.8911</v>
      </c>
      <c r="O43" s="90">
        <f t="shared" si="6"/>
        <v>1158631.8740518726</v>
      </c>
      <c r="P43" s="90">
        <f t="shared" si="7"/>
        <v>1342427819568.9543</v>
      </c>
      <c r="Q43"/>
    </row>
    <row r="44" spans="1:17" x14ac:dyDescent="0.2">
      <c r="A44" s="42">
        <v>43646</v>
      </c>
      <c r="B44" s="43">
        <f>Inputs!D65</f>
        <v>19464198.199999999</v>
      </c>
      <c r="C44" s="111">
        <f>Inputs!E65</f>
        <v>714216</v>
      </c>
      <c r="D44" s="111">
        <f t="shared" si="1"/>
        <v>20178414.199999999</v>
      </c>
      <c r="E44" s="111">
        <f>Inputs!C65</f>
        <v>12261.5</v>
      </c>
      <c r="F44" s="108">
        <v>30</v>
      </c>
      <c r="G44" s="92">
        <f t="shared" si="8"/>
        <v>0</v>
      </c>
      <c r="H44" s="89">
        <f t="shared" si="8"/>
        <v>10.02</v>
      </c>
      <c r="I44" s="89">
        <f t="shared" si="8"/>
        <v>99.090000000000018</v>
      </c>
      <c r="J44" s="112">
        <f t="shared" si="2"/>
        <v>22657522.54210043</v>
      </c>
      <c r="K44" s="26">
        <f t="shared" si="9"/>
        <v>3193324.3421004303</v>
      </c>
      <c r="L44" s="35">
        <f t="shared" si="3"/>
        <v>0.16406143778891599</v>
      </c>
      <c r="M44" s="9">
        <f t="shared" si="4"/>
        <v>0.16406143778891599</v>
      </c>
      <c r="N44" s="90">
        <f t="shared" si="5"/>
        <v>10197320353851.146</v>
      </c>
      <c r="O44" s="90">
        <f t="shared" si="6"/>
        <v>1844547.6085693054</v>
      </c>
      <c r="P44" s="90">
        <f t="shared" si="7"/>
        <v>3402355880278.7437</v>
      </c>
      <c r="Q44"/>
    </row>
    <row r="45" spans="1:17" x14ac:dyDescent="0.2">
      <c r="A45" s="42">
        <v>43677</v>
      </c>
      <c r="B45" s="43">
        <f>Inputs!D66</f>
        <v>27748687.98</v>
      </c>
      <c r="C45" s="111">
        <f>Inputs!E66</f>
        <v>807602</v>
      </c>
      <c r="D45" s="111">
        <f t="shared" si="1"/>
        <v>28556289.98</v>
      </c>
      <c r="E45" s="111">
        <f>Inputs!C66</f>
        <v>12261.5</v>
      </c>
      <c r="F45" s="108">
        <v>31</v>
      </c>
      <c r="G45" s="92">
        <f t="shared" si="8"/>
        <v>0</v>
      </c>
      <c r="H45" s="89">
        <f t="shared" si="8"/>
        <v>6.9999999999999993E-2</v>
      </c>
      <c r="I45" s="89">
        <f t="shared" si="8"/>
        <v>158.74</v>
      </c>
      <c r="J45" s="112">
        <f t="shared" si="2"/>
        <v>26563479.023717664</v>
      </c>
      <c r="K45" s="26">
        <f t="shared" si="9"/>
        <v>-1185208.9562823363</v>
      </c>
      <c r="L45" s="35">
        <f t="shared" si="3"/>
        <v>-4.2712252094101934E-2</v>
      </c>
      <c r="M45" s="9">
        <f t="shared" si="4"/>
        <v>4.2712252094101934E-2</v>
      </c>
      <c r="N45" s="90">
        <f t="shared" si="5"/>
        <v>1404720270051.865</v>
      </c>
      <c r="O45" s="90">
        <f t="shared" si="6"/>
        <v>-4378533.2983827665</v>
      </c>
      <c r="P45" s="90">
        <f t="shared" si="7"/>
        <v>19171553845046.668</v>
      </c>
      <c r="Q45"/>
    </row>
    <row r="46" spans="1:17" x14ac:dyDescent="0.2">
      <c r="A46" s="42">
        <v>43708</v>
      </c>
      <c r="B46" s="43">
        <f>Inputs!D67</f>
        <v>24726190.98</v>
      </c>
      <c r="C46" s="111">
        <f>Inputs!E67</f>
        <v>740518</v>
      </c>
      <c r="D46" s="111">
        <f t="shared" si="1"/>
        <v>25466708.98</v>
      </c>
      <c r="E46" s="111">
        <f>Inputs!C67</f>
        <v>12261.5</v>
      </c>
      <c r="F46" s="108">
        <v>31</v>
      </c>
      <c r="G46" s="92">
        <f t="shared" si="8"/>
        <v>0</v>
      </c>
      <c r="H46" s="89">
        <f t="shared" si="8"/>
        <v>3.19</v>
      </c>
      <c r="I46" s="89">
        <f t="shared" si="8"/>
        <v>115.75999999999999</v>
      </c>
      <c r="J46" s="112">
        <f t="shared" si="2"/>
        <v>24279653.235180695</v>
      </c>
      <c r="K46" s="26">
        <f t="shared" si="9"/>
        <v>-446537.74481930584</v>
      </c>
      <c r="L46" s="35">
        <f t="shared" si="3"/>
        <v>-1.8059301781681289E-2</v>
      </c>
      <c r="M46" s="9">
        <f t="shared" si="4"/>
        <v>1.8059301781681289E-2</v>
      </c>
      <c r="N46" s="90">
        <f t="shared" si="5"/>
        <v>199395957548.31149</v>
      </c>
      <c r="O46" s="90">
        <f t="shared" si="6"/>
        <v>738671.21146303043</v>
      </c>
      <c r="P46" s="90">
        <f t="shared" si="7"/>
        <v>545635158644.26099</v>
      </c>
      <c r="Q46"/>
    </row>
    <row r="47" spans="1:17" x14ac:dyDescent="0.2">
      <c r="A47" s="42">
        <v>43738</v>
      </c>
      <c r="B47" s="43">
        <f>Inputs!D68</f>
        <v>20533052.670000002</v>
      </c>
      <c r="C47" s="111">
        <f>Inputs!E68</f>
        <v>524876</v>
      </c>
      <c r="D47" s="111">
        <f t="shared" si="1"/>
        <v>21057928.670000002</v>
      </c>
      <c r="E47" s="111">
        <f>Inputs!C68</f>
        <v>12261.5</v>
      </c>
      <c r="F47" s="108">
        <v>30</v>
      </c>
      <c r="G47" s="92">
        <f t="shared" si="8"/>
        <v>0</v>
      </c>
      <c r="H47" s="89">
        <f t="shared" si="8"/>
        <v>32.589999999999996</v>
      </c>
      <c r="I47" s="89">
        <f t="shared" si="8"/>
        <v>44.9</v>
      </c>
      <c r="J47" s="112">
        <f t="shared" si="2"/>
        <v>19895570.095824007</v>
      </c>
      <c r="K47" s="26">
        <f t="shared" si="9"/>
        <v>-637482.57417599484</v>
      </c>
      <c r="L47" s="35">
        <f t="shared" si="3"/>
        <v>-3.1046653628244689E-2</v>
      </c>
      <c r="M47" s="9">
        <f t="shared" si="4"/>
        <v>3.1046653628244689E-2</v>
      </c>
      <c r="N47" s="90">
        <f t="shared" si="5"/>
        <v>406384032378.0528</v>
      </c>
      <c r="O47" s="90">
        <f t="shared" si="6"/>
        <v>-190944.82935668901</v>
      </c>
      <c r="P47" s="90">
        <f t="shared" si="7"/>
        <v>36459927858.055084</v>
      </c>
      <c r="Q47"/>
    </row>
    <row r="48" spans="1:17" x14ac:dyDescent="0.2">
      <c r="A48" s="42">
        <v>43769</v>
      </c>
      <c r="B48" s="43">
        <f>Inputs!D69</f>
        <v>17673930.43</v>
      </c>
      <c r="C48" s="111">
        <f>Inputs!E69</f>
        <v>431057</v>
      </c>
      <c r="D48" s="111">
        <f t="shared" si="1"/>
        <v>18104987.43</v>
      </c>
      <c r="E48" s="111">
        <f>Inputs!C69</f>
        <v>12261.5</v>
      </c>
      <c r="F48" s="108">
        <v>31</v>
      </c>
      <c r="G48" s="92">
        <f t="shared" si="8"/>
        <v>1</v>
      </c>
      <c r="H48" s="89">
        <f t="shared" si="8"/>
        <v>183.84999999999997</v>
      </c>
      <c r="I48" s="89">
        <f t="shared" si="8"/>
        <v>11.61</v>
      </c>
      <c r="J48" s="112">
        <f t="shared" si="2"/>
        <v>18283522.299850598</v>
      </c>
      <c r="K48" s="26">
        <f t="shared" si="9"/>
        <v>609591.86985059828</v>
      </c>
      <c r="L48" s="35">
        <f t="shared" si="3"/>
        <v>3.4491018976507214E-2</v>
      </c>
      <c r="M48" s="9">
        <f t="shared" si="4"/>
        <v>3.4491018976507214E-2</v>
      </c>
      <c r="N48" s="90">
        <f t="shared" si="5"/>
        <v>371602247787.94873</v>
      </c>
      <c r="O48" s="90">
        <f t="shared" si="6"/>
        <v>1247074.4440265931</v>
      </c>
      <c r="P48" s="90">
        <f t="shared" si="7"/>
        <v>1555194668944.2363</v>
      </c>
      <c r="Q48"/>
    </row>
    <row r="49" spans="1:17" x14ac:dyDescent="0.2">
      <c r="A49" s="42">
        <v>43799</v>
      </c>
      <c r="B49" s="43">
        <f>Inputs!D70</f>
        <v>19817492.059999999</v>
      </c>
      <c r="C49" s="111">
        <f>Inputs!E70</f>
        <v>211157</v>
      </c>
      <c r="D49" s="111">
        <f t="shared" si="1"/>
        <v>20028649.059999999</v>
      </c>
      <c r="E49" s="111">
        <f>Inputs!C70</f>
        <v>12261.5</v>
      </c>
      <c r="F49" s="108">
        <v>30</v>
      </c>
      <c r="G49" s="92">
        <f t="shared" si="8"/>
        <v>1</v>
      </c>
      <c r="H49" s="89">
        <f t="shared" si="8"/>
        <v>388.63</v>
      </c>
      <c r="I49" s="89">
        <f t="shared" si="8"/>
        <v>0.36666666666666664</v>
      </c>
      <c r="J49" s="112">
        <f t="shared" si="2"/>
        <v>18200699.769207645</v>
      </c>
      <c r="K49" s="26">
        <f t="shared" si="9"/>
        <v>-1616792.2907923535</v>
      </c>
      <c r="L49" s="35">
        <f t="shared" si="3"/>
        <v>-8.1584101857960001E-2</v>
      </c>
      <c r="M49" s="9">
        <f t="shared" si="4"/>
        <v>8.1584101857960001E-2</v>
      </c>
      <c r="N49" s="90">
        <f t="shared" si="5"/>
        <v>2614017311565.5859</v>
      </c>
      <c r="O49" s="90">
        <f t="shared" si="6"/>
        <v>-2226384.1606429517</v>
      </c>
      <c r="P49" s="90">
        <f t="shared" si="7"/>
        <v>4956786430761.8203</v>
      </c>
      <c r="Q49"/>
    </row>
    <row r="50" spans="1:17" x14ac:dyDescent="0.2">
      <c r="A50" s="42">
        <v>43830</v>
      </c>
      <c r="B50" s="43">
        <f>Inputs!D71</f>
        <v>21339148.780000001</v>
      </c>
      <c r="C50" s="111">
        <f>Inputs!E71</f>
        <v>219317</v>
      </c>
      <c r="D50" s="111">
        <f t="shared" si="1"/>
        <v>21558465.780000001</v>
      </c>
      <c r="E50" s="111">
        <f>Inputs!C71</f>
        <v>12261.5</v>
      </c>
      <c r="F50" s="108">
        <v>31</v>
      </c>
      <c r="G50" s="92">
        <f t="shared" si="8"/>
        <v>0</v>
      </c>
      <c r="H50" s="89">
        <f t="shared" si="8"/>
        <v>553.67999999999995</v>
      </c>
      <c r="I50" s="89">
        <f t="shared" si="8"/>
        <v>0</v>
      </c>
      <c r="J50" s="112">
        <f t="shared" si="2"/>
        <v>21547452.43208269</v>
      </c>
      <c r="K50" s="26">
        <f t="shared" si="9"/>
        <v>208303.65208268911</v>
      </c>
      <c r="L50" s="35">
        <f t="shared" si="3"/>
        <v>9.7615726958106483E-3</v>
      </c>
      <c r="M50" s="9">
        <f t="shared" si="4"/>
        <v>9.7615726958106483E-3</v>
      </c>
      <c r="N50" s="90">
        <f t="shared" si="5"/>
        <v>43390411470.985992</v>
      </c>
      <c r="O50" s="90">
        <f t="shared" si="6"/>
        <v>1825095.9428750426</v>
      </c>
      <c r="P50" s="90">
        <f t="shared" si="7"/>
        <v>3330975200698.9404</v>
      </c>
      <c r="Q50"/>
    </row>
    <row r="51" spans="1:17" x14ac:dyDescent="0.2">
      <c r="A51" s="42">
        <v>43861</v>
      </c>
      <c r="B51" s="43">
        <f>Inputs!D72</f>
        <v>21900522.559999999</v>
      </c>
      <c r="C51" s="111">
        <f>Inputs!E72</f>
        <v>185268</v>
      </c>
      <c r="D51" s="111">
        <f t="shared" si="1"/>
        <v>22085790.559999999</v>
      </c>
      <c r="E51" s="111">
        <f>Inputs!C72</f>
        <v>12375.5</v>
      </c>
      <c r="F51" s="108">
        <v>31</v>
      </c>
      <c r="G51" s="92">
        <f t="shared" si="8"/>
        <v>0</v>
      </c>
      <c r="H51" s="89">
        <f t="shared" si="8"/>
        <v>637.03999999999985</v>
      </c>
      <c r="I51" s="89">
        <f t="shared" si="8"/>
        <v>0</v>
      </c>
      <c r="J51" s="112">
        <f t="shared" si="2"/>
        <v>22200882.300524067</v>
      </c>
      <c r="K51" s="26">
        <f t="shared" si="9"/>
        <v>300359.74052406847</v>
      </c>
      <c r="L51" s="35">
        <f t="shared" si="3"/>
        <v>1.3714729395208937E-2</v>
      </c>
      <c r="M51" s="9">
        <f t="shared" si="4"/>
        <v>1.3714729395208937E-2</v>
      </c>
      <c r="N51" s="90">
        <f t="shared" si="5"/>
        <v>90215973727.685745</v>
      </c>
      <c r="O51" s="90">
        <f t="shared" si="6"/>
        <v>92056.088441379368</v>
      </c>
      <c r="P51" s="90">
        <f t="shared" si="7"/>
        <v>8474323419.1270599</v>
      </c>
      <c r="Q51"/>
    </row>
    <row r="52" spans="1:17" x14ac:dyDescent="0.2">
      <c r="A52" s="42">
        <v>43890</v>
      </c>
      <c r="B52" s="43">
        <f>Inputs!D73</f>
        <v>20284919.280000001</v>
      </c>
      <c r="C52" s="111">
        <f>Inputs!E73</f>
        <v>327088</v>
      </c>
      <c r="D52" s="111">
        <f t="shared" si="1"/>
        <v>20612007.280000001</v>
      </c>
      <c r="E52" s="111">
        <f>Inputs!C73</f>
        <v>12375.5</v>
      </c>
      <c r="F52" s="108">
        <v>29</v>
      </c>
      <c r="G52" s="92">
        <f t="shared" si="8"/>
        <v>0</v>
      </c>
      <c r="H52" s="89">
        <f t="shared" si="8"/>
        <v>540.82000000000005</v>
      </c>
      <c r="I52" s="89">
        <f t="shared" si="8"/>
        <v>0</v>
      </c>
      <c r="J52" s="112">
        <f t="shared" si="2"/>
        <v>20050459.599005725</v>
      </c>
      <c r="K52" s="26">
        <f t="shared" si="9"/>
        <v>-234459.68099427596</v>
      </c>
      <c r="L52" s="35">
        <f t="shared" si="3"/>
        <v>-1.1558324573933229E-2</v>
      </c>
      <c r="M52" s="9">
        <f t="shared" si="4"/>
        <v>1.1558324573933229E-2</v>
      </c>
      <c r="N52" s="90">
        <f t="shared" si="5"/>
        <v>54971342011.937645</v>
      </c>
      <c r="O52" s="90">
        <f t="shared" si="6"/>
        <v>-534819.42151834443</v>
      </c>
      <c r="P52" s="90">
        <f t="shared" si="7"/>
        <v>286031813633.21655</v>
      </c>
      <c r="Q52"/>
    </row>
    <row r="53" spans="1:17" x14ac:dyDescent="0.2">
      <c r="A53" s="42">
        <v>43921</v>
      </c>
      <c r="B53" s="43">
        <f>Inputs!D74</f>
        <v>19635489.940000001</v>
      </c>
      <c r="C53" s="111">
        <f>Inputs!E74</f>
        <v>440591</v>
      </c>
      <c r="D53" s="111">
        <f t="shared" si="1"/>
        <v>20076080.940000001</v>
      </c>
      <c r="E53" s="111">
        <f>Inputs!C74</f>
        <v>12375.5</v>
      </c>
      <c r="F53" s="108">
        <v>31</v>
      </c>
      <c r="G53" s="92">
        <f t="shared" si="8"/>
        <v>1</v>
      </c>
      <c r="H53" s="89">
        <f t="shared" si="8"/>
        <v>454.27</v>
      </c>
      <c r="I53" s="89">
        <f t="shared" si="8"/>
        <v>0</v>
      </c>
      <c r="J53" s="112">
        <f t="shared" si="2"/>
        <v>19494500.918565534</v>
      </c>
      <c r="K53" s="26">
        <f t="shared" si="9"/>
        <v>-140989.02143446729</v>
      </c>
      <c r="L53" s="35">
        <f t="shared" si="3"/>
        <v>-7.1803159414553057E-3</v>
      </c>
      <c r="M53" s="9">
        <f t="shared" si="4"/>
        <v>7.1803159414553057E-3</v>
      </c>
      <c r="N53" s="90">
        <f t="shared" si="5"/>
        <v>19877904165.048676</v>
      </c>
      <c r="O53" s="90">
        <f t="shared" si="6"/>
        <v>93470.659559808671</v>
      </c>
      <c r="P53" s="90">
        <f t="shared" si="7"/>
        <v>8736764198.5456524</v>
      </c>
      <c r="Q53"/>
    </row>
    <row r="54" spans="1:17" x14ac:dyDescent="0.2">
      <c r="A54" s="42">
        <v>43951</v>
      </c>
      <c r="B54" s="43">
        <f>Inputs!D75</f>
        <v>17063911.989999998</v>
      </c>
      <c r="C54" s="111">
        <f>Inputs!E75</f>
        <v>618495</v>
      </c>
      <c r="D54" s="111">
        <f t="shared" si="1"/>
        <v>17682406.989999998</v>
      </c>
      <c r="E54" s="111">
        <f>Inputs!C75</f>
        <v>12375.5</v>
      </c>
      <c r="F54" s="108">
        <v>30</v>
      </c>
      <c r="G54" s="92">
        <f t="shared" si="8"/>
        <v>1</v>
      </c>
      <c r="H54" s="89">
        <f t="shared" si="8"/>
        <v>287.61</v>
      </c>
      <c r="I54" s="89">
        <f t="shared" si="8"/>
        <v>1.08</v>
      </c>
      <c r="J54" s="112">
        <f t="shared" si="2"/>
        <v>17729479.165409632</v>
      </c>
      <c r="K54" s="26">
        <f t="shared" si="9"/>
        <v>665567.17540963367</v>
      </c>
      <c r="L54" s="35">
        <f t="shared" si="3"/>
        <v>3.9004372256471874E-2</v>
      </c>
      <c r="M54" s="9">
        <f t="shared" si="4"/>
        <v>3.9004372256471874E-2</v>
      </c>
      <c r="N54" s="90">
        <f t="shared" si="5"/>
        <v>442979664982.75806</v>
      </c>
      <c r="O54" s="90">
        <f t="shared" si="6"/>
        <v>806556.19684410095</v>
      </c>
      <c r="P54" s="90">
        <f t="shared" si="7"/>
        <v>650532898667.62012</v>
      </c>
      <c r="Q54"/>
    </row>
    <row r="55" spans="1:17" x14ac:dyDescent="0.2">
      <c r="A55" s="42">
        <v>43982</v>
      </c>
      <c r="B55" s="43">
        <f>Inputs!D76</f>
        <v>17813698.140000001</v>
      </c>
      <c r="C55" s="111">
        <f>Inputs!E76</f>
        <v>716891</v>
      </c>
      <c r="D55" s="111">
        <f t="shared" si="1"/>
        <v>18530589.140000001</v>
      </c>
      <c r="E55" s="111">
        <f>Inputs!C76</f>
        <v>12375.5</v>
      </c>
      <c r="F55" s="108">
        <v>31</v>
      </c>
      <c r="G55" s="92">
        <f t="shared" si="8"/>
        <v>1</v>
      </c>
      <c r="H55" s="89">
        <f t="shared" si="8"/>
        <v>116.80999999999999</v>
      </c>
      <c r="I55" s="89">
        <f t="shared" si="8"/>
        <v>27.339999999999996</v>
      </c>
      <c r="J55" s="112">
        <f t="shared" si="2"/>
        <v>18831427.879461512</v>
      </c>
      <c r="K55" s="26">
        <f t="shared" si="9"/>
        <v>1017729.7394615114</v>
      </c>
      <c r="L55" s="35">
        <f t="shared" si="3"/>
        <v>5.7131861753974424E-2</v>
      </c>
      <c r="M55" s="9">
        <f t="shared" si="4"/>
        <v>5.7131861753974424E-2</v>
      </c>
      <c r="N55" s="90">
        <f t="shared" si="5"/>
        <v>1035773822584.3959</v>
      </c>
      <c r="O55" s="90">
        <f t="shared" si="6"/>
        <v>352162.56405187771</v>
      </c>
      <c r="P55" s="90">
        <f t="shared" si="7"/>
        <v>124018471519.59286</v>
      </c>
      <c r="Q55"/>
    </row>
    <row r="56" spans="1:17" x14ac:dyDescent="0.2">
      <c r="A56" s="42">
        <v>44012</v>
      </c>
      <c r="B56" s="43">
        <f>Inputs!D77</f>
        <v>22200151.539999999</v>
      </c>
      <c r="C56" s="111">
        <f>Inputs!E77</f>
        <v>865508</v>
      </c>
      <c r="D56" s="111">
        <f t="shared" si="1"/>
        <v>23065659.539999999</v>
      </c>
      <c r="E56" s="111">
        <f>Inputs!C77</f>
        <v>12375.5</v>
      </c>
      <c r="F56" s="108">
        <v>30</v>
      </c>
      <c r="G56" s="92">
        <f t="shared" si="8"/>
        <v>0</v>
      </c>
      <c r="H56" s="89">
        <f t="shared" si="8"/>
        <v>10.02</v>
      </c>
      <c r="I56" s="89">
        <f t="shared" si="8"/>
        <v>99.090000000000018</v>
      </c>
      <c r="J56" s="112">
        <f t="shared" si="2"/>
        <v>22785202.358030815</v>
      </c>
      <c r="K56" s="26">
        <f t="shared" si="9"/>
        <v>585050.81803081557</v>
      </c>
      <c r="L56" s="35">
        <f t="shared" si="3"/>
        <v>2.6353460559792898E-2</v>
      </c>
      <c r="M56" s="9">
        <f t="shared" si="4"/>
        <v>2.6353460559792898E-2</v>
      </c>
      <c r="N56" s="90">
        <f t="shared" si="5"/>
        <v>342284459678.52649</v>
      </c>
      <c r="O56" s="90">
        <f t="shared" si="6"/>
        <v>-432678.9214306958</v>
      </c>
      <c r="P56" s="90">
        <f t="shared" si="7"/>
        <v>187211049050.43024</v>
      </c>
      <c r="Q56"/>
    </row>
    <row r="57" spans="1:17" x14ac:dyDescent="0.2">
      <c r="A57" s="42">
        <v>44043</v>
      </c>
      <c r="B57" s="43">
        <f>Inputs!D78</f>
        <v>28312518.27</v>
      </c>
      <c r="C57" s="111">
        <f>Inputs!E78</f>
        <v>822094</v>
      </c>
      <c r="D57" s="111">
        <f t="shared" si="1"/>
        <v>29134612.27</v>
      </c>
      <c r="E57" s="111">
        <f>Inputs!C78</f>
        <v>12375.5</v>
      </c>
      <c r="F57" s="108">
        <v>31</v>
      </c>
      <c r="G57" s="92">
        <f t="shared" si="8"/>
        <v>0</v>
      </c>
      <c r="H57" s="89">
        <f t="shared" si="8"/>
        <v>6.9999999999999993E-2</v>
      </c>
      <c r="I57" s="89">
        <f t="shared" si="8"/>
        <v>158.74</v>
      </c>
      <c r="J57" s="112">
        <f t="shared" si="2"/>
        <v>26691158.839648053</v>
      </c>
      <c r="K57" s="26">
        <f t="shared" si="9"/>
        <v>-1621359.4303519465</v>
      </c>
      <c r="L57" s="35">
        <f t="shared" si="3"/>
        <v>-5.7266521292453951E-2</v>
      </c>
      <c r="M57" s="9">
        <f t="shared" si="4"/>
        <v>5.7266521292453951E-2</v>
      </c>
      <c r="N57" s="90">
        <f t="shared" si="5"/>
        <v>2628806402391.1885</v>
      </c>
      <c r="O57" s="90">
        <f t="shared" si="6"/>
        <v>-2206410.2483827621</v>
      </c>
      <c r="P57" s="90">
        <f t="shared" si="7"/>
        <v>4868246184168.4814</v>
      </c>
      <c r="Q57"/>
    </row>
    <row r="58" spans="1:17" x14ac:dyDescent="0.2">
      <c r="A58" s="42">
        <v>44074</v>
      </c>
      <c r="B58" s="43">
        <f>Inputs!D79</f>
        <v>25759720.140000001</v>
      </c>
      <c r="C58" s="111">
        <f>Inputs!E79</f>
        <v>742007</v>
      </c>
      <c r="D58" s="111">
        <f t="shared" si="1"/>
        <v>26501727.140000001</v>
      </c>
      <c r="E58" s="111">
        <f>Inputs!C79</f>
        <v>12375.5</v>
      </c>
      <c r="F58" s="108">
        <v>31</v>
      </c>
      <c r="G58" s="92">
        <f t="shared" si="8"/>
        <v>0</v>
      </c>
      <c r="H58" s="89">
        <f t="shared" si="8"/>
        <v>3.19</v>
      </c>
      <c r="I58" s="89">
        <f t="shared" si="8"/>
        <v>115.75999999999999</v>
      </c>
      <c r="J58" s="112">
        <f t="shared" si="2"/>
        <v>24407333.051111083</v>
      </c>
      <c r="K58" s="26">
        <f t="shared" si="9"/>
        <v>-1352387.0888889171</v>
      </c>
      <c r="L58" s="35">
        <f t="shared" si="3"/>
        <v>-5.2500069159870814E-2</v>
      </c>
      <c r="M58" s="9">
        <f t="shared" si="4"/>
        <v>5.2500069159870814E-2</v>
      </c>
      <c r="N58" s="90">
        <f t="shared" si="5"/>
        <v>1828950838193.4397</v>
      </c>
      <c r="O58" s="90">
        <f t="shared" si="6"/>
        <v>268972.34146302938</v>
      </c>
      <c r="P58" s="90">
        <f t="shared" si="7"/>
        <v>72346120472.104477</v>
      </c>
      <c r="Q58"/>
    </row>
    <row r="59" spans="1:17" x14ac:dyDescent="0.2">
      <c r="A59" s="42">
        <v>44104</v>
      </c>
      <c r="B59" s="43">
        <f>Inputs!D80</f>
        <v>18691559.740000002</v>
      </c>
      <c r="C59" s="111">
        <f>Inputs!E80</f>
        <v>584979</v>
      </c>
      <c r="D59" s="111">
        <f t="shared" si="1"/>
        <v>19276538.740000002</v>
      </c>
      <c r="E59" s="111">
        <f>Inputs!C80</f>
        <v>12375.5</v>
      </c>
      <c r="F59" s="108">
        <v>30</v>
      </c>
      <c r="G59" s="92">
        <f t="shared" si="8"/>
        <v>0</v>
      </c>
      <c r="H59" s="89">
        <f t="shared" si="8"/>
        <v>32.589999999999996</v>
      </c>
      <c r="I59" s="89">
        <f t="shared" si="8"/>
        <v>44.9</v>
      </c>
      <c r="J59" s="112">
        <f t="shared" si="2"/>
        <v>20023249.911754392</v>
      </c>
      <c r="K59" s="26">
        <f t="shared" si="9"/>
        <v>1331690.17175439</v>
      </c>
      <c r="L59" s="35">
        <f t="shared" si="3"/>
        <v>7.1245534898008986E-2</v>
      </c>
      <c r="M59" s="9">
        <f t="shared" si="4"/>
        <v>7.1245534898008986E-2</v>
      </c>
      <c r="N59" s="90">
        <f t="shared" si="5"/>
        <v>1773398713547.2368</v>
      </c>
      <c r="O59" s="90">
        <f t="shared" si="6"/>
        <v>2684077.2606433071</v>
      </c>
      <c r="P59" s="90">
        <f t="shared" si="7"/>
        <v>7204270741102.4795</v>
      </c>
      <c r="Q59"/>
    </row>
    <row r="60" spans="1:17" x14ac:dyDescent="0.2">
      <c r="A60" s="42">
        <v>44135</v>
      </c>
      <c r="B60" s="43">
        <f>Inputs!D81</f>
        <v>17010847.789999999</v>
      </c>
      <c r="C60" s="111">
        <f>Inputs!E81</f>
        <v>426912</v>
      </c>
      <c r="D60" s="111">
        <f t="shared" si="1"/>
        <v>17437759.789999999</v>
      </c>
      <c r="E60" s="111">
        <f>Inputs!C81</f>
        <v>12375.5</v>
      </c>
      <c r="F60" s="108">
        <v>31</v>
      </c>
      <c r="G60" s="92">
        <f t="shared" si="8"/>
        <v>1</v>
      </c>
      <c r="H60" s="89">
        <f t="shared" si="8"/>
        <v>183.84999999999997</v>
      </c>
      <c r="I60" s="89">
        <f t="shared" si="8"/>
        <v>11.61</v>
      </c>
      <c r="J60" s="112">
        <f t="shared" si="2"/>
        <v>18411202.115780987</v>
      </c>
      <c r="K60" s="26">
        <f t="shared" si="9"/>
        <v>1400354.3257809877</v>
      </c>
      <c r="L60" s="35">
        <f t="shared" si="3"/>
        <v>8.2321254241320085E-2</v>
      </c>
      <c r="M60" s="9">
        <f t="shared" si="4"/>
        <v>8.2321254241320085E-2</v>
      </c>
      <c r="N60" s="90">
        <f t="shared" si="5"/>
        <v>1960992237733.5247</v>
      </c>
      <c r="O60" s="90">
        <f t="shared" si="6"/>
        <v>68664.154026597738</v>
      </c>
      <c r="P60" s="90">
        <f t="shared" si="7"/>
        <v>4714766048.1883383</v>
      </c>
      <c r="Q60"/>
    </row>
    <row r="61" spans="1:17" x14ac:dyDescent="0.2">
      <c r="A61" s="42">
        <v>44165</v>
      </c>
      <c r="B61" s="43">
        <f>Inputs!D82</f>
        <v>18253420.960000001</v>
      </c>
      <c r="C61" s="111">
        <f>Inputs!E82</f>
        <v>357184</v>
      </c>
      <c r="D61" s="111">
        <f t="shared" si="1"/>
        <v>18610604.960000001</v>
      </c>
      <c r="E61" s="111">
        <f>Inputs!C82</f>
        <v>12375.5</v>
      </c>
      <c r="F61" s="108">
        <v>30</v>
      </c>
      <c r="G61" s="92">
        <f t="shared" si="8"/>
        <v>1</v>
      </c>
      <c r="H61" s="89">
        <f t="shared" si="8"/>
        <v>388.63</v>
      </c>
      <c r="I61" s="89">
        <f t="shared" si="8"/>
        <v>0.36666666666666664</v>
      </c>
      <c r="J61" s="112">
        <f t="shared" si="2"/>
        <v>18328379.58513803</v>
      </c>
      <c r="K61" s="26">
        <f t="shared" si="9"/>
        <v>74958.625138029456</v>
      </c>
      <c r="L61" s="35">
        <f t="shared" si="3"/>
        <v>4.106552152732988E-3</v>
      </c>
      <c r="M61" s="9">
        <f t="shared" si="4"/>
        <v>4.106552152732988E-3</v>
      </c>
      <c r="N61" s="90">
        <f t="shared" si="5"/>
        <v>5618795482.583622</v>
      </c>
      <c r="O61" s="90">
        <f t="shared" si="6"/>
        <v>-1325395.7006429583</v>
      </c>
      <c r="P61" s="90">
        <f t="shared" si="7"/>
        <v>1756673763282.8384</v>
      </c>
      <c r="Q61"/>
    </row>
    <row r="62" spans="1:17" x14ac:dyDescent="0.2">
      <c r="A62" s="42">
        <v>44196</v>
      </c>
      <c r="B62" s="43">
        <f>Inputs!D83</f>
        <v>20812449.16</v>
      </c>
      <c r="C62" s="111">
        <f>Inputs!E83</f>
        <v>170241</v>
      </c>
      <c r="D62" s="111">
        <f t="shared" si="1"/>
        <v>20982690.16</v>
      </c>
      <c r="E62" s="111">
        <f>Inputs!C83</f>
        <v>12375.5</v>
      </c>
      <c r="F62" s="108">
        <v>31</v>
      </c>
      <c r="G62" s="92">
        <f t="shared" si="8"/>
        <v>0</v>
      </c>
      <c r="H62" s="89">
        <f t="shared" si="8"/>
        <v>553.67999999999995</v>
      </c>
      <c r="I62" s="89">
        <f t="shared" si="8"/>
        <v>0</v>
      </c>
      <c r="J62" s="112">
        <f t="shared" si="2"/>
        <v>21675132.248013079</v>
      </c>
      <c r="K62" s="26">
        <f t="shared" si="9"/>
        <v>862683.08801307902</v>
      </c>
      <c r="L62" s="35">
        <f t="shared" si="3"/>
        <v>4.1450339716437246E-2</v>
      </c>
      <c r="M62" s="9">
        <f t="shared" si="4"/>
        <v>4.1450339716437246E-2</v>
      </c>
      <c r="N62" s="90">
        <f t="shared" si="5"/>
        <v>744222110343.78186</v>
      </c>
      <c r="O62" s="90">
        <f t="shared" si="6"/>
        <v>787724.46287504956</v>
      </c>
      <c r="P62" s="90">
        <f t="shared" si="7"/>
        <v>620509829411.78528</v>
      </c>
      <c r="Q62"/>
    </row>
    <row r="63" spans="1:17" x14ac:dyDescent="0.2">
      <c r="A63" s="42">
        <v>44227</v>
      </c>
      <c r="B63" s="43">
        <f>Inputs!D84</f>
        <v>20791460.91</v>
      </c>
      <c r="C63" s="111">
        <f>Inputs!E84</f>
        <v>203656</v>
      </c>
      <c r="D63" s="111">
        <f t="shared" si="1"/>
        <v>20995116.91</v>
      </c>
      <c r="E63" s="111">
        <f>Inputs!C84</f>
        <v>12439.25</v>
      </c>
      <c r="F63" s="108">
        <v>31</v>
      </c>
      <c r="G63" s="92">
        <f t="shared" si="8"/>
        <v>0</v>
      </c>
      <c r="H63" s="89">
        <f t="shared" si="8"/>
        <v>637.03999999999985</v>
      </c>
      <c r="I63" s="89">
        <f t="shared" si="8"/>
        <v>0</v>
      </c>
      <c r="J63" s="112">
        <f t="shared" si="2"/>
        <v>22272282.1975904</v>
      </c>
      <c r="K63" s="26">
        <f t="shared" si="9"/>
        <v>1480821.2875903994</v>
      </c>
      <c r="L63" s="35">
        <f t="shared" si="3"/>
        <v>7.1222570361959212E-2</v>
      </c>
      <c r="M63" s="9">
        <f t="shared" si="4"/>
        <v>7.1222570361959212E-2</v>
      </c>
      <c r="N63" s="90">
        <f t="shared" si="5"/>
        <v>2192831685780.8884</v>
      </c>
      <c r="O63" s="90">
        <f t="shared" si="6"/>
        <v>618138.19957732037</v>
      </c>
      <c r="P63" s="90">
        <f t="shared" si="7"/>
        <v>382094833776.69116</v>
      </c>
      <c r="Q63"/>
    </row>
    <row r="64" spans="1:17" x14ac:dyDescent="0.2">
      <c r="A64" s="42">
        <v>44255</v>
      </c>
      <c r="B64" s="43">
        <f>Inputs!D85</f>
        <v>19464197.140000001</v>
      </c>
      <c r="C64" s="111">
        <f>Inputs!E85</f>
        <v>359185</v>
      </c>
      <c r="D64" s="111">
        <f t="shared" si="1"/>
        <v>19823382.140000001</v>
      </c>
      <c r="E64" s="111">
        <f>Inputs!C85</f>
        <v>12439.25</v>
      </c>
      <c r="F64" s="108">
        <v>28</v>
      </c>
      <c r="G64" s="92">
        <f t="shared" si="8"/>
        <v>0</v>
      </c>
      <c r="H64" s="89">
        <f t="shared" si="8"/>
        <v>540.82000000000005</v>
      </c>
      <c r="I64" s="89">
        <f t="shared" si="8"/>
        <v>0</v>
      </c>
      <c r="J64" s="112">
        <f t="shared" si="2"/>
        <v>19350077.068373147</v>
      </c>
      <c r="K64" s="26">
        <f t="shared" si="9"/>
        <v>-114120.0716268532</v>
      </c>
      <c r="L64" s="35">
        <f t="shared" si="3"/>
        <v>-5.8630762320183317E-3</v>
      </c>
      <c r="M64" s="9">
        <f t="shared" si="4"/>
        <v>5.8630762320183317E-3</v>
      </c>
      <c r="N64" s="90">
        <f t="shared" si="5"/>
        <v>13023390748.118105</v>
      </c>
      <c r="O64" s="90">
        <f t="shared" si="6"/>
        <v>-1594941.3592172526</v>
      </c>
      <c r="P64" s="90">
        <f t="shared" si="7"/>
        <v>2543837939341.7773</v>
      </c>
      <c r="Q64"/>
    </row>
    <row r="65" spans="1:17" x14ac:dyDescent="0.2">
      <c r="A65" s="42">
        <v>44286</v>
      </c>
      <c r="B65" s="43">
        <f>Inputs!D86</f>
        <v>18626681.48</v>
      </c>
      <c r="C65" s="111">
        <f>Inputs!E86</f>
        <v>694681</v>
      </c>
      <c r="D65" s="111">
        <f t="shared" si="1"/>
        <v>19321362.48</v>
      </c>
      <c r="E65" s="111">
        <f>Inputs!C86</f>
        <v>12439.25</v>
      </c>
      <c r="F65" s="108">
        <v>31</v>
      </c>
      <c r="G65" s="92">
        <f t="shared" si="8"/>
        <v>1</v>
      </c>
      <c r="H65" s="89">
        <f t="shared" si="8"/>
        <v>454.27</v>
      </c>
      <c r="I65" s="89">
        <f t="shared" si="8"/>
        <v>0</v>
      </c>
      <c r="J65" s="112">
        <f t="shared" si="2"/>
        <v>19565900.815631866</v>
      </c>
      <c r="K65" s="26">
        <f t="shared" si="9"/>
        <v>939219.33563186601</v>
      </c>
      <c r="L65" s="35">
        <f t="shared" si="3"/>
        <v>5.0423331533334725E-2</v>
      </c>
      <c r="M65" s="9">
        <f t="shared" si="4"/>
        <v>5.0423331533334725E-2</v>
      </c>
      <c r="N65" s="90">
        <f t="shared" si="5"/>
        <v>882132960424.76379</v>
      </c>
      <c r="O65" s="90">
        <f t="shared" si="6"/>
        <v>1053339.4072587192</v>
      </c>
      <c r="P65" s="90">
        <f t="shared" si="7"/>
        <v>1109523906884.1499</v>
      </c>
    </row>
    <row r="66" spans="1:17" x14ac:dyDescent="0.2">
      <c r="A66" s="42">
        <v>44316</v>
      </c>
      <c r="B66" s="43">
        <f>Inputs!D87</f>
        <v>16318058.01</v>
      </c>
      <c r="C66" s="111">
        <f>Inputs!E87</f>
        <v>585708</v>
      </c>
      <c r="D66" s="111">
        <f t="shared" si="1"/>
        <v>16903766.009999998</v>
      </c>
      <c r="E66" s="111">
        <f>Inputs!C87</f>
        <v>12439.25</v>
      </c>
      <c r="F66" s="108">
        <v>30</v>
      </c>
      <c r="G66" s="92">
        <f t="shared" si="8"/>
        <v>1</v>
      </c>
      <c r="H66" s="89">
        <f t="shared" si="8"/>
        <v>287.61</v>
      </c>
      <c r="I66" s="89">
        <f t="shared" si="8"/>
        <v>1.08</v>
      </c>
      <c r="J66" s="112">
        <f t="shared" si="2"/>
        <v>17800879.062475972</v>
      </c>
      <c r="K66" s="26">
        <f t="shared" si="9"/>
        <v>1482821.0524759721</v>
      </c>
      <c r="L66" s="35">
        <f t="shared" si="3"/>
        <v>9.0869946139869873E-2</v>
      </c>
      <c r="M66" s="9">
        <f t="shared" si="4"/>
        <v>9.0869946139869873E-2</v>
      </c>
      <c r="N66" s="90">
        <f t="shared" si="5"/>
        <v>2198758273665.9497</v>
      </c>
      <c r="O66" s="90">
        <f t="shared" si="6"/>
        <v>543601.71684410609</v>
      </c>
      <c r="P66" s="90">
        <f t="shared" si="7"/>
        <v>295502826555.85968</v>
      </c>
    </row>
    <row r="67" spans="1:17" x14ac:dyDescent="0.2">
      <c r="A67" s="42">
        <v>44347</v>
      </c>
      <c r="B67" s="43">
        <f>Inputs!D88</f>
        <v>17668256.82</v>
      </c>
      <c r="C67" s="111">
        <f>Inputs!E88</f>
        <v>728119</v>
      </c>
      <c r="D67" s="111">
        <f t="shared" si="1"/>
        <v>18396375.82</v>
      </c>
      <c r="E67" s="111">
        <f>Inputs!C88</f>
        <v>12439.25</v>
      </c>
      <c r="F67" s="108">
        <v>31</v>
      </c>
      <c r="G67" s="92">
        <f t="shared" si="8"/>
        <v>1</v>
      </c>
      <c r="H67" s="89">
        <f t="shared" si="8"/>
        <v>116.80999999999999</v>
      </c>
      <c r="I67" s="89">
        <f t="shared" si="8"/>
        <v>27.339999999999996</v>
      </c>
      <c r="J67" s="112">
        <f t="shared" si="2"/>
        <v>18902827.776527844</v>
      </c>
      <c r="K67" s="26">
        <f t="shared" ref="K67:K98" si="10">J67-B67</f>
        <v>1234570.9565278441</v>
      </c>
      <c r="L67" s="35">
        <f t="shared" si="3"/>
        <v>6.9875085533641454E-2</v>
      </c>
      <c r="M67" s="9">
        <f t="shared" si="4"/>
        <v>6.9875085533641454E-2</v>
      </c>
      <c r="N67" s="90">
        <f t="shared" si="5"/>
        <v>1524165446702.0759</v>
      </c>
      <c r="O67" s="90">
        <f t="shared" si="6"/>
        <v>-248250.09594812803</v>
      </c>
      <c r="P67" s="90">
        <f t="shared" si="7"/>
        <v>61628110138.254776</v>
      </c>
    </row>
    <row r="68" spans="1:17" x14ac:dyDescent="0.2">
      <c r="A68" s="42">
        <v>44377</v>
      </c>
      <c r="B68" s="43">
        <f>Inputs!D89</f>
        <v>23582804.460000001</v>
      </c>
      <c r="C68" s="111">
        <f>Inputs!E89</f>
        <v>715667</v>
      </c>
      <c r="D68" s="111">
        <f t="shared" ref="D68:D122" si="11">B68+C68</f>
        <v>24298471.460000001</v>
      </c>
      <c r="E68" s="111">
        <f>Inputs!C89</f>
        <v>12439.25</v>
      </c>
      <c r="F68" s="108">
        <v>30</v>
      </c>
      <c r="G68" s="92">
        <f t="shared" si="8"/>
        <v>0</v>
      </c>
      <c r="H68" s="89">
        <f t="shared" si="8"/>
        <v>10.02</v>
      </c>
      <c r="I68" s="89">
        <f t="shared" si="8"/>
        <v>99.090000000000018</v>
      </c>
      <c r="J68" s="112">
        <f t="shared" ref="J68:J110" si="12">$S$18+$S$19*E68+$S$20*F68+$S$21*G68+$S$22*H68+$S$23*I68</f>
        <v>22856602.255097151</v>
      </c>
      <c r="K68" s="26">
        <f t="shared" si="10"/>
        <v>-726202.20490285009</v>
      </c>
      <c r="L68" s="35">
        <f t="shared" ref="L68:L122" si="13">K68/B68</f>
        <v>-3.0793716927713103E-2</v>
      </c>
      <c r="M68" s="9">
        <f t="shared" ref="M68:M122" si="14">ABS(L68)</f>
        <v>3.0793716927713103E-2</v>
      </c>
      <c r="N68" s="90">
        <f t="shared" ref="N68:N122" si="15">K68*K68</f>
        <v>527369642405.76105</v>
      </c>
      <c r="O68" s="90">
        <f t="shared" si="6"/>
        <v>-1960773.1614306942</v>
      </c>
      <c r="P68" s="90">
        <f t="shared" si="7"/>
        <v>3844631390586.9189</v>
      </c>
    </row>
    <row r="69" spans="1:17" x14ac:dyDescent="0.2">
      <c r="A69" s="42">
        <v>44408</v>
      </c>
      <c r="B69" s="43">
        <f>Inputs!D90</f>
        <v>24086129.16</v>
      </c>
      <c r="C69" s="111">
        <f>Inputs!E90</f>
        <v>705394</v>
      </c>
      <c r="D69" s="111">
        <f t="shared" si="11"/>
        <v>24791523.16</v>
      </c>
      <c r="E69" s="111">
        <f>Inputs!C90</f>
        <v>12439.25</v>
      </c>
      <c r="F69" s="108">
        <v>31</v>
      </c>
      <c r="G69" s="92">
        <f t="shared" si="8"/>
        <v>0</v>
      </c>
      <c r="H69" s="89">
        <f t="shared" si="8"/>
        <v>6.9999999999999993E-2</v>
      </c>
      <c r="I69" s="89">
        <f t="shared" si="8"/>
        <v>158.74</v>
      </c>
      <c r="J69" s="112">
        <f t="shared" si="12"/>
        <v>26762558.736714385</v>
      </c>
      <c r="K69" s="26">
        <f t="shared" si="10"/>
        <v>2676429.5767143853</v>
      </c>
      <c r="L69" s="35">
        <f t="shared" si="13"/>
        <v>0.11111912416209867</v>
      </c>
      <c r="M69" s="9">
        <f t="shared" si="14"/>
        <v>0.11111912416209867</v>
      </c>
      <c r="N69" s="90">
        <f t="shared" si="15"/>
        <v>7163275279111.5439</v>
      </c>
      <c r="O69" s="90">
        <f t="shared" ref="O69:O122" si="16">K69-K68</f>
        <v>3402631.7816172354</v>
      </c>
      <c r="P69" s="90">
        <f t="shared" ref="P69:P122" si="17">O69*O69</f>
        <v>11577903041271.682</v>
      </c>
    </row>
    <row r="70" spans="1:17" x14ac:dyDescent="0.2">
      <c r="A70" s="42">
        <v>44439</v>
      </c>
      <c r="B70" s="43">
        <f>Inputs!D91</f>
        <v>26473436.760000002</v>
      </c>
      <c r="C70" s="111">
        <f>Inputs!E91</f>
        <v>724341</v>
      </c>
      <c r="D70" s="111">
        <f t="shared" si="11"/>
        <v>27197777.760000002</v>
      </c>
      <c r="E70" s="111">
        <f>Inputs!C91</f>
        <v>12439.25</v>
      </c>
      <c r="F70" s="108">
        <v>31</v>
      </c>
      <c r="G70" s="92">
        <f t="shared" si="8"/>
        <v>0</v>
      </c>
      <c r="H70" s="89">
        <f t="shared" si="8"/>
        <v>3.19</v>
      </c>
      <c r="I70" s="89">
        <f t="shared" si="8"/>
        <v>115.75999999999999</v>
      </c>
      <c r="J70" s="112">
        <f t="shared" si="12"/>
        <v>24478732.948177416</v>
      </c>
      <c r="K70" s="26">
        <f t="shared" si="10"/>
        <v>-1994703.8118225858</v>
      </c>
      <c r="L70" s="35">
        <f t="shared" si="13"/>
        <v>-7.5347369134803097E-2</v>
      </c>
      <c r="M70" s="9">
        <f t="shared" si="14"/>
        <v>7.5347369134803097E-2</v>
      </c>
      <c r="N70" s="90">
        <f t="shared" si="15"/>
        <v>3978843296899.5537</v>
      </c>
      <c r="O70" s="90">
        <f t="shared" si="16"/>
        <v>-4671133.3885369711</v>
      </c>
      <c r="P70" s="90">
        <f t="shared" si="17"/>
        <v>21819487133504.887</v>
      </c>
    </row>
    <row r="71" spans="1:17" x14ac:dyDescent="0.2">
      <c r="A71" s="42">
        <v>44469</v>
      </c>
      <c r="B71" s="43">
        <f>Inputs!D92</f>
        <v>19829635.48</v>
      </c>
      <c r="C71" s="111">
        <f>Inputs!E92</f>
        <v>598439</v>
      </c>
      <c r="D71" s="111">
        <f t="shared" si="11"/>
        <v>20428074.48</v>
      </c>
      <c r="E71" s="111">
        <f>Inputs!C92</f>
        <v>12439.25</v>
      </c>
      <c r="F71" s="108">
        <v>30</v>
      </c>
      <c r="G71" s="92">
        <f t="shared" si="8"/>
        <v>0</v>
      </c>
      <c r="H71" s="89">
        <f t="shared" si="8"/>
        <v>32.589999999999996</v>
      </c>
      <c r="I71" s="89">
        <f t="shared" si="8"/>
        <v>44.9</v>
      </c>
      <c r="J71" s="112">
        <f t="shared" si="12"/>
        <v>20094649.808820728</v>
      </c>
      <c r="K71" s="26">
        <f t="shared" si="10"/>
        <v>265014.32882072777</v>
      </c>
      <c r="L71" s="35">
        <f t="shared" si="13"/>
        <v>1.3364558773055557E-2</v>
      </c>
      <c r="M71" s="9">
        <f t="shared" si="14"/>
        <v>1.3364558773055557E-2</v>
      </c>
      <c r="N71" s="90">
        <f t="shared" si="15"/>
        <v>70232594480.300812</v>
      </c>
      <c r="O71" s="90">
        <f t="shared" si="16"/>
        <v>2259718.1406433135</v>
      </c>
      <c r="P71" s="90">
        <f t="shared" si="17"/>
        <v>5106326075152.4736</v>
      </c>
    </row>
    <row r="72" spans="1:17" x14ac:dyDescent="0.2">
      <c r="A72" s="42">
        <v>44500</v>
      </c>
      <c r="B72" s="43">
        <f>Inputs!D93</f>
        <v>18061641.579999998</v>
      </c>
      <c r="C72" s="111">
        <f>Inputs!E93</f>
        <v>366649</v>
      </c>
      <c r="D72" s="111">
        <f t="shared" si="11"/>
        <v>18428290.579999998</v>
      </c>
      <c r="E72" s="111">
        <f>Inputs!C93</f>
        <v>12439.25</v>
      </c>
      <c r="F72" s="108">
        <v>31</v>
      </c>
      <c r="G72" s="92">
        <f t="shared" si="8"/>
        <v>1</v>
      </c>
      <c r="H72" s="89">
        <f t="shared" si="8"/>
        <v>183.84999999999997</v>
      </c>
      <c r="I72" s="89">
        <f t="shared" si="8"/>
        <v>11.61</v>
      </c>
      <c r="J72" s="112">
        <f t="shared" si="12"/>
        <v>18482602.012847319</v>
      </c>
      <c r="K72" s="26">
        <f t="shared" si="10"/>
        <v>420960.43284732103</v>
      </c>
      <c r="L72" s="35">
        <f t="shared" si="13"/>
        <v>2.3306875567360309E-2</v>
      </c>
      <c r="M72" s="9">
        <f t="shared" si="14"/>
        <v>2.3306875567360309E-2</v>
      </c>
      <c r="N72" s="90">
        <f t="shared" si="15"/>
        <v>177207686023.00388</v>
      </c>
      <c r="O72" s="90">
        <f t="shared" si="16"/>
        <v>155946.10402659327</v>
      </c>
      <c r="P72" s="90">
        <f t="shared" si="17"/>
        <v>24319187361.073048</v>
      </c>
    </row>
    <row r="73" spans="1:17" x14ac:dyDescent="0.2">
      <c r="A73" s="42">
        <v>44530</v>
      </c>
      <c r="B73" s="43">
        <f>Inputs!D94</f>
        <v>18852663.420000002</v>
      </c>
      <c r="C73" s="111">
        <f>Inputs!E94</f>
        <v>320744</v>
      </c>
      <c r="D73" s="111">
        <f t="shared" si="11"/>
        <v>19173407.420000002</v>
      </c>
      <c r="E73" s="111">
        <f>Inputs!C94</f>
        <v>12439.25</v>
      </c>
      <c r="F73" s="108">
        <v>30</v>
      </c>
      <c r="G73" s="92">
        <f t="shared" si="8"/>
        <v>1</v>
      </c>
      <c r="H73" s="89">
        <f t="shared" si="8"/>
        <v>388.63</v>
      </c>
      <c r="I73" s="89">
        <f t="shared" si="8"/>
        <v>0.36666666666666664</v>
      </c>
      <c r="J73" s="112">
        <f t="shared" si="12"/>
        <v>18399779.482204366</v>
      </c>
      <c r="K73" s="26">
        <f t="shared" si="10"/>
        <v>-452883.93779563531</v>
      </c>
      <c r="L73" s="35">
        <f t="shared" si="13"/>
        <v>-2.4022278852928E-2</v>
      </c>
      <c r="M73" s="9">
        <f t="shared" si="14"/>
        <v>2.4022278852928E-2</v>
      </c>
      <c r="N73" s="90">
        <f t="shared" si="15"/>
        <v>205103861113.28088</v>
      </c>
      <c r="O73" s="90">
        <f t="shared" si="16"/>
        <v>-873844.37064295635</v>
      </c>
      <c r="P73" s="90">
        <f t="shared" si="17"/>
        <v>763603984104.38452</v>
      </c>
    </row>
    <row r="74" spans="1:17" x14ac:dyDescent="0.2">
      <c r="A74" s="42">
        <v>44561</v>
      </c>
      <c r="B74" s="43">
        <f>Inputs!D95</f>
        <v>19904377.539999999</v>
      </c>
      <c r="C74" s="111">
        <f>Inputs!E95</f>
        <v>215572</v>
      </c>
      <c r="D74" s="111">
        <f t="shared" si="11"/>
        <v>20119949.539999999</v>
      </c>
      <c r="E74" s="111">
        <f>Inputs!C95</f>
        <v>12439.25</v>
      </c>
      <c r="F74" s="108">
        <v>31</v>
      </c>
      <c r="G74" s="92">
        <f t="shared" si="8"/>
        <v>0</v>
      </c>
      <c r="H74" s="89">
        <f t="shared" si="8"/>
        <v>553.67999999999995</v>
      </c>
      <c r="I74" s="89">
        <f t="shared" si="8"/>
        <v>0</v>
      </c>
      <c r="J74" s="112">
        <f t="shared" si="12"/>
        <v>21746532.145079412</v>
      </c>
      <c r="K74" s="26">
        <f t="shared" si="10"/>
        <v>1842154.6050794125</v>
      </c>
      <c r="L74" s="35">
        <f t="shared" si="13"/>
        <v>9.2550224259834474E-2</v>
      </c>
      <c r="M74" s="9">
        <f t="shared" si="14"/>
        <v>9.2550224259834474E-2</v>
      </c>
      <c r="N74" s="90">
        <f t="shared" si="15"/>
        <v>3393533589015.2861</v>
      </c>
      <c r="O74" s="90">
        <f t="shared" si="16"/>
        <v>2295038.5428750478</v>
      </c>
      <c r="P74" s="90">
        <f t="shared" si="17"/>
        <v>5267201913282.0225</v>
      </c>
    </row>
    <row r="75" spans="1:17" x14ac:dyDescent="0.2">
      <c r="A75" s="42">
        <v>44592</v>
      </c>
      <c r="B75" s="43">
        <f>Inputs!D96</f>
        <v>21934558.289999999</v>
      </c>
      <c r="C75" s="111">
        <f>Inputs!E96</f>
        <v>261205</v>
      </c>
      <c r="D75" s="111">
        <f t="shared" si="11"/>
        <v>22195763.289999999</v>
      </c>
      <c r="E75" s="111">
        <f>Inputs!C96</f>
        <v>12439.125</v>
      </c>
      <c r="F75" s="108">
        <v>31</v>
      </c>
      <c r="G75" s="92">
        <f t="shared" si="8"/>
        <v>0</v>
      </c>
      <c r="H75" s="89">
        <f t="shared" si="8"/>
        <v>637.03999999999985</v>
      </c>
      <c r="I75" s="89">
        <f t="shared" si="8"/>
        <v>0</v>
      </c>
      <c r="J75" s="112">
        <f t="shared" si="12"/>
        <v>22272142.197792232</v>
      </c>
      <c r="K75" s="26">
        <f t="shared" si="10"/>
        <v>337583.90779223293</v>
      </c>
      <c r="L75" s="35">
        <f t="shared" si="13"/>
        <v>1.5390504031537211E-2</v>
      </c>
      <c r="M75" s="9">
        <f t="shared" si="14"/>
        <v>1.5390504031537211E-2</v>
      </c>
      <c r="N75" s="90">
        <f t="shared" si="15"/>
        <v>113962894800.27483</v>
      </c>
      <c r="O75" s="90">
        <f t="shared" si="16"/>
        <v>-1504570.6972871795</v>
      </c>
      <c r="P75" s="90">
        <f t="shared" si="17"/>
        <v>2263732983135.2295</v>
      </c>
      <c r="Q75" s="36"/>
    </row>
    <row r="76" spans="1:17" x14ac:dyDescent="0.2">
      <c r="A76" s="42">
        <v>44620</v>
      </c>
      <c r="B76" s="43">
        <f>Inputs!D97</f>
        <v>19400472.890000001</v>
      </c>
      <c r="C76" s="111">
        <f>Inputs!E97</f>
        <v>314288</v>
      </c>
      <c r="D76" s="111">
        <f t="shared" si="11"/>
        <v>19714760.890000001</v>
      </c>
      <c r="E76" s="111">
        <f>Inputs!C97</f>
        <v>12439.125</v>
      </c>
      <c r="F76" s="108">
        <v>28</v>
      </c>
      <c r="G76" s="92">
        <f t="shared" si="8"/>
        <v>0</v>
      </c>
      <c r="H76" s="89">
        <f t="shared" si="8"/>
        <v>540.82000000000005</v>
      </c>
      <c r="I76" s="89">
        <f t="shared" si="8"/>
        <v>0</v>
      </c>
      <c r="J76" s="112">
        <f t="shared" si="12"/>
        <v>19349937.06857498</v>
      </c>
      <c r="K76" s="26">
        <f t="shared" si="10"/>
        <v>-50535.821425020695</v>
      </c>
      <c r="L76" s="35">
        <f t="shared" si="13"/>
        <v>-2.604875752851852E-3</v>
      </c>
      <c r="M76" s="9">
        <f t="shared" si="14"/>
        <v>2.604875752851852E-3</v>
      </c>
      <c r="N76" s="90">
        <f t="shared" si="15"/>
        <v>2553869247.1015806</v>
      </c>
      <c r="O76" s="90">
        <f t="shared" si="16"/>
        <v>-388119.72921725363</v>
      </c>
      <c r="P76" s="90">
        <f t="shared" si="17"/>
        <v>150636924207.67429</v>
      </c>
    </row>
    <row r="77" spans="1:17" x14ac:dyDescent="0.2">
      <c r="A77" s="42">
        <v>44651</v>
      </c>
      <c r="B77" s="43">
        <f>Inputs!D98</f>
        <v>19279913.75</v>
      </c>
      <c r="C77" s="111">
        <f>Inputs!E98</f>
        <v>497672</v>
      </c>
      <c r="D77" s="111">
        <f t="shared" si="11"/>
        <v>19777585.75</v>
      </c>
      <c r="E77" s="111">
        <f>Inputs!C98</f>
        <v>12439.125</v>
      </c>
      <c r="F77" s="108">
        <v>31</v>
      </c>
      <c r="G77" s="92">
        <f t="shared" si="8"/>
        <v>1</v>
      </c>
      <c r="H77" s="89">
        <f t="shared" si="8"/>
        <v>454.27</v>
      </c>
      <c r="I77" s="89">
        <f t="shared" si="8"/>
        <v>0</v>
      </c>
      <c r="J77" s="112">
        <f t="shared" si="12"/>
        <v>19565760.815833699</v>
      </c>
      <c r="K77" s="26">
        <f t="shared" si="10"/>
        <v>285847.06583369896</v>
      </c>
      <c r="L77" s="35">
        <f t="shared" si="13"/>
        <v>1.4826158951758742E-2</v>
      </c>
      <c r="M77" s="9">
        <f t="shared" si="14"/>
        <v>1.4826158951758742E-2</v>
      </c>
      <c r="N77" s="90">
        <f t="shared" si="15"/>
        <v>81708545045.735031</v>
      </c>
      <c r="O77" s="90">
        <f t="shared" si="16"/>
        <v>336382.88725871965</v>
      </c>
      <c r="P77" s="90">
        <f t="shared" si="17"/>
        <v>113153446840.5125</v>
      </c>
    </row>
    <row r="78" spans="1:17" x14ac:dyDescent="0.2">
      <c r="A78" s="42">
        <v>44681</v>
      </c>
      <c r="B78" s="43">
        <f>Inputs!D99</f>
        <v>16999155.43</v>
      </c>
      <c r="C78" s="111">
        <f>Inputs!E99</f>
        <v>529271</v>
      </c>
      <c r="D78" s="111">
        <f t="shared" si="11"/>
        <v>17528426.43</v>
      </c>
      <c r="E78" s="111">
        <f>Inputs!C99</f>
        <v>12439.125</v>
      </c>
      <c r="F78" s="108">
        <v>30</v>
      </c>
      <c r="G78" s="92">
        <f t="shared" si="8"/>
        <v>1</v>
      </c>
      <c r="H78" s="89">
        <f t="shared" si="8"/>
        <v>287.61</v>
      </c>
      <c r="I78" s="89">
        <f t="shared" si="8"/>
        <v>1.08</v>
      </c>
      <c r="J78" s="112">
        <f t="shared" si="12"/>
        <v>17800739.062677801</v>
      </c>
      <c r="K78" s="26">
        <f t="shared" si="10"/>
        <v>801583.63267780095</v>
      </c>
      <c r="L78" s="35">
        <f t="shared" si="13"/>
        <v>4.7154321047219283E-2</v>
      </c>
      <c r="M78" s="9">
        <f t="shared" si="14"/>
        <v>4.7154321047219283E-2</v>
      </c>
      <c r="N78" s="90">
        <f t="shared" si="15"/>
        <v>642536320176.9397</v>
      </c>
      <c r="O78" s="90">
        <f t="shared" si="16"/>
        <v>515736.566844102</v>
      </c>
      <c r="P78" s="90">
        <f t="shared" si="17"/>
        <v>265984206380.1409</v>
      </c>
    </row>
    <row r="79" spans="1:17" x14ac:dyDescent="0.2">
      <c r="A79" s="42">
        <v>44712</v>
      </c>
      <c r="B79" s="43">
        <f>Inputs!D100</f>
        <v>17255063.699999999</v>
      </c>
      <c r="C79" s="111">
        <f>Inputs!E100</f>
        <v>675247</v>
      </c>
      <c r="D79" s="111">
        <f t="shared" si="11"/>
        <v>17930310.699999999</v>
      </c>
      <c r="E79" s="111">
        <f>Inputs!C100</f>
        <v>12439.125</v>
      </c>
      <c r="F79" s="108">
        <v>31</v>
      </c>
      <c r="G79" s="92">
        <f t="shared" si="8"/>
        <v>1</v>
      </c>
      <c r="H79" s="89">
        <f t="shared" si="8"/>
        <v>116.80999999999999</v>
      </c>
      <c r="I79" s="89">
        <f t="shared" si="8"/>
        <v>27.339999999999996</v>
      </c>
      <c r="J79" s="112">
        <f t="shared" si="12"/>
        <v>18902687.776729677</v>
      </c>
      <c r="K79" s="26">
        <f t="shared" si="10"/>
        <v>1647624.0767296776</v>
      </c>
      <c r="L79" s="35">
        <f t="shared" si="13"/>
        <v>9.5486409402804909E-2</v>
      </c>
      <c r="M79" s="9">
        <f t="shared" si="14"/>
        <v>9.5486409402804909E-2</v>
      </c>
      <c r="N79" s="90">
        <f t="shared" si="15"/>
        <v>2714665098219.3228</v>
      </c>
      <c r="O79" s="90">
        <f t="shared" si="16"/>
        <v>846040.44405187666</v>
      </c>
      <c r="P79" s="90">
        <f t="shared" si="17"/>
        <v>715784432971.4967</v>
      </c>
    </row>
    <row r="80" spans="1:17" x14ac:dyDescent="0.2">
      <c r="A80" s="42">
        <v>44742</v>
      </c>
      <c r="B80" s="43">
        <f>Inputs!D101</f>
        <v>20945313.68</v>
      </c>
      <c r="C80" s="111">
        <f>Inputs!E101</f>
        <v>754041</v>
      </c>
      <c r="D80" s="111">
        <f t="shared" si="11"/>
        <v>21699354.68</v>
      </c>
      <c r="E80" s="111">
        <f>Inputs!C101</f>
        <v>12439.125</v>
      </c>
      <c r="F80" s="108">
        <v>30</v>
      </c>
      <c r="G80" s="92">
        <f t="shared" ref="G80:I143" si="18">G68</f>
        <v>0</v>
      </c>
      <c r="H80" s="89">
        <f t="shared" si="18"/>
        <v>10.02</v>
      </c>
      <c r="I80" s="89">
        <f t="shared" si="18"/>
        <v>99.090000000000018</v>
      </c>
      <c r="J80" s="112">
        <f t="shared" si="12"/>
        <v>22856462.25529898</v>
      </c>
      <c r="K80" s="26">
        <f t="shared" si="10"/>
        <v>1911148.5752989799</v>
      </c>
      <c r="L80" s="35">
        <f t="shared" si="13"/>
        <v>9.1244686257617308E-2</v>
      </c>
      <c r="M80" s="9">
        <f t="shared" si="14"/>
        <v>9.1244686257617308E-2</v>
      </c>
      <c r="N80" s="90">
        <f t="shared" si="15"/>
        <v>3652488876867.3208</v>
      </c>
      <c r="O80" s="90">
        <f t="shared" si="16"/>
        <v>263524.49856930226</v>
      </c>
      <c r="P80" s="90">
        <f t="shared" si="17"/>
        <v>69445161346.202194</v>
      </c>
    </row>
    <row r="81" spans="1:17" x14ac:dyDescent="0.2">
      <c r="A81" s="42">
        <v>44773</v>
      </c>
      <c r="B81" s="43">
        <f>Inputs!D102</f>
        <v>24398422.25</v>
      </c>
      <c r="C81" s="111">
        <f>Inputs!E102</f>
        <v>726187</v>
      </c>
      <c r="D81" s="111">
        <f t="shared" si="11"/>
        <v>25124609.25</v>
      </c>
      <c r="E81" s="111">
        <f>Inputs!C102</f>
        <v>12439.125</v>
      </c>
      <c r="F81" s="108">
        <v>31</v>
      </c>
      <c r="G81" s="92">
        <f t="shared" si="18"/>
        <v>0</v>
      </c>
      <c r="H81" s="89">
        <f t="shared" si="18"/>
        <v>6.9999999999999993E-2</v>
      </c>
      <c r="I81" s="89">
        <f t="shared" si="18"/>
        <v>158.74</v>
      </c>
      <c r="J81" s="112">
        <f t="shared" si="12"/>
        <v>26762418.736916218</v>
      </c>
      <c r="K81" s="26">
        <f t="shared" si="10"/>
        <v>2363996.486916218</v>
      </c>
      <c r="L81" s="35">
        <f t="shared" si="13"/>
        <v>9.6891367101256634E-2</v>
      </c>
      <c r="M81" s="9">
        <f t="shared" si="14"/>
        <v>9.6891367101256634E-2</v>
      </c>
      <c r="N81" s="90">
        <f t="shared" si="15"/>
        <v>5588479390152.2207</v>
      </c>
      <c r="O81" s="90">
        <f t="shared" si="16"/>
        <v>452847.91161723807</v>
      </c>
      <c r="P81" s="90">
        <f t="shared" si="17"/>
        <v>205071231056.09387</v>
      </c>
      <c r="Q81"/>
    </row>
    <row r="82" spans="1:17" x14ac:dyDescent="0.2">
      <c r="A82" s="42">
        <v>44804</v>
      </c>
      <c r="B82" s="43">
        <f>Inputs!D103</f>
        <v>24085257.84</v>
      </c>
      <c r="C82" s="111">
        <f>Inputs!E103</f>
        <v>684052</v>
      </c>
      <c r="D82" s="111">
        <f t="shared" si="11"/>
        <v>24769309.84</v>
      </c>
      <c r="E82" s="111">
        <f>Inputs!C103</f>
        <v>12439.125</v>
      </c>
      <c r="F82" s="108">
        <v>31</v>
      </c>
      <c r="G82" s="92">
        <f t="shared" si="18"/>
        <v>0</v>
      </c>
      <c r="H82" s="89">
        <f t="shared" si="18"/>
        <v>3.19</v>
      </c>
      <c r="I82" s="89">
        <f t="shared" si="18"/>
        <v>115.75999999999999</v>
      </c>
      <c r="J82" s="112">
        <f t="shared" si="12"/>
        <v>24478592.948379248</v>
      </c>
      <c r="K82" s="26">
        <f t="shared" si="10"/>
        <v>393335.10837924853</v>
      </c>
      <c r="L82" s="35">
        <f t="shared" si="13"/>
        <v>1.6330948623934204E-2</v>
      </c>
      <c r="M82" s="9">
        <f t="shared" si="14"/>
        <v>1.6330948623934204E-2</v>
      </c>
      <c r="N82" s="90">
        <f t="shared" si="15"/>
        <v>154712507483.71518</v>
      </c>
      <c r="O82" s="90">
        <f t="shared" si="16"/>
        <v>-1970661.3785369694</v>
      </c>
      <c r="P82" s="90">
        <f t="shared" si="17"/>
        <v>3883506268857.2285</v>
      </c>
      <c r="Q82"/>
    </row>
    <row r="83" spans="1:17" x14ac:dyDescent="0.2">
      <c r="A83" s="42">
        <v>44834</v>
      </c>
      <c r="B83" s="43">
        <f>Inputs!D104</f>
        <v>19367767.010000002</v>
      </c>
      <c r="C83" s="111">
        <f>Inputs!E104</f>
        <v>566803</v>
      </c>
      <c r="D83" s="111">
        <f t="shared" si="11"/>
        <v>19934570.010000002</v>
      </c>
      <c r="E83" s="111">
        <f>Inputs!C104</f>
        <v>12439.125</v>
      </c>
      <c r="F83" s="108">
        <v>30</v>
      </c>
      <c r="G83" s="92">
        <f t="shared" si="18"/>
        <v>0</v>
      </c>
      <c r="H83" s="89">
        <f t="shared" si="18"/>
        <v>32.589999999999996</v>
      </c>
      <c r="I83" s="89">
        <f t="shared" si="18"/>
        <v>44.9</v>
      </c>
      <c r="J83" s="112">
        <f t="shared" si="12"/>
        <v>20094509.809022557</v>
      </c>
      <c r="K83" s="26">
        <f t="shared" si="10"/>
        <v>726742.79902255535</v>
      </c>
      <c r="L83" s="35">
        <f t="shared" si="13"/>
        <v>3.7523313794890351E-2</v>
      </c>
      <c r="M83" s="9">
        <f t="shared" si="14"/>
        <v>3.7523313794890351E-2</v>
      </c>
      <c r="N83" s="90">
        <f t="shared" si="15"/>
        <v>528155095931.13831</v>
      </c>
      <c r="O83" s="90">
        <f t="shared" si="16"/>
        <v>333407.69064330682</v>
      </c>
      <c r="P83" s="90">
        <f t="shared" si="17"/>
        <v>111160688180.10298</v>
      </c>
      <c r="Q83"/>
    </row>
    <row r="84" spans="1:17" x14ac:dyDescent="0.2">
      <c r="A84" s="42">
        <v>44865</v>
      </c>
      <c r="B84" s="43">
        <f>Inputs!D105</f>
        <v>16627474.65</v>
      </c>
      <c r="C84" s="111">
        <f>Inputs!E105</f>
        <v>486880</v>
      </c>
      <c r="D84" s="111">
        <f t="shared" si="11"/>
        <v>17114354.649999999</v>
      </c>
      <c r="E84" s="111">
        <f>Inputs!C105</f>
        <v>12439.125</v>
      </c>
      <c r="F84" s="108">
        <v>31</v>
      </c>
      <c r="G84" s="92">
        <f t="shared" si="18"/>
        <v>1</v>
      </c>
      <c r="H84" s="89">
        <f t="shared" si="18"/>
        <v>183.84999999999997</v>
      </c>
      <c r="I84" s="89">
        <f t="shared" si="18"/>
        <v>11.61</v>
      </c>
      <c r="J84" s="112">
        <f t="shared" si="12"/>
        <v>18482462.013049152</v>
      </c>
      <c r="K84" s="26">
        <f t="shared" si="10"/>
        <v>1854987.3630491514</v>
      </c>
      <c r="L84" s="35">
        <f t="shared" si="13"/>
        <v>0.11156158118389621</v>
      </c>
      <c r="M84" s="9">
        <f t="shared" si="14"/>
        <v>0.11156158118389621</v>
      </c>
      <c r="N84" s="90">
        <f t="shared" si="15"/>
        <v>3440978117072.0439</v>
      </c>
      <c r="O84" s="90">
        <f t="shared" si="16"/>
        <v>1128244.564026596</v>
      </c>
      <c r="P84" s="90">
        <f t="shared" si="17"/>
        <v>1272935796255.5637</v>
      </c>
      <c r="Q84"/>
    </row>
    <row r="85" spans="1:17" x14ac:dyDescent="0.2">
      <c r="A85" s="42">
        <v>44895</v>
      </c>
      <c r="B85" s="43">
        <f>Inputs!D106</f>
        <v>18072262.77</v>
      </c>
      <c r="C85" s="111">
        <f>Inputs!E106</f>
        <v>324583</v>
      </c>
      <c r="D85" s="111">
        <f t="shared" si="11"/>
        <v>18396845.77</v>
      </c>
      <c r="E85" s="111">
        <f>Inputs!C106</f>
        <v>12439.125</v>
      </c>
      <c r="F85" s="108">
        <v>30</v>
      </c>
      <c r="G85" s="92">
        <f t="shared" si="18"/>
        <v>1</v>
      </c>
      <c r="H85" s="89">
        <f t="shared" si="18"/>
        <v>388.63</v>
      </c>
      <c r="I85" s="89">
        <f t="shared" si="18"/>
        <v>0.36666666666666664</v>
      </c>
      <c r="J85" s="112">
        <f t="shared" si="12"/>
        <v>18399639.482406195</v>
      </c>
      <c r="K85" s="26">
        <f t="shared" si="10"/>
        <v>327376.7124061957</v>
      </c>
      <c r="L85" s="35">
        <f t="shared" si="13"/>
        <v>1.8114871201941676E-2</v>
      </c>
      <c r="M85" s="9">
        <f t="shared" si="14"/>
        <v>1.8114871201941676E-2</v>
      </c>
      <c r="N85" s="90">
        <f t="shared" si="15"/>
        <v>107175511825.88898</v>
      </c>
      <c r="O85" s="90">
        <f t="shared" si="16"/>
        <v>-1527610.6506429557</v>
      </c>
      <c r="P85" s="90">
        <f t="shared" si="17"/>
        <v>2333594299957.7944</v>
      </c>
      <c r="Q85"/>
    </row>
    <row r="86" spans="1:17" x14ac:dyDescent="0.2">
      <c r="A86" s="42">
        <v>44926</v>
      </c>
      <c r="B86" s="43">
        <f>Inputs!D107</f>
        <v>21044908.899999999</v>
      </c>
      <c r="C86" s="111">
        <f>Inputs!E107</f>
        <v>147675</v>
      </c>
      <c r="D86" s="111">
        <f t="shared" si="11"/>
        <v>21192583.899999999</v>
      </c>
      <c r="E86" s="111">
        <f>Inputs!C107</f>
        <v>12439.125</v>
      </c>
      <c r="F86" s="108">
        <v>31</v>
      </c>
      <c r="G86" s="92">
        <f t="shared" si="18"/>
        <v>0</v>
      </c>
      <c r="H86" s="89">
        <f t="shared" si="18"/>
        <v>553.67999999999995</v>
      </c>
      <c r="I86" s="89">
        <f t="shared" si="18"/>
        <v>0</v>
      </c>
      <c r="J86" s="112">
        <f t="shared" si="12"/>
        <v>21746392.145281244</v>
      </c>
      <c r="K86" s="26">
        <f t="shared" si="10"/>
        <v>701483.24528124556</v>
      </c>
      <c r="L86" s="35">
        <f t="shared" si="13"/>
        <v>3.3332681486744072E-2</v>
      </c>
      <c r="M86" s="9">
        <f t="shared" si="14"/>
        <v>3.3332681486744072E-2</v>
      </c>
      <c r="N86" s="90">
        <f t="shared" si="15"/>
        <v>492078743410.30811</v>
      </c>
      <c r="O86" s="90">
        <f t="shared" si="16"/>
        <v>374106.53287504986</v>
      </c>
      <c r="P86" s="90">
        <f t="shared" si="17"/>
        <v>139955697939.79077</v>
      </c>
      <c r="Q86"/>
    </row>
    <row r="87" spans="1:17" x14ac:dyDescent="0.2">
      <c r="A87" s="42">
        <v>44957</v>
      </c>
      <c r="B87" s="43">
        <f>Inputs!D108</f>
        <v>20870941.93</v>
      </c>
      <c r="C87" s="111">
        <f>Inputs!E108</f>
        <v>150749</v>
      </c>
      <c r="D87" s="111">
        <f t="shared" si="11"/>
        <v>21021690.93</v>
      </c>
      <c r="E87" s="111">
        <f>Inputs!C108</f>
        <v>12485.375</v>
      </c>
      <c r="F87" s="108">
        <v>31</v>
      </c>
      <c r="G87" s="92">
        <f t="shared" si="18"/>
        <v>0</v>
      </c>
      <c r="H87" s="89">
        <f t="shared" si="18"/>
        <v>637.03999999999985</v>
      </c>
      <c r="I87" s="89">
        <f t="shared" si="18"/>
        <v>0</v>
      </c>
      <c r="J87" s="112">
        <f t="shared" si="12"/>
        <v>22323942.123114865</v>
      </c>
      <c r="K87" s="26">
        <f t="shared" si="10"/>
        <v>1453000.1931148656</v>
      </c>
      <c r="L87" s="35">
        <f t="shared" si="13"/>
        <v>6.9618333374130828E-2</v>
      </c>
      <c r="M87" s="9">
        <f t="shared" si="14"/>
        <v>6.9618333374130828E-2</v>
      </c>
      <c r="N87" s="90">
        <f t="shared" si="15"/>
        <v>2111209561191.8367</v>
      </c>
      <c r="O87" s="90">
        <f t="shared" si="16"/>
        <v>751516.94783362001</v>
      </c>
      <c r="P87" s="90">
        <f t="shared" si="17"/>
        <v>564777722881.15991</v>
      </c>
      <c r="Q87"/>
    </row>
    <row r="88" spans="1:17" x14ac:dyDescent="0.2">
      <c r="A88" s="42">
        <v>44985</v>
      </c>
      <c r="B88" s="43">
        <f>Inputs!D109</f>
        <v>18386953.57</v>
      </c>
      <c r="C88" s="111">
        <f>Inputs!E109</f>
        <v>450450</v>
      </c>
      <c r="D88" s="111">
        <f t="shared" si="11"/>
        <v>18837403.57</v>
      </c>
      <c r="E88" s="111">
        <f>Inputs!C109</f>
        <v>12485.375</v>
      </c>
      <c r="F88" s="108">
        <v>28</v>
      </c>
      <c r="G88" s="92">
        <f t="shared" si="18"/>
        <v>0</v>
      </c>
      <c r="H88" s="89">
        <f t="shared" si="18"/>
        <v>540.82000000000005</v>
      </c>
      <c r="I88" s="89">
        <f t="shared" si="18"/>
        <v>0</v>
      </c>
      <c r="J88" s="112">
        <f t="shared" si="12"/>
        <v>19401736.993897613</v>
      </c>
      <c r="K88" s="26">
        <f t="shared" si="10"/>
        <v>1014783.4238976128</v>
      </c>
      <c r="L88" s="35">
        <f t="shared" si="13"/>
        <v>5.5190405524998168E-2</v>
      </c>
      <c r="M88" s="9">
        <f t="shared" si="14"/>
        <v>5.5190405524998168E-2</v>
      </c>
      <c r="N88" s="90">
        <f t="shared" si="15"/>
        <v>1029785397417.3622</v>
      </c>
      <c r="O88" s="90">
        <f t="shared" si="16"/>
        <v>-438216.76921725273</v>
      </c>
      <c r="P88" s="90">
        <f t="shared" si="17"/>
        <v>192033936823.20694</v>
      </c>
      <c r="Q88"/>
    </row>
    <row r="89" spans="1:17" x14ac:dyDescent="0.2">
      <c r="A89" s="42">
        <v>45016</v>
      </c>
      <c r="B89" s="43">
        <f>Inputs!D110</f>
        <v>20208578.530000001</v>
      </c>
      <c r="C89" s="111">
        <f>Inputs!E110</f>
        <v>466824</v>
      </c>
      <c r="D89" s="111">
        <f t="shared" si="11"/>
        <v>20675402.530000001</v>
      </c>
      <c r="E89" s="111">
        <f>Inputs!C110</f>
        <v>12485.375</v>
      </c>
      <c r="F89" s="108">
        <v>31</v>
      </c>
      <c r="G89" s="92">
        <f t="shared" si="18"/>
        <v>1</v>
      </c>
      <c r="H89" s="89">
        <f t="shared" si="18"/>
        <v>454.27</v>
      </c>
      <c r="I89" s="89">
        <f t="shared" si="18"/>
        <v>0</v>
      </c>
      <c r="J89" s="112">
        <f t="shared" si="12"/>
        <v>19617560.741156332</v>
      </c>
      <c r="K89" s="26">
        <f t="shared" si="10"/>
        <v>-591017.788843669</v>
      </c>
      <c r="L89" s="35">
        <f t="shared" si="13"/>
        <v>-2.9245886244116198E-2</v>
      </c>
      <c r="M89" s="9">
        <f t="shared" si="14"/>
        <v>2.9245886244116198E-2</v>
      </c>
      <c r="N89" s="90">
        <f t="shared" si="15"/>
        <v>349302026729.65973</v>
      </c>
      <c r="O89" s="90">
        <f t="shared" si="16"/>
        <v>-1605801.2127412818</v>
      </c>
      <c r="P89" s="90">
        <f t="shared" si="17"/>
        <v>2578597534841.3716</v>
      </c>
      <c r="Q89"/>
    </row>
    <row r="90" spans="1:17" x14ac:dyDescent="0.2">
      <c r="A90" s="42">
        <v>45046</v>
      </c>
      <c r="B90" s="43">
        <f>Inputs!D111</f>
        <v>17081228.469999999</v>
      </c>
      <c r="C90" s="111">
        <f>Inputs!E111</f>
        <v>572371</v>
      </c>
      <c r="D90" s="111">
        <f t="shared" si="11"/>
        <v>17653599.469999999</v>
      </c>
      <c r="E90" s="111">
        <f>Inputs!C111</f>
        <v>12485.375</v>
      </c>
      <c r="F90" s="108">
        <v>30</v>
      </c>
      <c r="G90" s="92">
        <f t="shared" si="18"/>
        <v>1</v>
      </c>
      <c r="H90" s="89">
        <f t="shared" si="18"/>
        <v>287.61</v>
      </c>
      <c r="I90" s="89">
        <f t="shared" si="18"/>
        <v>1.08</v>
      </c>
      <c r="J90" s="112">
        <f t="shared" si="12"/>
        <v>17852538.988000438</v>
      </c>
      <c r="K90" s="26">
        <f t="shared" si="10"/>
        <v>771310.51800043881</v>
      </c>
      <c r="L90" s="35">
        <f t="shared" si="13"/>
        <v>4.5155447651502485E-2</v>
      </c>
      <c r="M90" s="9">
        <f t="shared" si="14"/>
        <v>4.5155447651502485E-2</v>
      </c>
      <c r="N90" s="90">
        <f t="shared" si="15"/>
        <v>594919915178.10522</v>
      </c>
      <c r="O90" s="90">
        <f t="shared" si="16"/>
        <v>1362328.3068441078</v>
      </c>
      <c r="P90" s="90">
        <f t="shared" si="17"/>
        <v>1855938415628.7336</v>
      </c>
      <c r="Q90"/>
    </row>
    <row r="91" spans="1:17" x14ac:dyDescent="0.2">
      <c r="A91" s="42">
        <v>45077</v>
      </c>
      <c r="B91" s="43">
        <f>Inputs!D112</f>
        <v>16769771.85</v>
      </c>
      <c r="C91" s="111">
        <f>Inputs!E112</f>
        <v>706048</v>
      </c>
      <c r="D91" s="111">
        <f t="shared" si="11"/>
        <v>17475819.850000001</v>
      </c>
      <c r="E91" s="111">
        <f>Inputs!C112</f>
        <v>12485.375</v>
      </c>
      <c r="F91" s="108">
        <v>31</v>
      </c>
      <c r="G91" s="92">
        <f t="shared" si="18"/>
        <v>1</v>
      </c>
      <c r="H91" s="89">
        <f t="shared" si="18"/>
        <v>116.80999999999999</v>
      </c>
      <c r="I91" s="89">
        <f t="shared" si="18"/>
        <v>27.339999999999996</v>
      </c>
      <c r="J91" s="112">
        <f t="shared" si="12"/>
        <v>18954487.70205231</v>
      </c>
      <c r="K91" s="26">
        <f t="shared" si="10"/>
        <v>2184715.8520523105</v>
      </c>
      <c r="L91" s="35">
        <f t="shared" si="13"/>
        <v>0.1302770169799484</v>
      </c>
      <c r="M91" s="9">
        <f t="shared" si="14"/>
        <v>0.1302770169799484</v>
      </c>
      <c r="N91" s="90">
        <f t="shared" si="15"/>
        <v>4772983354208.6533</v>
      </c>
      <c r="O91" s="90">
        <f t="shared" si="16"/>
        <v>1413405.3340518717</v>
      </c>
      <c r="P91" s="90">
        <f t="shared" si="17"/>
        <v>1997714638326.283</v>
      </c>
      <c r="Q91"/>
    </row>
    <row r="92" spans="1:17" x14ac:dyDescent="0.2">
      <c r="A92" s="42">
        <v>45107</v>
      </c>
      <c r="B92" s="43">
        <f>Inputs!D113</f>
        <v>19325508.919999998</v>
      </c>
      <c r="C92" s="111">
        <f>Inputs!E113</f>
        <v>729990</v>
      </c>
      <c r="D92" s="111">
        <f t="shared" si="11"/>
        <v>20055498.919999998</v>
      </c>
      <c r="E92" s="111">
        <f>Inputs!C113</f>
        <v>12485.375</v>
      </c>
      <c r="F92" s="108">
        <v>30</v>
      </c>
      <c r="G92" s="92">
        <f t="shared" si="18"/>
        <v>0</v>
      </c>
      <c r="H92" s="89">
        <f t="shared" si="18"/>
        <v>10.02</v>
      </c>
      <c r="I92" s="89">
        <f t="shared" si="18"/>
        <v>99.090000000000018</v>
      </c>
      <c r="J92" s="112">
        <f t="shared" si="12"/>
        <v>22908262.180621617</v>
      </c>
      <c r="K92" s="26">
        <f t="shared" si="10"/>
        <v>3582753.2606216185</v>
      </c>
      <c r="L92" s="35">
        <f t="shared" si="13"/>
        <v>0.18538985314450487</v>
      </c>
      <c r="M92" s="9">
        <f t="shared" si="14"/>
        <v>0.18538985314450487</v>
      </c>
      <c r="N92" s="90">
        <f t="shared" si="15"/>
        <v>12836120926494.84</v>
      </c>
      <c r="O92" s="90">
        <f t="shared" si="16"/>
        <v>1398037.408569308</v>
      </c>
      <c r="P92" s="90">
        <f t="shared" si="17"/>
        <v>1954508595759.1863</v>
      </c>
      <c r="Q92"/>
    </row>
    <row r="93" spans="1:17" x14ac:dyDescent="0.2">
      <c r="A93" s="42">
        <v>45138</v>
      </c>
      <c r="B93" s="43">
        <f>Inputs!D114</f>
        <v>23824387.459999997</v>
      </c>
      <c r="C93" s="111">
        <f>Inputs!E114</f>
        <v>631543</v>
      </c>
      <c r="D93" s="111">
        <f t="shared" si="11"/>
        <v>24455930.459999997</v>
      </c>
      <c r="E93" s="111">
        <f>Inputs!C114</f>
        <v>12485.375</v>
      </c>
      <c r="F93" s="108">
        <v>31</v>
      </c>
      <c r="G93" s="92">
        <f t="shared" si="18"/>
        <v>0</v>
      </c>
      <c r="H93" s="89">
        <f t="shared" si="18"/>
        <v>6.9999999999999993E-2</v>
      </c>
      <c r="I93" s="89">
        <f t="shared" si="18"/>
        <v>158.74</v>
      </c>
      <c r="J93" s="112">
        <f t="shared" si="12"/>
        <v>26814218.662238851</v>
      </c>
      <c r="K93" s="26">
        <f t="shared" si="10"/>
        <v>2989831.202238854</v>
      </c>
      <c r="L93" s="35">
        <f t="shared" si="13"/>
        <v>0.12549456758368446</v>
      </c>
      <c r="M93" s="9">
        <f t="shared" si="14"/>
        <v>0.12549456758368446</v>
      </c>
      <c r="N93" s="90">
        <f t="shared" si="15"/>
        <v>8939090617881.0313</v>
      </c>
      <c r="O93" s="90">
        <f t="shared" si="16"/>
        <v>-592922.05838276446</v>
      </c>
      <c r="P93" s="90">
        <f t="shared" si="17"/>
        <v>351556567316.85437</v>
      </c>
      <c r="Q93"/>
    </row>
    <row r="94" spans="1:17" x14ac:dyDescent="0.2">
      <c r="A94" s="42">
        <v>45169</v>
      </c>
      <c r="B94" s="43">
        <f>Inputs!D115</f>
        <v>22076100</v>
      </c>
      <c r="C94" s="111">
        <f>Inputs!E115</f>
        <v>600895</v>
      </c>
      <c r="D94" s="111">
        <f t="shared" si="11"/>
        <v>22676995</v>
      </c>
      <c r="E94" s="111">
        <f>Inputs!C115</f>
        <v>12485.375</v>
      </c>
      <c r="F94" s="108">
        <v>31</v>
      </c>
      <c r="G94" s="92">
        <f t="shared" si="18"/>
        <v>0</v>
      </c>
      <c r="H94" s="89">
        <f t="shared" si="18"/>
        <v>3.19</v>
      </c>
      <c r="I94" s="89">
        <f t="shared" si="18"/>
        <v>115.75999999999999</v>
      </c>
      <c r="J94" s="112">
        <f t="shared" si="12"/>
        <v>24530392.873701882</v>
      </c>
      <c r="K94" s="26">
        <f t="shared" si="10"/>
        <v>2454292.8737018816</v>
      </c>
      <c r="L94" s="35">
        <f t="shared" si="13"/>
        <v>0.11117420530355822</v>
      </c>
      <c r="M94" s="9">
        <f t="shared" si="14"/>
        <v>0.11117420530355822</v>
      </c>
      <c r="N94" s="90">
        <f t="shared" si="15"/>
        <v>6023553509903.8398</v>
      </c>
      <c r="O94" s="90">
        <f t="shared" si="16"/>
        <v>-535538.3285369724</v>
      </c>
      <c r="P94" s="90">
        <f t="shared" si="17"/>
        <v>286801301332.17419</v>
      </c>
      <c r="Q94"/>
    </row>
    <row r="95" spans="1:17" x14ac:dyDescent="0.2">
      <c r="A95" s="42">
        <v>45199</v>
      </c>
      <c r="B95" s="43">
        <f>Inputs!D116</f>
        <v>19646111.130000003</v>
      </c>
      <c r="C95" s="111">
        <f>Inputs!E116</f>
        <v>542652</v>
      </c>
      <c r="D95" s="111">
        <f t="shared" si="11"/>
        <v>20188763.130000003</v>
      </c>
      <c r="E95" s="111">
        <f>Inputs!C116</f>
        <v>12485.375</v>
      </c>
      <c r="F95" s="108">
        <v>30</v>
      </c>
      <c r="G95" s="92">
        <f t="shared" si="18"/>
        <v>0</v>
      </c>
      <c r="H95" s="89">
        <f t="shared" si="18"/>
        <v>32.589999999999996</v>
      </c>
      <c r="I95" s="89">
        <f t="shared" si="18"/>
        <v>44.9</v>
      </c>
      <c r="J95" s="112">
        <f t="shared" si="12"/>
        <v>20146309.734345194</v>
      </c>
      <c r="K95" s="26">
        <f t="shared" si="10"/>
        <v>500198.60434519127</v>
      </c>
      <c r="L95" s="35">
        <f t="shared" si="13"/>
        <v>2.5460438507923233E-2</v>
      </c>
      <c r="M95" s="9">
        <f t="shared" si="14"/>
        <v>2.5460438507923233E-2</v>
      </c>
      <c r="N95" s="90">
        <f t="shared" si="15"/>
        <v>250198643788.8772</v>
      </c>
      <c r="O95" s="90">
        <f t="shared" si="16"/>
        <v>-1954094.2693566903</v>
      </c>
      <c r="P95" s="90">
        <f t="shared" si="17"/>
        <v>3818484413532.6577</v>
      </c>
      <c r="Q95"/>
    </row>
    <row r="96" spans="1:17" x14ac:dyDescent="0.2">
      <c r="A96" s="42">
        <v>45230</v>
      </c>
      <c r="B96" s="43">
        <f>Inputs!D117</f>
        <v>17738587.649999999</v>
      </c>
      <c r="C96" s="111">
        <f>Inputs!E117</f>
        <v>853520</v>
      </c>
      <c r="D96" s="111">
        <f t="shared" si="11"/>
        <v>18592107.649999999</v>
      </c>
      <c r="E96" s="111">
        <f>Inputs!C117</f>
        <v>12485.375</v>
      </c>
      <c r="F96" s="108">
        <v>31</v>
      </c>
      <c r="G96" s="92">
        <f t="shared" si="18"/>
        <v>1</v>
      </c>
      <c r="H96" s="89">
        <f t="shared" si="18"/>
        <v>183.84999999999997</v>
      </c>
      <c r="I96" s="89">
        <f t="shared" si="18"/>
        <v>11.61</v>
      </c>
      <c r="J96" s="112">
        <f t="shared" si="12"/>
        <v>18534261.938371785</v>
      </c>
      <c r="K96" s="26">
        <f t="shared" si="10"/>
        <v>795674.28837178648</v>
      </c>
      <c r="L96" s="35">
        <f t="shared" si="13"/>
        <v>4.4855560322570917E-2</v>
      </c>
      <c r="M96" s="9">
        <f t="shared" si="14"/>
        <v>4.4855560322570917E-2</v>
      </c>
      <c r="N96" s="90">
        <f t="shared" si="15"/>
        <v>633097573175.94885</v>
      </c>
      <c r="O96" s="90">
        <f t="shared" si="16"/>
        <v>295475.68402659521</v>
      </c>
      <c r="P96" s="90">
        <f t="shared" si="17"/>
        <v>87305879850.984329</v>
      </c>
      <c r="Q96"/>
    </row>
    <row r="97" spans="1:17" x14ac:dyDescent="0.2">
      <c r="A97" s="42">
        <v>45260</v>
      </c>
      <c r="B97" s="43">
        <f>Inputs!D118</f>
        <v>18187804.18</v>
      </c>
      <c r="C97" s="111">
        <f>Inputs!E118</f>
        <v>312697</v>
      </c>
      <c r="D97" s="111">
        <f t="shared" si="11"/>
        <v>18500501.18</v>
      </c>
      <c r="E97" s="111">
        <f>Inputs!C118</f>
        <v>12485.375</v>
      </c>
      <c r="F97" s="108">
        <v>30</v>
      </c>
      <c r="G97" s="92">
        <f t="shared" si="18"/>
        <v>1</v>
      </c>
      <c r="H97" s="89">
        <f t="shared" si="18"/>
        <v>388.63</v>
      </c>
      <c r="I97" s="89">
        <f t="shared" si="18"/>
        <v>0.36666666666666664</v>
      </c>
      <c r="J97" s="112">
        <f t="shared" si="12"/>
        <v>18451439.407728832</v>
      </c>
      <c r="K97" s="26">
        <f t="shared" si="10"/>
        <v>263635.22772883251</v>
      </c>
      <c r="L97" s="35">
        <f t="shared" si="13"/>
        <v>1.4495165283269095E-2</v>
      </c>
      <c r="M97" s="9">
        <f t="shared" si="14"/>
        <v>1.4495165283269095E-2</v>
      </c>
      <c r="N97" s="90">
        <f t="shared" si="15"/>
        <v>69503533299.633377</v>
      </c>
      <c r="O97" s="90">
        <f t="shared" si="16"/>
        <v>-532039.06064295396</v>
      </c>
      <c r="P97" s="90">
        <f t="shared" si="17"/>
        <v>283065562049.83685</v>
      </c>
      <c r="Q97"/>
    </row>
    <row r="98" spans="1:17" x14ac:dyDescent="0.2">
      <c r="A98" s="42">
        <v>45291</v>
      </c>
      <c r="B98" s="43">
        <f>Inputs!D119</f>
        <v>20289839.23</v>
      </c>
      <c r="C98" s="111">
        <f>Inputs!E119</f>
        <v>312697</v>
      </c>
      <c r="D98" s="111">
        <f t="shared" si="11"/>
        <v>20602536.23</v>
      </c>
      <c r="E98" s="111">
        <f>Inputs!C119</f>
        <v>12485.375</v>
      </c>
      <c r="F98" s="108">
        <v>31</v>
      </c>
      <c r="G98" s="92">
        <f t="shared" si="18"/>
        <v>0</v>
      </c>
      <c r="H98" s="89">
        <f t="shared" si="18"/>
        <v>553.67999999999995</v>
      </c>
      <c r="I98" s="89">
        <f t="shared" si="18"/>
        <v>0</v>
      </c>
      <c r="J98" s="112">
        <f t="shared" si="12"/>
        <v>21798192.070603877</v>
      </c>
      <c r="K98" s="26">
        <f t="shared" si="10"/>
        <v>1508352.8406038769</v>
      </c>
      <c r="L98" s="35">
        <f t="shared" si="13"/>
        <v>7.4340305189489503E-2</v>
      </c>
      <c r="M98" s="9">
        <f t="shared" si="14"/>
        <v>7.4340305189489503E-2</v>
      </c>
      <c r="N98" s="90">
        <f t="shared" si="15"/>
        <v>2275128291757.7842</v>
      </c>
      <c r="O98" s="90">
        <f t="shared" si="16"/>
        <v>1244717.6128750443</v>
      </c>
      <c r="P98" s="90">
        <f t="shared" si="17"/>
        <v>1549321935801.3489</v>
      </c>
      <c r="Q98"/>
    </row>
    <row r="99" spans="1:17" x14ac:dyDescent="0.2">
      <c r="A99" s="42">
        <v>45322</v>
      </c>
      <c r="B99" s="43">
        <f>Inputs!D120</f>
        <v>22991783.129999999</v>
      </c>
      <c r="C99" s="111">
        <f>Inputs!E120</f>
        <v>0</v>
      </c>
      <c r="D99" s="111">
        <f t="shared" si="11"/>
        <v>22991783.129999999</v>
      </c>
      <c r="E99" s="111">
        <f>Inputs!C120</f>
        <v>12564.5</v>
      </c>
      <c r="F99" s="108">
        <v>31</v>
      </c>
      <c r="G99" s="92">
        <f t="shared" si="18"/>
        <v>0</v>
      </c>
      <c r="H99" s="89">
        <f t="shared" si="18"/>
        <v>637.03999999999985</v>
      </c>
      <c r="I99" s="89">
        <f t="shared" si="18"/>
        <v>0</v>
      </c>
      <c r="J99" s="112">
        <f t="shared" si="12"/>
        <v>22412561.995356023</v>
      </c>
      <c r="K99" s="26">
        <f t="shared" ref="K99:K122" si="19">J99-B99</f>
        <v>-579221.13464397565</v>
      </c>
      <c r="L99" s="35">
        <f t="shared" si="13"/>
        <v>-2.5192527755196151E-2</v>
      </c>
      <c r="M99" s="9">
        <f t="shared" si="14"/>
        <v>2.5192527755196151E-2</v>
      </c>
      <c r="N99" s="90">
        <f t="shared" si="15"/>
        <v>335497122818.25458</v>
      </c>
      <c r="O99" s="90">
        <f t="shared" si="16"/>
        <v>-2087573.9752478525</v>
      </c>
      <c r="P99" s="90">
        <f t="shared" si="17"/>
        <v>4357965102132.1216</v>
      </c>
      <c r="Q99"/>
    </row>
    <row r="100" spans="1:17" x14ac:dyDescent="0.2">
      <c r="A100" s="42">
        <v>45351</v>
      </c>
      <c r="B100" s="43">
        <f>Inputs!D121</f>
        <v>19909618.18</v>
      </c>
      <c r="C100" s="111">
        <f>Inputs!E121</f>
        <v>0</v>
      </c>
      <c r="D100" s="111">
        <f t="shared" si="11"/>
        <v>19909618.18</v>
      </c>
      <c r="E100" s="111">
        <f>Inputs!C121</f>
        <v>12564.5</v>
      </c>
      <c r="F100" s="108">
        <v>29</v>
      </c>
      <c r="G100" s="92">
        <f t="shared" si="18"/>
        <v>0</v>
      </c>
      <c r="H100" s="89">
        <f t="shared" si="18"/>
        <v>540.82000000000005</v>
      </c>
      <c r="I100" s="89">
        <f t="shared" si="18"/>
        <v>0</v>
      </c>
      <c r="J100" s="112">
        <f t="shared" si="12"/>
        <v>20262139.293837681</v>
      </c>
      <c r="K100" s="26">
        <f t="shared" si="19"/>
        <v>352521.11383768171</v>
      </c>
      <c r="L100" s="35">
        <f t="shared" si="13"/>
        <v>1.7706071038157987E-2</v>
      </c>
      <c r="M100" s="9">
        <f t="shared" si="14"/>
        <v>1.7706071038157987E-2</v>
      </c>
      <c r="N100" s="90">
        <f t="shared" si="15"/>
        <v>124271135701.35974</v>
      </c>
      <c r="O100" s="90">
        <f t="shared" si="16"/>
        <v>931742.24848165736</v>
      </c>
      <c r="P100" s="90">
        <f t="shared" si="17"/>
        <v>868143617605.65454</v>
      </c>
      <c r="Q100"/>
    </row>
    <row r="101" spans="1:17" x14ac:dyDescent="0.2">
      <c r="A101" s="42">
        <v>45382</v>
      </c>
      <c r="B101" s="43">
        <f>Inputs!D122</f>
        <v>19769289.739999998</v>
      </c>
      <c r="C101" s="111">
        <f>Inputs!E122</f>
        <v>0</v>
      </c>
      <c r="D101" s="111">
        <f t="shared" si="11"/>
        <v>19769289.739999998</v>
      </c>
      <c r="E101" s="111">
        <f>Inputs!C122</f>
        <v>12564.5</v>
      </c>
      <c r="F101" s="108">
        <v>31</v>
      </c>
      <c r="G101" s="92">
        <f t="shared" si="18"/>
        <v>1</v>
      </c>
      <c r="H101" s="89">
        <f t="shared" si="18"/>
        <v>454.27</v>
      </c>
      <c r="I101" s="89">
        <f t="shared" si="18"/>
        <v>0</v>
      </c>
      <c r="J101" s="112">
        <f t="shared" si="12"/>
        <v>19706180.61339749</v>
      </c>
      <c r="K101" s="26">
        <f t="shared" si="19"/>
        <v>-63109.126602508128</v>
      </c>
      <c r="L101" s="35">
        <f t="shared" si="13"/>
        <v>-3.1922809282731537E-3</v>
      </c>
      <c r="M101" s="9">
        <f t="shared" si="14"/>
        <v>3.1922809282731537E-3</v>
      </c>
      <c r="N101" s="90">
        <f t="shared" si="15"/>
        <v>3982761860.5313993</v>
      </c>
      <c r="O101" s="90">
        <f t="shared" si="16"/>
        <v>-415630.24044018984</v>
      </c>
      <c r="P101" s="90">
        <f t="shared" si="17"/>
        <v>172748496768.37003</v>
      </c>
      <c r="Q101"/>
    </row>
    <row r="102" spans="1:17" x14ac:dyDescent="0.2">
      <c r="A102" s="42">
        <v>45412</v>
      </c>
      <c r="B102" s="43">
        <f>Inputs!D123</f>
        <v>18297046.260000002</v>
      </c>
      <c r="C102" s="111">
        <f>Inputs!E123</f>
        <v>0</v>
      </c>
      <c r="D102" s="111">
        <f t="shared" si="11"/>
        <v>18297046.260000002</v>
      </c>
      <c r="E102" s="111">
        <f>Inputs!C123</f>
        <v>12564.5</v>
      </c>
      <c r="F102" s="108">
        <v>30</v>
      </c>
      <c r="G102" s="92">
        <f t="shared" si="18"/>
        <v>1</v>
      </c>
      <c r="H102" s="89">
        <f t="shared" si="18"/>
        <v>287.61</v>
      </c>
      <c r="I102" s="89">
        <f t="shared" si="18"/>
        <v>1.08</v>
      </c>
      <c r="J102" s="112">
        <f t="shared" si="12"/>
        <v>17941158.860241592</v>
      </c>
      <c r="K102" s="26">
        <f t="shared" si="19"/>
        <v>-355887.39975840971</v>
      </c>
      <c r="L102" s="35">
        <f t="shared" si="13"/>
        <v>-1.9450538338334489E-2</v>
      </c>
      <c r="M102" s="9">
        <f t="shared" si="14"/>
        <v>1.9450538338334489E-2</v>
      </c>
      <c r="N102" s="90">
        <f t="shared" si="15"/>
        <v>126655841306.80212</v>
      </c>
      <c r="O102" s="90">
        <f t="shared" si="16"/>
        <v>-292778.27315590158</v>
      </c>
      <c r="P102" s="90">
        <f t="shared" si="17"/>
        <v>85719117232.151718</v>
      </c>
      <c r="Q102"/>
    </row>
    <row r="103" spans="1:17" x14ac:dyDescent="0.2">
      <c r="A103" s="42">
        <v>45443</v>
      </c>
      <c r="B103" s="43">
        <f>Inputs!D124</f>
        <v>19477491.039999999</v>
      </c>
      <c r="C103" s="111">
        <f>Inputs!E124</f>
        <v>0</v>
      </c>
      <c r="D103" s="111">
        <f t="shared" si="11"/>
        <v>19477491.039999999</v>
      </c>
      <c r="E103" s="111">
        <f>Inputs!C124</f>
        <v>12564.5</v>
      </c>
      <c r="F103" s="108">
        <v>31</v>
      </c>
      <c r="G103" s="92">
        <f t="shared" si="18"/>
        <v>1</v>
      </c>
      <c r="H103" s="89">
        <f t="shared" si="18"/>
        <v>116.80999999999999</v>
      </c>
      <c r="I103" s="89">
        <f t="shared" si="18"/>
        <v>27.339999999999996</v>
      </c>
      <c r="J103" s="112">
        <f t="shared" si="12"/>
        <v>19043107.574293468</v>
      </c>
      <c r="K103" s="26">
        <f t="shared" si="19"/>
        <v>-434383.46570653096</v>
      </c>
      <c r="L103" s="35">
        <f t="shared" si="13"/>
        <v>-2.2301818279082158E-2</v>
      </c>
      <c r="M103" s="9">
        <f t="shared" si="14"/>
        <v>2.2301818279082158E-2</v>
      </c>
      <c r="N103" s="90">
        <f t="shared" si="15"/>
        <v>188688995279.21695</v>
      </c>
      <c r="O103" s="90">
        <f t="shared" si="16"/>
        <v>-78496.06594812125</v>
      </c>
      <c r="P103" s="90">
        <f t="shared" si="17"/>
        <v>6161632369.3318005</v>
      </c>
      <c r="Q103"/>
    </row>
    <row r="104" spans="1:17" x14ac:dyDescent="0.2">
      <c r="A104" s="42">
        <v>45473</v>
      </c>
      <c r="B104" s="43">
        <f>Inputs!D125</f>
        <v>23588924.969999999</v>
      </c>
      <c r="C104" s="111">
        <f>Inputs!E125</f>
        <v>0</v>
      </c>
      <c r="D104" s="111">
        <f t="shared" si="11"/>
        <v>23588924.969999999</v>
      </c>
      <c r="E104" s="111">
        <f>Inputs!C125</f>
        <v>12564.5</v>
      </c>
      <c r="F104" s="108">
        <v>30</v>
      </c>
      <c r="G104" s="92">
        <f t="shared" si="18"/>
        <v>0</v>
      </c>
      <c r="H104" s="89">
        <f t="shared" si="18"/>
        <v>10.02</v>
      </c>
      <c r="I104" s="89">
        <f t="shared" si="18"/>
        <v>99.090000000000018</v>
      </c>
      <c r="J104" s="112">
        <f t="shared" si="12"/>
        <v>22996882.052862771</v>
      </c>
      <c r="K104" s="26">
        <f t="shared" si="19"/>
        <v>-592042.91713722795</v>
      </c>
      <c r="L104" s="35">
        <f t="shared" si="13"/>
        <v>-2.5098342459021691E-2</v>
      </c>
      <c r="M104" s="9">
        <f t="shared" si="14"/>
        <v>2.5098342459021691E-2</v>
      </c>
      <c r="N104" s="90">
        <f t="shared" si="15"/>
        <v>350514815732.35858</v>
      </c>
      <c r="O104" s="90">
        <f t="shared" si="16"/>
        <v>-157659.45143069699</v>
      </c>
      <c r="P104" s="90">
        <f t="shared" si="17"/>
        <v>24856502625.428303</v>
      </c>
      <c r="Q104"/>
    </row>
    <row r="105" spans="1:17" x14ac:dyDescent="0.2">
      <c r="A105" s="42">
        <v>45504</v>
      </c>
      <c r="B105" s="43">
        <f>Inputs!D126</f>
        <v>26790209.760000002</v>
      </c>
      <c r="C105" s="111">
        <f>Inputs!E126</f>
        <v>0</v>
      </c>
      <c r="D105" s="111">
        <f t="shared" si="11"/>
        <v>26790209.760000002</v>
      </c>
      <c r="E105" s="111">
        <f>Inputs!C126</f>
        <v>12564.5</v>
      </c>
      <c r="F105" s="108">
        <v>31</v>
      </c>
      <c r="G105" s="92">
        <f t="shared" si="18"/>
        <v>0</v>
      </c>
      <c r="H105" s="89">
        <f t="shared" si="18"/>
        <v>6.9999999999999993E-2</v>
      </c>
      <c r="I105" s="89">
        <f t="shared" si="18"/>
        <v>158.74</v>
      </c>
      <c r="J105" s="112">
        <f t="shared" si="12"/>
        <v>26902838.534480009</v>
      </c>
      <c r="K105" s="26">
        <f t="shared" si="19"/>
        <v>112628.77448000759</v>
      </c>
      <c r="L105" s="35">
        <f t="shared" si="13"/>
        <v>4.2041020017757258E-3</v>
      </c>
      <c r="M105" s="9">
        <f t="shared" si="14"/>
        <v>4.2041020017757258E-3</v>
      </c>
      <c r="N105" s="90">
        <f t="shared" si="15"/>
        <v>12685240840.868408</v>
      </c>
      <c r="O105" s="90">
        <f t="shared" si="16"/>
        <v>704671.69161723554</v>
      </c>
      <c r="P105" s="90">
        <f t="shared" si="17"/>
        <v>496562192966.69629</v>
      </c>
      <c r="Q105"/>
    </row>
    <row r="106" spans="1:17" x14ac:dyDescent="0.2">
      <c r="A106" s="42">
        <v>45535</v>
      </c>
      <c r="B106" s="43">
        <f>Inputs!D127</f>
        <v>25861036.030000001</v>
      </c>
      <c r="C106" s="111">
        <f>Inputs!E127</f>
        <v>0</v>
      </c>
      <c r="D106" s="111">
        <f t="shared" si="11"/>
        <v>25861036.030000001</v>
      </c>
      <c r="E106" s="111">
        <f>Inputs!C127</f>
        <v>12564.5</v>
      </c>
      <c r="F106" s="108">
        <v>31</v>
      </c>
      <c r="G106" s="92">
        <f t="shared" si="18"/>
        <v>0</v>
      </c>
      <c r="H106" s="89">
        <f t="shared" si="18"/>
        <v>3.19</v>
      </c>
      <c r="I106" s="89">
        <f t="shared" si="18"/>
        <v>115.75999999999999</v>
      </c>
      <c r="J106" s="112">
        <f t="shared" si="12"/>
        <v>24619012.74594304</v>
      </c>
      <c r="K106" s="26">
        <f t="shared" si="19"/>
        <v>-1242023.2840569615</v>
      </c>
      <c r="L106" s="35">
        <f t="shared" si="13"/>
        <v>-4.802681851632537E-2</v>
      </c>
      <c r="M106" s="9">
        <f t="shared" si="14"/>
        <v>4.802681851632537E-2</v>
      </c>
      <c r="N106" s="90">
        <f t="shared" si="15"/>
        <v>1542621838139.6396</v>
      </c>
      <c r="O106" s="90">
        <f t="shared" si="16"/>
        <v>-1354652.0585369691</v>
      </c>
      <c r="P106" s="90">
        <f t="shared" si="17"/>
        <v>1835082199698.448</v>
      </c>
      <c r="Q106"/>
    </row>
    <row r="107" spans="1:17" x14ac:dyDescent="0.2">
      <c r="A107" s="42">
        <v>45565</v>
      </c>
      <c r="B107" s="43">
        <f>Inputs!D128</f>
        <v>21076307.850000001</v>
      </c>
      <c r="C107" s="111">
        <f>Inputs!E128</f>
        <v>0</v>
      </c>
      <c r="D107" s="111">
        <f t="shared" si="11"/>
        <v>21076307.850000001</v>
      </c>
      <c r="E107" s="111">
        <f>Inputs!C128</f>
        <v>12564.5</v>
      </c>
      <c r="F107" s="108">
        <v>30</v>
      </c>
      <c r="G107" s="92">
        <f t="shared" si="18"/>
        <v>0</v>
      </c>
      <c r="H107" s="89">
        <f t="shared" si="18"/>
        <v>32.589999999999996</v>
      </c>
      <c r="I107" s="89">
        <f t="shared" si="18"/>
        <v>44.9</v>
      </c>
      <c r="J107" s="112">
        <f t="shared" si="12"/>
        <v>20234929.606586348</v>
      </c>
      <c r="K107" s="26">
        <f t="shared" si="19"/>
        <v>-841378.24341365322</v>
      </c>
      <c r="L107" s="35">
        <f t="shared" si="13"/>
        <v>-3.992057097484715E-2</v>
      </c>
      <c r="M107" s="9">
        <f t="shared" si="14"/>
        <v>3.992057097484715E-2</v>
      </c>
      <c r="N107" s="90">
        <f t="shared" si="15"/>
        <v>707917348489.84473</v>
      </c>
      <c r="O107" s="90">
        <f t="shared" si="16"/>
        <v>400645.04064330831</v>
      </c>
      <c r="P107" s="90">
        <f t="shared" si="17"/>
        <v>160516448592.07816</v>
      </c>
      <c r="Q107"/>
    </row>
    <row r="108" spans="1:17" x14ac:dyDescent="0.2">
      <c r="A108" s="42">
        <v>45596</v>
      </c>
      <c r="B108" s="43">
        <f>Inputs!D129</f>
        <v>18033862.059999999</v>
      </c>
      <c r="C108" s="111">
        <f>Inputs!E129</f>
        <v>0</v>
      </c>
      <c r="D108" s="111">
        <f t="shared" si="11"/>
        <v>18033862.059999999</v>
      </c>
      <c r="E108" s="111">
        <f>Inputs!C129</f>
        <v>12564.5</v>
      </c>
      <c r="F108" s="108">
        <v>31</v>
      </c>
      <c r="G108" s="92">
        <f t="shared" si="18"/>
        <v>1</v>
      </c>
      <c r="H108" s="89">
        <f t="shared" si="18"/>
        <v>183.84999999999997</v>
      </c>
      <c r="I108" s="89">
        <f t="shared" si="18"/>
        <v>11.61</v>
      </c>
      <c r="J108" s="112">
        <f t="shared" si="12"/>
        <v>18622881.810612943</v>
      </c>
      <c r="K108" s="26">
        <f t="shared" si="19"/>
        <v>589019.75061294436</v>
      </c>
      <c r="L108" s="35">
        <f t="shared" si="13"/>
        <v>3.2661875124320679E-2</v>
      </c>
      <c r="M108" s="9">
        <f t="shared" si="14"/>
        <v>3.2661875124320679E-2</v>
      </c>
      <c r="N108" s="90">
        <f t="shared" si="15"/>
        <v>346944266612.13519</v>
      </c>
      <c r="O108" s="90">
        <f t="shared" si="16"/>
        <v>1430397.9940265976</v>
      </c>
      <c r="P108" s="90">
        <f t="shared" si="17"/>
        <v>2046038421315.3142</v>
      </c>
      <c r="Q108"/>
    </row>
    <row r="109" spans="1:17" x14ac:dyDescent="0.2">
      <c r="A109" s="42">
        <v>45626</v>
      </c>
      <c r="B109" s="43">
        <f>Inputs!D130</f>
        <v>18404281.809999999</v>
      </c>
      <c r="C109" s="111">
        <f>Inputs!E130</f>
        <v>0</v>
      </c>
      <c r="D109" s="111">
        <f t="shared" si="11"/>
        <v>18404281.809999999</v>
      </c>
      <c r="E109" s="111">
        <f>Inputs!C130</f>
        <v>12564.5</v>
      </c>
      <c r="F109" s="108">
        <v>30</v>
      </c>
      <c r="G109" s="92">
        <f t="shared" si="18"/>
        <v>1</v>
      </c>
      <c r="H109" s="89">
        <f t="shared" si="18"/>
        <v>388.63</v>
      </c>
      <c r="I109" s="89">
        <f t="shared" si="18"/>
        <v>0.36666666666666664</v>
      </c>
      <c r="J109" s="112">
        <f t="shared" si="12"/>
        <v>18540059.279969987</v>
      </c>
      <c r="K109" s="26">
        <f t="shared" si="19"/>
        <v>135777.46996998787</v>
      </c>
      <c r="L109" s="35">
        <f t="shared" si="13"/>
        <v>7.3774935295879323E-3</v>
      </c>
      <c r="M109" s="9">
        <f t="shared" si="14"/>
        <v>7.3774935295879323E-3</v>
      </c>
      <c r="N109" s="90">
        <f t="shared" si="15"/>
        <v>18435521351.450958</v>
      </c>
      <c r="O109" s="90">
        <f t="shared" si="16"/>
        <v>-453242.2806429565</v>
      </c>
      <c r="P109" s="90">
        <f t="shared" si="17"/>
        <v>205428564962.42853</v>
      </c>
      <c r="Q109"/>
    </row>
    <row r="110" spans="1:17" x14ac:dyDescent="0.2">
      <c r="A110" s="42">
        <v>45657</v>
      </c>
      <c r="B110" s="43">
        <f>Inputs!D131</f>
        <v>21228382.489999998</v>
      </c>
      <c r="C110" s="111">
        <f>Inputs!E131</f>
        <v>0</v>
      </c>
      <c r="D110" s="111">
        <f t="shared" si="11"/>
        <v>21228382.489999998</v>
      </c>
      <c r="E110" s="111">
        <f>Inputs!C131</f>
        <v>12564.5</v>
      </c>
      <c r="F110" s="108">
        <v>31</v>
      </c>
      <c r="G110" s="92">
        <f t="shared" si="18"/>
        <v>0</v>
      </c>
      <c r="H110" s="89">
        <f t="shared" si="18"/>
        <v>553.67999999999995</v>
      </c>
      <c r="I110" s="89">
        <f t="shared" si="18"/>
        <v>0</v>
      </c>
      <c r="J110" s="112">
        <f t="shared" si="12"/>
        <v>21886811.942845035</v>
      </c>
      <c r="K110" s="26">
        <f t="shared" si="19"/>
        <v>658429.45284503698</v>
      </c>
      <c r="L110" s="35">
        <f t="shared" si="13"/>
        <v>3.1016468313363098E-2</v>
      </c>
      <c r="M110" s="9">
        <f t="shared" si="14"/>
        <v>3.1016468313363098E-2</v>
      </c>
      <c r="N110" s="90">
        <f t="shared" si="15"/>
        <v>433529344373.81476</v>
      </c>
      <c r="O110" s="90">
        <f t="shared" si="16"/>
        <v>522651.98287504911</v>
      </c>
      <c r="P110" s="90">
        <f t="shared" si="17"/>
        <v>273165095203.22064</v>
      </c>
      <c r="Q110"/>
    </row>
    <row r="111" spans="1:17" x14ac:dyDescent="0.2">
      <c r="A111" s="42">
        <v>45688</v>
      </c>
      <c r="B111" s="43">
        <f>Inputs!D132</f>
        <v>23926179.079999998</v>
      </c>
      <c r="C111" s="111">
        <f>Inputs!E132</f>
        <v>0</v>
      </c>
      <c r="D111" s="111">
        <f t="shared" si="11"/>
        <v>23926179.079999998</v>
      </c>
      <c r="E111" s="111">
        <f>Inputs!C132</f>
        <v>12628.5</v>
      </c>
      <c r="F111" s="108">
        <v>31</v>
      </c>
      <c r="G111" s="92">
        <f t="shared" si="18"/>
        <v>0</v>
      </c>
      <c r="H111" s="89">
        <f t="shared" si="18"/>
        <v>637.03999999999985</v>
      </c>
      <c r="I111" s="89">
        <f t="shared" si="18"/>
        <v>0</v>
      </c>
      <c r="J111" s="112">
        <f>$S$18+$S$19*E111+$S$20*F111+$S$21*G111+$S$22*H111+$S$23*I111</f>
        <v>22484241.892018698</v>
      </c>
      <c r="K111" s="26">
        <f t="shared" si="19"/>
        <v>-1441937.1879813001</v>
      </c>
      <c r="L111" s="35">
        <f t="shared" si="13"/>
        <v>-6.0266086915090507E-2</v>
      </c>
      <c r="M111" s="9">
        <f t="shared" si="14"/>
        <v>6.0266086915090507E-2</v>
      </c>
      <c r="N111" s="90">
        <f t="shared" si="15"/>
        <v>2079182854083.4189</v>
      </c>
      <c r="O111" s="90">
        <f t="shared" si="16"/>
        <v>-2100366.640826337</v>
      </c>
      <c r="P111" s="90">
        <f t="shared" si="17"/>
        <v>4411540025896.1113</v>
      </c>
      <c r="Q111"/>
    </row>
    <row r="112" spans="1:17" x14ac:dyDescent="0.2">
      <c r="A112" s="42">
        <v>45716</v>
      </c>
      <c r="B112" s="43">
        <f>Inputs!D133</f>
        <v>19907689.393333338</v>
      </c>
      <c r="C112" s="111">
        <f>Inputs!E133</f>
        <v>0</v>
      </c>
      <c r="D112" s="111">
        <f t="shared" si="11"/>
        <v>19907689.393333338</v>
      </c>
      <c r="E112" s="111">
        <f>Inputs!C133</f>
        <v>12628.5</v>
      </c>
      <c r="F112" s="108">
        <v>28</v>
      </c>
      <c r="G112" s="92">
        <f t="shared" si="18"/>
        <v>0</v>
      </c>
      <c r="H112" s="89">
        <f t="shared" si="18"/>
        <v>540.82000000000005</v>
      </c>
      <c r="I112" s="89">
        <f t="shared" si="18"/>
        <v>0</v>
      </c>
      <c r="J112" s="112">
        <f t="shared" ref="J112:J122" si="20">$S$18+$S$19*E112+$S$20*F112+$S$21*G112+$S$22*H112+$S$23*I112</f>
        <v>19562036.762801446</v>
      </c>
      <c r="K112" s="26">
        <f t="shared" si="19"/>
        <v>-345652.63053189218</v>
      </c>
      <c r="L112" s="35">
        <f t="shared" si="13"/>
        <v>-1.7362769917820996E-2</v>
      </c>
      <c r="M112" s="9">
        <f t="shared" si="14"/>
        <v>1.7362769917820996E-2</v>
      </c>
      <c r="N112" s="90">
        <f t="shared" si="15"/>
        <v>119475740993.61676</v>
      </c>
      <c r="O112" s="90">
        <f t="shared" si="16"/>
        <v>1096284.5574494079</v>
      </c>
      <c r="P112" s="90">
        <f t="shared" si="17"/>
        <v>1201839830902.0442</v>
      </c>
      <c r="Q112"/>
    </row>
    <row r="113" spans="1:17" x14ac:dyDescent="0.2">
      <c r="A113" s="42">
        <v>45747</v>
      </c>
      <c r="B113" s="43">
        <f>Inputs!D134</f>
        <v>20228779.876666665</v>
      </c>
      <c r="C113" s="111">
        <f>Inputs!E134</f>
        <v>0</v>
      </c>
      <c r="D113" s="111">
        <f t="shared" si="11"/>
        <v>20228779.876666665</v>
      </c>
      <c r="E113" s="111">
        <f>Inputs!C134</f>
        <v>12628.5</v>
      </c>
      <c r="F113" s="108">
        <v>31</v>
      </c>
      <c r="G113" s="92">
        <f t="shared" si="18"/>
        <v>1</v>
      </c>
      <c r="H113" s="89">
        <f t="shared" si="18"/>
        <v>454.27</v>
      </c>
      <c r="I113" s="89">
        <f t="shared" si="18"/>
        <v>0</v>
      </c>
      <c r="J113" s="112">
        <f t="shared" si="20"/>
        <v>19777860.510060165</v>
      </c>
      <c r="K113" s="26">
        <f t="shared" si="19"/>
        <v>-450919.3666065</v>
      </c>
      <c r="L113" s="35">
        <f t="shared" si="13"/>
        <v>-2.2290981925539806E-2</v>
      </c>
      <c r="M113" s="9">
        <f t="shared" si="14"/>
        <v>2.2290981925539806E-2</v>
      </c>
      <c r="N113" s="90">
        <f t="shared" si="15"/>
        <v>203328275180.80716</v>
      </c>
      <c r="O113" s="90">
        <f t="shared" si="16"/>
        <v>-105266.73607460782</v>
      </c>
      <c r="P113" s="90">
        <f t="shared" si="17"/>
        <v>11081085723.80114</v>
      </c>
      <c r="Q113"/>
    </row>
    <row r="114" spans="1:17" x14ac:dyDescent="0.2">
      <c r="A114" s="42">
        <v>45777</v>
      </c>
      <c r="B114" s="43">
        <f>Inputs!D135</f>
        <v>17855399.329999998</v>
      </c>
      <c r="C114" s="111">
        <f>Inputs!E135</f>
        <v>0</v>
      </c>
      <c r="D114" s="111">
        <f t="shared" si="11"/>
        <v>17855399.329999998</v>
      </c>
      <c r="E114" s="111">
        <f>Inputs!C135</f>
        <v>12628.5</v>
      </c>
      <c r="F114" s="108">
        <v>30</v>
      </c>
      <c r="G114" s="92">
        <f t="shared" si="18"/>
        <v>1</v>
      </c>
      <c r="H114" s="89">
        <f t="shared" si="18"/>
        <v>287.61</v>
      </c>
      <c r="I114" s="89">
        <f t="shared" si="18"/>
        <v>1.08</v>
      </c>
      <c r="J114" s="112">
        <f t="shared" si="20"/>
        <v>18012838.756904267</v>
      </c>
      <c r="K114" s="26">
        <f t="shared" si="19"/>
        <v>157439.42690426856</v>
      </c>
      <c r="L114" s="35">
        <f t="shared" si="13"/>
        <v>8.8174688224275394E-3</v>
      </c>
      <c r="M114" s="9">
        <f t="shared" si="14"/>
        <v>8.8174688224275394E-3</v>
      </c>
      <c r="N114" s="90">
        <f t="shared" si="15"/>
        <v>24787173143.944523</v>
      </c>
      <c r="O114" s="90">
        <f t="shared" si="16"/>
        <v>608358.79351076856</v>
      </c>
      <c r="P114" s="90">
        <f t="shared" si="17"/>
        <v>370100421641.87793</v>
      </c>
      <c r="Q114"/>
    </row>
    <row r="115" spans="1:17" x14ac:dyDescent="0.2">
      <c r="A115" s="42">
        <v>45808</v>
      </c>
      <c r="B115" s="43">
        <f>Inputs!D136</f>
        <v>17778609.603333335</v>
      </c>
      <c r="C115" s="111">
        <f>Inputs!E136</f>
        <v>0</v>
      </c>
      <c r="D115" s="111">
        <f t="shared" si="11"/>
        <v>17778609.603333335</v>
      </c>
      <c r="E115" s="111">
        <f>Inputs!C136</f>
        <v>12628.5</v>
      </c>
      <c r="F115" s="108">
        <v>31</v>
      </c>
      <c r="G115" s="92">
        <f t="shared" si="18"/>
        <v>1</v>
      </c>
      <c r="H115" s="89">
        <f t="shared" si="18"/>
        <v>116.80999999999999</v>
      </c>
      <c r="I115" s="89">
        <f t="shared" si="18"/>
        <v>27.339999999999996</v>
      </c>
      <c r="J115" s="112">
        <f t="shared" si="20"/>
        <v>19114787.470956143</v>
      </c>
      <c r="K115" s="26">
        <f t="shared" si="19"/>
        <v>1336177.8676228076</v>
      </c>
      <c r="L115" s="35">
        <f t="shared" si="13"/>
        <v>7.5156488467595678E-2</v>
      </c>
      <c r="M115" s="9">
        <f t="shared" si="14"/>
        <v>7.5156488467595678E-2</v>
      </c>
      <c r="N115" s="90">
        <f t="shared" si="15"/>
        <v>1785371293925.0332</v>
      </c>
      <c r="O115" s="90">
        <f t="shared" si="16"/>
        <v>1178738.4407185391</v>
      </c>
      <c r="P115" s="90">
        <f t="shared" si="17"/>
        <v>1389424311627.5728</v>
      </c>
      <c r="Q115"/>
    </row>
    <row r="116" spans="1:17" x14ac:dyDescent="0.2">
      <c r="A116" s="42">
        <v>45838</v>
      </c>
      <c r="B116" s="43">
        <f>Inputs!D137</f>
        <v>22776523.77</v>
      </c>
      <c r="C116" s="111">
        <f>Inputs!E137</f>
        <v>0</v>
      </c>
      <c r="D116" s="111">
        <f t="shared" si="11"/>
        <v>22776523.77</v>
      </c>
      <c r="E116" s="111">
        <f>Inputs!C137</f>
        <v>12628.5</v>
      </c>
      <c r="F116" s="108">
        <v>30</v>
      </c>
      <c r="G116" s="92">
        <f t="shared" si="18"/>
        <v>0</v>
      </c>
      <c r="H116" s="89">
        <f t="shared" si="18"/>
        <v>10.02</v>
      </c>
      <c r="I116" s="89">
        <f t="shared" si="18"/>
        <v>99.090000000000018</v>
      </c>
      <c r="J116" s="112">
        <f t="shared" si="20"/>
        <v>23068561.949525446</v>
      </c>
      <c r="K116" s="26">
        <f t="shared" si="19"/>
        <v>292038.17952544615</v>
      </c>
      <c r="L116" s="35">
        <f t="shared" si="13"/>
        <v>1.282189426597675E-2</v>
      </c>
      <c r="M116" s="9">
        <f t="shared" si="14"/>
        <v>1.282189426597675E-2</v>
      </c>
      <c r="N116" s="90">
        <f t="shared" si="15"/>
        <v>85286298300.536713</v>
      </c>
      <c r="O116" s="90">
        <f t="shared" si="16"/>
        <v>-1044139.6880973615</v>
      </c>
      <c r="P116" s="90">
        <f t="shared" si="17"/>
        <v>1090227688260.0553</v>
      </c>
      <c r="Q116"/>
    </row>
    <row r="117" spans="1:17" x14ac:dyDescent="0.2">
      <c r="A117" s="42">
        <v>45869</v>
      </c>
      <c r="B117" s="43">
        <f>Inputs!D138</f>
        <v>28102766.048864566</v>
      </c>
      <c r="C117" s="111">
        <f>Inputs!E138</f>
        <v>0</v>
      </c>
      <c r="D117" s="111">
        <f t="shared" si="11"/>
        <v>28102766.048864566</v>
      </c>
      <c r="E117" s="111">
        <f>Inputs!C138</f>
        <v>12628.5</v>
      </c>
      <c r="F117" s="108">
        <v>31</v>
      </c>
      <c r="G117" s="92">
        <f t="shared" si="18"/>
        <v>0</v>
      </c>
      <c r="H117" s="89">
        <f t="shared" si="18"/>
        <v>6.9999999999999993E-2</v>
      </c>
      <c r="I117" s="89">
        <f t="shared" si="18"/>
        <v>158.74</v>
      </c>
      <c r="J117" s="112">
        <f t="shared" si="20"/>
        <v>26974518.431142684</v>
      </c>
      <c r="K117" s="26">
        <f t="shared" si="19"/>
        <v>-1128247.6177218817</v>
      </c>
      <c r="L117" s="35">
        <f t="shared" si="13"/>
        <v>-4.0147208846278898E-2</v>
      </c>
      <c r="M117" s="9">
        <f t="shared" si="14"/>
        <v>4.0147208846278898E-2</v>
      </c>
      <c r="N117" s="90">
        <f t="shared" si="15"/>
        <v>1272942686895.1013</v>
      </c>
      <c r="O117" s="90">
        <f t="shared" si="16"/>
        <v>-1420285.7972473279</v>
      </c>
      <c r="P117" s="90">
        <f t="shared" si="17"/>
        <v>2017211745862.4778</v>
      </c>
      <c r="Q117"/>
    </row>
    <row r="118" spans="1:17" x14ac:dyDescent="0.2">
      <c r="A118" s="42">
        <v>45900</v>
      </c>
      <c r="B118" s="43">
        <f>Inputs!D139</f>
        <v>24670960.87446877</v>
      </c>
      <c r="C118" s="111">
        <f>Inputs!E139</f>
        <v>0</v>
      </c>
      <c r="D118" s="111">
        <f t="shared" si="11"/>
        <v>24670960.87446877</v>
      </c>
      <c r="E118" s="111">
        <f>Inputs!C139</f>
        <v>12628.5</v>
      </c>
      <c r="F118" s="108">
        <v>31</v>
      </c>
      <c r="G118" s="92">
        <f t="shared" si="18"/>
        <v>0</v>
      </c>
      <c r="H118" s="89">
        <f t="shared" si="18"/>
        <v>3.19</v>
      </c>
      <c r="I118" s="89">
        <f t="shared" si="18"/>
        <v>115.75999999999999</v>
      </c>
      <c r="J118" s="112">
        <f t="shared" si="20"/>
        <v>24690692.642605714</v>
      </c>
      <c r="K118" s="26">
        <f t="shared" si="19"/>
        <v>19731.768136944622</v>
      </c>
      <c r="L118" s="35">
        <f t="shared" si="13"/>
        <v>7.9979730977419814E-4</v>
      </c>
      <c r="M118" s="9">
        <f t="shared" si="14"/>
        <v>7.9979730977419814E-4</v>
      </c>
      <c r="N118" s="90">
        <f t="shared" si="15"/>
        <v>389342673.81014305</v>
      </c>
      <c r="O118" s="90">
        <f t="shared" si="16"/>
        <v>1147979.3858588263</v>
      </c>
      <c r="P118" s="90">
        <f t="shared" si="17"/>
        <v>1317856670356.8081</v>
      </c>
      <c r="Q118"/>
    </row>
    <row r="119" spans="1:17" x14ac:dyDescent="0.2">
      <c r="A119" s="42">
        <v>45930</v>
      </c>
      <c r="B119" s="43">
        <f>Inputs!D140</f>
        <v>20384897.329999998</v>
      </c>
      <c r="C119" s="111">
        <f>Inputs!E140</f>
        <v>0</v>
      </c>
      <c r="D119" s="111">
        <f t="shared" si="11"/>
        <v>20384897.329999998</v>
      </c>
      <c r="E119" s="111">
        <f>Inputs!C140</f>
        <v>12628.5</v>
      </c>
      <c r="F119" s="108">
        <v>30</v>
      </c>
      <c r="G119" s="92">
        <f t="shared" si="18"/>
        <v>0</v>
      </c>
      <c r="H119" s="89">
        <f t="shared" si="18"/>
        <v>32.589999999999996</v>
      </c>
      <c r="I119" s="89">
        <f t="shared" si="18"/>
        <v>44.9</v>
      </c>
      <c r="J119" s="112">
        <f t="shared" si="20"/>
        <v>20306609.503249023</v>
      </c>
      <c r="K119" s="26">
        <f t="shared" si="19"/>
        <v>-78287.826750975102</v>
      </c>
      <c r="L119" s="35">
        <f t="shared" si="13"/>
        <v>-3.8404817784272408E-3</v>
      </c>
      <c r="M119" s="9">
        <f t="shared" si="14"/>
        <v>3.8404817784272408E-3</v>
      </c>
      <c r="N119" s="90">
        <f t="shared" si="15"/>
        <v>6128983817.3906927</v>
      </c>
      <c r="O119" s="90">
        <f t="shared" si="16"/>
        <v>-98019.594887919724</v>
      </c>
      <c r="P119" s="90">
        <f t="shared" si="17"/>
        <v>9607840981.9918976</v>
      </c>
      <c r="Q119"/>
    </row>
    <row r="120" spans="1:17" x14ac:dyDescent="0.2">
      <c r="A120" s="42">
        <v>45961</v>
      </c>
      <c r="B120" s="43">
        <f>Inputs!D141</f>
        <v>18368645.043333337</v>
      </c>
      <c r="C120" s="111">
        <f>Inputs!E141</f>
        <v>0</v>
      </c>
      <c r="D120" s="111">
        <f t="shared" si="11"/>
        <v>18368645.043333337</v>
      </c>
      <c r="E120" s="111">
        <f>Inputs!C141</f>
        <v>12628.5</v>
      </c>
      <c r="F120" s="108">
        <v>31</v>
      </c>
      <c r="G120" s="92">
        <f t="shared" si="18"/>
        <v>1</v>
      </c>
      <c r="H120" s="89">
        <f t="shared" si="18"/>
        <v>183.84999999999997</v>
      </c>
      <c r="I120" s="89">
        <f t="shared" si="18"/>
        <v>11.61</v>
      </c>
      <c r="J120" s="112">
        <f t="shared" si="20"/>
        <v>18694561.707275618</v>
      </c>
      <c r="K120" s="26">
        <f t="shared" si="19"/>
        <v>325916.66394228116</v>
      </c>
      <c r="L120" s="35">
        <f t="shared" si="13"/>
        <v>1.7743097717518821E-2</v>
      </c>
      <c r="M120" s="9">
        <f t="shared" si="14"/>
        <v>1.7743097717518821E-2</v>
      </c>
      <c r="N120" s="90">
        <f t="shared" si="15"/>
        <v>106221671835.26582</v>
      </c>
      <c r="O120" s="90">
        <f t="shared" si="16"/>
        <v>404204.49069325626</v>
      </c>
      <c r="P120" s="90">
        <f t="shared" si="17"/>
        <v>163381270296.5947</v>
      </c>
      <c r="Q120"/>
    </row>
    <row r="121" spans="1:17" x14ac:dyDescent="0.2">
      <c r="A121" s="42">
        <v>45991</v>
      </c>
      <c r="B121" s="43">
        <f>Inputs!D142</f>
        <v>19256682.163333334</v>
      </c>
      <c r="C121" s="111">
        <f>Inputs!E142</f>
        <v>0</v>
      </c>
      <c r="D121" s="111">
        <f t="shared" si="11"/>
        <v>19256682.163333334</v>
      </c>
      <c r="E121" s="111">
        <f>Inputs!C142</f>
        <v>12628.5</v>
      </c>
      <c r="F121" s="108">
        <v>30</v>
      </c>
      <c r="G121" s="92">
        <f t="shared" si="18"/>
        <v>1</v>
      </c>
      <c r="H121" s="89">
        <f t="shared" si="18"/>
        <v>388.63</v>
      </c>
      <c r="I121" s="89">
        <f t="shared" si="18"/>
        <v>0.36666666666666664</v>
      </c>
      <c r="J121" s="112">
        <f t="shared" si="20"/>
        <v>18611739.176632661</v>
      </c>
      <c r="K121" s="26">
        <f t="shared" si="19"/>
        <v>-644942.98670067266</v>
      </c>
      <c r="L121" s="35">
        <f t="shared" si="13"/>
        <v>-3.3491905886503602E-2</v>
      </c>
      <c r="M121" s="9">
        <f t="shared" si="14"/>
        <v>3.3491905886503602E-2</v>
      </c>
      <c r="N121" s="90">
        <f t="shared" si="15"/>
        <v>415951456094.38403</v>
      </c>
      <c r="O121" s="90">
        <f t="shared" si="16"/>
        <v>-970859.65064295381</v>
      </c>
      <c r="P121" s="90">
        <f t="shared" si="17"/>
        <v>942568461246.55835</v>
      </c>
      <c r="Q121"/>
    </row>
    <row r="122" spans="1:17" x14ac:dyDescent="0.2">
      <c r="A122" s="42">
        <v>46022</v>
      </c>
      <c r="B122" s="43">
        <f>Inputs!D143</f>
        <v>22775840.99666667</v>
      </c>
      <c r="C122" s="111">
        <f>Inputs!E143</f>
        <v>0</v>
      </c>
      <c r="D122" s="111">
        <f t="shared" si="11"/>
        <v>22775840.99666667</v>
      </c>
      <c r="E122" s="111">
        <f>Inputs!C143</f>
        <v>12628.5</v>
      </c>
      <c r="F122" s="108">
        <v>31</v>
      </c>
      <c r="G122" s="92">
        <f t="shared" si="18"/>
        <v>0</v>
      </c>
      <c r="H122" s="89">
        <f t="shared" si="18"/>
        <v>553.67999999999995</v>
      </c>
      <c r="I122" s="89">
        <f t="shared" si="18"/>
        <v>0</v>
      </c>
      <c r="J122" s="112">
        <f t="shared" si="20"/>
        <v>21958491.83950771</v>
      </c>
      <c r="K122" s="26">
        <f t="shared" si="19"/>
        <v>-817349.15715895966</v>
      </c>
      <c r="L122" s="35">
        <f t="shared" si="13"/>
        <v>-3.5886672956602646E-2</v>
      </c>
      <c r="M122" s="9">
        <f t="shared" si="14"/>
        <v>3.5886672956602646E-2</v>
      </c>
      <c r="N122" s="90">
        <f t="shared" si="15"/>
        <v>668059644708.46179</v>
      </c>
      <c r="O122" s="90">
        <f t="shared" si="16"/>
        <v>-172406.170458287</v>
      </c>
      <c r="P122" s="90">
        <f t="shared" si="17"/>
        <v>29723887612.091915</v>
      </c>
      <c r="Q122"/>
    </row>
    <row r="123" spans="1:17" x14ac:dyDescent="0.2">
      <c r="A123" s="42">
        <v>46053</v>
      </c>
      <c r="B123" s="43"/>
      <c r="C123" s="111"/>
      <c r="D123" s="111"/>
      <c r="E123" s="124" cm="1">
        <f t="array" ref="E123:E134">'Rate Class Customer Model'!Q4:Q15</f>
        <v>12640.38198827998</v>
      </c>
      <c r="F123" s="108">
        <v>31</v>
      </c>
      <c r="G123" s="92">
        <f t="shared" si="18"/>
        <v>0</v>
      </c>
      <c r="H123" s="89">
        <f t="shared" si="18"/>
        <v>637.03999999999985</v>
      </c>
      <c r="I123" s="89">
        <f t="shared" si="18"/>
        <v>0</v>
      </c>
      <c r="J123" s="112">
        <f>$S$18+$S$19*E123+$S$20*F123+$S$21*G123+$S$22*H123+$S$23*I123</f>
        <v>22497549.699707072</v>
      </c>
      <c r="K123" s="26"/>
      <c r="L123" t="s">
        <v>47</v>
      </c>
      <c r="M123" s="4">
        <f>AVERAGE(M3:M122)</f>
        <v>4.7695411958931712E-2</v>
      </c>
      <c r="N123" s="5">
        <f>SUM(N3:N122)</f>
        <v>181678812754923.66</v>
      </c>
      <c r="O123" s="4"/>
      <c r="P123" s="5">
        <f>SUM(P4:P122)</f>
        <v>216263073714356.56</v>
      </c>
      <c r="Q123" s="21"/>
    </row>
    <row r="124" spans="1:17" x14ac:dyDescent="0.2">
      <c r="A124" s="42">
        <v>46081</v>
      </c>
      <c r="B124" s="43"/>
      <c r="C124" s="111"/>
      <c r="D124" s="111"/>
      <c r="E124" s="124">
        <v>12652.275156165257</v>
      </c>
      <c r="F124" s="108">
        <v>28</v>
      </c>
      <c r="G124" s="92">
        <f t="shared" si="18"/>
        <v>0</v>
      </c>
      <c r="H124" s="89">
        <f t="shared" si="18"/>
        <v>540.82000000000005</v>
      </c>
      <c r="I124" s="89">
        <f t="shared" si="18"/>
        <v>0</v>
      </c>
      <c r="J124" s="112">
        <f t="shared" ref="J124:J145" si="21">$S$18+$S$19*E124+$S$20*F124+$S$21*G124+$S$22*H124+$S$23*I124</f>
        <v>19588664.899318077</v>
      </c>
      <c r="K124" s="26"/>
      <c r="Q124"/>
    </row>
    <row r="125" spans="1:17" x14ac:dyDescent="0.2">
      <c r="A125" s="42">
        <v>46112</v>
      </c>
      <c r="B125" s="43"/>
      <c r="C125" s="111"/>
      <c r="D125" s="111"/>
      <c r="E125" s="124">
        <v>12664.179514174572</v>
      </c>
      <c r="F125" s="108">
        <v>31</v>
      </c>
      <c r="G125" s="92">
        <f t="shared" si="18"/>
        <v>1</v>
      </c>
      <c r="H125" s="89">
        <f t="shared" si="18"/>
        <v>454.27</v>
      </c>
      <c r="I125" s="89">
        <f t="shared" si="18"/>
        <v>0</v>
      </c>
      <c r="J125" s="112">
        <f t="shared" si="21"/>
        <v>19817821.508325912</v>
      </c>
      <c r="K125" s="26"/>
      <c r="Q125"/>
    </row>
    <row r="126" spans="1:17" x14ac:dyDescent="0.2">
      <c r="A126" s="42">
        <v>46142</v>
      </c>
      <c r="B126" s="43"/>
      <c r="C126" s="111"/>
      <c r="D126" s="111"/>
      <c r="E126" s="124">
        <v>12676.095072836566</v>
      </c>
      <c r="F126" s="108">
        <v>30</v>
      </c>
      <c r="G126" s="92">
        <f t="shared" si="18"/>
        <v>1</v>
      </c>
      <c r="H126" s="89">
        <f t="shared" si="18"/>
        <v>287.61</v>
      </c>
      <c r="I126" s="89">
        <f t="shared" si="18"/>
        <v>1.08</v>
      </c>
      <c r="J126" s="112">
        <f t="shared" si="21"/>
        <v>18066145.161632039</v>
      </c>
      <c r="K126" s="26"/>
      <c r="Q126"/>
    </row>
    <row r="127" spans="1:17" x14ac:dyDescent="0.2">
      <c r="A127" s="42">
        <v>46173</v>
      </c>
      <c r="B127" s="43"/>
      <c r="C127" s="111"/>
      <c r="D127" s="111"/>
      <c r="E127" s="124">
        <v>12688.021842689785</v>
      </c>
      <c r="F127" s="108">
        <v>31</v>
      </c>
      <c r="G127" s="92">
        <f t="shared" si="18"/>
        <v>1</v>
      </c>
      <c r="H127" s="89">
        <f t="shared" si="18"/>
        <v>116.80999999999999</v>
      </c>
      <c r="I127" s="89">
        <f t="shared" si="18"/>
        <v>27.339999999999996</v>
      </c>
      <c r="J127" s="112">
        <f t="shared" si="21"/>
        <v>19181451.838662013</v>
      </c>
      <c r="K127" s="26"/>
      <c r="Q127"/>
    </row>
    <row r="128" spans="1:17" x14ac:dyDescent="0.2">
      <c r="A128" s="42">
        <v>46203</v>
      </c>
      <c r="B128" s="43"/>
      <c r="C128" s="111"/>
      <c r="D128" s="111"/>
      <c r="E128" s="124">
        <v>12699.959834282687</v>
      </c>
      <c r="F128" s="108">
        <v>30</v>
      </c>
      <c r="G128" s="92">
        <f t="shared" si="18"/>
        <v>0</v>
      </c>
      <c r="H128" s="89">
        <f t="shared" si="18"/>
        <v>10.02</v>
      </c>
      <c r="I128" s="89">
        <f t="shared" si="18"/>
        <v>99.090000000000018</v>
      </c>
      <c r="J128" s="112">
        <f t="shared" si="21"/>
        <v>23148596.84853974</v>
      </c>
      <c r="K128" s="26"/>
      <c r="Q128"/>
    </row>
    <row r="129" spans="1:17" x14ac:dyDescent="0.2">
      <c r="A129" s="42">
        <v>46234</v>
      </c>
      <c r="B129" s="43"/>
      <c r="C129" s="111"/>
      <c r="D129" s="111"/>
      <c r="E129" s="124">
        <v>12711.909058173662</v>
      </c>
      <c r="F129" s="108">
        <v>31</v>
      </c>
      <c r="G129" s="92">
        <f t="shared" si="18"/>
        <v>0</v>
      </c>
      <c r="H129" s="89">
        <f t="shared" si="18"/>
        <v>6.9999999999999993E-2</v>
      </c>
      <c r="I129" s="89">
        <f t="shared" si="18"/>
        <v>158.74</v>
      </c>
      <c r="J129" s="112">
        <f t="shared" si="21"/>
        <v>27067936.441621102</v>
      </c>
      <c r="K129" s="26"/>
      <c r="L129"/>
      <c r="M129"/>
      <c r="N129"/>
      <c r="O129"/>
      <c r="P129"/>
      <c r="Q129"/>
    </row>
    <row r="130" spans="1:17" x14ac:dyDescent="0.2">
      <c r="A130" s="42">
        <v>46265</v>
      </c>
      <c r="B130" s="43"/>
      <c r="C130" s="111"/>
      <c r="D130" s="111"/>
      <c r="E130" s="124">
        <v>12723.869524931028</v>
      </c>
      <c r="F130" s="108">
        <v>31</v>
      </c>
      <c r="G130" s="92">
        <f t="shared" si="18"/>
        <v>0</v>
      </c>
      <c r="H130" s="89">
        <f t="shared" si="18"/>
        <v>3.19</v>
      </c>
      <c r="I130" s="89">
        <f t="shared" si="18"/>
        <v>115.75999999999999</v>
      </c>
      <c r="J130" s="112">
        <f t="shared" si="21"/>
        <v>24797506.356540468</v>
      </c>
      <c r="K130" s="26"/>
      <c r="L130"/>
      <c r="M130"/>
      <c r="N130"/>
      <c r="O130"/>
      <c r="P130"/>
      <c r="Q130"/>
    </row>
    <row r="131" spans="1:17" x14ac:dyDescent="0.2">
      <c r="A131" s="42">
        <v>46295</v>
      </c>
      <c r="B131" s="43"/>
      <c r="C131" s="111"/>
      <c r="D131" s="111"/>
      <c r="E131" s="124">
        <v>12735.84124513305</v>
      </c>
      <c r="F131" s="108">
        <v>30</v>
      </c>
      <c r="G131" s="92">
        <f t="shared" si="18"/>
        <v>0</v>
      </c>
      <c r="H131" s="89">
        <f t="shared" si="18"/>
        <v>32.589999999999996</v>
      </c>
      <c r="I131" s="89">
        <f t="shared" si="18"/>
        <v>44.9</v>
      </c>
      <c r="J131" s="112">
        <f t="shared" si="21"/>
        <v>20426831.524479955</v>
      </c>
      <c r="K131" s="26"/>
      <c r="L131"/>
      <c r="M131"/>
      <c r="N131"/>
      <c r="O131"/>
      <c r="P131"/>
      <c r="Q131"/>
    </row>
    <row r="132" spans="1:17" x14ac:dyDescent="0.2">
      <c r="A132" s="42">
        <v>46326</v>
      </c>
      <c r="B132" s="43"/>
      <c r="C132" s="111"/>
      <c r="D132" s="111"/>
      <c r="E132" s="124">
        <v>12747.824229367943</v>
      </c>
      <c r="F132" s="108">
        <v>31</v>
      </c>
      <c r="G132" s="92">
        <f t="shared" si="18"/>
        <v>1</v>
      </c>
      <c r="H132" s="89">
        <f t="shared" si="18"/>
        <v>183.84999999999997</v>
      </c>
      <c r="I132" s="89">
        <f t="shared" si="18"/>
        <v>11.61</v>
      </c>
      <c r="J132" s="112">
        <f t="shared" si="21"/>
        <v>18828204.651501358</v>
      </c>
      <c r="K132" s="26"/>
      <c r="L132"/>
      <c r="M132"/>
      <c r="N132"/>
      <c r="O132"/>
      <c r="P132"/>
      <c r="Q132"/>
    </row>
    <row r="133" spans="1:17" x14ac:dyDescent="0.2">
      <c r="A133" s="42">
        <v>46356</v>
      </c>
      <c r="B133" s="43"/>
      <c r="C133" s="111"/>
      <c r="D133" s="111"/>
      <c r="E133" s="124">
        <v>12759.81848823389</v>
      </c>
      <c r="F133" s="108">
        <v>30</v>
      </c>
      <c r="G133" s="92">
        <f t="shared" si="18"/>
        <v>1</v>
      </c>
      <c r="H133" s="89">
        <f t="shared" si="18"/>
        <v>388.63</v>
      </c>
      <c r="I133" s="89">
        <f t="shared" si="18"/>
        <v>0.36666666666666664</v>
      </c>
      <c r="J133" s="112">
        <f t="shared" si="21"/>
        <v>18758815.671421781</v>
      </c>
      <c r="K133" s="26"/>
      <c r="L133"/>
      <c r="M133"/>
      <c r="N133"/>
      <c r="O133"/>
      <c r="P133"/>
      <c r="Q133"/>
    </row>
    <row r="134" spans="1:17" x14ac:dyDescent="0.2">
      <c r="A134" s="42">
        <v>46387</v>
      </c>
      <c r="B134" s="43"/>
      <c r="C134" s="111"/>
      <c r="D134" s="111"/>
      <c r="E134" s="124">
        <v>12771.824032339038</v>
      </c>
      <c r="F134" s="108">
        <v>31</v>
      </c>
      <c r="G134" s="92">
        <f t="shared" si="18"/>
        <v>0</v>
      </c>
      <c r="H134" s="89">
        <f t="shared" si="18"/>
        <v>553.67999999999995</v>
      </c>
      <c r="I134" s="89">
        <f t="shared" si="18"/>
        <v>0</v>
      </c>
      <c r="J134" s="112">
        <f t="shared" si="21"/>
        <v>22119014.524309896</v>
      </c>
      <c r="K134" s="26"/>
      <c r="L134"/>
      <c r="M134"/>
      <c r="N134"/>
      <c r="O134"/>
      <c r="P134"/>
      <c r="Q134"/>
    </row>
    <row r="135" spans="1:17" x14ac:dyDescent="0.2">
      <c r="A135" s="42">
        <v>46418</v>
      </c>
      <c r="B135" s="43"/>
      <c r="C135" s="111"/>
      <c r="D135" s="111"/>
      <c r="E135" s="124" cm="1">
        <f t="array" ref="E135:E146">'Rate Class Customer Model'!R4:R15</f>
        <v>12773.696254536617</v>
      </c>
      <c r="F135" s="108">
        <v>31</v>
      </c>
      <c r="G135" s="92">
        <f t="shared" si="18"/>
        <v>0</v>
      </c>
      <c r="H135" s="89">
        <f t="shared" si="18"/>
        <v>637.03999999999985</v>
      </c>
      <c r="I135" s="89">
        <f t="shared" si="18"/>
        <v>0</v>
      </c>
      <c r="J135" s="112">
        <f t="shared" si="21"/>
        <v>22646861.462659199</v>
      </c>
      <c r="K135" s="26"/>
      <c r="L135"/>
      <c r="M135"/>
      <c r="N135"/>
      <c r="O135"/>
      <c r="P135"/>
      <c r="Q135"/>
    </row>
    <row r="136" spans="1:17" x14ac:dyDescent="0.2">
      <c r="A136" s="42">
        <v>46446</v>
      </c>
      <c r="B136" s="43"/>
      <c r="C136" s="111"/>
      <c r="D136" s="111"/>
      <c r="E136" s="124">
        <v>12775.568751183324</v>
      </c>
      <c r="F136" s="108">
        <v>28</v>
      </c>
      <c r="G136" s="92">
        <f t="shared" si="18"/>
        <v>0</v>
      </c>
      <c r="H136" s="89">
        <f t="shared" si="18"/>
        <v>540.82000000000005</v>
      </c>
      <c r="I136" s="89">
        <f t="shared" si="18"/>
        <v>0</v>
      </c>
      <c r="J136" s="112">
        <f t="shared" si="21"/>
        <v>19726753.526662838</v>
      </c>
      <c r="K136" s="26"/>
      <c r="L136"/>
      <c r="M136"/>
      <c r="N136"/>
      <c r="O136"/>
      <c r="P136"/>
      <c r="Q136"/>
    </row>
    <row r="137" spans="1:17" x14ac:dyDescent="0.2">
      <c r="A137" s="42">
        <v>46477</v>
      </c>
      <c r="B137" s="43"/>
      <c r="C137" s="111"/>
      <c r="D137" s="111"/>
      <c r="E137" s="124">
        <v>12777.441522319388</v>
      </c>
      <c r="F137" s="108">
        <v>31</v>
      </c>
      <c r="G137" s="92">
        <f t="shared" si="18"/>
        <v>1</v>
      </c>
      <c r="H137" s="89">
        <f t="shared" si="18"/>
        <v>454.27</v>
      </c>
      <c r="I137" s="89">
        <f t="shared" si="18"/>
        <v>0</v>
      </c>
      <c r="J137" s="112">
        <f t="shared" si="21"/>
        <v>19944674.774570085</v>
      </c>
      <c r="K137" s="26"/>
      <c r="L137"/>
      <c r="M137"/>
      <c r="N137"/>
      <c r="O137"/>
      <c r="P137"/>
      <c r="Q137"/>
    </row>
    <row r="138" spans="1:17" x14ac:dyDescent="0.2">
      <c r="A138" s="42">
        <v>46507</v>
      </c>
      <c r="B138" s="43"/>
      <c r="C138" s="111"/>
      <c r="D138" s="111"/>
      <c r="E138" s="124">
        <v>12779.31456798505</v>
      </c>
      <c r="F138" s="108">
        <v>30</v>
      </c>
      <c r="G138" s="92">
        <f t="shared" si="18"/>
        <v>1</v>
      </c>
      <c r="H138" s="89">
        <f t="shared" si="18"/>
        <v>287.61</v>
      </c>
      <c r="I138" s="89">
        <f t="shared" si="18"/>
        <v>1.08</v>
      </c>
      <c r="J138" s="112">
        <f t="shared" si="21"/>
        <v>18181750.829535425</v>
      </c>
      <c r="K138" s="26"/>
      <c r="L138"/>
      <c r="M138"/>
      <c r="N138"/>
      <c r="O138"/>
      <c r="P138"/>
      <c r="Q138"/>
    </row>
    <row r="139" spans="1:17" x14ac:dyDescent="0.2">
      <c r="A139" s="42">
        <v>46538</v>
      </c>
      <c r="B139" s="43"/>
      <c r="C139" s="111"/>
      <c r="D139" s="111"/>
      <c r="E139" s="124">
        <v>12781.187888220549</v>
      </c>
      <c r="F139" s="108">
        <v>31</v>
      </c>
      <c r="G139" s="92">
        <f t="shared" si="18"/>
        <v>1</v>
      </c>
      <c r="H139" s="89">
        <f t="shared" si="18"/>
        <v>116.80999999999999</v>
      </c>
      <c r="I139" s="89">
        <f t="shared" si="18"/>
        <v>27.339999999999996</v>
      </c>
      <c r="J139" s="112">
        <f t="shared" si="21"/>
        <v>19285797.659226313</v>
      </c>
      <c r="K139" s="26"/>
      <c r="L139"/>
      <c r="M139"/>
      <c r="N139"/>
      <c r="O139"/>
      <c r="P139"/>
      <c r="Q139"/>
    </row>
    <row r="140" spans="1:17" x14ac:dyDescent="0.2">
      <c r="A140" s="42">
        <v>46568</v>
      </c>
      <c r="B140" s="43"/>
      <c r="C140" s="111"/>
      <c r="D140" s="111"/>
      <c r="E140" s="124">
        <v>12783.061483066138</v>
      </c>
      <c r="F140" s="108">
        <v>30</v>
      </c>
      <c r="G140" s="92">
        <f t="shared" si="18"/>
        <v>0</v>
      </c>
      <c r="H140" s="89">
        <f t="shared" si="18"/>
        <v>10.02</v>
      </c>
      <c r="I140" s="89">
        <f t="shared" si="18"/>
        <v>99.090000000000018</v>
      </c>
      <c r="J140" s="112">
        <f t="shared" si="21"/>
        <v>23241670.560997479</v>
      </c>
      <c r="K140" s="26"/>
      <c r="L140"/>
      <c r="M140"/>
      <c r="N140"/>
      <c r="O140"/>
      <c r="P140"/>
      <c r="Q140"/>
    </row>
    <row r="141" spans="1:17" x14ac:dyDescent="0.2">
      <c r="A141" s="42">
        <v>46599</v>
      </c>
      <c r="B141" s="43"/>
      <c r="C141" s="111"/>
      <c r="D141" s="111"/>
      <c r="E141" s="124">
        <v>12784.93535256207</v>
      </c>
      <c r="F141" s="108">
        <v>31</v>
      </c>
      <c r="G141" s="92">
        <f t="shared" si="18"/>
        <v>0</v>
      </c>
      <c r="H141" s="89">
        <f t="shared" si="18"/>
        <v>6.9999999999999993E-2</v>
      </c>
      <c r="I141" s="89">
        <f t="shared" si="18"/>
        <v>158.74</v>
      </c>
      <c r="J141" s="112">
        <f t="shared" si="21"/>
        <v>27149725.773424529</v>
      </c>
      <c r="K141" s="26"/>
      <c r="L141"/>
      <c r="M141"/>
      <c r="N141"/>
      <c r="O141"/>
      <c r="P141"/>
      <c r="Q141"/>
    </row>
    <row r="142" spans="1:17" x14ac:dyDescent="0.2">
      <c r="A142" s="42">
        <v>46630</v>
      </c>
      <c r="B142" s="43"/>
      <c r="C142" s="111"/>
      <c r="D142" s="111"/>
      <c r="E142" s="124">
        <v>12786.809496748607</v>
      </c>
      <c r="F142" s="108">
        <v>31</v>
      </c>
      <c r="G142" s="92">
        <f t="shared" si="18"/>
        <v>0</v>
      </c>
      <c r="H142" s="89">
        <f t="shared" si="18"/>
        <v>3.19</v>
      </c>
      <c r="I142" s="89">
        <f t="shared" si="18"/>
        <v>115.75999999999999</v>
      </c>
      <c r="J142" s="112">
        <f t="shared" si="21"/>
        <v>24867999.023350399</v>
      </c>
      <c r="K142" s="26"/>
      <c r="L142"/>
      <c r="M142"/>
      <c r="N142"/>
      <c r="O142"/>
      <c r="P142"/>
      <c r="Q142"/>
    </row>
    <row r="143" spans="1:17" x14ac:dyDescent="0.2">
      <c r="A143" s="42">
        <v>46660</v>
      </c>
      <c r="B143" s="43"/>
      <c r="C143" s="111"/>
      <c r="D143" s="111"/>
      <c r="E143" s="124">
        <v>12788.683915666015</v>
      </c>
      <c r="F143" s="108">
        <v>30</v>
      </c>
      <c r="G143" s="92">
        <f t="shared" si="18"/>
        <v>0</v>
      </c>
      <c r="H143" s="89">
        <f t="shared" si="18"/>
        <v>32.589999999999996</v>
      </c>
      <c r="I143" s="89">
        <f t="shared" si="18"/>
        <v>44.9</v>
      </c>
      <c r="J143" s="112">
        <f t="shared" si="21"/>
        <v>20486015.230154682</v>
      </c>
      <c r="K143" s="26"/>
      <c r="L143"/>
      <c r="M143"/>
      <c r="N143"/>
      <c r="O143"/>
      <c r="P143"/>
      <c r="Q143"/>
    </row>
    <row r="144" spans="1:17" x14ac:dyDescent="0.2">
      <c r="A144" s="42">
        <v>46691</v>
      </c>
      <c r="B144" s="43"/>
      <c r="C144" s="111"/>
      <c r="D144" s="111"/>
      <c r="E144" s="124">
        <v>12790.558609354568</v>
      </c>
      <c r="F144" s="108">
        <v>31</v>
      </c>
      <c r="G144" s="92">
        <f t="shared" ref="G144:I146" si="22">G132</f>
        <v>1</v>
      </c>
      <c r="H144" s="89">
        <f t="shared" si="22"/>
        <v>183.84999999999997</v>
      </c>
      <c r="I144" s="89">
        <f t="shared" si="22"/>
        <v>11.61</v>
      </c>
      <c r="J144" s="112">
        <f t="shared" si="21"/>
        <v>18876067.088085495</v>
      </c>
      <c r="K144" s="26"/>
      <c r="L144"/>
      <c r="M144"/>
      <c r="N144"/>
      <c r="O144"/>
      <c r="P144"/>
      <c r="Q144"/>
    </row>
    <row r="145" spans="1:17" x14ac:dyDescent="0.2">
      <c r="A145" s="42">
        <v>46721</v>
      </c>
      <c r="B145" s="43"/>
      <c r="C145" s="111"/>
      <c r="D145" s="111"/>
      <c r="E145" s="124">
        <v>12792.433577854545</v>
      </c>
      <c r="F145" s="108">
        <v>30</v>
      </c>
      <c r="G145" s="92">
        <f t="shared" si="22"/>
        <v>1</v>
      </c>
      <c r="H145" s="89">
        <f t="shared" si="22"/>
        <v>388.63</v>
      </c>
      <c r="I145" s="89">
        <f t="shared" si="22"/>
        <v>0.36666666666666664</v>
      </c>
      <c r="J145" s="112">
        <f t="shared" si="21"/>
        <v>18795344.519135099</v>
      </c>
      <c r="K145" s="26"/>
      <c r="Q145"/>
    </row>
    <row r="146" spans="1:17" x14ac:dyDescent="0.2">
      <c r="A146" s="42">
        <v>46752</v>
      </c>
      <c r="B146" s="43"/>
      <c r="C146" s="111"/>
      <c r="D146" s="111"/>
      <c r="E146" s="124">
        <v>12794.308821206228</v>
      </c>
      <c r="F146" s="108">
        <v>31</v>
      </c>
      <c r="G146" s="92">
        <f t="shared" si="22"/>
        <v>0</v>
      </c>
      <c r="H146" s="89">
        <f t="shared" si="22"/>
        <v>553.67999999999995</v>
      </c>
      <c r="I146" s="89">
        <f t="shared" si="22"/>
        <v>0</v>
      </c>
      <c r="J146" s="112">
        <f>$S$18+$S$19*E146+$S$20*F146+$S$21*G146+$S$22*H146+$S$23*I146</f>
        <v>22144197.451536179</v>
      </c>
      <c r="K146" s="26"/>
      <c r="Q146"/>
    </row>
    <row r="147" spans="1:17" x14ac:dyDescent="0.2">
      <c r="A147" s="27"/>
      <c r="Q147"/>
    </row>
    <row r="148" spans="1:17" x14ac:dyDescent="0.2">
      <c r="A148" s="27"/>
      <c r="I148" s="107"/>
      <c r="Q148"/>
    </row>
    <row r="149" spans="1:17" x14ac:dyDescent="0.2">
      <c r="A149" s="27"/>
      <c r="F149" s="64" t="s">
        <v>151</v>
      </c>
      <c r="G149" s="64"/>
      <c r="I149" s="107"/>
      <c r="Q149"/>
    </row>
    <row r="150" spans="1:17" x14ac:dyDescent="0.2">
      <c r="A150" s="27"/>
      <c r="F150"/>
      <c r="G150"/>
      <c r="I150" s="46"/>
      <c r="J150" s="26">
        <f>SUM(J3:J146)</f>
        <v>2994906382.2754006</v>
      </c>
      <c r="Q150"/>
    </row>
    <row r="151" spans="1:17" ht="51" x14ac:dyDescent="0.2">
      <c r="A151" s="27"/>
      <c r="K151" s="97"/>
      <c r="L151" s="97"/>
      <c r="M151" s="97" t="s">
        <v>105</v>
      </c>
      <c r="N151" s="97" t="s">
        <v>88</v>
      </c>
      <c r="Q151"/>
    </row>
    <row r="152" spans="1:17" hidden="1" x14ac:dyDescent="0.2">
      <c r="A152" s="21">
        <v>2016</v>
      </c>
      <c r="B152" s="5">
        <f>SUM(B3:B14)</f>
        <v>245959161.03999999</v>
      </c>
      <c r="D152" s="5">
        <f t="shared" ref="D152" si="23">SUM(D3:D14)</f>
        <v>251277774.03999999</v>
      </c>
      <c r="F152" s="5"/>
      <c r="G152" s="5"/>
      <c r="H152" s="5"/>
      <c r="I152" s="5"/>
      <c r="J152" s="5">
        <f>SUM(J3:J14)</f>
        <v>241112901.69047296</v>
      </c>
      <c r="K152" s="5"/>
      <c r="L152" s="30"/>
      <c r="M152" s="30">
        <f>'Power Purchased Model'!K152</f>
        <v>246206141.41602108</v>
      </c>
      <c r="N152" s="4">
        <f>J152/M152</f>
        <v>0.97931310853476261</v>
      </c>
      <c r="O152" s="4"/>
      <c r="P152" s="4"/>
      <c r="Q152"/>
    </row>
    <row r="153" spans="1:17" hidden="1" x14ac:dyDescent="0.2">
      <c r="A153" s="21">
        <v>2017</v>
      </c>
      <c r="B153" s="5">
        <f>SUM(B15:B26)</f>
        <v>228653477.16</v>
      </c>
      <c r="D153" s="5">
        <f t="shared" ref="D153" si="24">SUM(D15:D26)</f>
        <v>234500934.16</v>
      </c>
      <c r="F153" s="95">
        <f>(D153-D152)/D152</f>
        <v>-6.6766111503874404E-2</v>
      </c>
      <c r="G153" s="95" t="e">
        <f>(F153-F152)/F152</f>
        <v>#DIV/0!</v>
      </c>
      <c r="I153" s="35"/>
      <c r="J153" s="5">
        <f>SUM(J15:J26)</f>
        <v>241026558.27461094</v>
      </c>
      <c r="K153" s="5"/>
      <c r="L153" s="30"/>
      <c r="M153" s="30">
        <f>'Power Purchased Model'!K153</f>
        <v>237415194.60445637</v>
      </c>
      <c r="N153" s="4">
        <f t="shared" ref="N153:N163" si="25">J153/M153</f>
        <v>1.015211173304098</v>
      </c>
      <c r="O153" s="4"/>
      <c r="P153" s="106"/>
      <c r="Q153"/>
    </row>
    <row r="154" spans="1:17" hidden="1" x14ac:dyDescent="0.2">
      <c r="A154" s="21">
        <v>2018</v>
      </c>
      <c r="B154" s="5">
        <f>SUM(B27:B38)</f>
        <v>239391395.88999999</v>
      </c>
      <c r="D154" s="5">
        <f t="shared" ref="D154" si="26">SUM(D27:D38)</f>
        <v>245163864.89000005</v>
      </c>
      <c r="F154" s="95">
        <f t="shared" ref="F154:F160" si="27">(D154-D153)/D153</f>
        <v>4.5470738818996478E-2</v>
      </c>
      <c r="G154" s="95">
        <f t="shared" ref="G154:G160" si="28">(F154-F153)/F153</f>
        <v>-1.6810451858703472</v>
      </c>
      <c r="I154" s="35"/>
      <c r="J154" s="5">
        <f>SUM(J27:J38)</f>
        <v>244984632.56845289</v>
      </c>
      <c r="K154" s="5"/>
      <c r="L154" s="30"/>
      <c r="M154" s="30">
        <f>'Power Purchased Model'!K154</f>
        <v>248898751.0100446</v>
      </c>
      <c r="N154" s="4">
        <f t="shared" si="25"/>
        <v>0.98427425438774596</v>
      </c>
      <c r="O154" s="4"/>
      <c r="P154" s="4"/>
      <c r="Q154"/>
    </row>
    <row r="155" spans="1:17" hidden="1" x14ac:dyDescent="0.2">
      <c r="A155" s="21">
        <v>2019</v>
      </c>
      <c r="B155" s="5">
        <f>SUM(B39:B50)</f>
        <v>247047416.97999999</v>
      </c>
      <c r="D155" s="5">
        <f t="shared" ref="D155" si="29">SUM(D39:D50)</f>
        <v>252868515.97999999</v>
      </c>
      <c r="F155" s="95">
        <f t="shared" si="27"/>
        <v>3.1426536261601447E-2</v>
      </c>
      <c r="G155" s="95">
        <f t="shared" si="28"/>
        <v>-0.30886242278358877</v>
      </c>
      <c r="I155" s="35"/>
      <c r="J155" s="5">
        <f>SUM(J39:J50)</f>
        <v>248324467.75357935</v>
      </c>
      <c r="K155" s="5"/>
      <c r="L155" s="30"/>
      <c r="M155" s="30">
        <f>'Power Purchased Model'!K155</f>
        <v>248854549.69445965</v>
      </c>
      <c r="N155" s="4">
        <f t="shared" si="25"/>
        <v>0.99786991259942348</v>
      </c>
      <c r="O155" s="4"/>
      <c r="P155" s="4"/>
      <c r="Q155"/>
    </row>
    <row r="156" spans="1:17" hidden="1" x14ac:dyDescent="0.2">
      <c r="A156" s="21">
        <v>2020</v>
      </c>
      <c r="B156" s="5">
        <f>SUM(B51:B62)</f>
        <v>247739209.51000002</v>
      </c>
      <c r="D156" s="5">
        <f t="shared" ref="D156" si="30">SUM(D51:D62)</f>
        <v>253996467.51000002</v>
      </c>
      <c r="F156" s="95">
        <f t="shared" si="27"/>
        <v>4.4606246278965133E-3</v>
      </c>
      <c r="G156" s="95">
        <f t="shared" si="28"/>
        <v>-0.8580618433172118</v>
      </c>
      <c r="I156" s="35"/>
      <c r="J156" s="5">
        <f>SUM(J51:J62)</f>
        <v>250628407.9724429</v>
      </c>
      <c r="K156" s="5"/>
      <c r="L156" s="30"/>
      <c r="M156" s="30">
        <f>'Power Purchased Model'!K156</f>
        <v>252089572.78851295</v>
      </c>
      <c r="N156" s="4">
        <f t="shared" si="25"/>
        <v>0.99420378717014257</v>
      </c>
      <c r="O156" s="4"/>
      <c r="P156" s="4"/>
      <c r="Q156"/>
    </row>
    <row r="157" spans="1:17" hidden="1" x14ac:dyDescent="0.2">
      <c r="A157" s="21">
        <v>2021</v>
      </c>
      <c r="B157" s="5">
        <f>SUM(B63:B74)</f>
        <v>243659342.76000002</v>
      </c>
      <c r="D157" s="5">
        <f t="shared" ref="D157" si="31">SUM(D63:D74)</f>
        <v>249877497.75999996</v>
      </c>
      <c r="F157" s="95">
        <f t="shared" si="27"/>
        <v>-1.6216641870572049E-2</v>
      </c>
      <c r="G157" s="95">
        <f t="shared" si="28"/>
        <v>-4.6355091995757762</v>
      </c>
      <c r="I157" s="35"/>
      <c r="J157" s="5">
        <f>SUM(J63:J74)</f>
        <v>250713424.30954</v>
      </c>
      <c r="K157" s="5"/>
      <c r="L157" s="30"/>
      <c r="M157" s="30">
        <f>'Power Purchased Model'!K157</f>
        <v>253136928.85720545</v>
      </c>
      <c r="N157" s="4">
        <f t="shared" si="25"/>
        <v>0.99042611222864074</v>
      </c>
      <c r="O157" s="4"/>
      <c r="P157" s="4"/>
      <c r="Q157"/>
    </row>
    <row r="158" spans="1:17" x14ac:dyDescent="0.2">
      <c r="A158" s="21">
        <v>2022</v>
      </c>
      <c r="B158" s="5">
        <f>SUM(B75:B86)</f>
        <v>239410571.16000003</v>
      </c>
      <c r="D158" s="5">
        <f t="shared" ref="D158" si="32">SUM(D75:D86)</f>
        <v>245378475.16000003</v>
      </c>
      <c r="F158" s="95">
        <f t="shared" si="27"/>
        <v>-1.8004912968678413E-2</v>
      </c>
      <c r="G158" s="95">
        <f t="shared" si="28"/>
        <v>0.11027382317368042</v>
      </c>
      <c r="I158" s="35"/>
      <c r="J158" s="5">
        <f>SUM(J75:J86)</f>
        <v>250711744.31196198</v>
      </c>
      <c r="K158" s="5"/>
      <c r="L158" s="30"/>
      <c r="M158" s="30">
        <f>'Power Purchased Model'!K158</f>
        <v>252933336.8035329</v>
      </c>
      <c r="N158" s="282">
        <f t="shared" si="25"/>
        <v>0.99121668768677751</v>
      </c>
      <c r="O158" s="282">
        <f>ROUND(N158,5)</f>
        <v>0.99121999999999999</v>
      </c>
      <c r="P158" s="4"/>
      <c r="Q158"/>
    </row>
    <row r="159" spans="1:17" x14ac:dyDescent="0.2">
      <c r="A159" s="21">
        <v>2023</v>
      </c>
      <c r="B159" s="5">
        <f>SUM(B87:B98)</f>
        <v>234405812.91999999</v>
      </c>
      <c r="D159" s="5">
        <f t="shared" ref="D159" si="33">SUM(D87:D98)</f>
        <v>240736248.91999999</v>
      </c>
      <c r="F159" s="95">
        <f t="shared" si="27"/>
        <v>-1.8918636758880569E-2</v>
      </c>
      <c r="G159" s="95">
        <f t="shared" si="28"/>
        <v>5.074858133397709E-2</v>
      </c>
      <c r="I159" s="35"/>
      <c r="J159" s="5">
        <f>SUM(J87:J98)</f>
        <v>251333343.41583359</v>
      </c>
      <c r="K159" s="5"/>
      <c r="L159" s="30"/>
      <c r="M159" s="30">
        <f>'Power Purchased Model'!K159</f>
        <v>242414956.83362663</v>
      </c>
      <c r="N159" s="282">
        <f t="shared" si="25"/>
        <v>1.0367897538117989</v>
      </c>
      <c r="O159" s="282">
        <f t="shared" ref="O159:O163" si="34">ROUND(N159,5)</f>
        <v>1.0367900000000001</v>
      </c>
      <c r="P159" s="4"/>
      <c r="Q159"/>
    </row>
    <row r="160" spans="1:17" x14ac:dyDescent="0.2">
      <c r="A160" s="21">
        <v>2024</v>
      </c>
      <c r="B160" s="5">
        <f>SUM(B99:B110)</f>
        <v>255428233.31999999</v>
      </c>
      <c r="D160" s="5">
        <f t="shared" ref="D160" si="35">SUM(D99:D110)</f>
        <v>255428233.31999999</v>
      </c>
      <c r="F160" s="95">
        <f t="shared" si="27"/>
        <v>6.1029381598790122E-2</v>
      </c>
      <c r="G160" s="95">
        <f t="shared" si="28"/>
        <v>-4.2258868530864104</v>
      </c>
      <c r="I160" s="35"/>
      <c r="J160" s="5">
        <f>SUM(J99:J110)</f>
        <v>253168564.31042638</v>
      </c>
      <c r="K160" s="5"/>
      <c r="L160" s="30"/>
      <c r="M160" s="30">
        <f>'Power Purchased Model'!K160</f>
        <v>249034408.36066878</v>
      </c>
      <c r="N160" s="282">
        <f t="shared" si="25"/>
        <v>1.0166007419495633</v>
      </c>
      <c r="O160" s="282">
        <f t="shared" si="34"/>
        <v>1.0165999999999999</v>
      </c>
      <c r="P160" s="4"/>
      <c r="Q160"/>
    </row>
    <row r="161" spans="1:19" x14ac:dyDescent="0.2">
      <c r="A161" s="21">
        <v>2025</v>
      </c>
      <c r="B161" s="5">
        <f>SUM(B111:B122)</f>
        <v>256032973.51000002</v>
      </c>
      <c r="D161" s="5">
        <f t="shared" ref="D161" si="36">SUM(D111:D122)</f>
        <v>256032973.51000002</v>
      </c>
      <c r="F161" s="95"/>
      <c r="G161" s="95"/>
      <c r="I161" s="35"/>
      <c r="J161" s="5">
        <f>SUM(J111:J122)</f>
        <v>253256940.6426796</v>
      </c>
      <c r="K161" s="5"/>
      <c r="L161" s="30"/>
      <c r="M161" s="30">
        <f>'Power Purchased Model'!K161</f>
        <v>254277144.88147226</v>
      </c>
      <c r="N161" s="282">
        <f t="shared" si="25"/>
        <v>0.99598782564878885</v>
      </c>
      <c r="O161" s="282">
        <f t="shared" si="34"/>
        <v>0.99599000000000004</v>
      </c>
      <c r="P161" s="4"/>
      <c r="Q161"/>
    </row>
    <row r="162" spans="1:19" x14ac:dyDescent="0.2">
      <c r="A162" s="21">
        <v>2026</v>
      </c>
      <c r="I162" s="35"/>
      <c r="J162" s="12">
        <f>SUM(J123:J134)</f>
        <v>254298539.12605944</v>
      </c>
      <c r="K162" s="5"/>
      <c r="L162" s="5"/>
      <c r="M162" s="30">
        <f>'Power Purchased Model'!K162</f>
        <v>254298539.12605944</v>
      </c>
      <c r="N162" s="282">
        <f t="shared" si="25"/>
        <v>1</v>
      </c>
      <c r="O162" s="282">
        <f t="shared" si="34"/>
        <v>1</v>
      </c>
      <c r="P162" s="4"/>
      <c r="Q162"/>
    </row>
    <row r="163" spans="1:19" x14ac:dyDescent="0.2">
      <c r="A163" s="21">
        <v>2027</v>
      </c>
      <c r="I163" s="35"/>
      <c r="J163" s="12">
        <f>SUM(J135:J146)</f>
        <v>255346857.89933771</v>
      </c>
      <c r="K163" s="5"/>
      <c r="L163" s="5"/>
      <c r="M163" s="30">
        <f>'Power Purchased Model'!K163</f>
        <v>255346857.89933771</v>
      </c>
      <c r="N163" s="282">
        <f t="shared" si="25"/>
        <v>1</v>
      </c>
      <c r="O163" s="282">
        <f t="shared" si="34"/>
        <v>1</v>
      </c>
      <c r="P163" s="4"/>
      <c r="Q163"/>
      <c r="R163" s="5"/>
      <c r="S163" s="30"/>
    </row>
    <row r="164" spans="1:19" x14ac:dyDescent="0.2">
      <c r="J164" s="5"/>
      <c r="Q164"/>
      <c r="R164" s="5"/>
      <c r="S164" s="30"/>
    </row>
    <row r="165" spans="1:19" x14ac:dyDescent="0.2">
      <c r="A165" s="36" t="s">
        <v>5</v>
      </c>
      <c r="B165" s="5">
        <f>SUM(B152:B161)</f>
        <v>2437727594.2500005</v>
      </c>
      <c r="D165" s="5">
        <f>SUM(D152:D161)</f>
        <v>2485260985.2500005</v>
      </c>
      <c r="J165" s="5">
        <f>SUM(J152:J161)</f>
        <v>2485260985.2500005</v>
      </c>
      <c r="K165" s="26">
        <f>J165-D165</f>
        <v>0</v>
      </c>
      <c r="L165" s="1" t="s">
        <v>53</v>
      </c>
      <c r="Q165" s="4"/>
      <c r="R165" s="5"/>
      <c r="S165" s="30"/>
    </row>
    <row r="166" spans="1:19" x14ac:dyDescent="0.2">
      <c r="Q166" s="4"/>
      <c r="R166" s="5"/>
      <c r="S166" s="30"/>
    </row>
    <row r="167" spans="1:19" x14ac:dyDescent="0.2">
      <c r="J167" s="5">
        <f>SUM(J152:J163)</f>
        <v>2994906382.2753978</v>
      </c>
      <c r="K167" s="26">
        <f>J150-J167</f>
        <v>0</v>
      </c>
      <c r="Q167" s="4"/>
      <c r="R167" s="5"/>
      <c r="S167" s="30"/>
    </row>
    <row r="168" spans="1:19" x14ac:dyDescent="0.2">
      <c r="J168" s="336"/>
      <c r="K168" s="336"/>
      <c r="L168"/>
      <c r="M168"/>
      <c r="N168"/>
      <c r="O168"/>
      <c r="P168"/>
      <c r="Q168" s="4"/>
      <c r="R168" s="5"/>
      <c r="S168" s="30"/>
    </row>
    <row r="169" spans="1:19" x14ac:dyDescent="0.2">
      <c r="Q169" s="5"/>
      <c r="R169" s="5"/>
      <c r="S169" s="30"/>
    </row>
    <row r="170" spans="1:19" x14ac:dyDescent="0.2">
      <c r="K170" s="26"/>
      <c r="Q170" s="5"/>
      <c r="R170" s="5"/>
      <c r="S170" s="30"/>
    </row>
    <row r="171" spans="1:19" x14ac:dyDescent="0.2">
      <c r="A171"/>
      <c r="B171"/>
      <c r="C171"/>
      <c r="D171"/>
      <c r="E171"/>
      <c r="F171"/>
      <c r="G171"/>
      <c r="H171"/>
      <c r="I171"/>
      <c r="J171"/>
      <c r="K171"/>
    </row>
    <row r="172" spans="1:19" x14ac:dyDescent="0.2">
      <c r="A172"/>
      <c r="B172"/>
      <c r="C172"/>
      <c r="D172"/>
      <c r="E172"/>
      <c r="F172"/>
      <c r="G172"/>
      <c r="H172"/>
      <c r="I172"/>
      <c r="J172"/>
      <c r="K172"/>
    </row>
    <row r="173" spans="1:19" x14ac:dyDescent="0.2">
      <c r="A173"/>
      <c r="B173"/>
      <c r="C173"/>
      <c r="D173"/>
      <c r="E173"/>
      <c r="F173"/>
      <c r="G173"/>
      <c r="H173"/>
      <c r="I173"/>
      <c r="J173"/>
      <c r="K173"/>
    </row>
    <row r="174" spans="1:19" x14ac:dyDescent="0.2">
      <c r="A174"/>
      <c r="B174"/>
      <c r="C174"/>
      <c r="D174"/>
      <c r="E174"/>
      <c r="F174"/>
      <c r="G174"/>
      <c r="H174"/>
      <c r="I174"/>
      <c r="J174"/>
      <c r="K174"/>
    </row>
    <row r="175" spans="1:19" x14ac:dyDescent="0.2">
      <c r="A175"/>
      <c r="B175"/>
      <c r="C175"/>
      <c r="D175"/>
      <c r="E175"/>
      <c r="F175"/>
      <c r="G175"/>
      <c r="H175"/>
      <c r="I175"/>
      <c r="J175"/>
      <c r="K175"/>
    </row>
    <row r="176" spans="1:19" x14ac:dyDescent="0.2">
      <c r="A176"/>
      <c r="B176"/>
      <c r="C176"/>
      <c r="D176"/>
      <c r="E176"/>
      <c r="F176"/>
      <c r="G176"/>
      <c r="H176"/>
      <c r="I176"/>
      <c r="J176"/>
      <c r="K176"/>
    </row>
    <row r="177" spans="1:17" x14ac:dyDescent="0.2">
      <c r="A177"/>
      <c r="B177"/>
      <c r="C177"/>
      <c r="D177"/>
      <c r="E177"/>
      <c r="F177"/>
      <c r="G177"/>
      <c r="H177"/>
      <c r="I177"/>
      <c r="J177"/>
      <c r="K177"/>
    </row>
    <row r="178" spans="1:17" x14ac:dyDescent="0.2">
      <c r="A178"/>
      <c r="B178"/>
      <c r="C178"/>
      <c r="D178"/>
      <c r="E178"/>
      <c r="F178"/>
      <c r="G178"/>
      <c r="H178"/>
      <c r="I178"/>
      <c r="J178"/>
      <c r="K178"/>
    </row>
    <row r="179" spans="1:17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</row>
    <row r="180" spans="1:17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</row>
    <row r="181" spans="1:17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</row>
    <row r="182" spans="1:17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</row>
    <row r="183" spans="1:17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</row>
    <row r="184" spans="1:17" x14ac:dyDescent="0.2">
      <c r="A184"/>
      <c r="L184"/>
      <c r="M184"/>
      <c r="N184"/>
      <c r="O184"/>
      <c r="P184"/>
      <c r="Q184"/>
    </row>
    <row r="185" spans="1:17" x14ac:dyDescent="0.2">
      <c r="A185"/>
      <c r="L185"/>
      <c r="M185"/>
      <c r="N185"/>
      <c r="O185"/>
      <c r="P185"/>
      <c r="Q185"/>
    </row>
    <row r="186" spans="1:17" x14ac:dyDescent="0.2">
      <c r="A186"/>
      <c r="L186"/>
      <c r="M186"/>
      <c r="N186"/>
      <c r="O186"/>
      <c r="P186"/>
      <c r="Q186"/>
    </row>
    <row r="187" spans="1:17" x14ac:dyDescent="0.2">
      <c r="A187"/>
      <c r="L187"/>
      <c r="M187"/>
      <c r="N187"/>
      <c r="O187"/>
      <c r="P187"/>
      <c r="Q187"/>
    </row>
    <row r="188" spans="1:17" x14ac:dyDescent="0.2">
      <c r="A188"/>
      <c r="L188"/>
      <c r="M188"/>
      <c r="N188"/>
      <c r="O188"/>
      <c r="P188"/>
      <c r="Q188"/>
    </row>
    <row r="189" spans="1:17" x14ac:dyDescent="0.2">
      <c r="A189"/>
      <c r="L189"/>
      <c r="M189"/>
      <c r="N189"/>
      <c r="O189"/>
      <c r="P189"/>
      <c r="Q189"/>
    </row>
    <row r="190" spans="1:17" x14ac:dyDescent="0.2">
      <c r="A190"/>
      <c r="L190"/>
      <c r="M190"/>
      <c r="N190"/>
      <c r="O190"/>
      <c r="P190"/>
      <c r="Q190"/>
    </row>
    <row r="191" spans="1:17" x14ac:dyDescent="0.2">
      <c r="A191"/>
      <c r="L191"/>
      <c r="M191"/>
      <c r="N191"/>
      <c r="O191"/>
      <c r="P191"/>
      <c r="Q191"/>
    </row>
    <row r="192" spans="1:17" x14ac:dyDescent="0.2">
      <c r="A192"/>
      <c r="L192"/>
      <c r="M192"/>
      <c r="N192"/>
      <c r="O192"/>
      <c r="P192"/>
      <c r="Q192"/>
    </row>
    <row r="193" spans="1:17" x14ac:dyDescent="0.2">
      <c r="A193"/>
      <c r="L193"/>
      <c r="M193"/>
      <c r="N193"/>
      <c r="O193"/>
      <c r="P193"/>
      <c r="Q193"/>
    </row>
    <row r="194" spans="1:17" x14ac:dyDescent="0.2">
      <c r="A194"/>
      <c r="L194"/>
      <c r="M194"/>
      <c r="N194"/>
      <c r="O194"/>
      <c r="P194"/>
      <c r="Q194"/>
    </row>
    <row r="195" spans="1:17" customFormat="1" x14ac:dyDescent="0.2"/>
    <row r="196" spans="1:17" customFormat="1" x14ac:dyDescent="0.2"/>
  </sheetData>
  <mergeCells count="1">
    <mergeCell ref="J168:K168"/>
  </mergeCells>
  <printOptions gridLines="1"/>
  <pageMargins left="0.38" right="0.75" top="0.73" bottom="0.74" header="0.5" footer="0.5"/>
  <pageSetup scale="23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V67"/>
  <sheetViews>
    <sheetView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9" sqref="G19"/>
    </sheetView>
  </sheetViews>
  <sheetFormatPr defaultRowHeight="12.75" x14ac:dyDescent="0.2"/>
  <cols>
    <col min="1" max="1" width="27.285156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4.140625" style="5" customWidth="1"/>
    <col min="12" max="12" width="11.42578125" style="5" customWidth="1"/>
    <col min="13" max="13" width="12.42578125" style="5" customWidth="1"/>
    <col min="14" max="14" width="16.85546875" style="5" bestFit="1" customWidth="1"/>
    <col min="15" max="16" width="16.85546875" customWidth="1"/>
    <col min="17" max="17" width="14.42578125" customWidth="1"/>
    <col min="18" max="18" width="12.5703125" bestFit="1" customWidth="1"/>
    <col min="19" max="19" width="11.5703125" bestFit="1" customWidth="1"/>
    <col min="20" max="20" width="14" customWidth="1"/>
    <col min="21" max="21" width="10.140625" bestFit="1" customWidth="1"/>
    <col min="22" max="22" width="12.5703125" style="5" bestFit="1" customWidth="1"/>
  </cols>
  <sheetData>
    <row r="2" spans="1:22" s="83" customFormat="1" ht="38.25" x14ac:dyDescent="0.2">
      <c r="B2" s="84" t="s">
        <v>2</v>
      </c>
      <c r="C2" s="84" t="s">
        <v>3</v>
      </c>
      <c r="D2" s="84" t="s">
        <v>27</v>
      </c>
      <c r="E2" s="84" t="s">
        <v>4</v>
      </c>
      <c r="F2" s="84" t="s">
        <v>0</v>
      </c>
      <c r="G2" s="85" t="s">
        <v>1</v>
      </c>
      <c r="H2" s="86" t="str">
        <f>Inputs!B4</f>
        <v>Residential</v>
      </c>
      <c r="I2" s="86" t="str">
        <f>Inputs!C4</f>
        <v>General Service &lt; 50 kW</v>
      </c>
      <c r="J2" s="86" t="str">
        <f>Inputs!D4</f>
        <v>General Service &gt; 50 kW</v>
      </c>
      <c r="K2" s="86" t="str">
        <f>Inputs!E4</f>
        <v xml:space="preserve">Embedded Distributor </v>
      </c>
      <c r="L2" s="86" t="str">
        <f>Inputs!F4</f>
        <v>Unmetered Scatter Load</v>
      </c>
      <c r="M2" s="86" t="str">
        <f>Inputs!G4</f>
        <v>Sentinel Lighting</v>
      </c>
      <c r="N2" s="86" t="str">
        <f>Inputs!H4</f>
        <v>Street Lighting</v>
      </c>
      <c r="V2" s="87"/>
    </row>
    <row r="3" spans="1:22" x14ac:dyDescent="0.2">
      <c r="A3">
        <v>2016</v>
      </c>
      <c r="B3" s="51">
        <f>+'Power Purchased Model'!D152</f>
        <v>251277774.03999999</v>
      </c>
      <c r="C3" s="51">
        <f>+'Power Purchased Model'!K152</f>
        <v>246206141.41602108</v>
      </c>
      <c r="D3" s="20">
        <f>C3-B3</f>
        <v>-5071632.6239789128</v>
      </c>
      <c r="E3" s="4">
        <f>D3/B3</f>
        <v>-2.0183371344142751E-2</v>
      </c>
      <c r="F3" s="14">
        <f>1 +(B3-G3)/G3</f>
        <v>1.0528373900159502</v>
      </c>
      <c r="G3" s="5">
        <f>SUM(H3:N3)</f>
        <v>238667221</v>
      </c>
      <c r="H3" s="32">
        <f>SUMIF(Inputs!A$24:A$143,'Rate Class Energy Model'!A3,Inputs!F$24:F$143)</f>
        <v>91479319</v>
      </c>
      <c r="I3" s="32">
        <f>SUMIF(Inputs!A$24:A$143,'Rate Class Energy Model'!A3,Inputs!H$24:H$143)</f>
        <v>28315731</v>
      </c>
      <c r="J3" s="32">
        <f>SUMIF(Inputs!A$24:A$143,'Rate Class Energy Model'!A3,Inputs!J$24:J$143)</f>
        <v>59051959</v>
      </c>
      <c r="K3" s="32">
        <f>SUMIF(Inputs!A$24:A$143,'Rate Class Energy Model'!A3,Inputs!M$24:M$143)</f>
        <v>57823879</v>
      </c>
      <c r="L3" s="32">
        <f>SUMIF(Inputs!A$24:A$143,'Rate Class Energy Model'!A3,Inputs!P$24:P$143)</f>
        <v>257059</v>
      </c>
      <c r="M3" s="32">
        <f>SUMIF(Inputs!A$24:A$143,'Rate Class Energy Model'!A3,Inputs!R$24:R$143)</f>
        <v>153690</v>
      </c>
      <c r="N3" s="32">
        <f>SUMIF(Inputs!A$24:A$143,'Rate Class Energy Model'!A3,Inputs!U$24:U$143)</f>
        <v>1585584</v>
      </c>
    </row>
    <row r="4" spans="1:22" x14ac:dyDescent="0.2">
      <c r="A4">
        <v>2017</v>
      </c>
      <c r="B4" s="51">
        <f>+'Power Purchased Model'!D153</f>
        <v>234500934.16</v>
      </c>
      <c r="C4" s="51">
        <f>+'Power Purchased Model'!K153</f>
        <v>237415194.60445637</v>
      </c>
      <c r="D4" s="20">
        <f t="shared" ref="D4:D11" si="0">C4-B4</f>
        <v>2914260.4444563687</v>
      </c>
      <c r="E4" s="4">
        <f t="shared" ref="E4:E12" si="1">D4/B4</f>
        <v>1.2427500363252152E-2</v>
      </c>
      <c r="F4" s="14">
        <f t="shared" ref="F4:F12" si="2">1 +(B4-G4)/G4</f>
        <v>1.0667819400405429</v>
      </c>
      <c r="G4" s="5">
        <f t="shared" ref="G4:G12" si="3">SUM(H4:N4)</f>
        <v>219820870</v>
      </c>
      <c r="H4" s="32">
        <f>SUMIF(Inputs!A$24:A$143,'Rate Class Energy Model'!A4,Inputs!F$24:F$143)</f>
        <v>86529651</v>
      </c>
      <c r="I4" s="32">
        <f>SUMIF(Inputs!A$24:A$143,'Rate Class Energy Model'!A4,Inputs!H$24:H$143)</f>
        <v>27228067</v>
      </c>
      <c r="J4" s="32">
        <f>SUMIF(Inputs!A$24:A$143,'Rate Class Energy Model'!A4,Inputs!J$24:J$143)</f>
        <v>47449870</v>
      </c>
      <c r="K4" s="32">
        <f>SUMIF(Inputs!A$24:A$143,'Rate Class Energy Model'!A4,Inputs!M$24:M$143)</f>
        <v>56843411</v>
      </c>
      <c r="L4" s="32">
        <f>SUMIF(Inputs!A$24:A$143,'Rate Class Energy Model'!A4,Inputs!P$24:P$143)</f>
        <v>255469</v>
      </c>
      <c r="M4" s="32">
        <f>SUMIF(Inputs!A$24:A$143,'Rate Class Energy Model'!A4,Inputs!R$24:R$143)</f>
        <v>152795</v>
      </c>
      <c r="N4" s="32">
        <f>SUMIF(Inputs!A$24:A$143,'Rate Class Energy Model'!A4,Inputs!U$24:U$143)</f>
        <v>1361607</v>
      </c>
    </row>
    <row r="5" spans="1:22" x14ac:dyDescent="0.2">
      <c r="A5">
        <v>2018</v>
      </c>
      <c r="B5" s="51">
        <f>+'Power Purchased Model'!D154</f>
        <v>245163864.89000005</v>
      </c>
      <c r="C5" s="51">
        <f>+'Power Purchased Model'!K154</f>
        <v>248898751.0100446</v>
      </c>
      <c r="D5" s="20">
        <f t="shared" si="0"/>
        <v>3734886.1200445592</v>
      </c>
      <c r="E5" s="4">
        <f t="shared" si="1"/>
        <v>1.5234243927914603E-2</v>
      </c>
      <c r="F5" s="14">
        <f t="shared" si="2"/>
        <v>0.99487581249396062</v>
      </c>
      <c r="G5" s="5">
        <f t="shared" si="3"/>
        <v>246426601</v>
      </c>
      <c r="H5" s="32">
        <f>SUMIF(Inputs!A$24:A$143,'Rate Class Energy Model'!A5,Inputs!F$24:F$143)</f>
        <v>94517191</v>
      </c>
      <c r="I5" s="32">
        <f>SUMIF(Inputs!A$24:A$143,'Rate Class Energy Model'!A5,Inputs!H$24:H$143)</f>
        <v>28692745</v>
      </c>
      <c r="J5" s="32">
        <f>SUMIF(Inputs!A$24:A$143,'Rate Class Energy Model'!A5,Inputs!J$24:J$143)</f>
        <v>59787962</v>
      </c>
      <c r="K5" s="32">
        <f>SUMIF(Inputs!A$24:A$143,'Rate Class Energy Model'!A5,Inputs!M$24:M$143)</f>
        <v>61680653</v>
      </c>
      <c r="L5" s="32">
        <f>SUMIF(Inputs!A$24:A$143,'Rate Class Energy Model'!A5,Inputs!P$24:P$143)</f>
        <v>249143</v>
      </c>
      <c r="M5" s="32">
        <f>SUMIF(Inputs!A$24:A$143,'Rate Class Energy Model'!A5,Inputs!R$24:R$143)</f>
        <v>149558</v>
      </c>
      <c r="N5" s="32">
        <f>SUMIF(Inputs!A$24:A$143,'Rate Class Energy Model'!A5,Inputs!U$24:U$143)</f>
        <v>1349349</v>
      </c>
    </row>
    <row r="6" spans="1:22" x14ac:dyDescent="0.2">
      <c r="A6">
        <v>2019</v>
      </c>
      <c r="B6" s="51">
        <f>+'Power Purchased Model'!D155</f>
        <v>252868515.97999999</v>
      </c>
      <c r="C6" s="51">
        <f>+'Power Purchased Model'!K155</f>
        <v>248854549.69445965</v>
      </c>
      <c r="D6" s="20">
        <f t="shared" si="0"/>
        <v>-4013966.2855403423</v>
      </c>
      <c r="E6" s="4">
        <f t="shared" si="1"/>
        <v>-1.5873728961409404E-2</v>
      </c>
      <c r="F6" s="14">
        <f t="shared" si="2"/>
        <v>1.0411393644385565</v>
      </c>
      <c r="G6" s="5">
        <f t="shared" si="3"/>
        <v>242876722</v>
      </c>
      <c r="H6" s="32">
        <f>SUMIF(Inputs!A$24:A$143,'Rate Class Energy Model'!A6,Inputs!F$24:F$143)</f>
        <v>92484569</v>
      </c>
      <c r="I6" s="32">
        <f>SUMIF(Inputs!A$24:A$143,'Rate Class Energy Model'!A6,Inputs!H$24:H$143)</f>
        <v>28348056</v>
      </c>
      <c r="J6" s="32">
        <f>SUMIF(Inputs!A$24:A$143,'Rate Class Energy Model'!A6,Inputs!J$24:J$143)</f>
        <v>59632442</v>
      </c>
      <c r="K6" s="32">
        <f>SUMIF(Inputs!A$24:A$143,'Rate Class Energy Model'!A6,Inputs!M$24:M$143)</f>
        <v>60666329</v>
      </c>
      <c r="L6" s="32">
        <f>SUMIF(Inputs!A$24:A$143,'Rate Class Energy Model'!A6,Inputs!P$24:P$143)</f>
        <v>246885</v>
      </c>
      <c r="M6" s="32">
        <f>SUMIF(Inputs!A$24:A$143,'Rate Class Energy Model'!A6,Inputs!R$24:R$143)</f>
        <v>144657</v>
      </c>
      <c r="N6" s="32">
        <f>SUMIF(Inputs!A$24:A$143,'Rate Class Energy Model'!A6,Inputs!U$24:U$143)</f>
        <v>1353784</v>
      </c>
    </row>
    <row r="7" spans="1:22" x14ac:dyDescent="0.2">
      <c r="A7">
        <v>2020</v>
      </c>
      <c r="B7" s="51">
        <f>+'Power Purchased Model'!D156</f>
        <v>253996467.51000002</v>
      </c>
      <c r="C7" s="51">
        <f>+'Power Purchased Model'!K156</f>
        <v>252089572.78851295</v>
      </c>
      <c r="D7" s="20">
        <f t="shared" si="0"/>
        <v>-1906894.7214870751</v>
      </c>
      <c r="E7" s="4">
        <f t="shared" si="1"/>
        <v>-7.5075639444158781E-3</v>
      </c>
      <c r="F7" s="14">
        <f t="shared" si="2"/>
        <v>1.0622899146515974</v>
      </c>
      <c r="G7" s="5">
        <f t="shared" si="3"/>
        <v>239102776</v>
      </c>
      <c r="H7" s="32">
        <f>SUMIF(Inputs!A$24:A$143,'Rate Class Energy Model'!A7,Inputs!F$24:F$143)</f>
        <v>98305959</v>
      </c>
      <c r="I7" s="32">
        <f>SUMIF(Inputs!A$24:A$143,'Rate Class Energy Model'!A7,Inputs!H$24:H$143)</f>
        <v>26410288</v>
      </c>
      <c r="J7" s="32">
        <f>SUMIF(Inputs!A$24:A$143,'Rate Class Energy Model'!A7,Inputs!J$24:J$143)</f>
        <v>52047649</v>
      </c>
      <c r="K7" s="32">
        <f>SUMIF(Inputs!A$24:A$143,'Rate Class Energy Model'!A7,Inputs!M$24:M$143)</f>
        <v>60666329</v>
      </c>
      <c r="L7" s="32">
        <f>SUMIF(Inputs!A$24:A$143,'Rate Class Energy Model'!A7,Inputs!P$24:P$143)</f>
        <v>246885</v>
      </c>
      <c r="M7" s="32">
        <f>SUMIF(Inputs!A$24:A$143,'Rate Class Energy Model'!A7,Inputs!R$24:R$143)</f>
        <v>141998</v>
      </c>
      <c r="N7" s="32">
        <f>SUMIF(Inputs!A$24:A$143,'Rate Class Energy Model'!A7,Inputs!U$24:U$143)</f>
        <v>1283668</v>
      </c>
    </row>
    <row r="8" spans="1:22" x14ac:dyDescent="0.2">
      <c r="A8">
        <v>2021</v>
      </c>
      <c r="B8" s="51">
        <f>+'Power Purchased Model'!D157</f>
        <v>249877497.75999996</v>
      </c>
      <c r="C8" s="51">
        <f>+'Power Purchased Model'!K157</f>
        <v>253136928.85720545</v>
      </c>
      <c r="D8" s="20">
        <f t="shared" si="0"/>
        <v>3259431.0972054899</v>
      </c>
      <c r="E8" s="4">
        <f t="shared" si="1"/>
        <v>1.3044116122597314E-2</v>
      </c>
      <c r="F8" s="14">
        <f t="shared" si="2"/>
        <v>1.0291825973925164</v>
      </c>
      <c r="G8" s="5">
        <f t="shared" si="3"/>
        <v>242792191</v>
      </c>
      <c r="H8" s="32">
        <f>SUMIF(Inputs!A$24:A$143,'Rate Class Energy Model'!A8,Inputs!F$24:F$143)</f>
        <v>106359838</v>
      </c>
      <c r="I8" s="32">
        <f>SUMIF(Inputs!A$24:A$143,'Rate Class Energy Model'!A8,Inputs!H$24:H$143)</f>
        <v>27377213</v>
      </c>
      <c r="J8" s="32">
        <f>SUMIF(Inputs!A$24:A$143,'Rate Class Energy Model'!A8,Inputs!J$24:J$143)</f>
        <v>56544701</v>
      </c>
      <c r="K8" s="32">
        <f>SUMIF(Inputs!A$24:A$143,'Rate Class Energy Model'!A8,Inputs!M$24:M$143)</f>
        <v>50859469</v>
      </c>
      <c r="L8" s="32">
        <f>SUMIF(Inputs!A$24:A$143,'Rate Class Energy Model'!A8,Inputs!P$24:P$143)</f>
        <v>248173</v>
      </c>
      <c r="M8" s="32">
        <f>SUMIF(Inputs!A$24:A$143,'Rate Class Energy Model'!A8,Inputs!R$24:R$143)</f>
        <v>137713</v>
      </c>
      <c r="N8" s="32">
        <f>SUMIF(Inputs!A$24:A$143,'Rate Class Energy Model'!A8,Inputs!U$24:U$143)</f>
        <v>1265084</v>
      </c>
    </row>
    <row r="9" spans="1:22" x14ac:dyDescent="0.2">
      <c r="A9">
        <v>2022</v>
      </c>
      <c r="B9" s="51">
        <f>+'Power Purchased Model'!D158</f>
        <v>245378475.16000003</v>
      </c>
      <c r="C9" s="51">
        <f>+'Power Purchased Model'!K158</f>
        <v>252933336.8035329</v>
      </c>
      <c r="D9" s="20">
        <f t="shared" si="0"/>
        <v>7554861.6435328722</v>
      </c>
      <c r="E9" s="4">
        <f t="shared" si="1"/>
        <v>3.0788607837776701E-2</v>
      </c>
      <c r="F9" s="14">
        <f t="shared" si="2"/>
        <v>1.0316059863448483</v>
      </c>
      <c r="G9" s="5">
        <f t="shared" si="3"/>
        <v>237860654.56</v>
      </c>
      <c r="H9" s="32">
        <f>SUMIF(Inputs!A$24:A$143,'Rate Class Energy Model'!A9,Inputs!F$24:F$143)</f>
        <v>105839455</v>
      </c>
      <c r="I9" s="32">
        <f>SUMIF(Inputs!A$24:A$143,'Rate Class Energy Model'!A9,Inputs!H$24:H$143)</f>
        <v>29663800</v>
      </c>
      <c r="J9" s="32">
        <f>SUMIF(Inputs!A$24:A$143,'Rate Class Energy Model'!A9,Inputs!J$24:J$143)</f>
        <v>55678001.560000002</v>
      </c>
      <c r="K9" s="32">
        <f>SUMIF(Inputs!A$24:A$143,'Rate Class Energy Model'!A9,Inputs!M$24:M$143)</f>
        <v>45020625</v>
      </c>
      <c r="L9" s="32">
        <f>SUMIF(Inputs!A$24:A$143,'Rate Class Energy Model'!A9,Inputs!P$24:P$143)</f>
        <v>248448</v>
      </c>
      <c r="M9" s="32">
        <f>SUMIF(Inputs!A$24:A$143,'Rate Class Energy Model'!A9,Inputs!R$24:R$143)</f>
        <v>138479</v>
      </c>
      <c r="N9" s="32">
        <f>SUMIF(Inputs!A$24:A$143,'Rate Class Energy Model'!A9,Inputs!U$24:U$143)</f>
        <v>1271846</v>
      </c>
    </row>
    <row r="10" spans="1:22" x14ac:dyDescent="0.2">
      <c r="A10">
        <v>2023</v>
      </c>
      <c r="B10" s="51">
        <f>+'Power Purchased Model'!D159</f>
        <v>240736248.91999999</v>
      </c>
      <c r="C10" s="51">
        <f>+'Power Purchased Model'!K159</f>
        <v>242414956.83362663</v>
      </c>
      <c r="D10" s="20">
        <f t="shared" si="0"/>
        <v>1678707.913626641</v>
      </c>
      <c r="E10" s="4">
        <f t="shared" si="1"/>
        <v>6.9732245191894597E-3</v>
      </c>
      <c r="F10" s="14">
        <f t="shared" si="2"/>
        <v>1.028327983020594</v>
      </c>
      <c r="G10" s="5">
        <f t="shared" si="3"/>
        <v>234104539.5</v>
      </c>
      <c r="H10" s="32">
        <f>SUMIF(Inputs!A$24:A$143,'Rate Class Energy Model'!A10,Inputs!F$24:F$143)</f>
        <v>96458582.030000001</v>
      </c>
      <c r="I10" s="32">
        <f>SUMIF(Inputs!A$24:A$143,'Rate Class Energy Model'!A10,Inputs!H$24:H$143)</f>
        <v>28828610.309999999</v>
      </c>
      <c r="J10" s="32">
        <f>SUMIF(Inputs!A$24:A$143,'Rate Class Energy Model'!A10,Inputs!J$24:J$143)</f>
        <v>59808297.880000003</v>
      </c>
      <c r="K10" s="32">
        <f>SUMIF(Inputs!A$24:A$143,'Rate Class Energy Model'!A10,Inputs!M$24:M$143)</f>
        <v>47435810.810000002</v>
      </c>
      <c r="L10" s="32">
        <f>SUMIF(Inputs!A$24:A$143,'Rate Class Energy Model'!A10,Inputs!P$24:P$143)</f>
        <v>248859</v>
      </c>
      <c r="M10" s="32">
        <f>SUMIF(Inputs!A$24:A$143,'Rate Class Energy Model'!A10,Inputs!R$24:R$143)</f>
        <v>136721.45000000001</v>
      </c>
      <c r="N10" s="32">
        <f>SUMIF(Inputs!A$24:A$143,'Rate Class Energy Model'!A10,Inputs!U$24:U$143)</f>
        <v>1187658.02</v>
      </c>
    </row>
    <row r="11" spans="1:22" x14ac:dyDescent="0.2">
      <c r="A11">
        <v>2024</v>
      </c>
      <c r="B11" s="51">
        <f>+'Power Purchased Model'!D160</f>
        <v>255428233.31999999</v>
      </c>
      <c r="C11" s="51">
        <f>+'Power Purchased Model'!K160</f>
        <v>249034408.36066878</v>
      </c>
      <c r="D11" s="20">
        <f t="shared" si="0"/>
        <v>-6393824.9593312144</v>
      </c>
      <c r="E11" s="4">
        <f t="shared" si="1"/>
        <v>-2.5031786330844026E-2</v>
      </c>
      <c r="F11" s="14">
        <f t="shared" si="2"/>
        <v>1.0660352251384451</v>
      </c>
      <c r="G11" s="5">
        <f t="shared" si="3"/>
        <v>239605809.73000002</v>
      </c>
      <c r="H11" s="32">
        <f>SUMIF(Inputs!A$24:A$143,'Rate Class Energy Model'!A11,Inputs!F$24:F$143)</f>
        <v>101363978.92</v>
      </c>
      <c r="I11" s="32">
        <f>SUMIF(Inputs!A$24:A$143,'Rate Class Energy Model'!A11,Inputs!H$24:H$143)</f>
        <v>30766203.079999998</v>
      </c>
      <c r="J11" s="32">
        <f>SUMIF(Inputs!A$24:A$143,'Rate Class Energy Model'!A11,Inputs!J$24:J$143)</f>
        <v>59377098.68</v>
      </c>
      <c r="K11" s="32">
        <f>SUMIF(Inputs!A$24:A$143,'Rate Class Energy Model'!A11,Inputs!M$24:M$143)</f>
        <v>46518193.75</v>
      </c>
      <c r="L11" s="32">
        <f>SUMIF(Inputs!A$24:A$143,'Rate Class Energy Model'!A11,Inputs!P$24:P$143)</f>
        <v>250863.24</v>
      </c>
      <c r="M11" s="32">
        <f>SUMIF(Inputs!A$24:A$143,'Rate Class Energy Model'!A11,Inputs!R$24:R$143)</f>
        <v>137219.59</v>
      </c>
      <c r="N11" s="32">
        <f>SUMIF(Inputs!A$24:A$143,'Rate Class Energy Model'!A11,Inputs!U$24:U$143)</f>
        <v>1192252.47</v>
      </c>
    </row>
    <row r="12" spans="1:22" x14ac:dyDescent="0.2">
      <c r="A12">
        <v>2025</v>
      </c>
      <c r="B12" s="51">
        <f>+'Power Purchased Model'!D161</f>
        <v>256032973.51000002</v>
      </c>
      <c r="C12" s="51">
        <f>+'Power Purchased Model'!K161</f>
        <v>254277144.88147226</v>
      </c>
      <c r="D12" s="20">
        <f>C12-B12</f>
        <v>-1755828.6285277605</v>
      </c>
      <c r="E12" s="4">
        <f t="shared" si="1"/>
        <v>-6.8578222736579751E-3</v>
      </c>
      <c r="F12" s="14">
        <f t="shared" si="2"/>
        <v>1.0776335474326639</v>
      </c>
      <c r="G12" s="5">
        <f t="shared" si="3"/>
        <v>237588161.69</v>
      </c>
      <c r="H12" s="32">
        <f>SUMIF(Inputs!A$24:A$143,'Rate Class Energy Model'!A12,Inputs!F$24:F$143)</f>
        <v>104661543.73999999</v>
      </c>
      <c r="I12" s="32">
        <f>SUMIF(Inputs!A$24:A$143,'Rate Class Energy Model'!A12,Inputs!H$24:H$143)</f>
        <v>31964518.84</v>
      </c>
      <c r="J12" s="32">
        <f>SUMIF(Inputs!A$24:A$143,'Rate Class Energy Model'!A12,Inputs!J$24:J$143)</f>
        <v>57467167.93</v>
      </c>
      <c r="K12" s="32">
        <f>SUMIF(Inputs!A$24:A$143,'Rate Class Energy Model'!A12,Inputs!M$24:M$143)</f>
        <v>41943487.75</v>
      </c>
      <c r="L12" s="32">
        <f>SUMIF(Inputs!A$24:A$143,'Rate Class Energy Model'!A12,Inputs!P$24:P$143)</f>
        <v>235012.72</v>
      </c>
      <c r="M12" s="32">
        <f>SUMIF(Inputs!A$24:A$143,'Rate Class Energy Model'!A12,Inputs!R$24:R$143)</f>
        <v>117252.78</v>
      </c>
      <c r="N12" s="32">
        <f>SUMIF(Inputs!A$24:A$143,'Rate Class Energy Model'!A12,Inputs!U$24:U$143)</f>
        <v>1199177.93</v>
      </c>
    </row>
    <row r="13" spans="1:22" x14ac:dyDescent="0.2">
      <c r="A13">
        <v>2026</v>
      </c>
      <c r="B13" s="5"/>
      <c r="C13" s="81">
        <f>+'Power Purchased Model'!K162</f>
        <v>254298539.12605944</v>
      </c>
      <c r="G13" s="12">
        <f>C13/$F$16</f>
        <v>240425961.1667386</v>
      </c>
      <c r="H13"/>
      <c r="I13"/>
      <c r="J13"/>
      <c r="K13"/>
      <c r="L13"/>
      <c r="M13"/>
      <c r="N13"/>
    </row>
    <row r="14" spans="1:22" x14ac:dyDescent="0.2">
      <c r="A14">
        <v>2027</v>
      </c>
      <c r="B14" s="5"/>
      <c r="C14" s="12">
        <f>+'Power Purchased Model'!K163</f>
        <v>255346857.89933771</v>
      </c>
      <c r="G14" s="12">
        <f>C14/$F$16</f>
        <v>241417091.70779777</v>
      </c>
      <c r="H14"/>
      <c r="I14"/>
      <c r="J14"/>
      <c r="K14"/>
      <c r="L14"/>
      <c r="M14"/>
      <c r="N14"/>
    </row>
    <row r="15" spans="1:22" x14ac:dyDescent="0.2">
      <c r="H15" s="28"/>
      <c r="I15" s="28"/>
      <c r="J15" s="28"/>
      <c r="K15" s="28"/>
      <c r="L15" s="28"/>
      <c r="M15" s="28"/>
      <c r="N15" s="28"/>
    </row>
    <row r="16" spans="1:22" x14ac:dyDescent="0.2">
      <c r="A16" s="11" t="s">
        <v>7</v>
      </c>
      <c r="C16" s="29"/>
      <c r="D16" s="31"/>
      <c r="E16" s="46"/>
      <c r="F16" s="14">
        <v>1.0577000000000001</v>
      </c>
      <c r="G16" s="227" t="s">
        <v>183</v>
      </c>
      <c r="H16" s="50"/>
      <c r="I16" s="50"/>
      <c r="J16" s="50"/>
      <c r="K16" s="50"/>
      <c r="L16" s="50"/>
      <c r="M16" s="50"/>
      <c r="N16" s="50"/>
    </row>
    <row r="17" spans="1:16" x14ac:dyDescent="0.2">
      <c r="C17" s="79"/>
      <c r="D17" s="31"/>
      <c r="E17" s="46"/>
      <c r="F17" s="14"/>
      <c r="G17" s="79"/>
    </row>
    <row r="18" spans="1:16" x14ac:dyDescent="0.2">
      <c r="C18" s="79"/>
      <c r="D18" s="31"/>
      <c r="F18" s="14"/>
      <c r="G18" s="79"/>
    </row>
    <row r="19" spans="1:16" x14ac:dyDescent="0.2">
      <c r="A19" s="13" t="s">
        <v>9</v>
      </c>
      <c r="B19" s="8"/>
      <c r="C19" s="79"/>
      <c r="G19" s="79"/>
    </row>
    <row r="21" spans="1:16" x14ac:dyDescent="0.2">
      <c r="A21">
        <v>2025</v>
      </c>
      <c r="B21" s="115"/>
      <c r="H21" s="5">
        <f>H12/'Rate Class Customer Model'!B12</f>
        <v>9217.6268210841517</v>
      </c>
      <c r="I21" s="5">
        <f>I12/'Rate Class Customer Model'!C12</f>
        <v>27111.551178965226</v>
      </c>
      <c r="J21" s="5">
        <f>J12/'Rate Class Customer Model'!D12</f>
        <v>645698.51606741571</v>
      </c>
      <c r="K21" s="5">
        <f>K12/'Rate Class Customer Model'!E12</f>
        <v>6990581.291666667</v>
      </c>
      <c r="L21" s="5">
        <f>L12/'Rate Class Customer Model'!F12</f>
        <v>8103.886896551724</v>
      </c>
      <c r="M21" s="5">
        <f>M12/'Rate Class Customer Model'!G12</f>
        <v>1606.2024657534246</v>
      </c>
      <c r="N21" s="5">
        <f>N12/'Rate Class Customer Model'!H12</f>
        <v>379.66690834256764</v>
      </c>
    </row>
    <row r="22" spans="1:16" x14ac:dyDescent="0.2">
      <c r="A22">
        <v>2026</v>
      </c>
      <c r="H22" s="12">
        <f>H21</f>
        <v>9217.6268210841517</v>
      </c>
      <c r="I22" s="12">
        <f t="shared" ref="I22:L23" si="4">I21</f>
        <v>27111.551178965226</v>
      </c>
      <c r="J22" s="12">
        <f t="shared" si="4"/>
        <v>645698.51606741571</v>
      </c>
      <c r="K22" s="12">
        <f t="shared" si="4"/>
        <v>6990581.291666667</v>
      </c>
      <c r="L22" s="12">
        <f t="shared" si="4"/>
        <v>8103.886896551724</v>
      </c>
      <c r="M22" s="12">
        <f>M21</f>
        <v>1606.2024657534246</v>
      </c>
      <c r="N22" s="12">
        <f t="shared" ref="N22:N23" si="5">N21</f>
        <v>379.66690834256764</v>
      </c>
    </row>
    <row r="23" spans="1:16" x14ac:dyDescent="0.2">
      <c r="A23">
        <v>2027</v>
      </c>
      <c r="H23" s="12">
        <f>H22</f>
        <v>9217.6268210841517</v>
      </c>
      <c r="I23" s="12">
        <f t="shared" si="4"/>
        <v>27111.551178965226</v>
      </c>
      <c r="J23" s="12">
        <f t="shared" si="4"/>
        <v>645698.51606741571</v>
      </c>
      <c r="K23" s="12">
        <f t="shared" si="4"/>
        <v>6990581.291666667</v>
      </c>
      <c r="L23" s="12">
        <f t="shared" si="4"/>
        <v>8103.886896551724</v>
      </c>
      <c r="M23" s="12">
        <f t="shared" ref="M23" si="6">M22</f>
        <v>1606.2024657534246</v>
      </c>
      <c r="N23" s="12">
        <f t="shared" si="5"/>
        <v>379.66690834256764</v>
      </c>
    </row>
    <row r="25" spans="1:16" x14ac:dyDescent="0.2">
      <c r="H25"/>
      <c r="I25"/>
      <c r="J25"/>
      <c r="K25"/>
      <c r="L25"/>
      <c r="M25"/>
      <c r="N25"/>
    </row>
    <row r="26" spans="1:16" x14ac:dyDescent="0.2">
      <c r="D26" s="5"/>
      <c r="H26" s="15"/>
      <c r="I26" s="15"/>
      <c r="J26" s="15"/>
      <c r="K26" s="15"/>
      <c r="L26" s="15"/>
      <c r="M26" s="15"/>
      <c r="N26" s="15"/>
    </row>
    <row r="27" spans="1:16" x14ac:dyDescent="0.2">
      <c r="A27" s="11" t="s">
        <v>29</v>
      </c>
    </row>
    <row r="28" spans="1:16" x14ac:dyDescent="0.2">
      <c r="A28" s="37">
        <f>A22</f>
        <v>2026</v>
      </c>
      <c r="G28" s="5">
        <f>SUM(H28:N28)</f>
        <v>238467184.79152033</v>
      </c>
      <c r="H28" s="5">
        <f>H22*'Rate Class Customer Model'!B13</f>
        <v>105290299.56205617</v>
      </c>
      <c r="I28" s="5">
        <f>I22*'Rate Class Customer Model'!C13</f>
        <v>32210399.754153844</v>
      </c>
      <c r="J28" s="5">
        <f>J22*'Rate Class Customer Model'!D13</f>
        <v>57467167.93</v>
      </c>
      <c r="K28" s="5">
        <f>K22*'Rate Class Customer Model'!E13</f>
        <v>41943487.75</v>
      </c>
      <c r="L28" s="5">
        <f>L22*'Rate Class Customer Model'!F13</f>
        <v>230431.03626851478</v>
      </c>
      <c r="M28" s="5">
        <f>M22*'Rate Class Customer Model'!G13</f>
        <v>117252.78</v>
      </c>
      <c r="N28" s="5">
        <f>N22*'Rate Class Customer Model'!H13</f>
        <v>1208145.9790418248</v>
      </c>
    </row>
    <row r="29" spans="1:16" x14ac:dyDescent="0.2">
      <c r="A29" s="37">
        <f>A23</f>
        <v>2027</v>
      </c>
      <c r="G29" s="5">
        <f>SUM(H29:N29)</f>
        <v>239352032.93450439</v>
      </c>
      <c r="H29" s="5">
        <f>H23*'Rate Class Customer Model'!B14</f>
        <v>105922832.64431357</v>
      </c>
      <c r="I29" s="5">
        <f>I23*'Rate Class Customer Model'!C14</f>
        <v>32458172.059955027</v>
      </c>
      <c r="J29" s="5">
        <f>J23*'Rate Class Customer Model'!D14</f>
        <v>57467167.93</v>
      </c>
      <c r="K29" s="5">
        <f>K23*'Rate Class Customer Model'!E14</f>
        <v>41943487.75</v>
      </c>
      <c r="L29" s="5">
        <f>L23*'Rate Class Customer Model'!F14</f>
        <v>225938.67462059745</v>
      </c>
      <c r="M29" s="5">
        <f>M23*'Rate Class Customer Model'!G14</f>
        <v>117252.78</v>
      </c>
      <c r="N29" s="5">
        <f>N23*'Rate Class Customer Model'!H14</f>
        <v>1217181.0956151683</v>
      </c>
    </row>
    <row r="30" spans="1:16" x14ac:dyDescent="0.2">
      <c r="A30" s="37"/>
    </row>
    <row r="32" spans="1:16" x14ac:dyDescent="0.2">
      <c r="A32" s="11" t="s">
        <v>106</v>
      </c>
      <c r="P32" s="5"/>
    </row>
    <row r="33" spans="1:17" x14ac:dyDescent="0.2">
      <c r="A33" s="37">
        <f>A28</f>
        <v>2026</v>
      </c>
      <c r="F33" s="5"/>
      <c r="G33" s="12">
        <f>SUM(H33:N33)</f>
        <v>240425961.1667386</v>
      </c>
      <c r="H33" s="5">
        <f>H28+H43</f>
        <v>106440813.26250607</v>
      </c>
      <c r="I33" s="5">
        <f t="shared" ref="I33:N33" si="7">I28+I43</f>
        <v>32562364.810462572</v>
      </c>
      <c r="J33" s="5">
        <f t="shared" si="7"/>
        <v>57923465.548459642</v>
      </c>
      <c r="K33" s="5">
        <f t="shared" si="7"/>
        <v>41943487.75</v>
      </c>
      <c r="L33" s="5">
        <f t="shared" si="7"/>
        <v>230431.03626851478</v>
      </c>
      <c r="M33" s="5">
        <f t="shared" si="7"/>
        <v>117252.78</v>
      </c>
      <c r="N33" s="5">
        <f t="shared" si="7"/>
        <v>1208145.9790418248</v>
      </c>
      <c r="O33" s="5">
        <f>SUM(H33:N33)</f>
        <v>240425961.1667386</v>
      </c>
      <c r="P33" s="5">
        <f>O33-G33</f>
        <v>0</v>
      </c>
      <c r="Q33" s="5"/>
    </row>
    <row r="34" spans="1:17" x14ac:dyDescent="0.2">
      <c r="A34" s="37">
        <f>A29</f>
        <v>2027</v>
      </c>
      <c r="F34" s="5"/>
      <c r="G34" s="12">
        <f>SUM(H34:N34)</f>
        <v>241417091.70779774</v>
      </c>
      <c r="H34" s="5">
        <f>H29+H44</f>
        <v>107137096.4970441</v>
      </c>
      <c r="I34" s="5">
        <f t="shared" ref="I34:N34" si="8">I29+I44</f>
        <v>32830261.66588974</v>
      </c>
      <c r="J34" s="5">
        <f t="shared" si="8"/>
        <v>57945873.244628131</v>
      </c>
      <c r="K34" s="5">
        <f t="shared" si="8"/>
        <v>41943487.75</v>
      </c>
      <c r="L34" s="5">
        <f t="shared" si="8"/>
        <v>225938.67462059745</v>
      </c>
      <c r="M34" s="5">
        <f t="shared" si="8"/>
        <v>117252.78</v>
      </c>
      <c r="N34" s="5">
        <f t="shared" si="8"/>
        <v>1217181.0956151683</v>
      </c>
      <c r="O34" s="5">
        <f>SUM(H34:N34)</f>
        <v>241417091.70779774</v>
      </c>
      <c r="P34" s="5">
        <f>O34-G34</f>
        <v>0</v>
      </c>
      <c r="Q34" s="5"/>
    </row>
    <row r="35" spans="1:17" x14ac:dyDescent="0.2">
      <c r="A35" s="37"/>
      <c r="F35" s="5"/>
      <c r="O35" s="5"/>
      <c r="P35" s="5"/>
      <c r="Q35" s="5"/>
    </row>
    <row r="36" spans="1:17" x14ac:dyDescent="0.2">
      <c r="P36" s="5"/>
    </row>
    <row r="37" spans="1:17" x14ac:dyDescent="0.2">
      <c r="A37" t="s">
        <v>30</v>
      </c>
      <c r="H37" s="52">
        <f>(100%+J37)/2</f>
        <v>0.78532972110382038</v>
      </c>
      <c r="I37" s="52">
        <f>H37</f>
        <v>0.78532972110382038</v>
      </c>
      <c r="J37" s="52">
        <v>0.57065944220764075</v>
      </c>
      <c r="K37" s="99">
        <v>0</v>
      </c>
      <c r="L37" s="45">
        <v>0</v>
      </c>
      <c r="M37" s="45">
        <v>0</v>
      </c>
      <c r="N37" s="45">
        <v>0</v>
      </c>
    </row>
    <row r="38" spans="1:17" x14ac:dyDescent="0.2">
      <c r="A38" s="37">
        <f>+A33</f>
        <v>2026</v>
      </c>
      <c r="G38" s="5">
        <f>G13-G28</f>
        <v>1958776.3752182722</v>
      </c>
      <c r="H38" s="5">
        <f t="shared" ref="H38:J39" si="9">H28*H$37</f>
        <v>82687601.590007275</v>
      </c>
      <c r="I38" s="5">
        <f t="shared" si="9"/>
        <v>25295784.255572204</v>
      </c>
      <c r="J38" s="5">
        <f t="shared" si="9"/>
        <v>32794181.996186621</v>
      </c>
      <c r="K38" s="5">
        <f t="shared" ref="K38:N38" si="10">K28*K$37</f>
        <v>0</v>
      </c>
      <c r="L38" s="5">
        <f t="shared" si="10"/>
        <v>0</v>
      </c>
      <c r="M38" s="5">
        <f t="shared" si="10"/>
        <v>0</v>
      </c>
      <c r="N38" s="5">
        <f t="shared" si="10"/>
        <v>0</v>
      </c>
      <c r="O38" s="5">
        <f>SUM(H38:N38)</f>
        <v>140777567.84176609</v>
      </c>
    </row>
    <row r="39" spans="1:17" x14ac:dyDescent="0.2">
      <c r="A39" s="37">
        <f>+A34</f>
        <v>2027</v>
      </c>
      <c r="G39" s="5">
        <f>G14-G29</f>
        <v>2065058.773293376</v>
      </c>
      <c r="H39" s="5">
        <f t="shared" si="9"/>
        <v>83184348.619085416</v>
      </c>
      <c r="I39" s="5">
        <f t="shared" si="9"/>
        <v>25490367.211384296</v>
      </c>
      <c r="J39" s="5">
        <f t="shared" si="9"/>
        <v>32794181.996186621</v>
      </c>
      <c r="K39" s="5">
        <f t="shared" ref="K39:N39" si="11">K29*K$37</f>
        <v>0</v>
      </c>
      <c r="L39" s="5">
        <f t="shared" si="11"/>
        <v>0</v>
      </c>
      <c r="M39" s="5">
        <f t="shared" si="11"/>
        <v>0</v>
      </c>
      <c r="N39" s="5">
        <f t="shared" si="11"/>
        <v>0</v>
      </c>
      <c r="O39" s="5">
        <f>SUM(H39:N39)</f>
        <v>141468897.82665634</v>
      </c>
    </row>
    <row r="40" spans="1:17" x14ac:dyDescent="0.2">
      <c r="A40" s="37"/>
      <c r="O40" s="5"/>
    </row>
    <row r="41" spans="1:17" ht="12" customHeight="1" x14ac:dyDescent="0.2"/>
    <row r="42" spans="1:17" x14ac:dyDescent="0.2">
      <c r="A42" t="s">
        <v>31</v>
      </c>
    </row>
    <row r="43" spans="1:17" x14ac:dyDescent="0.2">
      <c r="A43" s="37">
        <f>+A38</f>
        <v>2026</v>
      </c>
      <c r="G43" s="5">
        <f>SUM(H43:N43)</f>
        <v>1958776.3752182727</v>
      </c>
      <c r="H43" s="5">
        <f>H38/$O38*$G38</f>
        <v>1150513.7004498998</v>
      </c>
      <c r="I43" s="5">
        <f>I38/$O38*$G38</f>
        <v>351965.05630872934</v>
      </c>
      <c r="J43" s="5">
        <f>J38/$O38*$G38</f>
        <v>456297.61845964345</v>
      </c>
      <c r="K43" s="5">
        <f>K38/$O38*$G38</f>
        <v>0</v>
      </c>
      <c r="L43" s="5">
        <f t="shared" ref="L43:N43" si="12">L38/$O38*$G38</f>
        <v>0</v>
      </c>
      <c r="M43" s="5">
        <f t="shared" si="12"/>
        <v>0</v>
      </c>
      <c r="N43" s="5">
        <f t="shared" si="12"/>
        <v>0</v>
      </c>
    </row>
    <row r="44" spans="1:17" x14ac:dyDescent="0.2">
      <c r="A44" s="37">
        <f>+A39</f>
        <v>2027</v>
      </c>
      <c r="G44" s="5">
        <f>SUM(H44:N44)</f>
        <v>2065058.773293376</v>
      </c>
      <c r="H44" s="5">
        <f>H39/$O39*$G39</f>
        <v>1214263.8527305273</v>
      </c>
      <c r="I44" s="5">
        <f>I39/$O39*$G39</f>
        <v>372089.60593471455</v>
      </c>
      <c r="J44" s="5">
        <f>J39/$O39*$G39</f>
        <v>478705.31462813396</v>
      </c>
      <c r="K44" s="5">
        <f t="shared" ref="K44:N44" si="13">K39/$O39*$G39</f>
        <v>0</v>
      </c>
      <c r="L44" s="5">
        <f t="shared" si="13"/>
        <v>0</v>
      </c>
      <c r="M44" s="5">
        <f t="shared" si="13"/>
        <v>0</v>
      </c>
      <c r="N44" s="5">
        <f t="shared" si="13"/>
        <v>0</v>
      </c>
    </row>
    <row r="45" spans="1:17" x14ac:dyDescent="0.2">
      <c r="A45" s="37"/>
    </row>
    <row r="46" spans="1:17" x14ac:dyDescent="0.2">
      <c r="A46" s="37"/>
    </row>
    <row r="47" spans="1:17" x14ac:dyDescent="0.2">
      <c r="A47" s="37"/>
      <c r="M47" s="51"/>
    </row>
    <row r="48" spans="1:17" x14ac:dyDescent="0.2">
      <c r="A48" s="37"/>
    </row>
    <row r="50" spans="1:22" x14ac:dyDescent="0.2">
      <c r="A50" s="37"/>
    </row>
    <row r="51" spans="1:22" x14ac:dyDescent="0.2">
      <c r="A51" s="37"/>
      <c r="M51" s="51"/>
    </row>
    <row r="52" spans="1:22" x14ac:dyDescent="0.2">
      <c r="A52" s="37"/>
    </row>
    <row r="53" spans="1:22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V53"/>
    </row>
    <row r="54" spans="1:22" x14ac:dyDescent="0.2">
      <c r="F54" s="46"/>
    </row>
    <row r="56" spans="1:22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V56"/>
    </row>
    <row r="57" spans="1:22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V57"/>
    </row>
    <row r="58" spans="1:22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V58"/>
    </row>
    <row r="59" spans="1:22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V59"/>
    </row>
    <row r="60" spans="1:22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V60"/>
    </row>
    <row r="61" spans="1:22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V61"/>
    </row>
    <row r="62" spans="1:22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V62"/>
    </row>
    <row r="63" spans="1:22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V63"/>
    </row>
    <row r="64" spans="1:22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V64"/>
    </row>
    <row r="65" customFormat="1" x14ac:dyDescent="0.2"/>
    <row r="66" customFormat="1" x14ac:dyDescent="0.2"/>
    <row r="67" customFormat="1" x14ac:dyDescent="0.2"/>
  </sheetData>
  <phoneticPr fontId="0" type="noConversion"/>
  <pageMargins left="0.38" right="0.75" top="0.73" bottom="0.74" header="0.5" footer="0.5"/>
  <pageSetup scale="41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S82"/>
  <sheetViews>
    <sheetView workbookViewId="0">
      <selection activeCell="O19" sqref="O19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6" width="12.5703125" style="5" customWidth="1"/>
    <col min="7" max="8" width="11.42578125" style="5" customWidth="1"/>
    <col min="9" max="9" width="11.5703125" customWidth="1"/>
    <col min="10" max="10" width="5" customWidth="1"/>
    <col min="11" max="11" width="12.5703125" bestFit="1" customWidth="1"/>
    <col min="12" max="12" width="9.140625" customWidth="1"/>
    <col min="19" max="19" width="8.85546875" customWidth="1"/>
  </cols>
  <sheetData>
    <row r="1" spans="1:19" x14ac:dyDescent="0.2">
      <c r="B1" s="337" t="s">
        <v>48</v>
      </c>
      <c r="C1" s="338"/>
      <c r="D1" s="338"/>
      <c r="E1" s="339"/>
      <c r="F1" s="338"/>
      <c r="G1" s="338"/>
      <c r="H1" s="338"/>
      <c r="L1" s="113" t="s">
        <v>147</v>
      </c>
    </row>
    <row r="2" spans="1:19" ht="38.2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kW</v>
      </c>
      <c r="E2" s="7" t="str">
        <f>Inputs!E4</f>
        <v xml:space="preserve">Embedded Distributor </v>
      </c>
      <c r="F2" s="7" t="str">
        <f>Inputs!F4</f>
        <v>Unmetered Scatter Load</v>
      </c>
      <c r="G2" s="7" t="str">
        <f>Inputs!G4</f>
        <v>Sentinel Lighting</v>
      </c>
      <c r="H2" s="7" t="str">
        <f>Inputs!H4</f>
        <v>Street Lighting</v>
      </c>
      <c r="I2" s="1" t="s">
        <v>5</v>
      </c>
      <c r="J2" s="1"/>
      <c r="L2" s="116" t="s">
        <v>118</v>
      </c>
      <c r="O2" s="37" t="s">
        <v>149</v>
      </c>
      <c r="Q2" s="117">
        <v>2025</v>
      </c>
      <c r="R2" s="117">
        <v>2026</v>
      </c>
      <c r="S2" s="118"/>
    </row>
    <row r="3" spans="1:19" x14ac:dyDescent="0.2">
      <c r="A3" s="3">
        <v>2016</v>
      </c>
      <c r="B3" s="33">
        <f>Inputs!B5</f>
        <v>10277</v>
      </c>
      <c r="C3" s="33">
        <f>Inputs!C5</f>
        <v>1283</v>
      </c>
      <c r="D3" s="33">
        <f>Inputs!D5</f>
        <v>101.5</v>
      </c>
      <c r="E3" s="33">
        <f>Inputs!E5</f>
        <v>6</v>
      </c>
      <c r="F3" s="33">
        <f>Inputs!F5</f>
        <v>30</v>
      </c>
      <c r="G3" s="33">
        <f>Inputs!G5</f>
        <v>73</v>
      </c>
      <c r="H3" s="33">
        <f>Inputs!H5</f>
        <v>2969.5</v>
      </c>
      <c r="I3" s="44">
        <f>SUM(B3:H3)</f>
        <v>14740</v>
      </c>
      <c r="J3" s="5"/>
      <c r="L3" s="5">
        <f>B3+C3+D3+E3</f>
        <v>11667.5</v>
      </c>
      <c r="M3" s="5"/>
      <c r="O3" s="119">
        <f>L12</f>
        <v>12628.5</v>
      </c>
      <c r="Q3" s="120">
        <v>9.408867466430004E-4</v>
      </c>
      <c r="R3" s="120">
        <v>1.4659004014149366E-4</v>
      </c>
      <c r="S3" s="123"/>
    </row>
    <row r="4" spans="1:19" x14ac:dyDescent="0.2">
      <c r="A4" s="3">
        <v>2017</v>
      </c>
      <c r="B4" s="33">
        <f>Inputs!B6</f>
        <v>10374.5</v>
      </c>
      <c r="C4" s="33">
        <f>Inputs!C6</f>
        <v>1224.5</v>
      </c>
      <c r="D4" s="33">
        <f>Inputs!D6</f>
        <v>113.5</v>
      </c>
      <c r="E4" s="33">
        <f>Inputs!E6</f>
        <v>6</v>
      </c>
      <c r="F4" s="33">
        <f>Inputs!F6</f>
        <v>30.5</v>
      </c>
      <c r="G4" s="33">
        <f>Inputs!G6</f>
        <v>73</v>
      </c>
      <c r="H4" s="33">
        <f>Inputs!H6</f>
        <v>2932</v>
      </c>
      <c r="I4" s="44">
        <f t="shared" ref="I4:I12" si="0">SUM(B4:H4)</f>
        <v>14754</v>
      </c>
      <c r="J4" s="5"/>
      <c r="L4" s="5">
        <f t="shared" ref="L4:L14" si="1">B4+C4+D4+E4</f>
        <v>11718.5</v>
      </c>
      <c r="M4" s="5"/>
      <c r="P4" s="107" t="s">
        <v>119</v>
      </c>
      <c r="Q4" s="121">
        <f>O3*(1+$Q$3)</f>
        <v>12640.38198827998</v>
      </c>
      <c r="R4" s="121">
        <f>Q15*(1+$R$3)</f>
        <v>12773.696254536617</v>
      </c>
      <c r="S4" s="121"/>
    </row>
    <row r="5" spans="1:19" x14ac:dyDescent="0.2">
      <c r="A5" s="3">
        <v>2018</v>
      </c>
      <c r="B5" s="33">
        <f>Inputs!B7</f>
        <v>10659.5</v>
      </c>
      <c r="C5" s="33">
        <f>Inputs!C7</f>
        <v>1237</v>
      </c>
      <c r="D5" s="33">
        <f>Inputs!D7</f>
        <v>110.5</v>
      </c>
      <c r="E5" s="33">
        <f>Inputs!E7</f>
        <v>6</v>
      </c>
      <c r="F5" s="33">
        <f>Inputs!F7</f>
        <v>31.5</v>
      </c>
      <c r="G5" s="33">
        <f>Inputs!G7</f>
        <v>73</v>
      </c>
      <c r="H5" s="33">
        <f>Inputs!H7</f>
        <v>2955</v>
      </c>
      <c r="I5" s="44">
        <f t="shared" si="0"/>
        <v>15072.5</v>
      </c>
      <c r="J5" s="5"/>
      <c r="L5" s="5">
        <f t="shared" si="1"/>
        <v>12013</v>
      </c>
      <c r="M5" s="5"/>
      <c r="P5" s="107" t="s">
        <v>120</v>
      </c>
      <c r="Q5" s="121">
        <f>Q4*(1+$Q$3)</f>
        <v>12652.275156165257</v>
      </c>
      <c r="R5" s="121">
        <f>R4*(1+$R$3)</f>
        <v>12775.568751183324</v>
      </c>
      <c r="S5" s="121"/>
    </row>
    <row r="6" spans="1:19" x14ac:dyDescent="0.2">
      <c r="A6" s="3">
        <v>2019</v>
      </c>
      <c r="B6" s="33">
        <f>Inputs!B8</f>
        <v>10922.5</v>
      </c>
      <c r="C6" s="33">
        <f>Inputs!C8</f>
        <v>1237</v>
      </c>
      <c r="D6" s="33">
        <f>Inputs!D8</f>
        <v>96</v>
      </c>
      <c r="E6" s="33">
        <f>Inputs!E8</f>
        <v>6</v>
      </c>
      <c r="F6" s="33">
        <f>Inputs!F8</f>
        <v>32</v>
      </c>
      <c r="G6" s="33">
        <f>Inputs!G8</f>
        <v>73</v>
      </c>
      <c r="H6" s="33">
        <f>Inputs!H8</f>
        <v>2992</v>
      </c>
      <c r="I6" s="44">
        <f t="shared" si="0"/>
        <v>15358.5</v>
      </c>
      <c r="J6" s="5"/>
      <c r="L6" s="5">
        <f t="shared" si="1"/>
        <v>12261.5</v>
      </c>
      <c r="M6" s="5"/>
      <c r="P6" s="107" t="s">
        <v>121</v>
      </c>
      <c r="Q6" s="121">
        <f t="shared" ref="Q6:Q15" si="2">Q5*(1+$Q$3)</f>
        <v>12664.179514174572</v>
      </c>
      <c r="R6" s="121">
        <f t="shared" ref="R6:R15" si="3">R5*(1+$R$3)</f>
        <v>12777.441522319388</v>
      </c>
      <c r="S6" s="121"/>
    </row>
    <row r="7" spans="1:19" x14ac:dyDescent="0.2">
      <c r="A7" s="3">
        <v>2020</v>
      </c>
      <c r="B7" s="33">
        <f>Inputs!B9</f>
        <v>11019.5</v>
      </c>
      <c r="C7" s="33">
        <f>Inputs!C9</f>
        <v>1252</v>
      </c>
      <c r="D7" s="33">
        <f>Inputs!D9</f>
        <v>98</v>
      </c>
      <c r="E7" s="33">
        <f>Inputs!E9</f>
        <v>6</v>
      </c>
      <c r="F7" s="33">
        <f>Inputs!F9</f>
        <v>32</v>
      </c>
      <c r="G7" s="33">
        <f>Inputs!G9</f>
        <v>73</v>
      </c>
      <c r="H7" s="33">
        <f>Inputs!H9</f>
        <v>3043</v>
      </c>
      <c r="I7" s="44">
        <f t="shared" si="0"/>
        <v>15523.5</v>
      </c>
      <c r="J7" s="5"/>
      <c r="L7" s="5">
        <f t="shared" si="1"/>
        <v>12375.5</v>
      </c>
      <c r="M7" s="5"/>
      <c r="P7" s="107" t="s">
        <v>122</v>
      </c>
      <c r="Q7" s="121">
        <f t="shared" si="2"/>
        <v>12676.095072836566</v>
      </c>
      <c r="R7" s="121">
        <f t="shared" si="3"/>
        <v>12779.31456798505</v>
      </c>
      <c r="S7" s="121"/>
    </row>
    <row r="8" spans="1:19" x14ac:dyDescent="0.2">
      <c r="A8" s="3">
        <v>2021</v>
      </c>
      <c r="B8" s="33">
        <f>Inputs!B10</f>
        <v>11096</v>
      </c>
      <c r="C8" s="33">
        <f>Inputs!C10</f>
        <v>1236.25</v>
      </c>
      <c r="D8" s="33">
        <f>Inputs!D10</f>
        <v>101</v>
      </c>
      <c r="E8" s="33">
        <f>Inputs!E10</f>
        <v>6</v>
      </c>
      <c r="F8" s="33">
        <f>Inputs!F10</f>
        <v>31.5</v>
      </c>
      <c r="G8" s="33">
        <f>Inputs!G10</f>
        <v>73</v>
      </c>
      <c r="H8" s="33">
        <f>Inputs!H10</f>
        <v>3091.5</v>
      </c>
      <c r="I8" s="44">
        <f t="shared" si="0"/>
        <v>15635.25</v>
      </c>
      <c r="J8" s="5"/>
      <c r="L8" s="5">
        <f t="shared" si="1"/>
        <v>12439.25</v>
      </c>
      <c r="M8" s="5"/>
      <c r="P8" s="107" t="s">
        <v>43</v>
      </c>
      <c r="Q8" s="121">
        <f t="shared" si="2"/>
        <v>12688.021842689785</v>
      </c>
      <c r="R8" s="121">
        <f t="shared" si="3"/>
        <v>12781.187888220549</v>
      </c>
      <c r="S8" s="121"/>
    </row>
    <row r="9" spans="1:19" x14ac:dyDescent="0.2">
      <c r="A9" s="3">
        <v>2022</v>
      </c>
      <c r="B9" s="33">
        <f>Inputs!B11</f>
        <v>11136</v>
      </c>
      <c r="C9" s="33">
        <f>Inputs!C11</f>
        <v>1199.125</v>
      </c>
      <c r="D9" s="33">
        <f>Inputs!D11</f>
        <v>98</v>
      </c>
      <c r="E9" s="33">
        <f>Inputs!E11</f>
        <v>6</v>
      </c>
      <c r="F9" s="33">
        <f>Inputs!F11</f>
        <v>31</v>
      </c>
      <c r="G9" s="33">
        <f>Inputs!G11</f>
        <v>73</v>
      </c>
      <c r="H9" s="33">
        <f>Inputs!H11</f>
        <v>3133</v>
      </c>
      <c r="I9" s="44">
        <f t="shared" si="0"/>
        <v>15676.125</v>
      </c>
      <c r="J9" s="5"/>
      <c r="L9" s="5">
        <f t="shared" si="1"/>
        <v>12439.125</v>
      </c>
      <c r="M9" s="5"/>
      <c r="P9" s="107" t="s">
        <v>123</v>
      </c>
      <c r="Q9" s="121">
        <f t="shared" si="2"/>
        <v>12699.959834282687</v>
      </c>
      <c r="R9" s="121">
        <f t="shared" si="3"/>
        <v>12783.061483066138</v>
      </c>
      <c r="S9" s="121"/>
    </row>
    <row r="10" spans="1:19" x14ac:dyDescent="0.2">
      <c r="A10" s="3">
        <v>2023</v>
      </c>
      <c r="B10" s="33">
        <f>Inputs!B12</f>
        <v>11213.5</v>
      </c>
      <c r="C10" s="33">
        <f>Inputs!C12</f>
        <v>1174.375</v>
      </c>
      <c r="D10" s="33">
        <f>Inputs!D12</f>
        <v>91.5</v>
      </c>
      <c r="E10" s="33">
        <f>Inputs!E12</f>
        <v>6</v>
      </c>
      <c r="F10" s="33">
        <f>Inputs!F12</f>
        <v>30</v>
      </c>
      <c r="G10" s="33">
        <f>Inputs!G12</f>
        <v>73</v>
      </c>
      <c r="H10" s="33">
        <f>Inputs!H12</f>
        <v>3162</v>
      </c>
      <c r="I10" s="44">
        <f t="shared" si="0"/>
        <v>15750.375</v>
      </c>
      <c r="J10" s="5"/>
      <c r="L10" s="5">
        <f t="shared" si="1"/>
        <v>12485.375</v>
      </c>
      <c r="M10" s="5"/>
      <c r="P10" s="107" t="s">
        <v>124</v>
      </c>
      <c r="Q10" s="121">
        <f t="shared" si="2"/>
        <v>12711.909058173662</v>
      </c>
      <c r="R10" s="121">
        <f t="shared" si="3"/>
        <v>12784.93535256207</v>
      </c>
      <c r="S10" s="121"/>
    </row>
    <row r="11" spans="1:19" x14ac:dyDescent="0.2">
      <c r="A11" s="3">
        <v>2024</v>
      </c>
      <c r="B11" s="33">
        <f>Inputs!B13</f>
        <v>11298.5</v>
      </c>
      <c r="C11" s="33">
        <f>Inputs!C13</f>
        <v>1170</v>
      </c>
      <c r="D11" s="33">
        <f>Inputs!D13</f>
        <v>90</v>
      </c>
      <c r="E11" s="33">
        <f>Inputs!E13</f>
        <v>6</v>
      </c>
      <c r="F11" s="33">
        <f>Inputs!F13</f>
        <v>29</v>
      </c>
      <c r="G11" s="33">
        <f>Inputs!G13</f>
        <v>73</v>
      </c>
      <c r="H11" s="33">
        <f>Inputs!H13</f>
        <v>3158</v>
      </c>
      <c r="I11" s="44">
        <f t="shared" si="0"/>
        <v>15824.5</v>
      </c>
      <c r="J11" s="5"/>
      <c r="L11" s="5">
        <f t="shared" si="1"/>
        <v>12564.5</v>
      </c>
      <c r="M11" s="50"/>
      <c r="P11" s="107" t="s">
        <v>125</v>
      </c>
      <c r="Q11" s="121">
        <f t="shared" si="2"/>
        <v>12723.869524931028</v>
      </c>
      <c r="R11" s="121">
        <f t="shared" si="3"/>
        <v>12786.809496748607</v>
      </c>
      <c r="S11" s="121"/>
    </row>
    <row r="12" spans="1:19" x14ac:dyDescent="0.2">
      <c r="A12" s="3">
        <v>2025</v>
      </c>
      <c r="B12" s="33">
        <f>Inputs!B14</f>
        <v>11354.5</v>
      </c>
      <c r="C12" s="33">
        <f>Inputs!C14</f>
        <v>1179</v>
      </c>
      <c r="D12" s="33">
        <f>Inputs!D14</f>
        <v>89</v>
      </c>
      <c r="E12" s="33">
        <f>Inputs!E14</f>
        <v>6</v>
      </c>
      <c r="F12" s="33">
        <f>Inputs!F14</f>
        <v>29</v>
      </c>
      <c r="G12" s="33">
        <f>Inputs!G14</f>
        <v>73</v>
      </c>
      <c r="H12" s="33">
        <f>Inputs!H14</f>
        <v>3158.5</v>
      </c>
      <c r="I12" s="44">
        <f t="shared" si="0"/>
        <v>15889</v>
      </c>
      <c r="J12" s="5"/>
      <c r="L12" s="5">
        <f t="shared" si="1"/>
        <v>12628.5</v>
      </c>
      <c r="M12" s="50"/>
      <c r="P12" s="107" t="s">
        <v>126</v>
      </c>
      <c r="Q12" s="121">
        <f t="shared" si="2"/>
        <v>12735.84124513305</v>
      </c>
      <c r="R12" s="121">
        <f t="shared" si="3"/>
        <v>12788.683915666015</v>
      </c>
      <c r="S12" s="121"/>
    </row>
    <row r="13" spans="1:19" x14ac:dyDescent="0.2">
      <c r="A13" s="3">
        <v>2026</v>
      </c>
      <c r="B13" s="48">
        <f t="shared" ref="B13:H13" si="4">B12*B31</f>
        <v>11422.71233211763</v>
      </c>
      <c r="C13" s="48">
        <f t="shared" si="4"/>
        <v>1188.0692307692307</v>
      </c>
      <c r="D13" s="48">
        <f t="shared" si="4"/>
        <v>89</v>
      </c>
      <c r="E13" s="48">
        <f t="shared" si="4"/>
        <v>6</v>
      </c>
      <c r="F13" s="48">
        <f t="shared" si="4"/>
        <v>28.434631333090945</v>
      </c>
      <c r="G13" s="48">
        <f t="shared" si="4"/>
        <v>73</v>
      </c>
      <c r="H13" s="48">
        <f t="shared" si="4"/>
        <v>3182.1208340647199</v>
      </c>
      <c r="I13" s="44">
        <f>SUM(B13:H13)</f>
        <v>15989.33702828467</v>
      </c>
      <c r="J13" s="5"/>
      <c r="K13" s="30"/>
      <c r="L13" s="5">
        <f t="shared" si="1"/>
        <v>12705.781562886859</v>
      </c>
      <c r="M13" s="50"/>
      <c r="P13" s="107" t="s">
        <v>127</v>
      </c>
      <c r="Q13" s="121">
        <f t="shared" si="2"/>
        <v>12747.824229367943</v>
      </c>
      <c r="R13" s="121">
        <f t="shared" si="3"/>
        <v>12790.558609354568</v>
      </c>
      <c r="S13" s="121"/>
    </row>
    <row r="14" spans="1:19" x14ac:dyDescent="0.2">
      <c r="A14" s="3">
        <v>2027</v>
      </c>
      <c r="B14" s="48">
        <f t="shared" ref="B14:H14" si="5">B13*B31</f>
        <v>11491.334450861965</v>
      </c>
      <c r="C14" s="48">
        <f t="shared" si="5"/>
        <v>1197.2082248520708</v>
      </c>
      <c r="D14" s="48">
        <f t="shared" si="5"/>
        <v>89</v>
      </c>
      <c r="E14" s="48">
        <f t="shared" si="5"/>
        <v>6</v>
      </c>
      <c r="F14" s="48">
        <f t="shared" si="5"/>
        <v>27.880284794786114</v>
      </c>
      <c r="G14" s="48">
        <f t="shared" si="5"/>
        <v>73</v>
      </c>
      <c r="H14" s="48">
        <f t="shared" si="5"/>
        <v>3205.9183164757792</v>
      </c>
      <c r="I14" s="44">
        <f>SUM(B14:H14)</f>
        <v>16090.341276984602</v>
      </c>
      <c r="J14" s="5"/>
      <c r="K14" s="30"/>
      <c r="L14" s="5">
        <f t="shared" si="1"/>
        <v>12783.542675714036</v>
      </c>
      <c r="M14" s="50"/>
      <c r="P14" s="107" t="s">
        <v>128</v>
      </c>
      <c r="Q14" s="121">
        <f t="shared" si="2"/>
        <v>12759.81848823389</v>
      </c>
      <c r="R14" s="121">
        <f t="shared" si="3"/>
        <v>12792.433577854545</v>
      </c>
      <c r="S14" s="121"/>
    </row>
    <row r="15" spans="1:19" ht="13.5" thickBot="1" x14ac:dyDescent="0.25">
      <c r="A15" s="11"/>
      <c r="P15" s="122" t="s">
        <v>129</v>
      </c>
      <c r="Q15" s="121">
        <f t="shared" si="2"/>
        <v>12771.824032339038</v>
      </c>
      <c r="R15" s="121">
        <f t="shared" si="3"/>
        <v>12794.308821206228</v>
      </c>
      <c r="S15" s="121"/>
    </row>
    <row r="16" spans="1:19" ht="13.5" thickTop="1" x14ac:dyDescent="0.2">
      <c r="A16" s="11" t="s">
        <v>28</v>
      </c>
      <c r="B16" s="4"/>
      <c r="C16" s="4"/>
      <c r="D16" s="4"/>
      <c r="E16" s="4"/>
      <c r="F16" s="4"/>
      <c r="G16" s="14"/>
      <c r="H16" s="14"/>
      <c r="P16" s="107" t="s">
        <v>7</v>
      </c>
      <c r="Q16" s="121">
        <f>AVERAGE(Q4:Q15)</f>
        <v>12705.999998883955</v>
      </c>
      <c r="R16" s="121">
        <f t="shared" ref="R16" si="6">AVERAGE(R4:R15)</f>
        <v>12784.000020058593</v>
      </c>
      <c r="S16" s="121"/>
    </row>
    <row r="17" spans="1:19" x14ac:dyDescent="0.2">
      <c r="A17" s="3"/>
      <c r="B17" s="14"/>
      <c r="C17" s="14"/>
      <c r="D17" s="14"/>
      <c r="E17" s="14"/>
      <c r="F17" s="14"/>
      <c r="G17" s="14"/>
      <c r="H17" s="14"/>
      <c r="Q17" s="5">
        <f>L13</f>
        <v>12705.781562886859</v>
      </c>
      <c r="R17" s="5">
        <f>L14</f>
        <v>12783.542675714036</v>
      </c>
      <c r="S17" s="5"/>
    </row>
    <row r="18" spans="1:19" x14ac:dyDescent="0.2">
      <c r="A18" s="3">
        <f t="shared" ref="A18:A26" si="7">+A4</f>
        <v>2017</v>
      </c>
      <c r="B18" s="14">
        <f>B4/B3</f>
        <v>1.0094872044370926</v>
      </c>
      <c r="C18" s="14">
        <f>C4/C3</f>
        <v>0.95440374123148874</v>
      </c>
      <c r="D18" s="14">
        <f>D4/D3</f>
        <v>1.1182266009852218</v>
      </c>
      <c r="E18" s="14">
        <f t="shared" ref="E18:F18" si="8">E4/E3</f>
        <v>1</v>
      </c>
      <c r="F18" s="14">
        <f t="shared" si="8"/>
        <v>1.0166666666666666</v>
      </c>
      <c r="G18" s="14">
        <f>G4/G3</f>
        <v>1</v>
      </c>
      <c r="H18" s="14">
        <f>H4/H3</f>
        <v>0.9873716113823876</v>
      </c>
      <c r="Q18" s="5">
        <f>Q16-Q17</f>
        <v>0.21843599709609407</v>
      </c>
      <c r="R18" s="5">
        <f>R16-R17</f>
        <v>0.45734434455698647</v>
      </c>
      <c r="S18" s="5"/>
    </row>
    <row r="19" spans="1:19" x14ac:dyDescent="0.2">
      <c r="A19" s="3">
        <f t="shared" si="7"/>
        <v>2018</v>
      </c>
      <c r="B19" s="14">
        <f t="shared" ref="B19:H25" si="9">B5/B4</f>
        <v>1.0274712034314906</v>
      </c>
      <c r="C19" s="14">
        <f t="shared" si="9"/>
        <v>1.0102082482645978</v>
      </c>
      <c r="D19" s="14">
        <f t="shared" si="9"/>
        <v>0.97356828193832601</v>
      </c>
      <c r="E19" s="14">
        <f t="shared" si="9"/>
        <v>1</v>
      </c>
      <c r="F19" s="14">
        <f t="shared" si="9"/>
        <v>1.0327868852459017</v>
      </c>
      <c r="G19" s="14">
        <f t="shared" si="9"/>
        <v>1</v>
      </c>
      <c r="H19" s="14">
        <f t="shared" si="9"/>
        <v>1.0078444747612552</v>
      </c>
    </row>
    <row r="20" spans="1:19" x14ac:dyDescent="0.2">
      <c r="A20" s="3">
        <f t="shared" si="7"/>
        <v>2019</v>
      </c>
      <c r="B20" s="14">
        <f t="shared" si="9"/>
        <v>1.024672827055678</v>
      </c>
      <c r="C20" s="14">
        <f t="shared" si="9"/>
        <v>1</v>
      </c>
      <c r="D20" s="14">
        <f t="shared" si="9"/>
        <v>0.86877828054298645</v>
      </c>
      <c r="E20" s="14">
        <f t="shared" si="9"/>
        <v>1</v>
      </c>
      <c r="F20" s="14">
        <f t="shared" si="9"/>
        <v>1.0158730158730158</v>
      </c>
      <c r="G20" s="14">
        <f t="shared" si="9"/>
        <v>1</v>
      </c>
      <c r="H20" s="14">
        <f t="shared" si="9"/>
        <v>1.0125211505922165</v>
      </c>
    </row>
    <row r="21" spans="1:19" x14ac:dyDescent="0.2">
      <c r="A21" s="3">
        <f t="shared" si="7"/>
        <v>2020</v>
      </c>
      <c r="B21" s="14">
        <f t="shared" si="9"/>
        <v>1.0088807507438773</v>
      </c>
      <c r="C21" s="14">
        <f t="shared" si="9"/>
        <v>1.0121261115602262</v>
      </c>
      <c r="D21" s="14">
        <f t="shared" si="9"/>
        <v>1.0208333333333333</v>
      </c>
      <c r="E21" s="14">
        <f t="shared" si="9"/>
        <v>1</v>
      </c>
      <c r="F21" s="14">
        <f t="shared" si="9"/>
        <v>1</v>
      </c>
      <c r="G21" s="14">
        <f t="shared" si="9"/>
        <v>1</v>
      </c>
      <c r="H21" s="14">
        <f t="shared" si="9"/>
        <v>1.0170454545454546</v>
      </c>
    </row>
    <row r="22" spans="1:19" x14ac:dyDescent="0.2">
      <c r="A22" s="3">
        <f t="shared" si="7"/>
        <v>2021</v>
      </c>
      <c r="B22" s="14">
        <f t="shared" si="9"/>
        <v>1.0069422387585643</v>
      </c>
      <c r="C22" s="14">
        <f t="shared" si="9"/>
        <v>0.98742012779552712</v>
      </c>
      <c r="D22" s="14">
        <f t="shared" si="9"/>
        <v>1.0306122448979591</v>
      </c>
      <c r="E22" s="14">
        <f t="shared" si="9"/>
        <v>1</v>
      </c>
      <c r="F22" s="14">
        <f t="shared" si="9"/>
        <v>0.984375</v>
      </c>
      <c r="G22" s="14">
        <f t="shared" si="9"/>
        <v>1</v>
      </c>
      <c r="H22" s="14">
        <f t="shared" si="9"/>
        <v>1.0159382188629642</v>
      </c>
    </row>
    <row r="23" spans="1:19" x14ac:dyDescent="0.2">
      <c r="A23" s="3">
        <f t="shared" si="7"/>
        <v>2022</v>
      </c>
      <c r="B23" s="14">
        <f t="shared" si="9"/>
        <v>1.0036049026676279</v>
      </c>
      <c r="C23" s="14">
        <f t="shared" si="9"/>
        <v>0.96996966632962589</v>
      </c>
      <c r="D23" s="14">
        <f t="shared" si="9"/>
        <v>0.97029702970297027</v>
      </c>
      <c r="E23" s="14">
        <f t="shared" si="9"/>
        <v>1</v>
      </c>
      <c r="F23" s="14">
        <f t="shared" si="9"/>
        <v>0.98412698412698407</v>
      </c>
      <c r="G23" s="14">
        <f t="shared" si="9"/>
        <v>1</v>
      </c>
      <c r="H23" s="14">
        <f t="shared" si="9"/>
        <v>1.0134239042535986</v>
      </c>
    </row>
    <row r="24" spans="1:19" x14ac:dyDescent="0.2">
      <c r="A24" s="3">
        <f t="shared" si="7"/>
        <v>2023</v>
      </c>
      <c r="B24" s="14">
        <f t="shared" si="9"/>
        <v>1.0069594109195403</v>
      </c>
      <c r="C24" s="14">
        <f t="shared" si="9"/>
        <v>0.97935994996351505</v>
      </c>
      <c r="D24" s="14">
        <f t="shared" si="9"/>
        <v>0.93367346938775508</v>
      </c>
      <c r="E24" s="14">
        <f t="shared" si="9"/>
        <v>1</v>
      </c>
      <c r="F24" s="14">
        <f t="shared" si="9"/>
        <v>0.967741935483871</v>
      </c>
      <c r="G24" s="14">
        <f t="shared" si="9"/>
        <v>1</v>
      </c>
      <c r="H24" s="14">
        <f t="shared" si="9"/>
        <v>1.009256303862113</v>
      </c>
    </row>
    <row r="25" spans="1:19" x14ac:dyDescent="0.2">
      <c r="A25" s="3">
        <f t="shared" si="7"/>
        <v>2024</v>
      </c>
      <c r="B25" s="14">
        <f t="shared" si="9"/>
        <v>1.0075801489276319</v>
      </c>
      <c r="C25" s="14">
        <f t="shared" si="9"/>
        <v>0.99627461415646623</v>
      </c>
      <c r="D25" s="14">
        <f t="shared" si="9"/>
        <v>0.98360655737704916</v>
      </c>
      <c r="E25" s="14">
        <f t="shared" si="9"/>
        <v>1</v>
      </c>
      <c r="F25" s="14">
        <f t="shared" si="9"/>
        <v>0.96666666666666667</v>
      </c>
      <c r="G25" s="14">
        <f t="shared" si="9"/>
        <v>1</v>
      </c>
      <c r="H25" s="14">
        <f t="shared" si="9"/>
        <v>0.99873497786211263</v>
      </c>
    </row>
    <row r="26" spans="1:19" x14ac:dyDescent="0.2">
      <c r="A26" s="3">
        <f t="shared" si="7"/>
        <v>2025</v>
      </c>
      <c r="B26" s="14">
        <f>B12/B11</f>
        <v>1.0049564101429393</v>
      </c>
      <c r="C26" s="14">
        <f t="shared" ref="C26:H26" si="10">C12/C11</f>
        <v>1.0076923076923077</v>
      </c>
      <c r="D26" s="14">
        <f t="shared" si="10"/>
        <v>0.98888888888888893</v>
      </c>
      <c r="E26" s="14">
        <f t="shared" si="10"/>
        <v>1</v>
      </c>
      <c r="F26" s="14">
        <f t="shared" si="10"/>
        <v>1</v>
      </c>
      <c r="G26" s="14">
        <f t="shared" si="10"/>
        <v>1</v>
      </c>
      <c r="H26" s="14">
        <f t="shared" si="10"/>
        <v>1.0001583280557316</v>
      </c>
    </row>
    <row r="27" spans="1:19" x14ac:dyDescent="0.2">
      <c r="A27" s="3"/>
      <c r="B27" s="14"/>
      <c r="C27" s="14"/>
      <c r="D27" s="14"/>
      <c r="E27" s="14"/>
      <c r="F27" s="14"/>
      <c r="G27" s="14"/>
      <c r="H27" s="14"/>
    </row>
    <row r="28" spans="1:19" x14ac:dyDescent="0.2">
      <c r="A28" s="3"/>
      <c r="B28" s="14"/>
      <c r="C28" s="14"/>
      <c r="D28" s="14"/>
      <c r="E28" s="14"/>
      <c r="F28" s="14"/>
      <c r="G28" s="14"/>
      <c r="H28" s="14"/>
    </row>
    <row r="29" spans="1:19" x14ac:dyDescent="0.2">
      <c r="A29" s="3"/>
      <c r="B29" s="14"/>
      <c r="C29" s="14"/>
      <c r="D29" s="14"/>
      <c r="E29" s="14"/>
      <c r="F29" s="14"/>
      <c r="G29" s="14"/>
      <c r="H29" s="14"/>
    </row>
    <row r="31" spans="1:19" x14ac:dyDescent="0.2">
      <c r="A31" t="s">
        <v>41</v>
      </c>
      <c r="B31" s="49">
        <f>B33</f>
        <v>1.0060075152686274</v>
      </c>
      <c r="C31" s="49">
        <f>C33</f>
        <v>1.0076923076923077</v>
      </c>
      <c r="D31" s="49">
        <f t="shared" ref="D31:H31" si="11">D33</f>
        <v>1</v>
      </c>
      <c r="E31" s="49">
        <f t="shared" si="11"/>
        <v>1</v>
      </c>
      <c r="F31" s="49">
        <f t="shared" si="11"/>
        <v>0.98050452872727401</v>
      </c>
      <c r="G31" s="49">
        <f t="shared" si="11"/>
        <v>1</v>
      </c>
      <c r="H31" s="49">
        <f t="shared" si="11"/>
        <v>1.0074784974084914</v>
      </c>
      <c r="I31" s="37" t="s">
        <v>50</v>
      </c>
      <c r="J31" s="37"/>
    </row>
    <row r="32" spans="1:19" x14ac:dyDescent="0.2">
      <c r="B32" s="15"/>
      <c r="C32" s="15"/>
      <c r="D32" s="15"/>
      <c r="E32" s="15"/>
      <c r="F32" s="15"/>
      <c r="G32" s="15"/>
      <c r="H32" s="15"/>
    </row>
    <row r="33" spans="1:8" x14ac:dyDescent="0.2">
      <c r="A33" t="s">
        <v>8</v>
      </c>
      <c r="B33" s="15">
        <f>IF(B12="",0,GEOMEAN(B22:B26))</f>
        <v>1.0060075152686274</v>
      </c>
      <c r="C33" s="15">
        <f>IF(C12="",0,GEOMEAN(C26))</f>
        <v>1.0076923076923077</v>
      </c>
      <c r="D33" s="15">
        <v>1</v>
      </c>
      <c r="E33" s="15">
        <f>IF(E12="",0,GEOMEAN(E22:E26))</f>
        <v>1</v>
      </c>
      <c r="F33" s="15">
        <f>IF(F12="",0,GEOMEAN(F22:F26))</f>
        <v>0.98050452872727401</v>
      </c>
      <c r="G33" s="15">
        <f>IF(G12="",0,GEOMEAN(G22:G26))</f>
        <v>1</v>
      </c>
      <c r="H33" s="15">
        <f>IF(H12="",0,GEOMEAN(H22:H26))</f>
        <v>1.0074784974084914</v>
      </c>
    </row>
    <row r="34" spans="1:8" x14ac:dyDescent="0.2">
      <c r="A34" s="3"/>
      <c r="B34" s="15"/>
      <c r="C34"/>
      <c r="D34"/>
      <c r="E34" s="15"/>
      <c r="F34" s="15"/>
      <c r="G34" s="15"/>
      <c r="H34" s="15"/>
    </row>
    <row r="35" spans="1:8" x14ac:dyDescent="0.2">
      <c r="A35" s="2"/>
      <c r="B35"/>
      <c r="C35"/>
      <c r="D35"/>
      <c r="E35"/>
      <c r="F35"/>
      <c r="G35"/>
      <c r="H35"/>
    </row>
    <row r="36" spans="1:8" x14ac:dyDescent="0.2">
      <c r="A36" s="2"/>
      <c r="B36"/>
      <c r="C36"/>
      <c r="D36"/>
      <c r="E36"/>
      <c r="F36"/>
      <c r="G36"/>
      <c r="H36"/>
    </row>
    <row r="37" spans="1:8" x14ac:dyDescent="0.2">
      <c r="A37" s="2"/>
      <c r="B37"/>
      <c r="C37"/>
      <c r="D37"/>
      <c r="E37"/>
      <c r="F37"/>
      <c r="G37"/>
      <c r="H37"/>
    </row>
    <row r="38" spans="1:8" x14ac:dyDescent="0.2">
      <c r="A38" s="2"/>
      <c r="B38"/>
      <c r="C38"/>
      <c r="D38"/>
      <c r="E38"/>
      <c r="F38"/>
      <c r="G38"/>
      <c r="H38"/>
    </row>
    <row r="39" spans="1:8" x14ac:dyDescent="0.2">
      <c r="A39" s="2"/>
      <c r="B39"/>
      <c r="C39"/>
      <c r="D39"/>
      <c r="E39"/>
      <c r="F39"/>
      <c r="G39"/>
      <c r="H39"/>
    </row>
    <row r="40" spans="1:8" x14ac:dyDescent="0.2">
      <c r="A40" s="2"/>
      <c r="B40"/>
      <c r="C40"/>
      <c r="D40"/>
      <c r="E40"/>
      <c r="F40"/>
      <c r="G40"/>
      <c r="H40"/>
    </row>
    <row r="41" spans="1:8" x14ac:dyDescent="0.2">
      <c r="A41" s="2"/>
      <c r="B41"/>
      <c r="C41"/>
      <c r="D41"/>
      <c r="E41"/>
      <c r="F41"/>
      <c r="G41"/>
      <c r="H41"/>
    </row>
    <row r="42" spans="1:8" x14ac:dyDescent="0.2">
      <c r="A42" s="2"/>
      <c r="B42"/>
      <c r="C42"/>
      <c r="D42"/>
      <c r="E42"/>
      <c r="F42"/>
      <c r="G42"/>
      <c r="H42"/>
    </row>
    <row r="43" spans="1:8" x14ac:dyDescent="0.2">
      <c r="A43" s="2"/>
      <c r="B43"/>
      <c r="C43"/>
      <c r="D43"/>
      <c r="E43"/>
      <c r="F43"/>
      <c r="G43"/>
      <c r="H43"/>
    </row>
    <row r="44" spans="1:8" x14ac:dyDescent="0.2">
      <c r="A44" s="2"/>
      <c r="B44"/>
      <c r="C44"/>
      <c r="D44"/>
      <c r="E44"/>
      <c r="F44"/>
      <c r="G44"/>
      <c r="H44"/>
    </row>
    <row r="45" spans="1:8" x14ac:dyDescent="0.2">
      <c r="A45" s="2"/>
      <c r="B45"/>
      <c r="C45"/>
      <c r="D45"/>
      <c r="E45"/>
      <c r="F45"/>
      <c r="G45"/>
      <c r="H45"/>
    </row>
    <row r="46" spans="1:8" x14ac:dyDescent="0.2">
      <c r="A46" s="2"/>
      <c r="B46"/>
      <c r="C46"/>
      <c r="D46"/>
      <c r="E46"/>
      <c r="F46"/>
      <c r="G46"/>
      <c r="H46"/>
    </row>
    <row r="47" spans="1:8" x14ac:dyDescent="0.2">
      <c r="A47" s="2"/>
      <c r="B47"/>
      <c r="C47"/>
      <c r="D47"/>
      <c r="E47"/>
      <c r="F47"/>
      <c r="G47"/>
      <c r="H47"/>
    </row>
    <row r="48" spans="1:8" x14ac:dyDescent="0.2">
      <c r="A48" s="2"/>
      <c r="B48"/>
      <c r="C48"/>
      <c r="D48"/>
      <c r="E48"/>
      <c r="F48"/>
      <c r="G48"/>
      <c r="H48"/>
    </row>
    <row r="49" spans="1:8" x14ac:dyDescent="0.2">
      <c r="A49" s="2"/>
      <c r="B49"/>
      <c r="C49"/>
      <c r="D49"/>
      <c r="E49"/>
      <c r="F49"/>
      <c r="G49"/>
      <c r="H49"/>
    </row>
    <row r="50" spans="1:8" x14ac:dyDescent="0.2">
      <c r="A50" s="2"/>
      <c r="B50"/>
      <c r="C50"/>
      <c r="D50"/>
      <c r="E50"/>
      <c r="F50"/>
      <c r="G50"/>
      <c r="H50"/>
    </row>
    <row r="51" spans="1:8" x14ac:dyDescent="0.2">
      <c r="A51" s="2"/>
      <c r="B51"/>
      <c r="C51"/>
      <c r="D51"/>
      <c r="E51"/>
      <c r="F51"/>
      <c r="G51"/>
      <c r="H51"/>
    </row>
    <row r="52" spans="1:8" x14ac:dyDescent="0.2">
      <c r="A52" s="2"/>
      <c r="B52"/>
      <c r="C52"/>
      <c r="D52"/>
      <c r="E52"/>
      <c r="F52"/>
      <c r="G52"/>
      <c r="H52"/>
    </row>
    <row r="53" spans="1:8" x14ac:dyDescent="0.2">
      <c r="A53" s="2"/>
      <c r="B53"/>
      <c r="C53"/>
      <c r="D53"/>
      <c r="E53"/>
      <c r="F53"/>
      <c r="G53"/>
      <c r="H53"/>
    </row>
    <row r="54" spans="1:8" x14ac:dyDescent="0.2">
      <c r="A54" s="2"/>
      <c r="B54"/>
      <c r="C54"/>
      <c r="D54"/>
      <c r="E54"/>
      <c r="F54"/>
      <c r="G54"/>
      <c r="H54"/>
    </row>
    <row r="55" spans="1:8" x14ac:dyDescent="0.2">
      <c r="A55" s="2"/>
      <c r="B55"/>
      <c r="C55"/>
      <c r="D55"/>
      <c r="E55"/>
      <c r="F55"/>
      <c r="G55"/>
      <c r="H55"/>
    </row>
    <row r="56" spans="1:8" x14ac:dyDescent="0.2">
      <c r="A56" s="2"/>
      <c r="B56"/>
      <c r="C56"/>
      <c r="D56"/>
      <c r="E56"/>
      <c r="F56"/>
      <c r="G56"/>
      <c r="H56"/>
    </row>
    <row r="57" spans="1:8" x14ac:dyDescent="0.2">
      <c r="A57" s="2"/>
      <c r="B57"/>
      <c r="C57"/>
      <c r="D57"/>
      <c r="E57"/>
      <c r="F57"/>
      <c r="G57"/>
      <c r="H57"/>
    </row>
    <row r="58" spans="1:8" x14ac:dyDescent="0.2">
      <c r="A58" s="2"/>
      <c r="B58"/>
      <c r="C58"/>
      <c r="D58"/>
      <c r="E58"/>
      <c r="F58"/>
      <c r="G58"/>
      <c r="H58"/>
    </row>
    <row r="59" spans="1:8" x14ac:dyDescent="0.2">
      <c r="B59"/>
      <c r="C59"/>
      <c r="D59"/>
      <c r="E59"/>
      <c r="F59"/>
      <c r="G59"/>
      <c r="H59"/>
    </row>
    <row r="60" spans="1:8" x14ac:dyDescent="0.2">
      <c r="B60"/>
      <c r="C60"/>
      <c r="D60"/>
      <c r="E60"/>
      <c r="F60"/>
      <c r="G60"/>
      <c r="H60"/>
    </row>
    <row r="61" spans="1:8" x14ac:dyDescent="0.2">
      <c r="B61"/>
      <c r="C61"/>
      <c r="D61"/>
      <c r="E61"/>
      <c r="F61"/>
      <c r="G61"/>
      <c r="H61"/>
    </row>
    <row r="62" spans="1:8" x14ac:dyDescent="0.2">
      <c r="B62"/>
      <c r="C62"/>
      <c r="D62"/>
      <c r="E62"/>
      <c r="F62"/>
      <c r="G62"/>
      <c r="H62"/>
    </row>
    <row r="63" spans="1:8" x14ac:dyDescent="0.2">
      <c r="B63"/>
      <c r="C63"/>
      <c r="D63"/>
      <c r="E63"/>
      <c r="F63"/>
      <c r="G63"/>
      <c r="H63"/>
    </row>
    <row r="64" spans="1:8" x14ac:dyDescent="0.2">
      <c r="B64"/>
      <c r="C64"/>
      <c r="D64"/>
      <c r="E64"/>
      <c r="F64"/>
      <c r="G64"/>
      <c r="H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1">
    <mergeCell ref="B1:H1"/>
  </mergeCells>
  <phoneticPr fontId="0" type="noConversion"/>
  <pageMargins left="0.38" right="0.75" top="0.73" bottom="0.74" header="0.5" footer="0.5"/>
  <pageSetup scale="95" orientation="landscape" r:id="rId1"/>
  <headerFooter alignWithMargins="0">
    <oddFooter>&amp;L&amp;Z&amp;F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N55"/>
  <sheetViews>
    <sheetView topLeftCell="A12" workbookViewId="0">
      <selection activeCell="N40" sqref="N40"/>
    </sheetView>
  </sheetViews>
  <sheetFormatPr defaultRowHeight="12.75" x14ac:dyDescent="0.2"/>
  <cols>
    <col min="1" max="1" width="11" customWidth="1"/>
    <col min="2" max="2" width="14.140625" style="5" bestFit="1" customWidth="1"/>
    <col min="3" max="3" width="11.85546875" style="5" customWidth="1"/>
    <col min="4" max="4" width="11.28515625" style="5" customWidth="1"/>
    <col min="5" max="5" width="11.85546875" style="5" customWidth="1"/>
    <col min="6" max="6" width="13.42578125" customWidth="1"/>
    <col min="7" max="7" width="13" customWidth="1"/>
    <col min="8" max="8" width="13.42578125" customWidth="1"/>
    <col min="9" max="9" width="12.5703125" bestFit="1" customWidth="1"/>
    <col min="11" max="11" width="12.42578125" style="5" bestFit="1" customWidth="1"/>
    <col min="12" max="12" width="13.42578125" bestFit="1" customWidth="1"/>
    <col min="13" max="14" width="9.140625" style="5" customWidth="1"/>
  </cols>
  <sheetData>
    <row r="1" spans="1:11" ht="25.5" x14ac:dyDescent="0.2">
      <c r="B1" s="6" t="str">
        <f>'Rate Class Customer Model'!D2</f>
        <v>General Service &gt; 50 kW</v>
      </c>
      <c r="C1" s="6" t="str">
        <f>'Rate Class Customer Model'!E2</f>
        <v xml:space="preserve">Embedded Distributor </v>
      </c>
      <c r="D1" s="6" t="str">
        <f>'Rate Class Customer Model'!G2</f>
        <v>Sentinel Lighting</v>
      </c>
      <c r="E1" s="6" t="str">
        <f>'Rate Class Customer Model'!H2</f>
        <v>Street Lighting</v>
      </c>
      <c r="F1" s="46" t="s">
        <v>5</v>
      </c>
      <c r="K1" s="6"/>
    </row>
    <row r="2" spans="1:11" x14ac:dyDescent="0.2">
      <c r="A2" s="19">
        <v>2016</v>
      </c>
      <c r="B2" s="33">
        <f>SUMIF(Inputs!$A$24:$A$143,'Rate Class Load Model'!$A2,Inputs!$K$24:$K$143)</f>
        <v>188539.6</v>
      </c>
      <c r="C2" s="33">
        <f>SUMIF(Inputs!$A$24:$A$143,'Rate Class Load Model'!$A2,Inputs!$N$24:$N$143)</f>
        <v>117955</v>
      </c>
      <c r="D2" s="33">
        <f>SUMIF(Inputs!$A$24:$A$143,'Rate Class Load Model'!$A2,Inputs!$S$24:$S$143)</f>
        <v>411</v>
      </c>
      <c r="E2" s="33">
        <f>SUMIF(Inputs!$A$24:$A$143,'Rate Class Load Model'!$A2,Inputs!$V$24:$V$143)</f>
        <v>4764</v>
      </c>
      <c r="F2" s="44">
        <f>SUM(B2:E2)</f>
        <v>311669.59999999998</v>
      </c>
      <c r="G2" s="37"/>
    </row>
    <row r="3" spans="1:11" x14ac:dyDescent="0.2">
      <c r="A3" s="19">
        <v>2017</v>
      </c>
      <c r="B3" s="33">
        <f>SUMIF(Inputs!$A$24:$A$143,'Rate Class Load Model'!$A3,Inputs!$K$24:$K$143)</f>
        <v>188530</v>
      </c>
      <c r="C3" s="33">
        <f>SUMIF(Inputs!$A$24:$A$143,'Rate Class Load Model'!$A3,Inputs!$N$24:$N$143)</f>
        <v>143958</v>
      </c>
      <c r="D3" s="33">
        <f>SUMIF(Inputs!$A$24:$A$143,'Rate Class Load Model'!$A3,Inputs!$S$24:$S$143)</f>
        <v>406</v>
      </c>
      <c r="E3" s="33">
        <f>SUMIF(Inputs!$A$24:$A$143,'Rate Class Load Model'!$A3,Inputs!$V$24:$V$143)</f>
        <v>3705</v>
      </c>
      <c r="F3" s="44">
        <f t="shared" ref="F3:F13" si="0">SUM(B3:E3)</f>
        <v>336599</v>
      </c>
      <c r="H3" s="101"/>
    </row>
    <row r="4" spans="1:11" x14ac:dyDescent="0.2">
      <c r="A4" s="19">
        <v>2018</v>
      </c>
      <c r="B4" s="33">
        <f>SUMIF(Inputs!$A$24:$A$143,'Rate Class Load Model'!$A4,Inputs!$K$24:$K$143)</f>
        <v>173784</v>
      </c>
      <c r="C4" s="33">
        <f>SUMIF(Inputs!$A$24:$A$143,'Rate Class Load Model'!$A4,Inputs!$N$24:$N$143)</f>
        <v>145229</v>
      </c>
      <c r="D4" s="33">
        <f>SUMIF(Inputs!$A$24:$A$143,'Rate Class Load Model'!$A4,Inputs!$S$24:$S$143)</f>
        <v>388</v>
      </c>
      <c r="E4" s="33">
        <f>SUMIF(Inputs!$A$24:$A$143,'Rate Class Load Model'!$A4,Inputs!$V$24:$V$143)</f>
        <v>3920</v>
      </c>
      <c r="F4" s="44">
        <f t="shared" si="0"/>
        <v>323321</v>
      </c>
      <c r="H4" s="101"/>
      <c r="K4" s="34"/>
    </row>
    <row r="5" spans="1:11" x14ac:dyDescent="0.2">
      <c r="A5" s="19">
        <v>2019</v>
      </c>
      <c r="B5" s="33">
        <f>SUMIF(Inputs!$A$24:$A$143,'Rate Class Load Model'!$A5,Inputs!$K$24:$K$143)</f>
        <v>201036</v>
      </c>
      <c r="C5" s="33">
        <f>SUMIF(Inputs!$A$24:$A$143,'Rate Class Load Model'!$A5,Inputs!$N$24:$N$143)</f>
        <v>139224</v>
      </c>
      <c r="D5" s="33">
        <f>SUMIF(Inputs!$A$24:$A$143,'Rate Class Load Model'!$A5,Inputs!$S$24:$S$143)</f>
        <v>364</v>
      </c>
      <c r="E5" s="33">
        <f>SUMIF(Inputs!$A$24:$A$143,'Rate Class Load Model'!$A5,Inputs!$V$24:$V$143)</f>
        <v>3756</v>
      </c>
      <c r="F5" s="44">
        <f t="shared" si="0"/>
        <v>344380</v>
      </c>
      <c r="H5" s="101"/>
      <c r="K5" s="34"/>
    </row>
    <row r="6" spans="1:11" x14ac:dyDescent="0.2">
      <c r="A6" s="19">
        <v>2020</v>
      </c>
      <c r="B6" s="33">
        <f>SUMIF(Inputs!$A$24:$A$143,'Rate Class Load Model'!$A6,Inputs!$K$24:$K$143)</f>
        <v>126949</v>
      </c>
      <c r="C6" s="33">
        <f>SUMIF(Inputs!$A$24:$A$143,'Rate Class Load Model'!$A6,Inputs!$N$24:$N$143)</f>
        <v>139224</v>
      </c>
      <c r="D6" s="33">
        <f>SUMIF(Inputs!$A$24:$A$143,'Rate Class Load Model'!$A6,Inputs!$S$24:$S$143)</f>
        <v>385</v>
      </c>
      <c r="E6" s="33">
        <f>SUMIF(Inputs!$A$24:$A$143,'Rate Class Load Model'!$A6,Inputs!$V$24:$V$143)</f>
        <v>3927</v>
      </c>
      <c r="F6" s="44">
        <f t="shared" si="0"/>
        <v>270485</v>
      </c>
      <c r="H6" s="101"/>
      <c r="K6" s="34"/>
    </row>
    <row r="7" spans="1:11" x14ac:dyDescent="0.2">
      <c r="A7" s="19">
        <v>2021</v>
      </c>
      <c r="B7" s="33">
        <f>SUMIF(Inputs!$A$24:$A$143,'Rate Class Load Model'!$A7,Inputs!$K$24:$K$143)</f>
        <v>231007</v>
      </c>
      <c r="C7" s="33">
        <f>SUMIF(Inputs!$A$24:$A$143,'Rate Class Load Model'!$A7,Inputs!$N$24:$N$143)</f>
        <v>115598</v>
      </c>
      <c r="D7" s="33">
        <f>SUMIF(Inputs!$A$24:$A$143,'Rate Class Load Model'!$A7,Inputs!$S$24:$S$143)</f>
        <v>357</v>
      </c>
      <c r="E7" s="33">
        <f>SUMIF(Inputs!$A$24:$A$143,'Rate Class Load Model'!$A7,Inputs!$V$24:$V$143)</f>
        <v>3399</v>
      </c>
      <c r="F7" s="44">
        <f t="shared" si="0"/>
        <v>350361</v>
      </c>
      <c r="H7" s="101"/>
      <c r="K7" s="34"/>
    </row>
    <row r="8" spans="1:11" x14ac:dyDescent="0.2">
      <c r="A8" s="19">
        <v>2022</v>
      </c>
      <c r="B8" s="33">
        <f>SUMIF(Inputs!$A$24:$A$143,'Rate Class Load Model'!$A8,Inputs!$K$24:$K$143)</f>
        <v>151124.07</v>
      </c>
      <c r="C8" s="33">
        <f>SUMIF(Inputs!$A$24:$A$143,'Rate Class Load Model'!$A8,Inputs!$N$24:$N$143)</f>
        <v>129568</v>
      </c>
      <c r="D8" s="33">
        <f>SUMIF(Inputs!$A$24:$A$143,'Rate Class Load Model'!$A8,Inputs!$S$24:$S$143)</f>
        <v>360</v>
      </c>
      <c r="E8" s="33">
        <f>SUMIF(Inputs!$A$24:$A$143,'Rate Class Load Model'!$A8,Inputs!$V$24:$V$143)</f>
        <v>3342</v>
      </c>
      <c r="F8" s="44">
        <f t="shared" si="0"/>
        <v>284394.07</v>
      </c>
      <c r="H8" s="101"/>
      <c r="K8" s="34"/>
    </row>
    <row r="9" spans="1:11" x14ac:dyDescent="0.2">
      <c r="A9" s="19">
        <v>2023</v>
      </c>
      <c r="B9" s="33">
        <f>SUMIF(Inputs!$A$24:$A$143,'Rate Class Load Model'!$A9,Inputs!$K$24:$K$143)</f>
        <v>215106.83</v>
      </c>
      <c r="C9" s="33">
        <f>SUMIF(Inputs!$A$24:$A$143,'Rate Class Load Model'!$A9,Inputs!$N$24:$N$143)</f>
        <v>127663.3</v>
      </c>
      <c r="D9" s="33">
        <f>SUMIF(Inputs!$A$24:$A$143,'Rate Class Load Model'!$A9,Inputs!$S$24:$S$143)</f>
        <v>357.1</v>
      </c>
      <c r="E9" s="33">
        <f>SUMIF(Inputs!$A$24:$A$143,'Rate Class Load Model'!$A9,Inputs!$V$24:$V$143)</f>
        <v>3319.34</v>
      </c>
      <c r="F9" s="44">
        <f t="shared" si="0"/>
        <v>346446.57</v>
      </c>
      <c r="H9" s="101"/>
    </row>
    <row r="10" spans="1:11" x14ac:dyDescent="0.2">
      <c r="A10" s="19">
        <v>2024</v>
      </c>
      <c r="B10" s="33">
        <f>SUMIF(Inputs!$A$24:$A$143,'Rate Class Load Model'!$A10,Inputs!$K$24:$K$143)</f>
        <v>203008.10000000003</v>
      </c>
      <c r="C10" s="33">
        <f>SUMIF(Inputs!$A$24:$A$143,'Rate Class Load Model'!$A10,Inputs!$N$24:$N$143)</f>
        <v>121969.7</v>
      </c>
      <c r="D10" s="33">
        <f>SUMIF(Inputs!$A$24:$A$143,'Rate Class Load Model'!$A10,Inputs!$S$24:$S$143)</f>
        <v>352</v>
      </c>
      <c r="E10" s="33">
        <f>SUMIF(Inputs!$A$24:$A$143,'Rate Class Load Model'!$A10,Inputs!$V$24:$V$143)</f>
        <v>3338.8</v>
      </c>
      <c r="F10" s="44">
        <f t="shared" si="0"/>
        <v>328668.60000000003</v>
      </c>
      <c r="H10" s="101"/>
    </row>
    <row r="11" spans="1:11" x14ac:dyDescent="0.2">
      <c r="A11" s="19">
        <v>2025</v>
      </c>
      <c r="B11" s="33">
        <f>SUMIF(Inputs!$A$24:$A$143,'Rate Class Load Model'!$A11,Inputs!$K$24:$K$143)</f>
        <v>203060.9</v>
      </c>
      <c r="C11" s="33">
        <f>SUMIF(Inputs!$A$24:$A$143,'Rate Class Load Model'!$A11,Inputs!$N$24:$N$143)</f>
        <v>116093.29</v>
      </c>
      <c r="D11" s="33">
        <f>SUMIF(Inputs!$A$24:$A$143,'Rate Class Load Model'!$A11,Inputs!$S$24:$S$143)</f>
        <v>375.7</v>
      </c>
      <c r="E11" s="33">
        <f>SUMIF(Inputs!$A$24:$A$143,'Rate Class Load Model'!$A11,Inputs!$V$24:$V$143)</f>
        <v>3367.1</v>
      </c>
      <c r="F11" s="44">
        <f t="shared" si="0"/>
        <v>322896.99</v>
      </c>
      <c r="H11" s="101"/>
    </row>
    <row r="12" spans="1:11" x14ac:dyDescent="0.2">
      <c r="A12" s="19">
        <v>2026</v>
      </c>
      <c r="B12" s="82">
        <f>B$27*'Rate Class Energy Model'!J33</f>
        <v>204673.23289215044</v>
      </c>
      <c r="C12" s="82">
        <f>C$27*'Rate Class Energy Model'!K33</f>
        <v>116093.29</v>
      </c>
      <c r="D12" s="82">
        <f>D$27*'Rate Class Energy Model'!M33</f>
        <v>375.7</v>
      </c>
      <c r="E12" s="82">
        <f>E$27*'Rate Class Energy Model'!N33</f>
        <v>3392.2808486241311</v>
      </c>
      <c r="F12" s="44">
        <f>SUM(B12:E12)</f>
        <v>324534.50374077458</v>
      </c>
      <c r="H12" s="101"/>
    </row>
    <row r="13" spans="1:11" x14ac:dyDescent="0.2">
      <c r="A13" s="19">
        <v>2027</v>
      </c>
      <c r="B13" s="82">
        <f>B$27*'Rate Class Energy Model'!J34</f>
        <v>204752.41074473649</v>
      </c>
      <c r="C13" s="82">
        <f>C$27*'Rate Class Energy Model'!K34</f>
        <v>116093.29</v>
      </c>
      <c r="D13" s="82">
        <f>D$27*'Rate Class Energy Model'!M34</f>
        <v>375.7</v>
      </c>
      <c r="E13" s="82">
        <f>E$27*'Rate Class Energy Model'!N34</f>
        <v>3417.6500121594413</v>
      </c>
      <c r="F13" s="44">
        <f t="shared" si="0"/>
        <v>324639.05075689591</v>
      </c>
      <c r="H13" s="101"/>
    </row>
    <row r="14" spans="1:11" x14ac:dyDescent="0.2">
      <c r="A14" s="11"/>
      <c r="F14" s="30"/>
    </row>
    <row r="15" spans="1:11" x14ac:dyDescent="0.2">
      <c r="A15" s="11" t="s">
        <v>42</v>
      </c>
      <c r="B15" s="4"/>
      <c r="C15" s="4"/>
      <c r="D15" s="4"/>
      <c r="E15" s="4"/>
    </row>
    <row r="16" spans="1:11" x14ac:dyDescent="0.2">
      <c r="A16" s="19">
        <f>+A2</f>
        <v>2016</v>
      </c>
      <c r="B16" s="47">
        <f>B2/'Rate Class Energy Model'!J3</f>
        <v>3.1927746884739252E-3</v>
      </c>
      <c r="C16" s="47">
        <f>C2/'Rate Class Energy Model'!K3</f>
        <v>2.0399011972199238E-3</v>
      </c>
      <c r="D16" s="47">
        <f>D2/'Rate Class Energy Model'!M3</f>
        <v>2.6742143275424557E-3</v>
      </c>
      <c r="E16" s="47">
        <f>E2/'Rate Class Energy Model'!N3</f>
        <v>3.0045711863893681E-3</v>
      </c>
      <c r="K16" s="17"/>
    </row>
    <row r="17" spans="1:11" x14ac:dyDescent="0.2">
      <c r="A17" s="19">
        <f t="shared" ref="A17:A25" si="1">+A3</f>
        <v>2017</v>
      </c>
      <c r="B17" s="47">
        <f>B3/'Rate Class Energy Model'!J4</f>
        <v>3.9732458697990108E-3</v>
      </c>
      <c r="C17" s="47">
        <f>C3/'Rate Class Energy Model'!K4</f>
        <v>2.5325362688034328E-3</v>
      </c>
      <c r="D17" s="47">
        <f>D3/'Rate Class Energy Model'!M4</f>
        <v>2.6571550116168724E-3</v>
      </c>
      <c r="E17" s="47">
        <f>E3/'Rate Class Energy Model'!N4</f>
        <v>2.721049465815026E-3</v>
      </c>
      <c r="K17" s="17"/>
    </row>
    <row r="18" spans="1:11" x14ac:dyDescent="0.2">
      <c r="A18" s="19">
        <f t="shared" si="1"/>
        <v>2018</v>
      </c>
      <c r="B18" s="47">
        <f>B4/'Rate Class Energy Model'!J5</f>
        <v>2.9066720822496007E-3</v>
      </c>
      <c r="C18" s="47">
        <f>C4/'Rate Class Energy Model'!K5</f>
        <v>2.354530844542129E-3</v>
      </c>
      <c r="D18" s="47">
        <f>D4/'Rate Class Energy Model'!M5</f>
        <v>2.5943112371120233E-3</v>
      </c>
      <c r="E18" s="47">
        <f>E4/'Rate Class Energy Model'!N5</f>
        <v>2.9051046097043833E-3</v>
      </c>
      <c r="K18" s="17"/>
    </row>
    <row r="19" spans="1:11" x14ac:dyDescent="0.2">
      <c r="A19" s="19">
        <f t="shared" si="1"/>
        <v>2019</v>
      </c>
      <c r="B19" s="47">
        <f>B5/'Rate Class Energy Model'!J6</f>
        <v>3.3712521784702359E-3</v>
      </c>
      <c r="C19" s="47">
        <f>C5/'Rate Class Energy Model'!K6</f>
        <v>2.2949138722403988E-3</v>
      </c>
      <c r="D19" s="47">
        <f>D5/'Rate Class Energy Model'!M6</f>
        <v>2.5162971719308435E-3</v>
      </c>
      <c r="E19" s="47">
        <f>E5/'Rate Class Energy Model'!N6</f>
        <v>2.774445554091347E-3</v>
      </c>
      <c r="K19" s="17"/>
    </row>
    <row r="20" spans="1:11" x14ac:dyDescent="0.2">
      <c r="A20" s="19">
        <f t="shared" si="1"/>
        <v>2020</v>
      </c>
      <c r="B20" s="47">
        <f>B6/'Rate Class Energy Model'!J7</f>
        <v>2.4390919174850723E-3</v>
      </c>
      <c r="C20" s="47">
        <f>C6/'Rate Class Energy Model'!K7</f>
        <v>2.2949138722403988E-3</v>
      </c>
      <c r="D20" s="47">
        <f>D6/'Rate Class Energy Model'!M7</f>
        <v>2.7113057930393384E-3</v>
      </c>
      <c r="E20" s="47">
        <f>E6/'Rate Class Energy Model'!N7</f>
        <v>3.0592022236279161E-3</v>
      </c>
      <c r="K20" s="17"/>
    </row>
    <row r="21" spans="1:11" x14ac:dyDescent="0.2">
      <c r="A21" s="19">
        <f t="shared" si="1"/>
        <v>2021</v>
      </c>
      <c r="B21" s="47">
        <f>B7/'Rate Class Energy Model'!J8</f>
        <v>4.0853872407955608E-3</v>
      </c>
      <c r="C21" s="47">
        <f>C7/'Rate Class Energy Model'!K8</f>
        <v>2.2728904228237223E-3</v>
      </c>
      <c r="D21" s="47">
        <f>D7/'Rate Class Energy Model'!M8</f>
        <v>2.5923478538700051E-3</v>
      </c>
      <c r="E21" s="47">
        <f>E7/'Rate Class Energy Model'!N8</f>
        <v>2.6867781111768073E-3</v>
      </c>
      <c r="K21" s="17"/>
    </row>
    <row r="22" spans="1:11" x14ac:dyDescent="0.2">
      <c r="A22" s="19">
        <f t="shared" si="1"/>
        <v>2022</v>
      </c>
      <c r="B22" s="47">
        <f>B8/'Rate Class Energy Model'!J9</f>
        <v>2.7142509746357355E-3</v>
      </c>
      <c r="C22" s="47">
        <f>C8/'Rate Class Energy Model'!K9</f>
        <v>2.877969819388336E-3</v>
      </c>
      <c r="D22" s="47">
        <f>D8/'Rate Class Energy Model'!M9</f>
        <v>2.5996721524563292E-3</v>
      </c>
      <c r="E22" s="47">
        <f>E8/'Rate Class Energy Model'!N9</f>
        <v>2.6276766212261549E-3</v>
      </c>
      <c r="K22" s="17"/>
    </row>
    <row r="23" spans="1:11" x14ac:dyDescent="0.2">
      <c r="A23" s="19">
        <f t="shared" si="1"/>
        <v>2023</v>
      </c>
      <c r="B23" s="47">
        <f>B9/'Rate Class Energy Model'!J10</f>
        <v>3.5966051137518175E-3</v>
      </c>
      <c r="C23" s="47">
        <f>C9/'Rate Class Energy Model'!K10</f>
        <v>2.6912852931162959E-3</v>
      </c>
      <c r="D23" s="47">
        <f>D9/'Rate Class Energy Model'!M10</f>
        <v>2.6118798476756936E-3</v>
      </c>
      <c r="E23" s="47">
        <f>E9/'Rate Class Energy Model'!N10</f>
        <v>2.7948617734253165E-3</v>
      </c>
      <c r="K23" s="17"/>
    </row>
    <row r="24" spans="1:11" x14ac:dyDescent="0.2">
      <c r="A24" s="19">
        <f t="shared" si="1"/>
        <v>2024</v>
      </c>
      <c r="B24" s="47">
        <f>B10/'Rate Class Energy Model'!J11</f>
        <v>3.4189629421617278E-3</v>
      </c>
      <c r="C24" s="47">
        <f>C10/'Rate Class Energy Model'!K11</f>
        <v>2.6219784167780587E-3</v>
      </c>
      <c r="D24" s="47">
        <f>D10/'Rate Class Energy Model'!M11</f>
        <v>2.5652313929811336E-3</v>
      </c>
      <c r="E24" s="47">
        <f>E10/'Rate Class Energy Model'!N11</f>
        <v>2.8004135734774364E-3</v>
      </c>
      <c r="K24" s="17"/>
    </row>
    <row r="25" spans="1:11" x14ac:dyDescent="0.2">
      <c r="A25" s="19">
        <f t="shared" si="1"/>
        <v>2025</v>
      </c>
      <c r="B25" s="47">
        <f>B11/'Rate Class Energy Model'!J12</f>
        <v>3.5335115216978468E-3</v>
      </c>
      <c r="C25" s="47">
        <f>C11/'Rate Class Energy Model'!K12</f>
        <v>2.7678501771708289E-3</v>
      </c>
      <c r="D25" s="47">
        <f>D11/'Rate Class Energy Model'!M12</f>
        <v>3.2041884209483133E-3</v>
      </c>
      <c r="E25" s="47">
        <f>E11/'Rate Class Energy Model'!N12</f>
        <v>2.8078402009950269E-3</v>
      </c>
      <c r="K25" s="17"/>
    </row>
    <row r="27" spans="1:11" x14ac:dyDescent="0.2">
      <c r="A27" s="37" t="s">
        <v>41</v>
      </c>
      <c r="B27" s="17">
        <f>B29</f>
        <v>3.5335115216978468E-3</v>
      </c>
      <c r="C27" s="17">
        <f>C29</f>
        <v>2.7678501771708289E-3</v>
      </c>
      <c r="D27" s="17">
        <f>D29</f>
        <v>3.2041884209483133E-3</v>
      </c>
      <c r="E27" s="17">
        <f>E29</f>
        <v>2.8078402009950269E-3</v>
      </c>
    </row>
    <row r="29" spans="1:11" x14ac:dyDescent="0.2">
      <c r="A29" t="s">
        <v>7</v>
      </c>
      <c r="B29" s="17">
        <f>AVERAGE(B25)</f>
        <v>3.5335115216978468E-3</v>
      </c>
      <c r="C29" s="17">
        <f>AVERAGE(C25)</f>
        <v>2.7678501771708289E-3</v>
      </c>
      <c r="D29" s="17">
        <f>AVERAGE(D25)</f>
        <v>3.2041884209483133E-3</v>
      </c>
      <c r="E29" s="17">
        <f>AVERAGE(E25)</f>
        <v>2.8078402009950269E-3</v>
      </c>
      <c r="J29" s="17"/>
      <c r="K29" s="17"/>
    </row>
    <row r="30" spans="1:11" ht="127.5" x14ac:dyDescent="0.2">
      <c r="B30" s="228" t="s">
        <v>181</v>
      </c>
      <c r="C30" s="228" t="s">
        <v>182</v>
      </c>
      <c r="D30" s="228" t="s">
        <v>182</v>
      </c>
      <c r="E30" s="228" t="s">
        <v>182</v>
      </c>
    </row>
    <row r="34" spans="2:5" x14ac:dyDescent="0.2">
      <c r="B34" s="16"/>
      <c r="C34" s="16"/>
      <c r="D34" s="16"/>
      <c r="E34" s="16"/>
    </row>
    <row r="35" spans="2:5" x14ac:dyDescent="0.2">
      <c r="B35" s="16"/>
      <c r="C35" s="16"/>
      <c r="D35" s="16"/>
      <c r="E35" s="16"/>
    </row>
    <row r="54" spans="2:5" x14ac:dyDescent="0.2">
      <c r="B54" s="10"/>
      <c r="C54" s="10"/>
      <c r="D54" s="10"/>
      <c r="E54" s="10"/>
    </row>
    <row r="55" spans="2:5" x14ac:dyDescent="0.2">
      <c r="B55" s="10"/>
      <c r="C55" s="10"/>
      <c r="D55" s="10"/>
      <c r="E55" s="10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75BC-A914-4C4B-9DC3-5DBBD87D12F4}">
  <dimension ref="A1:I22"/>
  <sheetViews>
    <sheetView workbookViewId="0">
      <selection activeCell="K17" sqref="K17"/>
    </sheetView>
  </sheetViews>
  <sheetFormatPr defaultRowHeight="12.75" x14ac:dyDescent="0.2"/>
  <cols>
    <col min="1" max="1" width="18.7109375" bestFit="1" customWidth="1"/>
    <col min="2" max="2" width="12.5703125" bestFit="1" customWidth="1"/>
    <col min="3" max="3" width="13.7109375" bestFit="1" customWidth="1"/>
    <col min="4" max="4" width="12.5703125" bestFit="1" customWidth="1"/>
    <col min="5" max="5" width="12.42578125" bestFit="1" customWidth="1"/>
    <col min="6" max="6" width="13.5703125" bestFit="1" customWidth="1"/>
    <col min="7" max="9" width="12.5703125" bestFit="1" customWidth="1"/>
  </cols>
  <sheetData>
    <row r="1" spans="1:9" x14ac:dyDescent="0.2">
      <c r="A1" t="s">
        <v>11</v>
      </c>
    </row>
    <row r="2" spans="1:9" ht="13.5" thickBot="1" x14ac:dyDescent="0.25"/>
    <row r="3" spans="1:9" x14ac:dyDescent="0.2">
      <c r="A3" s="127" t="s">
        <v>12</v>
      </c>
      <c r="B3" s="127"/>
    </row>
    <row r="4" spans="1:9" x14ac:dyDescent="0.2">
      <c r="A4" t="s">
        <v>13</v>
      </c>
      <c r="B4">
        <v>0.95699588263156699</v>
      </c>
    </row>
    <row r="5" spans="1:9" x14ac:dyDescent="0.2">
      <c r="A5" t="s">
        <v>14</v>
      </c>
      <c r="B5">
        <v>0.91584111937377188</v>
      </c>
    </row>
    <row r="6" spans="1:9" x14ac:dyDescent="0.2">
      <c r="A6" t="s">
        <v>15</v>
      </c>
      <c r="B6">
        <v>0.91214994039893726</v>
      </c>
    </row>
    <row r="7" spans="1:9" x14ac:dyDescent="0.2">
      <c r="A7" t="s">
        <v>16</v>
      </c>
      <c r="B7">
        <v>858649.39044287126</v>
      </c>
    </row>
    <row r="8" spans="1:9" ht="13.5" thickBot="1" x14ac:dyDescent="0.25">
      <c r="A8" s="125" t="s">
        <v>17</v>
      </c>
      <c r="B8" s="125">
        <v>120</v>
      </c>
    </row>
    <row r="10" spans="1:9" ht="13.5" thickBot="1" x14ac:dyDescent="0.25">
      <c r="A10" t="s">
        <v>18</v>
      </c>
    </row>
    <row r="11" spans="1:9" x14ac:dyDescent="0.2">
      <c r="A11" s="126"/>
      <c r="B11" s="126" t="s">
        <v>22</v>
      </c>
      <c r="C11" s="126" t="s">
        <v>23</v>
      </c>
      <c r="D11" s="126" t="s">
        <v>24</v>
      </c>
      <c r="E11" s="126" t="s">
        <v>25</v>
      </c>
      <c r="F11" s="126" t="s">
        <v>26</v>
      </c>
    </row>
    <row r="12" spans="1:9" x14ac:dyDescent="0.2">
      <c r="A12" t="s">
        <v>19</v>
      </c>
      <c r="B12">
        <v>5</v>
      </c>
      <c r="C12">
        <v>914653859699560.38</v>
      </c>
      <c r="D12">
        <v>182930771939912.06</v>
      </c>
      <c r="E12">
        <v>248.11615086066604</v>
      </c>
      <c r="F12">
        <v>1.5803626860482346E-59</v>
      </c>
    </row>
    <row r="13" spans="1:9" x14ac:dyDescent="0.2">
      <c r="A13" t="s">
        <v>20</v>
      </c>
      <c r="B13">
        <v>114</v>
      </c>
      <c r="C13">
        <v>84049780430702.25</v>
      </c>
      <c r="D13">
        <v>737278775707.91443</v>
      </c>
    </row>
    <row r="14" spans="1:9" ht="13.5" thickBot="1" x14ac:dyDescent="0.25">
      <c r="A14" s="125" t="s">
        <v>5</v>
      </c>
      <c r="B14" s="125">
        <v>119</v>
      </c>
      <c r="C14" s="125">
        <v>998703640130262.63</v>
      </c>
      <c r="D14" s="125"/>
      <c r="E14" s="125"/>
      <c r="F14" s="125"/>
    </row>
    <row r="15" spans="1:9" ht="13.5" thickBot="1" x14ac:dyDescent="0.25"/>
    <row r="16" spans="1:9" x14ac:dyDescent="0.2">
      <c r="A16" s="126"/>
      <c r="B16" s="126" t="s">
        <v>80</v>
      </c>
      <c r="C16" s="126" t="s">
        <v>16</v>
      </c>
      <c r="D16" s="126" t="s">
        <v>81</v>
      </c>
      <c r="E16" s="126" t="s">
        <v>82</v>
      </c>
      <c r="F16" s="126" t="s">
        <v>83</v>
      </c>
      <c r="G16" s="126" t="s">
        <v>84</v>
      </c>
      <c r="H16" s="126" t="s">
        <v>85</v>
      </c>
      <c r="I16" s="126" t="s">
        <v>86</v>
      </c>
    </row>
    <row r="17" spans="1:9" x14ac:dyDescent="0.2">
      <c r="A17" t="s">
        <v>21</v>
      </c>
      <c r="B17">
        <v>-19602713.041492179</v>
      </c>
      <c r="C17">
        <v>4302721.9190851049</v>
      </c>
      <c r="D17">
        <v>-4.5558865783407025</v>
      </c>
      <c r="E17">
        <v>1.316622544302633E-5</v>
      </c>
      <c r="F17">
        <v>-28126372.023531683</v>
      </c>
      <c r="G17">
        <v>-11079054.059452677</v>
      </c>
      <c r="H17">
        <v>-28126372.023531683</v>
      </c>
      <c r="I17">
        <v>-11079054.059452677</v>
      </c>
    </row>
    <row r="18" spans="1:9" x14ac:dyDescent="0.2">
      <c r="A18" t="s">
        <v>117</v>
      </c>
      <c r="B18">
        <v>1119.9983853542726</v>
      </c>
      <c r="C18">
        <v>241.13714577314485</v>
      </c>
      <c r="D18">
        <v>4.6446530739313641</v>
      </c>
      <c r="E18">
        <v>9.1930752188469286E-6</v>
      </c>
      <c r="F18">
        <v>642.30755682179051</v>
      </c>
      <c r="G18">
        <v>1597.6892138867547</v>
      </c>
      <c r="H18">
        <v>642.30755682179051</v>
      </c>
      <c r="I18">
        <v>1597.6892138867547</v>
      </c>
    </row>
    <row r="19" spans="1:9" x14ac:dyDescent="0.2">
      <c r="A19" t="s">
        <v>103</v>
      </c>
      <c r="B19">
        <v>771782.42769890907</v>
      </c>
      <c r="C19">
        <v>105577.45448498639</v>
      </c>
      <c r="D19">
        <v>7.3101064186829792</v>
      </c>
      <c r="E19">
        <v>3.952124716396047E-11</v>
      </c>
      <c r="F19">
        <v>562634.30352425412</v>
      </c>
      <c r="G19">
        <v>980930.55187356402</v>
      </c>
      <c r="H19">
        <v>562634.30352425412</v>
      </c>
      <c r="I19">
        <v>980930.55187356402</v>
      </c>
    </row>
    <row r="20" spans="1:9" x14ac:dyDescent="0.2">
      <c r="A20" t="s">
        <v>104</v>
      </c>
      <c r="B20">
        <v>-1553654.2094845294</v>
      </c>
      <c r="C20">
        <v>214985.63538073984</v>
      </c>
      <c r="D20">
        <v>-7.2267814858095321</v>
      </c>
      <c r="E20">
        <v>6.0227611381731282E-11</v>
      </c>
      <c r="F20">
        <v>-1979539.0973492216</v>
      </c>
      <c r="G20">
        <v>-1127769.3216198373</v>
      </c>
      <c r="H20">
        <v>-1979539.0973492216</v>
      </c>
      <c r="I20">
        <v>-1127769.3216198373</v>
      </c>
    </row>
    <row r="21" spans="1:9" x14ac:dyDescent="0.2">
      <c r="A21" t="s">
        <v>101</v>
      </c>
      <c r="B21">
        <v>6306.9823957652043</v>
      </c>
      <c r="C21">
        <v>566.01727499996059</v>
      </c>
      <c r="D21">
        <v>11.14273834798707</v>
      </c>
      <c r="E21">
        <v>5.9237194142133735E-20</v>
      </c>
      <c r="F21">
        <v>5185.7065334689978</v>
      </c>
      <c r="G21">
        <v>7428.2582580614107</v>
      </c>
      <c r="H21">
        <v>5185.7065334689978</v>
      </c>
      <c r="I21">
        <v>7428.2582580614107</v>
      </c>
    </row>
    <row r="22" spans="1:9" ht="13.5" thickBot="1" x14ac:dyDescent="0.25">
      <c r="A22" s="125" t="s">
        <v>102</v>
      </c>
      <c r="B22" s="125">
        <v>53594.778352995767</v>
      </c>
      <c r="C22" s="125">
        <v>2848.753157779674</v>
      </c>
      <c r="D22" s="125">
        <v>18.813416040148486</v>
      </c>
      <c r="E22" s="125">
        <v>9.428862062914163E-37</v>
      </c>
      <c r="F22" s="125">
        <v>47951.420288599824</v>
      </c>
      <c r="G22" s="125">
        <v>59238.13641739171</v>
      </c>
      <c r="H22" s="125">
        <v>47951.420288599824</v>
      </c>
      <c r="I22" s="125">
        <v>59238.13641739171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A6B7-73CA-4F6F-BA9D-2F94FDDE17C6}">
  <dimension ref="A1:O58"/>
  <sheetViews>
    <sheetView workbookViewId="0">
      <selection activeCell="K56" sqref="K56"/>
    </sheetView>
  </sheetViews>
  <sheetFormatPr defaultColWidth="8.85546875" defaultRowHeight="15" x14ac:dyDescent="0.25"/>
  <cols>
    <col min="1" max="1" width="57.85546875" style="178" bestFit="1" customWidth="1"/>
    <col min="2" max="12" width="11.140625" style="178" bestFit="1" customWidth="1"/>
    <col min="13" max="15" width="18.7109375" style="178" bestFit="1" customWidth="1"/>
    <col min="16" max="16384" width="8.85546875" style="178"/>
  </cols>
  <sheetData>
    <row r="1" spans="1:15" x14ac:dyDescent="0.25">
      <c r="A1" s="177" t="s">
        <v>153</v>
      </c>
      <c r="M1" s="179"/>
      <c r="N1" s="180" t="s">
        <v>154</v>
      </c>
      <c r="O1" s="180" t="s">
        <v>155</v>
      </c>
    </row>
    <row r="2" spans="1:15" x14ac:dyDescent="0.25">
      <c r="M2" s="179"/>
      <c r="N2" s="180">
        <v>20220204</v>
      </c>
      <c r="O2" s="180">
        <v>20220502</v>
      </c>
    </row>
    <row r="3" spans="1:15" x14ac:dyDescent="0.25">
      <c r="B3" s="177" t="s">
        <v>156</v>
      </c>
      <c r="C3" s="177" t="s">
        <v>157</v>
      </c>
      <c r="D3" s="177" t="s">
        <v>158</v>
      </c>
      <c r="E3" s="177" t="s">
        <v>159</v>
      </c>
      <c r="F3" s="177" t="s">
        <v>160</v>
      </c>
      <c r="G3" s="177" t="s">
        <v>161</v>
      </c>
      <c r="H3" s="177" t="s">
        <v>162</v>
      </c>
      <c r="I3" s="177" t="s">
        <v>163</v>
      </c>
      <c r="J3" s="177" t="s">
        <v>164</v>
      </c>
      <c r="K3" s="177" t="s">
        <v>165</v>
      </c>
      <c r="L3" s="177" t="s">
        <v>166</v>
      </c>
      <c r="M3" s="181" t="s">
        <v>167</v>
      </c>
      <c r="N3" s="177" t="s">
        <v>167</v>
      </c>
      <c r="O3" s="177" t="s">
        <v>167</v>
      </c>
    </row>
    <row r="4" spans="1:15" x14ac:dyDescent="0.25">
      <c r="A4" s="177" t="s">
        <v>38</v>
      </c>
      <c r="B4" s="182">
        <v>255035715</v>
      </c>
      <c r="C4" s="182">
        <v>246901827</v>
      </c>
      <c r="D4" s="182">
        <v>247681431</v>
      </c>
      <c r="E4" s="182">
        <v>250866345</v>
      </c>
      <c r="F4" s="182">
        <v>250602566</v>
      </c>
      <c r="G4" s="182">
        <v>248287156</v>
      </c>
      <c r="H4" s="182">
        <v>239884645</v>
      </c>
      <c r="I4" s="182">
        <v>256362564</v>
      </c>
      <c r="J4" s="182">
        <v>252895498</v>
      </c>
      <c r="K4" s="182">
        <v>249992361</v>
      </c>
      <c r="L4" s="182">
        <v>252792163</v>
      </c>
      <c r="M4" s="179"/>
    </row>
    <row r="5" spans="1:15" x14ac:dyDescent="0.25">
      <c r="A5" s="177" t="s">
        <v>39</v>
      </c>
      <c r="B5" s="182">
        <v>252795145</v>
      </c>
      <c r="C5" s="182">
        <v>250592318</v>
      </c>
      <c r="D5" s="182">
        <v>249326383</v>
      </c>
      <c r="E5" s="182">
        <v>247489599</v>
      </c>
      <c r="F5" s="182">
        <v>247375710</v>
      </c>
      <c r="G5" s="182">
        <v>252384170</v>
      </c>
      <c r="H5" s="182">
        <v>243112739</v>
      </c>
      <c r="I5" s="182">
        <v>256243745</v>
      </c>
      <c r="J5" s="182">
        <v>249472196</v>
      </c>
      <c r="K5" s="182">
        <v>247952731</v>
      </c>
      <c r="L5" s="182">
        <v>253706374</v>
      </c>
      <c r="M5" s="183">
        <v>255005287</v>
      </c>
      <c r="N5" s="182">
        <v>250543051</v>
      </c>
      <c r="O5" s="182">
        <v>256788647</v>
      </c>
    </row>
    <row r="6" spans="1:15" x14ac:dyDescent="0.25">
      <c r="A6" s="177" t="s">
        <v>4</v>
      </c>
      <c r="B6" s="184">
        <v>-8.9999999999999993E-3</v>
      </c>
      <c r="C6" s="184">
        <v>1.4999999999999999E-2</v>
      </c>
      <c r="D6" s="184">
        <v>7.0000000000000001E-3</v>
      </c>
      <c r="E6" s="184">
        <v>-1.2999999999999999E-2</v>
      </c>
      <c r="F6" s="184">
        <v>-1.2999999999999999E-2</v>
      </c>
      <c r="G6" s="184">
        <v>1.7000000000000001E-2</v>
      </c>
      <c r="H6" s="184">
        <v>1.2999999999999999E-2</v>
      </c>
      <c r="I6" s="184">
        <v>0</v>
      </c>
      <c r="J6" s="184">
        <v>-1.4E-2</v>
      </c>
      <c r="K6" s="184">
        <v>-8.0000000000000002E-3</v>
      </c>
      <c r="L6" s="184">
        <v>4.0000000000000001E-3</v>
      </c>
      <c r="M6" s="179"/>
    </row>
    <row r="7" spans="1:15" x14ac:dyDescent="0.25">
      <c r="A7" s="177"/>
      <c r="M7" s="179"/>
    </row>
    <row r="8" spans="1:15" x14ac:dyDescent="0.25">
      <c r="A8" s="177" t="s">
        <v>168</v>
      </c>
      <c r="B8" s="182">
        <v>242102870</v>
      </c>
      <c r="C8" s="182">
        <v>233519429</v>
      </c>
      <c r="D8" s="182">
        <v>229905667</v>
      </c>
      <c r="E8" s="182">
        <v>239175688</v>
      </c>
      <c r="F8" s="182">
        <v>246710164</v>
      </c>
      <c r="G8" s="182">
        <v>238443209</v>
      </c>
      <c r="H8" s="182">
        <v>230348443</v>
      </c>
      <c r="I8" s="182">
        <v>246426600</v>
      </c>
      <c r="J8" s="182">
        <v>242876721</v>
      </c>
      <c r="K8" s="182">
        <v>229297247</v>
      </c>
      <c r="L8" s="182">
        <v>242792191</v>
      </c>
      <c r="M8" s="183">
        <v>244797242</v>
      </c>
      <c r="N8" s="182">
        <v>240081043</v>
      </c>
      <c r="O8" s="182">
        <v>244304678</v>
      </c>
    </row>
    <row r="9" spans="1:15" x14ac:dyDescent="0.25">
      <c r="A9" s="177"/>
      <c r="M9" s="179"/>
    </row>
    <row r="10" spans="1:15" x14ac:dyDescent="0.25">
      <c r="A10" s="177" t="s">
        <v>40</v>
      </c>
      <c r="M10" s="179"/>
    </row>
    <row r="11" spans="1:15" x14ac:dyDescent="0.25">
      <c r="A11" s="177" t="s">
        <v>51</v>
      </c>
      <c r="M11" s="179"/>
    </row>
    <row r="12" spans="1:15" x14ac:dyDescent="0.25">
      <c r="A12" s="177" t="s">
        <v>32</v>
      </c>
      <c r="B12" s="182">
        <v>9934</v>
      </c>
      <c r="C12" s="182">
        <v>10011</v>
      </c>
      <c r="D12" s="182">
        <v>10085</v>
      </c>
      <c r="E12" s="182">
        <v>10157</v>
      </c>
      <c r="F12" s="182">
        <v>10220</v>
      </c>
      <c r="G12" s="182">
        <v>10280</v>
      </c>
      <c r="H12" s="182">
        <v>10380</v>
      </c>
      <c r="I12" s="182">
        <v>10510</v>
      </c>
      <c r="J12" s="182">
        <v>10635</v>
      </c>
      <c r="K12" s="182">
        <v>10783</v>
      </c>
      <c r="L12" s="182">
        <v>10917</v>
      </c>
      <c r="M12" s="183">
        <v>11107</v>
      </c>
      <c r="N12" s="182">
        <v>10981</v>
      </c>
      <c r="O12" s="182">
        <v>11022</v>
      </c>
    </row>
    <row r="13" spans="1:15" x14ac:dyDescent="0.25">
      <c r="A13" s="177" t="s">
        <v>33</v>
      </c>
      <c r="B13" s="182">
        <v>91775630</v>
      </c>
      <c r="C13" s="182">
        <v>90281488</v>
      </c>
      <c r="D13" s="182">
        <v>88791227</v>
      </c>
      <c r="E13" s="182">
        <v>89130958</v>
      </c>
      <c r="F13" s="182">
        <v>90749018</v>
      </c>
      <c r="G13" s="182">
        <v>90966168</v>
      </c>
      <c r="H13" s="182">
        <v>86529650</v>
      </c>
      <c r="I13" s="182">
        <v>94517190</v>
      </c>
      <c r="J13" s="182">
        <v>92484568</v>
      </c>
      <c r="K13" s="182">
        <v>98305958</v>
      </c>
      <c r="L13" s="182">
        <v>106359838</v>
      </c>
      <c r="M13" s="183">
        <v>104794356</v>
      </c>
      <c r="N13" s="182">
        <v>93507179</v>
      </c>
      <c r="O13" s="182">
        <v>104175818</v>
      </c>
    </row>
    <row r="14" spans="1:15" x14ac:dyDescent="0.25">
      <c r="A14" s="177"/>
      <c r="M14" s="179"/>
    </row>
    <row r="15" spans="1:15" x14ac:dyDescent="0.25">
      <c r="A15" s="177" t="s">
        <v>169</v>
      </c>
      <c r="M15" s="179"/>
    </row>
    <row r="16" spans="1:15" x14ac:dyDescent="0.25">
      <c r="A16" s="177" t="s">
        <v>32</v>
      </c>
      <c r="B16" s="182">
        <v>1195</v>
      </c>
      <c r="C16" s="182">
        <v>1205</v>
      </c>
      <c r="D16" s="182">
        <v>1207</v>
      </c>
      <c r="E16" s="182">
        <v>1215</v>
      </c>
      <c r="F16" s="182">
        <v>1221</v>
      </c>
      <c r="G16" s="182">
        <v>1228</v>
      </c>
      <c r="H16" s="182">
        <v>1237</v>
      </c>
      <c r="I16" s="182">
        <v>1238</v>
      </c>
      <c r="J16" s="182">
        <v>1237</v>
      </c>
      <c r="K16" s="182">
        <v>1246</v>
      </c>
      <c r="L16" s="182">
        <v>1202</v>
      </c>
      <c r="M16" s="183">
        <v>1201</v>
      </c>
      <c r="N16" s="182">
        <v>1257</v>
      </c>
      <c r="O16" s="182">
        <v>1201</v>
      </c>
    </row>
    <row r="17" spans="1:15" x14ac:dyDescent="0.25">
      <c r="A17" s="177" t="s">
        <v>33</v>
      </c>
      <c r="B17" s="182">
        <v>30635475</v>
      </c>
      <c r="C17" s="182">
        <v>29408826</v>
      </c>
      <c r="D17" s="182">
        <v>28921439</v>
      </c>
      <c r="E17" s="182">
        <v>29746584</v>
      </c>
      <c r="F17" s="182">
        <v>28622003</v>
      </c>
      <c r="G17" s="182">
        <v>28273982</v>
      </c>
      <c r="H17" s="182">
        <v>27228067</v>
      </c>
      <c r="I17" s="182">
        <v>28692745</v>
      </c>
      <c r="J17" s="182">
        <v>28348056</v>
      </c>
      <c r="K17" s="182">
        <v>26410288</v>
      </c>
      <c r="L17" s="182">
        <v>27377213</v>
      </c>
      <c r="M17" s="183">
        <v>27600721</v>
      </c>
      <c r="N17" s="182">
        <v>27656663</v>
      </c>
      <c r="O17" s="182">
        <v>27649402</v>
      </c>
    </row>
    <row r="18" spans="1:15" x14ac:dyDescent="0.25">
      <c r="A18" s="177"/>
      <c r="M18" s="179"/>
    </row>
    <row r="19" spans="1:15" x14ac:dyDescent="0.25">
      <c r="A19" s="177" t="s">
        <v>170</v>
      </c>
      <c r="M19" s="179"/>
    </row>
    <row r="20" spans="1:15" x14ac:dyDescent="0.25">
      <c r="A20" s="177" t="s">
        <v>32</v>
      </c>
      <c r="B20" s="178">
        <v>95</v>
      </c>
      <c r="C20" s="178">
        <v>89</v>
      </c>
      <c r="D20" s="178">
        <v>89</v>
      </c>
      <c r="E20" s="178">
        <v>90</v>
      </c>
      <c r="F20" s="178">
        <v>93</v>
      </c>
      <c r="G20" s="178">
        <v>94</v>
      </c>
      <c r="H20" s="178">
        <v>95</v>
      </c>
      <c r="I20" s="178">
        <v>95</v>
      </c>
      <c r="J20" s="178">
        <v>95</v>
      </c>
      <c r="K20" s="178">
        <v>97</v>
      </c>
      <c r="L20" s="178">
        <v>101</v>
      </c>
      <c r="M20" s="179">
        <v>102</v>
      </c>
      <c r="N20" s="178">
        <v>98</v>
      </c>
      <c r="O20" s="178">
        <v>102</v>
      </c>
    </row>
    <row r="21" spans="1:15" x14ac:dyDescent="0.25">
      <c r="A21" s="177" t="s">
        <v>33</v>
      </c>
      <c r="B21" s="182">
        <v>64324224</v>
      </c>
      <c r="C21" s="182">
        <v>60934472</v>
      </c>
      <c r="D21" s="182">
        <v>59427522</v>
      </c>
      <c r="E21" s="182">
        <v>57346380</v>
      </c>
      <c r="F21" s="182">
        <v>62304427</v>
      </c>
      <c r="G21" s="182">
        <v>59051959</v>
      </c>
      <c r="H21" s="182">
        <v>57977444</v>
      </c>
      <c r="I21" s="182">
        <v>59787962</v>
      </c>
      <c r="J21" s="182">
        <v>59632442</v>
      </c>
      <c r="K21" s="182">
        <v>52047649</v>
      </c>
      <c r="L21" s="182">
        <v>56544701</v>
      </c>
      <c r="M21" s="183">
        <v>59877627</v>
      </c>
      <c r="N21" s="182">
        <v>59482525</v>
      </c>
      <c r="O21" s="182">
        <v>59954921</v>
      </c>
    </row>
    <row r="22" spans="1:15" x14ac:dyDescent="0.25">
      <c r="A22" s="177" t="s">
        <v>34</v>
      </c>
      <c r="B22" s="182">
        <v>195461</v>
      </c>
      <c r="C22" s="182">
        <v>186874</v>
      </c>
      <c r="D22" s="182">
        <v>181893</v>
      </c>
      <c r="E22" s="182">
        <v>186326</v>
      </c>
      <c r="F22" s="182">
        <v>195328</v>
      </c>
      <c r="G22" s="182">
        <v>199545</v>
      </c>
      <c r="H22" s="182">
        <v>194896</v>
      </c>
      <c r="I22" s="182">
        <v>240290</v>
      </c>
      <c r="J22" s="182">
        <v>270945</v>
      </c>
      <c r="K22" s="182">
        <v>198260</v>
      </c>
      <c r="L22" s="182">
        <v>231007</v>
      </c>
      <c r="M22" s="183">
        <v>220809</v>
      </c>
      <c r="N22" s="182">
        <v>199000</v>
      </c>
      <c r="O22" s="182">
        <v>221094</v>
      </c>
    </row>
    <row r="23" spans="1:15" x14ac:dyDescent="0.25">
      <c r="A23" s="177"/>
      <c r="M23" s="179"/>
    </row>
    <row r="24" spans="1:15" x14ac:dyDescent="0.25">
      <c r="A24" s="177" t="s">
        <v>171</v>
      </c>
      <c r="M24" s="179"/>
    </row>
    <row r="25" spans="1:15" x14ac:dyDescent="0.25">
      <c r="A25" s="177" t="s">
        <v>32</v>
      </c>
      <c r="B25" s="182">
        <v>2790</v>
      </c>
      <c r="C25" s="182">
        <v>2799</v>
      </c>
      <c r="D25" s="182">
        <v>2808</v>
      </c>
      <c r="E25" s="182">
        <v>2817</v>
      </c>
      <c r="F25" s="182">
        <v>2826</v>
      </c>
      <c r="G25" s="182">
        <v>2885</v>
      </c>
      <c r="H25" s="182">
        <v>2932</v>
      </c>
      <c r="I25" s="182">
        <v>2957</v>
      </c>
      <c r="J25" s="182">
        <v>2993</v>
      </c>
      <c r="K25" s="182">
        <v>3046</v>
      </c>
      <c r="L25" s="182">
        <v>3092</v>
      </c>
      <c r="M25" s="183">
        <v>3127</v>
      </c>
      <c r="N25" s="182">
        <v>3106</v>
      </c>
      <c r="O25" s="182">
        <v>3127</v>
      </c>
    </row>
    <row r="26" spans="1:15" x14ac:dyDescent="0.25">
      <c r="A26" s="177" t="s">
        <v>33</v>
      </c>
      <c r="B26" s="182">
        <v>2245234</v>
      </c>
      <c r="C26" s="182">
        <v>2346377</v>
      </c>
      <c r="D26" s="182">
        <v>2512898</v>
      </c>
      <c r="E26" s="182">
        <v>2302093</v>
      </c>
      <c r="F26" s="182">
        <v>2368289</v>
      </c>
      <c r="G26" s="182">
        <v>1585584</v>
      </c>
      <c r="H26" s="182">
        <v>1361607</v>
      </c>
      <c r="I26" s="182">
        <v>1349349</v>
      </c>
      <c r="J26" s="182">
        <v>1353784</v>
      </c>
      <c r="K26" s="182">
        <v>1283668</v>
      </c>
      <c r="L26" s="182">
        <v>1265084</v>
      </c>
      <c r="M26" s="183">
        <v>1279183</v>
      </c>
      <c r="N26" s="182">
        <v>1308977</v>
      </c>
      <c r="O26" s="182">
        <v>1279183</v>
      </c>
    </row>
    <row r="27" spans="1:15" x14ac:dyDescent="0.25">
      <c r="A27" s="177" t="s">
        <v>34</v>
      </c>
      <c r="B27" s="182">
        <v>5760</v>
      </c>
      <c r="C27" s="182">
        <v>6354</v>
      </c>
      <c r="D27" s="182">
        <v>6799</v>
      </c>
      <c r="E27" s="182">
        <v>6450</v>
      </c>
      <c r="F27" s="182">
        <v>6398</v>
      </c>
      <c r="G27" s="182">
        <v>4764</v>
      </c>
      <c r="H27" s="182">
        <v>3706</v>
      </c>
      <c r="I27" s="182">
        <v>3920</v>
      </c>
      <c r="J27" s="182">
        <v>3756</v>
      </c>
      <c r="K27" s="182">
        <v>3928</v>
      </c>
      <c r="L27" s="182">
        <v>3399</v>
      </c>
      <c r="M27" s="183">
        <v>3620</v>
      </c>
      <c r="N27" s="182">
        <v>3787</v>
      </c>
      <c r="O27" s="182">
        <v>3620</v>
      </c>
    </row>
    <row r="28" spans="1:15" x14ac:dyDescent="0.25">
      <c r="A28" s="177"/>
      <c r="M28" s="179"/>
    </row>
    <row r="29" spans="1:15" x14ac:dyDescent="0.25">
      <c r="A29" s="177" t="s">
        <v>172</v>
      </c>
      <c r="M29" s="179"/>
    </row>
    <row r="30" spans="1:15" x14ac:dyDescent="0.25">
      <c r="A30" s="177" t="s">
        <v>35</v>
      </c>
      <c r="B30" s="178">
        <v>32</v>
      </c>
      <c r="C30" s="178">
        <v>31</v>
      </c>
      <c r="D30" s="178">
        <v>31</v>
      </c>
      <c r="E30" s="178">
        <v>31</v>
      </c>
      <c r="F30" s="178">
        <v>31</v>
      </c>
      <c r="G30" s="178">
        <v>30</v>
      </c>
      <c r="H30" s="178">
        <v>31</v>
      </c>
      <c r="I30" s="178">
        <v>32</v>
      </c>
      <c r="J30" s="178">
        <v>32</v>
      </c>
      <c r="K30" s="178">
        <v>32</v>
      </c>
      <c r="L30" s="178">
        <v>31</v>
      </c>
      <c r="M30" s="179">
        <v>31</v>
      </c>
      <c r="N30" s="178">
        <v>32</v>
      </c>
      <c r="O30" s="178">
        <v>31</v>
      </c>
    </row>
    <row r="31" spans="1:15" x14ac:dyDescent="0.25">
      <c r="A31" s="177" t="s">
        <v>33</v>
      </c>
      <c r="B31" s="182">
        <v>201696</v>
      </c>
      <c r="C31" s="182">
        <v>262229</v>
      </c>
      <c r="D31" s="182">
        <v>260597</v>
      </c>
      <c r="E31" s="182">
        <v>259677</v>
      </c>
      <c r="F31" s="182">
        <v>259607</v>
      </c>
      <c r="G31" s="182">
        <v>257059</v>
      </c>
      <c r="H31" s="182">
        <v>255469</v>
      </c>
      <c r="I31" s="182">
        <v>249143</v>
      </c>
      <c r="J31" s="182">
        <v>246885</v>
      </c>
      <c r="K31" s="182">
        <v>248217</v>
      </c>
      <c r="L31" s="182">
        <v>248173</v>
      </c>
      <c r="M31" s="183">
        <v>248173</v>
      </c>
      <c r="N31" s="182">
        <v>248217</v>
      </c>
      <c r="O31" s="182">
        <v>248173</v>
      </c>
    </row>
    <row r="32" spans="1:15" x14ac:dyDescent="0.25">
      <c r="A32" s="177"/>
      <c r="M32" s="179"/>
    </row>
    <row r="33" spans="1:15" x14ac:dyDescent="0.25">
      <c r="A33" s="177" t="s">
        <v>173</v>
      </c>
      <c r="M33" s="179"/>
    </row>
    <row r="34" spans="1:15" x14ac:dyDescent="0.25">
      <c r="A34" s="177" t="s">
        <v>35</v>
      </c>
      <c r="B34" s="178">
        <v>7</v>
      </c>
      <c r="C34" s="178">
        <v>7</v>
      </c>
      <c r="D34" s="178">
        <v>7</v>
      </c>
      <c r="E34" s="178">
        <v>7</v>
      </c>
      <c r="F34" s="178">
        <v>7</v>
      </c>
      <c r="G34" s="178">
        <v>11</v>
      </c>
      <c r="H34" s="178">
        <v>16</v>
      </c>
      <c r="I34" s="178">
        <v>17</v>
      </c>
      <c r="J34" s="178">
        <v>17</v>
      </c>
      <c r="K34" s="178">
        <v>17</v>
      </c>
      <c r="L34" s="178">
        <v>17</v>
      </c>
      <c r="M34" s="179">
        <v>17</v>
      </c>
      <c r="N34" s="178">
        <v>17</v>
      </c>
      <c r="O34" s="178">
        <v>17</v>
      </c>
    </row>
    <row r="35" spans="1:15" x14ac:dyDescent="0.25">
      <c r="A35" s="177" t="s">
        <v>33</v>
      </c>
      <c r="B35" s="182">
        <v>180196</v>
      </c>
      <c r="C35" s="182">
        <v>174345</v>
      </c>
      <c r="D35" s="182">
        <v>180742</v>
      </c>
      <c r="E35" s="182">
        <v>178799</v>
      </c>
      <c r="F35" s="182">
        <v>162569</v>
      </c>
      <c r="G35" s="182">
        <v>153690</v>
      </c>
      <c r="H35" s="182">
        <v>152795</v>
      </c>
      <c r="I35" s="182">
        <v>149558</v>
      </c>
      <c r="J35" s="182">
        <v>144657</v>
      </c>
      <c r="K35" s="182">
        <v>141998</v>
      </c>
      <c r="L35" s="182">
        <v>137713</v>
      </c>
      <c r="M35" s="183">
        <v>137713</v>
      </c>
      <c r="N35" s="182">
        <v>141998</v>
      </c>
      <c r="O35" s="182">
        <v>137713</v>
      </c>
    </row>
    <row r="36" spans="1:15" x14ac:dyDescent="0.25">
      <c r="A36" s="177" t="s">
        <v>34</v>
      </c>
      <c r="B36" s="178">
        <v>12</v>
      </c>
      <c r="C36" s="178">
        <v>293</v>
      </c>
      <c r="D36" s="178">
        <v>465</v>
      </c>
      <c r="E36" s="178">
        <v>471</v>
      </c>
      <c r="F36" s="178">
        <v>437</v>
      </c>
      <c r="G36" s="178">
        <v>411</v>
      </c>
      <c r="H36" s="178">
        <v>405</v>
      </c>
      <c r="I36" s="178">
        <v>387</v>
      </c>
      <c r="J36" s="178">
        <v>365</v>
      </c>
      <c r="K36" s="178">
        <v>385</v>
      </c>
      <c r="L36" s="178">
        <v>357</v>
      </c>
      <c r="M36" s="179">
        <v>360</v>
      </c>
      <c r="N36" s="178">
        <v>373</v>
      </c>
      <c r="O36" s="178">
        <v>360</v>
      </c>
    </row>
    <row r="37" spans="1:15" x14ac:dyDescent="0.25">
      <c r="A37" s="177"/>
      <c r="M37" s="179"/>
    </row>
    <row r="38" spans="1:15" x14ac:dyDescent="0.25">
      <c r="A38" s="177" t="s">
        <v>174</v>
      </c>
      <c r="M38" s="179"/>
    </row>
    <row r="39" spans="1:15" x14ac:dyDescent="0.25">
      <c r="A39" s="177" t="s">
        <v>35</v>
      </c>
      <c r="B39" s="178">
        <v>4</v>
      </c>
      <c r="C39" s="178">
        <v>4</v>
      </c>
      <c r="D39" s="178">
        <v>4</v>
      </c>
      <c r="E39" s="178">
        <v>5</v>
      </c>
      <c r="F39" s="178">
        <v>5</v>
      </c>
      <c r="G39" s="178">
        <v>6</v>
      </c>
      <c r="H39" s="178">
        <v>6</v>
      </c>
      <c r="I39" s="178">
        <v>6</v>
      </c>
      <c r="J39" s="178">
        <v>6</v>
      </c>
      <c r="K39" s="178">
        <v>6</v>
      </c>
      <c r="L39" s="178">
        <v>6</v>
      </c>
      <c r="M39" s="179">
        <v>6</v>
      </c>
      <c r="N39" s="178">
        <v>6</v>
      </c>
      <c r="O39" s="178">
        <v>6</v>
      </c>
    </row>
    <row r="40" spans="1:15" x14ac:dyDescent="0.25">
      <c r="A40" s="177" t="s">
        <v>33</v>
      </c>
      <c r="B40" s="182">
        <v>52740415</v>
      </c>
      <c r="C40" s="182">
        <v>50111691</v>
      </c>
      <c r="D40" s="182">
        <v>49811242</v>
      </c>
      <c r="E40" s="182">
        <v>60211197</v>
      </c>
      <c r="F40" s="182">
        <v>62244251</v>
      </c>
      <c r="G40" s="182">
        <v>58154767</v>
      </c>
      <c r="H40" s="182">
        <v>56843411</v>
      </c>
      <c r="I40" s="182">
        <v>61680653</v>
      </c>
      <c r="J40" s="182">
        <v>60666329</v>
      </c>
      <c r="K40" s="182">
        <v>50859469</v>
      </c>
      <c r="L40" s="182">
        <v>50859469</v>
      </c>
      <c r="M40" s="183">
        <v>50859469</v>
      </c>
      <c r="N40" s="182">
        <v>57735484</v>
      </c>
      <c r="O40" s="182">
        <v>50859469</v>
      </c>
    </row>
    <row r="41" spans="1:15" x14ac:dyDescent="0.25">
      <c r="A41" s="177" t="s">
        <v>34</v>
      </c>
      <c r="B41" s="182">
        <v>113911</v>
      </c>
      <c r="C41" s="182">
        <v>111194</v>
      </c>
      <c r="D41" s="182">
        <v>110635</v>
      </c>
      <c r="E41" s="182">
        <v>134313</v>
      </c>
      <c r="F41" s="182">
        <v>135969</v>
      </c>
      <c r="G41" s="182">
        <v>132942</v>
      </c>
      <c r="H41" s="182">
        <v>130522</v>
      </c>
      <c r="I41" s="182">
        <v>145229</v>
      </c>
      <c r="J41" s="182">
        <v>139224</v>
      </c>
      <c r="K41" s="182">
        <v>142149</v>
      </c>
      <c r="L41" s="182">
        <v>115598</v>
      </c>
      <c r="M41" s="183">
        <v>122199</v>
      </c>
      <c r="N41" s="182">
        <v>138872</v>
      </c>
      <c r="O41" s="182">
        <v>122199</v>
      </c>
    </row>
    <row r="42" spans="1:15" x14ac:dyDescent="0.25">
      <c r="A42" s="177"/>
      <c r="M42" s="179"/>
    </row>
    <row r="43" spans="1:15" x14ac:dyDescent="0.25">
      <c r="A43" s="177" t="s">
        <v>175</v>
      </c>
      <c r="M43" s="179"/>
    </row>
    <row r="44" spans="1:15" x14ac:dyDescent="0.25">
      <c r="A44" s="177" t="s">
        <v>37</v>
      </c>
      <c r="B44" s="182">
        <v>14057</v>
      </c>
      <c r="C44" s="182">
        <v>14147</v>
      </c>
      <c r="D44" s="182">
        <v>14231</v>
      </c>
      <c r="E44" s="182">
        <v>14321</v>
      </c>
      <c r="F44" s="182">
        <v>14402</v>
      </c>
      <c r="G44" s="182">
        <v>14535</v>
      </c>
      <c r="H44" s="182">
        <v>14697</v>
      </c>
      <c r="I44" s="182">
        <v>14855</v>
      </c>
      <c r="J44" s="182">
        <v>15016</v>
      </c>
      <c r="K44" s="182">
        <v>15227</v>
      </c>
      <c r="L44" s="182">
        <v>15365</v>
      </c>
      <c r="M44" s="183">
        <v>15591</v>
      </c>
      <c r="N44" s="182">
        <v>15497</v>
      </c>
      <c r="O44" s="182">
        <v>15506</v>
      </c>
    </row>
    <row r="45" spans="1:15" x14ac:dyDescent="0.25">
      <c r="A45" s="177" t="s">
        <v>33</v>
      </c>
      <c r="B45" s="182">
        <v>242102870</v>
      </c>
      <c r="C45" s="182">
        <v>233519429</v>
      </c>
      <c r="D45" s="182">
        <v>229905667</v>
      </c>
      <c r="E45" s="182">
        <v>239175688</v>
      </c>
      <c r="F45" s="182">
        <v>246710164</v>
      </c>
      <c r="G45" s="182">
        <v>238443209</v>
      </c>
      <c r="H45" s="182">
        <v>230348443</v>
      </c>
      <c r="I45" s="182">
        <v>246426600</v>
      </c>
      <c r="J45" s="182">
        <v>242876721</v>
      </c>
      <c r="K45" s="182">
        <v>229297247</v>
      </c>
      <c r="L45" s="182">
        <v>242792191</v>
      </c>
      <c r="M45" s="183">
        <v>244797242</v>
      </c>
      <c r="N45" s="182">
        <v>240081043</v>
      </c>
      <c r="O45" s="182">
        <v>244304678</v>
      </c>
    </row>
    <row r="46" spans="1:15" x14ac:dyDescent="0.25">
      <c r="A46" s="177" t="s">
        <v>36</v>
      </c>
      <c r="B46" s="182">
        <v>315143</v>
      </c>
      <c r="C46" s="182">
        <v>304715</v>
      </c>
      <c r="D46" s="182">
        <v>299791</v>
      </c>
      <c r="E46" s="182">
        <v>327560</v>
      </c>
      <c r="F46" s="182">
        <v>338132</v>
      </c>
      <c r="G46" s="182">
        <v>337662</v>
      </c>
      <c r="H46" s="182">
        <v>329528</v>
      </c>
      <c r="I46" s="182">
        <v>389826</v>
      </c>
      <c r="J46" s="182">
        <v>414290</v>
      </c>
      <c r="K46" s="182">
        <v>344722</v>
      </c>
      <c r="L46" s="182">
        <v>350361</v>
      </c>
      <c r="M46" s="183">
        <v>346988</v>
      </c>
      <c r="N46" s="182">
        <v>342032</v>
      </c>
      <c r="O46" s="182">
        <v>347273</v>
      </c>
    </row>
    <row r="47" spans="1:15" x14ac:dyDescent="0.25">
      <c r="A47" s="177"/>
      <c r="M47" s="179"/>
    </row>
    <row r="48" spans="1:15" x14ac:dyDescent="0.25">
      <c r="A48" s="177" t="s">
        <v>176</v>
      </c>
      <c r="M48" s="179"/>
    </row>
    <row r="49" spans="1:15" x14ac:dyDescent="0.25">
      <c r="A49" s="177" t="s">
        <v>37</v>
      </c>
      <c r="B49" s="182">
        <v>14057</v>
      </c>
      <c r="C49" s="182">
        <v>14147</v>
      </c>
      <c r="D49" s="182">
        <v>14231</v>
      </c>
      <c r="E49" s="182">
        <v>14321</v>
      </c>
      <c r="F49" s="182">
        <v>14402</v>
      </c>
      <c r="G49" s="182">
        <v>14535</v>
      </c>
      <c r="H49" s="182">
        <v>14697</v>
      </c>
      <c r="I49" s="182">
        <v>14855</v>
      </c>
      <c r="J49" s="182">
        <v>15016</v>
      </c>
      <c r="K49" s="182">
        <v>15227</v>
      </c>
      <c r="L49" s="182">
        <v>15365</v>
      </c>
      <c r="M49" s="183">
        <v>15591</v>
      </c>
      <c r="N49" s="182">
        <v>15497</v>
      </c>
      <c r="O49" s="182">
        <v>15506</v>
      </c>
    </row>
    <row r="50" spans="1:15" x14ac:dyDescent="0.25">
      <c r="A50" s="177" t="s">
        <v>33</v>
      </c>
      <c r="B50" s="182">
        <v>242102870</v>
      </c>
      <c r="C50" s="182">
        <v>233519429</v>
      </c>
      <c r="D50" s="182">
        <v>229905667</v>
      </c>
      <c r="E50" s="182">
        <v>239175688</v>
      </c>
      <c r="F50" s="182">
        <v>246710164</v>
      </c>
      <c r="G50" s="182">
        <v>238443209</v>
      </c>
      <c r="H50" s="182">
        <v>230348443</v>
      </c>
      <c r="I50" s="182">
        <v>246426600</v>
      </c>
      <c r="J50" s="182">
        <v>242876721</v>
      </c>
      <c r="K50" s="182">
        <v>229297247</v>
      </c>
      <c r="L50" s="182">
        <v>242792191</v>
      </c>
      <c r="M50" s="183">
        <v>244797242</v>
      </c>
      <c r="N50" s="182">
        <v>240081043</v>
      </c>
      <c r="O50" s="182">
        <v>244304678</v>
      </c>
    </row>
    <row r="51" spans="1:15" x14ac:dyDescent="0.25">
      <c r="A51" s="177" t="s">
        <v>36</v>
      </c>
      <c r="B51" s="182">
        <v>315143</v>
      </c>
      <c r="C51" s="182">
        <v>304715</v>
      </c>
      <c r="D51" s="182">
        <v>299791</v>
      </c>
      <c r="E51" s="182">
        <v>327560</v>
      </c>
      <c r="F51" s="182">
        <v>338132</v>
      </c>
      <c r="G51" s="182">
        <v>337662</v>
      </c>
      <c r="H51" s="182">
        <v>329528</v>
      </c>
      <c r="I51" s="182">
        <v>389826</v>
      </c>
      <c r="J51" s="182">
        <v>414290</v>
      </c>
      <c r="K51" s="182">
        <v>344722</v>
      </c>
      <c r="L51" s="182">
        <v>350361</v>
      </c>
      <c r="M51" s="183">
        <v>346988</v>
      </c>
      <c r="N51" s="182">
        <v>342032</v>
      </c>
      <c r="O51" s="182">
        <v>347273</v>
      </c>
    </row>
    <row r="52" spans="1:15" x14ac:dyDescent="0.25">
      <c r="A52" s="177"/>
      <c r="M52" s="179"/>
    </row>
    <row r="53" spans="1:15" x14ac:dyDescent="0.25">
      <c r="A53" s="177" t="s">
        <v>177</v>
      </c>
      <c r="M53" s="179"/>
    </row>
    <row r="54" spans="1:15" x14ac:dyDescent="0.25">
      <c r="A54" s="177" t="s">
        <v>37</v>
      </c>
      <c r="B54" s="178">
        <v>0</v>
      </c>
      <c r="C54" s="178">
        <v>0</v>
      </c>
      <c r="D54" s="178">
        <v>0</v>
      </c>
      <c r="E54" s="178">
        <v>0</v>
      </c>
      <c r="F54" s="178">
        <v>0</v>
      </c>
      <c r="G54" s="178">
        <v>0</v>
      </c>
      <c r="H54" s="178">
        <v>0</v>
      </c>
      <c r="I54" s="178">
        <v>0</v>
      </c>
      <c r="J54" s="178">
        <v>0</v>
      </c>
      <c r="K54" s="178">
        <v>0</v>
      </c>
      <c r="L54" s="178">
        <v>0</v>
      </c>
      <c r="M54" s="179">
        <v>0</v>
      </c>
      <c r="N54" s="178">
        <v>0</v>
      </c>
      <c r="O54" s="178">
        <v>0</v>
      </c>
    </row>
    <row r="55" spans="1:15" x14ac:dyDescent="0.25">
      <c r="A55" s="177" t="s">
        <v>33</v>
      </c>
      <c r="B55" s="178">
        <v>0</v>
      </c>
      <c r="C55" s="178">
        <v>0</v>
      </c>
      <c r="D55" s="178">
        <v>0</v>
      </c>
      <c r="E55" s="178">
        <v>0</v>
      </c>
      <c r="F55" s="178">
        <v>0</v>
      </c>
      <c r="G55" s="178">
        <v>0</v>
      </c>
      <c r="H55" s="178">
        <v>0</v>
      </c>
      <c r="I55" s="178">
        <v>0</v>
      </c>
      <c r="J55" s="178">
        <v>0</v>
      </c>
      <c r="K55" s="178">
        <v>0</v>
      </c>
      <c r="L55" s="178">
        <v>0</v>
      </c>
      <c r="M55" s="179">
        <v>0</v>
      </c>
      <c r="N55" s="178">
        <v>0</v>
      </c>
      <c r="O55" s="178">
        <v>0</v>
      </c>
    </row>
    <row r="56" spans="1:15" x14ac:dyDescent="0.25">
      <c r="A56" s="177" t="s">
        <v>36</v>
      </c>
      <c r="B56" s="178">
        <v>0</v>
      </c>
      <c r="C56" s="178">
        <v>0</v>
      </c>
      <c r="D56" s="178">
        <v>0</v>
      </c>
      <c r="E56" s="178">
        <v>0</v>
      </c>
      <c r="F56" s="178">
        <v>0</v>
      </c>
      <c r="G56" s="178">
        <v>0</v>
      </c>
      <c r="H56" s="178">
        <v>0</v>
      </c>
      <c r="I56" s="178">
        <v>0</v>
      </c>
      <c r="J56" s="178">
        <v>0</v>
      </c>
      <c r="K56" s="178">
        <v>0</v>
      </c>
      <c r="L56" s="178">
        <v>0</v>
      </c>
      <c r="M56" s="179">
        <v>0</v>
      </c>
      <c r="N56" s="178">
        <v>0</v>
      </c>
      <c r="O56" s="178">
        <v>0</v>
      </c>
    </row>
    <row r="57" spans="1:15" x14ac:dyDescent="0.25">
      <c r="M57" s="179"/>
    </row>
    <row r="58" spans="1:15" x14ac:dyDescent="0.25">
      <c r="B58" s="182">
        <v>11271</v>
      </c>
      <c r="C58" s="182">
        <v>11352</v>
      </c>
      <c r="D58" s="182">
        <v>11428</v>
      </c>
      <c r="E58" s="182">
        <v>11508</v>
      </c>
      <c r="F58" s="182">
        <v>11579</v>
      </c>
      <c r="G58" s="182">
        <v>11652</v>
      </c>
      <c r="H58" s="182">
        <v>11767</v>
      </c>
      <c r="I58" s="182">
        <v>11900</v>
      </c>
      <c r="J58" s="182">
        <v>12025</v>
      </c>
      <c r="K58" s="182">
        <v>12182</v>
      </c>
      <c r="L58" s="182">
        <v>12275</v>
      </c>
      <c r="M58" s="183">
        <v>12466</v>
      </c>
      <c r="N58" s="182">
        <v>12393</v>
      </c>
      <c r="O58" s="182">
        <v>12381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8E53-717E-4679-B71D-08B8C210E097}">
  <dimension ref="A1:O192"/>
  <sheetViews>
    <sheetView workbookViewId="0">
      <selection activeCell="O14" sqref="O14"/>
    </sheetView>
  </sheetViews>
  <sheetFormatPr defaultColWidth="8.85546875" defaultRowHeight="15" x14ac:dyDescent="0.25"/>
  <cols>
    <col min="1" max="1" width="30.28515625" style="178" customWidth="1"/>
    <col min="2" max="12" width="12.5703125" style="178" bestFit="1" customWidth="1"/>
    <col min="13" max="13" width="20.5703125" style="178" bestFit="1" customWidth="1"/>
    <col min="14" max="15" width="19.5703125" style="178" bestFit="1" customWidth="1"/>
    <col min="16" max="16384" width="8.85546875" style="178"/>
  </cols>
  <sheetData>
    <row r="1" spans="1:15" x14ac:dyDescent="0.25">
      <c r="A1" s="177" t="s">
        <v>180</v>
      </c>
      <c r="M1" s="179"/>
      <c r="N1" s="180" t="s">
        <v>154</v>
      </c>
      <c r="O1" s="180" t="s">
        <v>155</v>
      </c>
    </row>
    <row r="2" spans="1:15" x14ac:dyDescent="0.25">
      <c r="M2" s="179"/>
      <c r="N2" s="180">
        <v>20220204</v>
      </c>
      <c r="O2" s="180">
        <v>20220502</v>
      </c>
    </row>
    <row r="3" spans="1:15" x14ac:dyDescent="0.25">
      <c r="A3" s="186">
        <v>2022</v>
      </c>
      <c r="B3" s="200" t="s">
        <v>156</v>
      </c>
      <c r="C3" s="200" t="s">
        <v>157</v>
      </c>
      <c r="D3" s="200" t="s">
        <v>158</v>
      </c>
      <c r="E3" s="200" t="s">
        <v>159</v>
      </c>
      <c r="F3" s="200" t="s">
        <v>160</v>
      </c>
      <c r="G3" s="200" t="s">
        <v>161</v>
      </c>
      <c r="H3" s="200" t="s">
        <v>162</v>
      </c>
      <c r="I3" s="200" t="s">
        <v>163</v>
      </c>
      <c r="J3" s="200" t="s">
        <v>164</v>
      </c>
      <c r="K3" s="200" t="s">
        <v>165</v>
      </c>
      <c r="L3" s="200" t="s">
        <v>166</v>
      </c>
      <c r="M3" s="222" t="s">
        <v>167</v>
      </c>
      <c r="N3" s="210" t="s">
        <v>167</v>
      </c>
      <c r="O3" s="200" t="s">
        <v>167</v>
      </c>
    </row>
    <row r="4" spans="1:15" x14ac:dyDescent="0.25">
      <c r="A4" s="187" t="s">
        <v>38</v>
      </c>
      <c r="B4" s="188">
        <v>255035715</v>
      </c>
      <c r="C4" s="188">
        <v>246901827</v>
      </c>
      <c r="D4" s="188">
        <v>247681431</v>
      </c>
      <c r="E4" s="188">
        <v>250866345</v>
      </c>
      <c r="F4" s="188">
        <v>250602566</v>
      </c>
      <c r="G4" s="188">
        <v>248287156</v>
      </c>
      <c r="H4" s="188">
        <v>239884645</v>
      </c>
      <c r="I4" s="188">
        <v>256362564</v>
      </c>
      <c r="J4" s="188">
        <v>252895498</v>
      </c>
      <c r="K4" s="188">
        <v>249992361</v>
      </c>
      <c r="L4" s="188">
        <v>252792163</v>
      </c>
      <c r="M4" s="217"/>
      <c r="N4" s="208"/>
      <c r="O4" s="189"/>
    </row>
    <row r="5" spans="1:15" x14ac:dyDescent="0.25">
      <c r="A5" s="187" t="s">
        <v>39</v>
      </c>
      <c r="B5" s="188">
        <v>252795145</v>
      </c>
      <c r="C5" s="188">
        <v>250592318</v>
      </c>
      <c r="D5" s="188">
        <v>249326383</v>
      </c>
      <c r="E5" s="188">
        <v>247489599</v>
      </c>
      <c r="F5" s="188">
        <v>247375710</v>
      </c>
      <c r="G5" s="188">
        <v>252384170</v>
      </c>
      <c r="H5" s="188">
        <v>243112739</v>
      </c>
      <c r="I5" s="188">
        <v>256243745</v>
      </c>
      <c r="J5" s="188">
        <v>249472196</v>
      </c>
      <c r="K5" s="188">
        <v>247952731</v>
      </c>
      <c r="L5" s="188">
        <v>253706374</v>
      </c>
      <c r="M5" s="212">
        <v>255005287</v>
      </c>
      <c r="N5" s="197">
        <v>250543051</v>
      </c>
      <c r="O5" s="188">
        <v>256788647</v>
      </c>
    </row>
    <row r="6" spans="1:15" x14ac:dyDescent="0.25">
      <c r="A6" s="187" t="s">
        <v>179</v>
      </c>
      <c r="B6" s="190">
        <f t="shared" ref="B6:L6" si="0">(B5-B4)/B5</f>
        <v>-8.8631844571223865E-3</v>
      </c>
      <c r="C6" s="190">
        <f t="shared" si="0"/>
        <v>1.4727071561706852E-2</v>
      </c>
      <c r="D6" s="190">
        <f t="shared" si="0"/>
        <v>6.597584981610229E-3</v>
      </c>
      <c r="E6" s="190">
        <f t="shared" si="0"/>
        <v>-1.3643991560227144E-2</v>
      </c>
      <c r="F6" s="190">
        <f t="shared" si="0"/>
        <v>-1.3044352656936285E-2</v>
      </c>
      <c r="G6" s="190">
        <f t="shared" si="0"/>
        <v>1.6233244739557159E-2</v>
      </c>
      <c r="H6" s="190">
        <f t="shared" si="0"/>
        <v>1.3278177084747501E-2</v>
      </c>
      <c r="I6" s="190">
        <f t="shared" si="0"/>
        <v>-4.6369522112627568E-4</v>
      </c>
      <c r="J6" s="190">
        <f t="shared" si="0"/>
        <v>-1.3722178482767675E-2</v>
      </c>
      <c r="K6" s="190">
        <f t="shared" si="0"/>
        <v>-8.2258823759436637E-3</v>
      </c>
      <c r="L6" s="190">
        <f t="shared" si="0"/>
        <v>3.6034214891266388E-3</v>
      </c>
      <c r="M6" s="217"/>
      <c r="N6" s="208"/>
      <c r="O6" s="189"/>
    </row>
    <row r="7" spans="1:15" s="177" customFormat="1" x14ac:dyDescent="0.25">
      <c r="A7" s="187" t="s">
        <v>178</v>
      </c>
      <c r="B7" s="191"/>
      <c r="C7" s="190">
        <f>(C5-B5)/B5</f>
        <v>-8.7138817480058809E-3</v>
      </c>
      <c r="D7" s="190">
        <f t="shared" ref="D7:L7" si="1">(D5-C5)/C5</f>
        <v>-5.0517709804655704E-3</v>
      </c>
      <c r="E7" s="190">
        <f t="shared" si="1"/>
        <v>-7.3669861083253269E-3</v>
      </c>
      <c r="F7" s="190">
        <f t="shared" si="1"/>
        <v>-4.6017691434378219E-4</v>
      </c>
      <c r="G7" s="190">
        <f t="shared" si="1"/>
        <v>2.0246369378788241E-2</v>
      </c>
      <c r="H7" s="190">
        <f t="shared" si="1"/>
        <v>-3.6735390337674506E-2</v>
      </c>
      <c r="I7" s="190">
        <f t="shared" si="1"/>
        <v>5.401200304851158E-2</v>
      </c>
      <c r="J7" s="190">
        <f t="shared" si="1"/>
        <v>-2.6426202130319317E-2</v>
      </c>
      <c r="K7" s="190">
        <f t="shared" si="1"/>
        <v>-6.0907188230306837E-3</v>
      </c>
      <c r="L7" s="190">
        <f t="shared" si="1"/>
        <v>2.3204596201846232E-2</v>
      </c>
      <c r="M7" s="213">
        <f t="shared" ref="M7" si="2">(L5-M5)/L5</f>
        <v>-5.119749179025356E-3</v>
      </c>
      <c r="N7" s="196"/>
      <c r="O7" s="187"/>
    </row>
    <row r="8" spans="1:15" x14ac:dyDescent="0.25">
      <c r="A8" s="187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217"/>
      <c r="N8" s="208"/>
      <c r="O8" s="189"/>
    </row>
    <row r="9" spans="1:15" x14ac:dyDescent="0.25">
      <c r="A9" s="187" t="s">
        <v>168</v>
      </c>
      <c r="B9" s="188">
        <v>242102870</v>
      </c>
      <c r="C9" s="188">
        <v>233519429</v>
      </c>
      <c r="D9" s="188">
        <v>229905667</v>
      </c>
      <c r="E9" s="188">
        <v>239175688</v>
      </c>
      <c r="F9" s="188">
        <v>246710164</v>
      </c>
      <c r="G9" s="188">
        <v>238443209</v>
      </c>
      <c r="H9" s="188">
        <v>230348443</v>
      </c>
      <c r="I9" s="188">
        <v>246426600</v>
      </c>
      <c r="J9" s="188">
        <v>242876721</v>
      </c>
      <c r="K9" s="188">
        <v>229297247</v>
      </c>
      <c r="L9" s="188">
        <v>242792191</v>
      </c>
      <c r="M9" s="212">
        <v>244797242</v>
      </c>
      <c r="N9" s="197">
        <v>240081043</v>
      </c>
      <c r="O9" s="188">
        <v>244304678</v>
      </c>
    </row>
    <row r="10" spans="1:15" x14ac:dyDescent="0.25">
      <c r="A10" s="187" t="s">
        <v>178</v>
      </c>
      <c r="B10" s="188"/>
      <c r="C10" s="190">
        <f>(C9-B9)/B9</f>
        <v>-3.5453693712924596E-2</v>
      </c>
      <c r="D10" s="190">
        <f t="shared" ref="D10:M10" si="3">(D9-C9)/C9</f>
        <v>-1.5475209131313866E-2</v>
      </c>
      <c r="E10" s="190">
        <f t="shared" si="3"/>
        <v>4.0320976515989926E-2</v>
      </c>
      <c r="F10" s="190">
        <f t="shared" si="3"/>
        <v>3.1501847294780227E-2</v>
      </c>
      <c r="G10" s="190">
        <f t="shared" si="3"/>
        <v>-3.3508773477204615E-2</v>
      </c>
      <c r="H10" s="190">
        <f t="shared" si="3"/>
        <v>-3.3948402363600132E-2</v>
      </c>
      <c r="I10" s="190">
        <f t="shared" si="3"/>
        <v>6.9799286639849356E-2</v>
      </c>
      <c r="J10" s="190">
        <f t="shared" si="3"/>
        <v>-1.4405421330327165E-2</v>
      </c>
      <c r="K10" s="190">
        <f t="shared" si="3"/>
        <v>-5.5910973863979328E-2</v>
      </c>
      <c r="L10" s="190">
        <f t="shared" si="3"/>
        <v>5.8853493343511448E-2</v>
      </c>
      <c r="M10" s="213">
        <f t="shared" si="3"/>
        <v>8.2583010258348872E-3</v>
      </c>
      <c r="N10" s="197"/>
      <c r="O10" s="188"/>
    </row>
    <row r="11" spans="1:15" ht="15" customHeight="1" x14ac:dyDescent="0.25">
      <c r="A11" s="177"/>
      <c r="M11" s="179"/>
    </row>
    <row r="12" spans="1:15" ht="15" customHeight="1" x14ac:dyDescent="0.25">
      <c r="A12" s="186">
        <v>2026</v>
      </c>
      <c r="B12" s="200" t="str" cm="1">
        <f t="array" ref="B12:K12">'Load Forecast Summary'!B3:K3</f>
        <v>2016 Actual</v>
      </c>
      <c r="C12" s="200" t="str">
        <v>2017 Actual</v>
      </c>
      <c r="D12" s="200" t="str">
        <v>2018 Actual</v>
      </c>
      <c r="E12" s="200" t="str">
        <v>2019 Actual</v>
      </c>
      <c r="F12" s="200" t="str">
        <v>2020 Actual</v>
      </c>
      <c r="G12" s="200" t="str">
        <v>2021 Actual</v>
      </c>
      <c r="H12" s="200" t="str">
        <v>2022 Actual</v>
      </c>
      <c r="I12" s="200" t="str">
        <v>2023 Actual</v>
      </c>
      <c r="J12" s="200" t="str">
        <v>2024 Actual</v>
      </c>
      <c r="K12" s="200" t="str">
        <v>2025 Actual</v>
      </c>
      <c r="L12" s="200" t="str" cm="1">
        <f t="array" ref="L12:M12">'Load Forecast Summary'!L2:M2</f>
        <v>2026 Bridge</v>
      </c>
      <c r="M12" s="222" t="str">
        <v>2027 Test</v>
      </c>
    </row>
    <row r="13" spans="1:15" ht="15" customHeight="1" x14ac:dyDescent="0.25">
      <c r="A13" s="192" t="str">
        <f>A4</f>
        <v>Actual kWh Purchases</v>
      </c>
      <c r="B13" s="193" cm="1">
        <f t="array" ref="B13:M15">'Load Forecast Summary'!B4:M6</f>
        <v>251277774.03999999</v>
      </c>
      <c r="C13" s="193">
        <v>234500934.16</v>
      </c>
      <c r="D13" s="193">
        <v>245163864.89000005</v>
      </c>
      <c r="E13" s="193">
        <v>252868515.97999999</v>
      </c>
      <c r="F13" s="193">
        <v>253996467.51000002</v>
      </c>
      <c r="G13" s="193">
        <v>249877497.75999996</v>
      </c>
      <c r="H13" s="193">
        <v>245378475.16000003</v>
      </c>
      <c r="I13" s="193">
        <v>240736248.91999999</v>
      </c>
      <c r="J13" s="193">
        <v>255428233.31999999</v>
      </c>
      <c r="K13" s="193">
        <v>256032973.51000002</v>
      </c>
      <c r="L13" s="193">
        <v>0</v>
      </c>
      <c r="M13" s="220">
        <v>0</v>
      </c>
    </row>
    <row r="14" spans="1:15" ht="15" customHeight="1" x14ac:dyDescent="0.25">
      <c r="A14" s="192" t="str">
        <f t="shared" ref="A14:A19" si="4">A5</f>
        <v>Predicted kWh Purchases</v>
      </c>
      <c r="B14" s="193">
        <v>246206141.41602108</v>
      </c>
      <c r="C14" s="193">
        <v>237415194.60445637</v>
      </c>
      <c r="D14" s="193">
        <v>248898751.0100446</v>
      </c>
      <c r="E14" s="193">
        <v>248854549.69445965</v>
      </c>
      <c r="F14" s="193">
        <v>252089572.78851295</v>
      </c>
      <c r="G14" s="193">
        <v>253136928.85720545</v>
      </c>
      <c r="H14" s="193">
        <v>252933336.8035329</v>
      </c>
      <c r="I14" s="193">
        <v>242414956.83362663</v>
      </c>
      <c r="J14" s="193">
        <v>249034408.36066878</v>
      </c>
      <c r="K14" s="193">
        <v>254277144.88147226</v>
      </c>
      <c r="L14" s="193">
        <v>254298539.12605944</v>
      </c>
      <c r="M14" s="220">
        <v>255346857.89933771</v>
      </c>
    </row>
    <row r="15" spans="1:15" ht="15" customHeight="1" x14ac:dyDescent="0.25">
      <c r="A15" s="192" t="str">
        <f t="shared" si="4"/>
        <v>% Difference (Predicted vs Actual)</v>
      </c>
      <c r="B15" s="194">
        <v>-2.0183371344142751E-2</v>
      </c>
      <c r="C15" s="194">
        <v>1.2427500363252152E-2</v>
      </c>
      <c r="D15" s="194">
        <v>1.5234243927914603E-2</v>
      </c>
      <c r="E15" s="194">
        <v>-1.5873728961409404E-2</v>
      </c>
      <c r="F15" s="194">
        <v>-7.5075639444158781E-3</v>
      </c>
      <c r="G15" s="194">
        <v>1.3044116122597314E-2</v>
      </c>
      <c r="H15" s="194">
        <v>3.0788607837776701E-2</v>
      </c>
      <c r="I15" s="194">
        <v>6.9732245191894597E-3</v>
      </c>
      <c r="J15" s="194">
        <v>-2.5031786330844026E-2</v>
      </c>
      <c r="K15" s="194">
        <v>-6.8578222736579751E-3</v>
      </c>
      <c r="L15" s="194">
        <v>0</v>
      </c>
      <c r="M15" s="221">
        <v>0</v>
      </c>
    </row>
    <row r="16" spans="1:15" ht="15" customHeight="1" x14ac:dyDescent="0.25">
      <c r="A16" s="192" t="str">
        <f t="shared" si="4"/>
        <v>YOY Comparison</v>
      </c>
      <c r="B16" s="193"/>
      <c r="C16" s="199">
        <f>(C14-B14)/B14</f>
        <v>-3.5705635777421231E-2</v>
      </c>
      <c r="D16" s="199">
        <f t="shared" ref="D16:M16" si="5">(D14-C14)/C14</f>
        <v>4.8369087853539973E-2</v>
      </c>
      <c r="E16" s="199">
        <f t="shared" si="5"/>
        <v>-1.7758753471275475E-4</v>
      </c>
      <c r="F16" s="199">
        <f t="shared" si="5"/>
        <v>1.2999654207749938E-2</v>
      </c>
      <c r="G16" s="199">
        <f t="shared" si="5"/>
        <v>4.1546980984063561E-3</v>
      </c>
      <c r="H16" s="199">
        <f t="shared" si="5"/>
        <v>-8.0427638350387984E-4</v>
      </c>
      <c r="I16" s="199">
        <f t="shared" si="5"/>
        <v>-4.1585581809156572E-2</v>
      </c>
      <c r="J16" s="199">
        <f t="shared" si="5"/>
        <v>2.7306283463297974E-2</v>
      </c>
      <c r="K16" s="199">
        <f t="shared" si="5"/>
        <v>2.1052257618997729E-2</v>
      </c>
      <c r="L16" s="199">
        <f t="shared" si="5"/>
        <v>8.4137505150750478E-5</v>
      </c>
      <c r="M16" s="220">
        <f t="shared" si="5"/>
        <v>4.1223940054118816E-3</v>
      </c>
    </row>
    <row r="17" spans="1:15" ht="15" customHeight="1" x14ac:dyDescent="0.25">
      <c r="A17" s="192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220"/>
    </row>
    <row r="18" spans="1:15" ht="15" customHeight="1" x14ac:dyDescent="0.25">
      <c r="A18" s="192" t="str">
        <f t="shared" si="4"/>
        <v>Billed kWh</v>
      </c>
      <c r="B18" s="193" cm="1">
        <f t="array" ref="B18:M18">'Load Forecast Summary'!B10:M10</f>
        <v>238667221</v>
      </c>
      <c r="C18" s="193">
        <v>219820870</v>
      </c>
      <c r="D18" s="193">
        <v>246426601</v>
      </c>
      <c r="E18" s="193">
        <v>242876722</v>
      </c>
      <c r="F18" s="193">
        <v>239102776</v>
      </c>
      <c r="G18" s="193">
        <v>242792191</v>
      </c>
      <c r="H18" s="193">
        <v>237860654.56</v>
      </c>
      <c r="I18" s="193">
        <v>234104539.5</v>
      </c>
      <c r="J18" s="193">
        <v>239605809.73000002</v>
      </c>
      <c r="K18" s="193">
        <v>237588161.69</v>
      </c>
      <c r="L18" s="193">
        <v>240425961.1667386</v>
      </c>
      <c r="M18" s="220">
        <v>241417091.70779774</v>
      </c>
    </row>
    <row r="19" spans="1:15" ht="15" customHeight="1" x14ac:dyDescent="0.25">
      <c r="A19" s="192" t="str">
        <f t="shared" si="4"/>
        <v>YOY Comparison</v>
      </c>
      <c r="B19" s="193"/>
      <c r="C19" s="199">
        <f>(C18-B18)/B18</f>
        <v>-7.8964974415150199E-2</v>
      </c>
      <c r="D19" s="199">
        <f>(D18-C18)/C18</f>
        <v>0.12103368984027768</v>
      </c>
      <c r="E19" s="199">
        <f t="shared" ref="E19:M19" si="6">(E18-D18)/D18</f>
        <v>-1.4405421271869915E-2</v>
      </c>
      <c r="F19" s="199">
        <f t="shared" si="6"/>
        <v>-1.5538524931178872E-2</v>
      </c>
      <c r="G19" s="199">
        <f t="shared" si="6"/>
        <v>1.5430247451413947E-2</v>
      </c>
      <c r="H19" s="199">
        <f t="shared" si="6"/>
        <v>-2.0311758873661621E-2</v>
      </c>
      <c r="I19" s="199">
        <f t="shared" si="6"/>
        <v>-1.579124158616375E-2</v>
      </c>
      <c r="J19" s="199">
        <f t="shared" si="6"/>
        <v>2.349920356841273E-2</v>
      </c>
      <c r="K19" s="199">
        <f t="shared" si="6"/>
        <v>-8.4206974875676421E-3</v>
      </c>
      <c r="L19" s="199">
        <f t="shared" si="6"/>
        <v>1.1944195605340399E-2</v>
      </c>
      <c r="M19" s="220">
        <f t="shared" si="6"/>
        <v>4.1223940054118122E-3</v>
      </c>
    </row>
    <row r="20" spans="1:15" ht="15" customHeight="1" x14ac:dyDescent="0.25">
      <c r="A20" s="177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223"/>
    </row>
    <row r="21" spans="1:15" ht="15" customHeight="1" x14ac:dyDescent="0.25">
      <c r="A21" s="177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223"/>
    </row>
    <row r="22" spans="1:15" x14ac:dyDescent="0.25">
      <c r="A22" s="177"/>
      <c r="M22" s="179"/>
    </row>
    <row r="23" spans="1:15" x14ac:dyDescent="0.25">
      <c r="A23" s="177" t="s">
        <v>40</v>
      </c>
      <c r="M23" s="179"/>
    </row>
    <row r="24" spans="1:15" x14ac:dyDescent="0.25">
      <c r="A24" s="177"/>
    </row>
    <row r="25" spans="1:15" x14ac:dyDescent="0.25">
      <c r="A25" s="340" t="s">
        <v>51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</row>
    <row r="26" spans="1:15" x14ac:dyDescent="0.25">
      <c r="A26" s="195">
        <v>2022</v>
      </c>
      <c r="B26" s="195" t="s">
        <v>156</v>
      </c>
      <c r="C26" s="195" t="s">
        <v>157</v>
      </c>
      <c r="D26" s="195" t="s">
        <v>158</v>
      </c>
      <c r="E26" s="195" t="s">
        <v>159</v>
      </c>
      <c r="F26" s="195" t="s">
        <v>160</v>
      </c>
      <c r="G26" s="195" t="s">
        <v>161</v>
      </c>
      <c r="H26" s="195" t="s">
        <v>162</v>
      </c>
      <c r="I26" s="195" t="s">
        <v>163</v>
      </c>
      <c r="J26" s="195" t="s">
        <v>164</v>
      </c>
      <c r="K26" s="195" t="s">
        <v>165</v>
      </c>
      <c r="L26" s="195" t="s">
        <v>166</v>
      </c>
      <c r="M26" s="219" t="s">
        <v>167</v>
      </c>
      <c r="N26" s="203" t="s">
        <v>167</v>
      </c>
      <c r="O26" s="195" t="s">
        <v>167</v>
      </c>
    </row>
    <row r="27" spans="1:15" x14ac:dyDescent="0.25">
      <c r="A27" s="187" t="s">
        <v>32</v>
      </c>
      <c r="B27" s="188">
        <v>9934</v>
      </c>
      <c r="C27" s="188">
        <v>10011</v>
      </c>
      <c r="D27" s="188">
        <v>10085</v>
      </c>
      <c r="E27" s="188">
        <v>10157</v>
      </c>
      <c r="F27" s="188">
        <v>10220</v>
      </c>
      <c r="G27" s="188">
        <v>10280</v>
      </c>
      <c r="H27" s="188">
        <v>10380</v>
      </c>
      <c r="I27" s="188">
        <v>10510</v>
      </c>
      <c r="J27" s="188">
        <v>10635</v>
      </c>
      <c r="K27" s="188">
        <v>10783</v>
      </c>
      <c r="L27" s="188">
        <v>10917</v>
      </c>
      <c r="M27" s="212">
        <v>11107</v>
      </c>
      <c r="N27" s="197">
        <v>10981</v>
      </c>
      <c r="O27" s="188">
        <v>11022</v>
      </c>
    </row>
    <row r="28" spans="1:15" x14ac:dyDescent="0.25">
      <c r="A28" s="187" t="s">
        <v>178</v>
      </c>
      <c r="B28" s="188"/>
      <c r="C28" s="190">
        <f>(C27-B27)/B27</f>
        <v>7.7511576404268173E-3</v>
      </c>
      <c r="D28" s="190">
        <f t="shared" ref="D28:M28" si="7">(D27-C27)/C27</f>
        <v>7.391868944161422E-3</v>
      </c>
      <c r="E28" s="190">
        <f t="shared" si="7"/>
        <v>7.1393158155676744E-3</v>
      </c>
      <c r="F28" s="190">
        <f t="shared" si="7"/>
        <v>6.202618883528601E-3</v>
      </c>
      <c r="G28" s="190">
        <f t="shared" si="7"/>
        <v>5.8708414872798431E-3</v>
      </c>
      <c r="H28" s="190">
        <f t="shared" si="7"/>
        <v>9.727626459143969E-3</v>
      </c>
      <c r="I28" s="190">
        <f t="shared" si="7"/>
        <v>1.2524084778420038E-2</v>
      </c>
      <c r="J28" s="190">
        <f t="shared" si="7"/>
        <v>1.1893434823977164E-2</v>
      </c>
      <c r="K28" s="190">
        <f t="shared" si="7"/>
        <v>1.3916314057357781E-2</v>
      </c>
      <c r="L28" s="190">
        <f t="shared" si="7"/>
        <v>1.2426968376147639E-2</v>
      </c>
      <c r="M28" s="190">
        <f t="shared" si="7"/>
        <v>1.7404048731336448E-2</v>
      </c>
      <c r="N28" s="197"/>
      <c r="O28" s="188"/>
    </row>
    <row r="29" spans="1:15" x14ac:dyDescent="0.25">
      <c r="A29" s="187" t="s">
        <v>33</v>
      </c>
      <c r="B29" s="188">
        <v>91775630</v>
      </c>
      <c r="C29" s="188">
        <v>90281488</v>
      </c>
      <c r="D29" s="188">
        <v>88791227</v>
      </c>
      <c r="E29" s="188">
        <v>89130958</v>
      </c>
      <c r="F29" s="188">
        <v>90749018</v>
      </c>
      <c r="G29" s="188">
        <v>90966168</v>
      </c>
      <c r="H29" s="188">
        <v>86529650</v>
      </c>
      <c r="I29" s="188">
        <v>94517190</v>
      </c>
      <c r="J29" s="188">
        <v>92484568</v>
      </c>
      <c r="K29" s="188">
        <v>98305958</v>
      </c>
      <c r="L29" s="188">
        <v>106359838</v>
      </c>
      <c r="M29" s="212">
        <v>104794356</v>
      </c>
      <c r="N29" s="197">
        <v>93507179</v>
      </c>
      <c r="O29" s="188">
        <v>104175818</v>
      </c>
    </row>
    <row r="30" spans="1:15" x14ac:dyDescent="0.25">
      <c r="A30" s="187" t="s">
        <v>178</v>
      </c>
      <c r="B30" s="188"/>
      <c r="C30" s="190">
        <f>(C29-B29)/B29</f>
        <v>-1.6280378571086898E-2</v>
      </c>
      <c r="D30" s="190">
        <f t="shared" ref="D30:M30" si="8">(D29-C29)/C29</f>
        <v>-1.6506828066458097E-2</v>
      </c>
      <c r="E30" s="190">
        <f t="shared" si="8"/>
        <v>3.8261775569336373E-3</v>
      </c>
      <c r="F30" s="190">
        <f t="shared" si="8"/>
        <v>1.8153737335573124E-2</v>
      </c>
      <c r="G30" s="190">
        <f t="shared" si="8"/>
        <v>2.3928633585875276E-3</v>
      </c>
      <c r="H30" s="190">
        <f t="shared" si="8"/>
        <v>-4.8771077176736739E-2</v>
      </c>
      <c r="I30" s="190">
        <f t="shared" si="8"/>
        <v>9.2309861417444766E-2</v>
      </c>
      <c r="J30" s="190">
        <f t="shared" si="8"/>
        <v>-2.1505315593914717E-2</v>
      </c>
      <c r="K30" s="190">
        <f t="shared" si="8"/>
        <v>6.2944447121167285E-2</v>
      </c>
      <c r="L30" s="190">
        <f t="shared" si="8"/>
        <v>8.1926672236895343E-2</v>
      </c>
      <c r="M30" s="190">
        <f t="shared" si="8"/>
        <v>-1.4718732459897127E-2</v>
      </c>
      <c r="N30" s="197"/>
      <c r="O30" s="188"/>
    </row>
    <row r="31" spans="1:15" x14ac:dyDescent="0.25">
      <c r="A31" s="201">
        <v>2026</v>
      </c>
      <c r="B31" s="201" t="str" cm="1">
        <f t="array" ref="B31:M31">B12:M12</f>
        <v>2016 Actual</v>
      </c>
      <c r="C31" s="201" t="str">
        <v>2017 Actual</v>
      </c>
      <c r="D31" s="201" t="str">
        <v>2018 Actual</v>
      </c>
      <c r="E31" s="201" t="str">
        <v>2019 Actual</v>
      </c>
      <c r="F31" s="201" t="str">
        <v>2020 Actual</v>
      </c>
      <c r="G31" s="201" t="str">
        <v>2021 Actual</v>
      </c>
      <c r="H31" s="201" t="str">
        <v>2022 Actual</v>
      </c>
      <c r="I31" s="201" t="str">
        <v>2023 Actual</v>
      </c>
      <c r="J31" s="201" t="str">
        <v>2024 Actual</v>
      </c>
      <c r="K31" s="201" t="str">
        <v>2025 Actual</v>
      </c>
      <c r="L31" s="201" t="str">
        <v>2026 Bridge</v>
      </c>
      <c r="M31" s="214" t="str">
        <v>2027 Test</v>
      </c>
    </row>
    <row r="32" spans="1:15" x14ac:dyDescent="0.25">
      <c r="A32" s="192" t="str" cm="1">
        <f t="array" ref="A32:A35">A27:A30</f>
        <v xml:space="preserve">  Customers</v>
      </c>
      <c r="B32" s="207" cm="1">
        <f t="array" ref="B32:M32">'Load Forecast Summary'!B14:M14</f>
        <v>10277</v>
      </c>
      <c r="C32" s="193">
        <v>10374.5</v>
      </c>
      <c r="D32" s="193">
        <v>10659.5</v>
      </c>
      <c r="E32" s="193">
        <v>10922.5</v>
      </c>
      <c r="F32" s="193">
        <v>11019.5</v>
      </c>
      <c r="G32" s="193">
        <v>11096</v>
      </c>
      <c r="H32" s="193">
        <v>11136</v>
      </c>
      <c r="I32" s="193">
        <v>11213.5</v>
      </c>
      <c r="J32" s="193">
        <v>11298.5</v>
      </c>
      <c r="K32" s="193">
        <v>11354.5</v>
      </c>
      <c r="L32" s="193">
        <v>11422.71233211763</v>
      </c>
      <c r="M32" s="220">
        <v>11491.334450861965</v>
      </c>
    </row>
    <row r="33" spans="1:15" x14ac:dyDescent="0.25">
      <c r="A33" s="192" t="str">
        <v>YOY Comparison</v>
      </c>
      <c r="B33" s="202"/>
      <c r="C33" s="194">
        <f>(C32-B32)/B32</f>
        <v>9.4872044370925366E-3</v>
      </c>
      <c r="D33" s="194">
        <f t="shared" ref="D33:M33" si="9">(D32-C32)/C32</f>
        <v>2.7471203431490673E-2</v>
      </c>
      <c r="E33" s="194">
        <f t="shared" si="9"/>
        <v>2.4672827055678033E-2</v>
      </c>
      <c r="F33" s="194">
        <f t="shared" si="9"/>
        <v>8.8807507438773171E-3</v>
      </c>
      <c r="G33" s="194">
        <f t="shared" si="9"/>
        <v>6.9422387585643631E-3</v>
      </c>
      <c r="H33" s="194">
        <f t="shared" si="9"/>
        <v>3.6049026676279738E-3</v>
      </c>
      <c r="I33" s="194">
        <f t="shared" si="9"/>
        <v>6.9594109195402296E-3</v>
      </c>
      <c r="J33" s="194">
        <f t="shared" si="9"/>
        <v>7.5801489276318725E-3</v>
      </c>
      <c r="K33" s="194">
        <f t="shared" si="9"/>
        <v>4.9564101429393284E-3</v>
      </c>
      <c r="L33" s="194">
        <f t="shared" si="9"/>
        <v>6.0075152686273779E-3</v>
      </c>
      <c r="M33" s="194">
        <f t="shared" si="9"/>
        <v>6.0075152686274074E-3</v>
      </c>
    </row>
    <row r="34" spans="1:15" x14ac:dyDescent="0.25">
      <c r="A34" s="192" t="str">
        <v xml:space="preserve">  kWh</v>
      </c>
      <c r="B34" s="207" cm="1">
        <f t="array" ref="B34:M34">'Load Forecast Summary'!B15:M15</f>
        <v>91479319</v>
      </c>
      <c r="C34" s="193">
        <v>86529651</v>
      </c>
      <c r="D34" s="193">
        <v>94517191</v>
      </c>
      <c r="E34" s="193">
        <v>92484569</v>
      </c>
      <c r="F34" s="193">
        <v>98305959</v>
      </c>
      <c r="G34" s="193">
        <v>106359838</v>
      </c>
      <c r="H34" s="193">
        <v>105839455</v>
      </c>
      <c r="I34" s="193">
        <v>96458582.030000001</v>
      </c>
      <c r="J34" s="193">
        <v>101363978.92</v>
      </c>
      <c r="K34" s="193">
        <v>104661543.73999999</v>
      </c>
      <c r="L34" s="193">
        <v>106440813.26250607</v>
      </c>
      <c r="M34" s="220">
        <v>107137096.4970441</v>
      </c>
    </row>
    <row r="35" spans="1:15" x14ac:dyDescent="0.25">
      <c r="A35" s="192" t="str">
        <v>YOY Comparison</v>
      </c>
      <c r="B35" s="202"/>
      <c r="C35" s="194">
        <f>(C34-B34)/B34</f>
        <v>-5.410696159642378E-2</v>
      </c>
      <c r="D35" s="194">
        <f t="shared" ref="D35:M35" si="10">(D34-C34)/C34</f>
        <v>9.2309860350644424E-2</v>
      </c>
      <c r="E35" s="194">
        <f t="shared" si="10"/>
        <v>-2.150531536638663E-2</v>
      </c>
      <c r="F35" s="194">
        <f t="shared" si="10"/>
        <v>6.2944446440573232E-2</v>
      </c>
      <c r="G35" s="194">
        <f t="shared" si="10"/>
        <v>8.1926661231187414E-2</v>
      </c>
      <c r="H35" s="194">
        <f t="shared" si="10"/>
        <v>-4.8926644660741208E-3</v>
      </c>
      <c r="I35" s="194">
        <f t="shared" si="10"/>
        <v>-8.8633043036738982E-2</v>
      </c>
      <c r="J35" s="194">
        <f t="shared" si="10"/>
        <v>5.0854955430242092E-2</v>
      </c>
      <c r="K35" s="194">
        <f t="shared" si="10"/>
        <v>3.253191967338364E-2</v>
      </c>
      <c r="L35" s="194">
        <f t="shared" si="10"/>
        <v>1.7000222421008151E-2</v>
      </c>
      <c r="M35" s="194">
        <f t="shared" si="10"/>
        <v>6.5415061497214278E-3</v>
      </c>
    </row>
    <row r="36" spans="1:15" x14ac:dyDescent="0.25">
      <c r="A36" s="177"/>
      <c r="M36" s="179"/>
    </row>
    <row r="37" spans="1:15" x14ac:dyDescent="0.25">
      <c r="A37" s="177"/>
    </row>
    <row r="38" spans="1:15" x14ac:dyDescent="0.25">
      <c r="A38" s="341" t="s">
        <v>169</v>
      </c>
      <c r="B38" s="341"/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1"/>
    </row>
    <row r="39" spans="1:15" x14ac:dyDescent="0.25">
      <c r="A39" s="195">
        <v>2022</v>
      </c>
      <c r="B39" s="195" t="s">
        <v>156</v>
      </c>
      <c r="C39" s="195" t="s">
        <v>157</v>
      </c>
      <c r="D39" s="195" t="s">
        <v>158</v>
      </c>
      <c r="E39" s="195" t="s">
        <v>159</v>
      </c>
      <c r="F39" s="195" t="s">
        <v>160</v>
      </c>
      <c r="G39" s="195" t="s">
        <v>161</v>
      </c>
      <c r="H39" s="195" t="s">
        <v>162</v>
      </c>
      <c r="I39" s="195" t="s">
        <v>163</v>
      </c>
      <c r="J39" s="195" t="s">
        <v>164</v>
      </c>
      <c r="K39" s="195" t="s">
        <v>165</v>
      </c>
      <c r="L39" s="195" t="s">
        <v>166</v>
      </c>
      <c r="M39" s="219" t="s">
        <v>167</v>
      </c>
      <c r="N39" s="196" t="s">
        <v>167</v>
      </c>
      <c r="O39" s="187" t="s">
        <v>167</v>
      </c>
    </row>
    <row r="40" spans="1:15" x14ac:dyDescent="0.25">
      <c r="A40" s="187" t="s">
        <v>32</v>
      </c>
      <c r="B40" s="188">
        <v>1195</v>
      </c>
      <c r="C40" s="188">
        <v>1205</v>
      </c>
      <c r="D40" s="188">
        <v>1207</v>
      </c>
      <c r="E40" s="188">
        <v>1215</v>
      </c>
      <c r="F40" s="188">
        <v>1221</v>
      </c>
      <c r="G40" s="188">
        <v>1228</v>
      </c>
      <c r="H40" s="188">
        <v>1237</v>
      </c>
      <c r="I40" s="188">
        <v>1238</v>
      </c>
      <c r="J40" s="188">
        <v>1237</v>
      </c>
      <c r="K40" s="188">
        <v>1246</v>
      </c>
      <c r="L40" s="188">
        <v>1202</v>
      </c>
      <c r="M40" s="212">
        <v>1201</v>
      </c>
      <c r="N40" s="197">
        <v>1257</v>
      </c>
      <c r="O40" s="188">
        <v>1201</v>
      </c>
    </row>
    <row r="41" spans="1:15" x14ac:dyDescent="0.25">
      <c r="A41" s="187" t="s">
        <v>178</v>
      </c>
      <c r="B41" s="188"/>
      <c r="C41" s="190">
        <f>(C40-B40)/B40</f>
        <v>8.368200836820083E-3</v>
      </c>
      <c r="D41" s="190">
        <f t="shared" ref="D41:M41" si="11">(D40-C40)/C40</f>
        <v>1.6597510373443983E-3</v>
      </c>
      <c r="E41" s="190">
        <f t="shared" si="11"/>
        <v>6.6280033140016566E-3</v>
      </c>
      <c r="F41" s="190">
        <f t="shared" si="11"/>
        <v>4.9382716049382715E-3</v>
      </c>
      <c r="G41" s="190">
        <f t="shared" si="11"/>
        <v>5.7330057330057327E-3</v>
      </c>
      <c r="H41" s="190">
        <f t="shared" si="11"/>
        <v>7.3289902280130291E-3</v>
      </c>
      <c r="I41" s="190">
        <f t="shared" si="11"/>
        <v>8.0840743734842356E-4</v>
      </c>
      <c r="J41" s="190">
        <f t="shared" si="11"/>
        <v>-8.0775444264943462E-4</v>
      </c>
      <c r="K41" s="190">
        <f t="shared" si="11"/>
        <v>7.2756669361358122E-3</v>
      </c>
      <c r="L41" s="190">
        <f t="shared" si="11"/>
        <v>-3.5313001605136438E-2</v>
      </c>
      <c r="M41" s="190">
        <f t="shared" si="11"/>
        <v>-8.3194675540765393E-4</v>
      </c>
      <c r="N41" s="197"/>
      <c r="O41" s="188"/>
    </row>
    <row r="42" spans="1:15" x14ac:dyDescent="0.25">
      <c r="A42" s="187" t="s">
        <v>33</v>
      </c>
      <c r="B42" s="188">
        <v>30635475</v>
      </c>
      <c r="C42" s="188">
        <v>29408826</v>
      </c>
      <c r="D42" s="188">
        <v>28921439</v>
      </c>
      <c r="E42" s="188">
        <v>29746584</v>
      </c>
      <c r="F42" s="188">
        <v>28622003</v>
      </c>
      <c r="G42" s="188">
        <v>28273982</v>
      </c>
      <c r="H42" s="188">
        <v>27228067</v>
      </c>
      <c r="I42" s="188">
        <v>28692745</v>
      </c>
      <c r="J42" s="188">
        <v>28348056</v>
      </c>
      <c r="K42" s="188">
        <v>26410288</v>
      </c>
      <c r="L42" s="188">
        <v>27377213</v>
      </c>
      <c r="M42" s="212">
        <v>27600721</v>
      </c>
      <c r="N42" s="197">
        <v>27656663</v>
      </c>
      <c r="O42" s="188">
        <v>27649402</v>
      </c>
    </row>
    <row r="43" spans="1:15" x14ac:dyDescent="0.25">
      <c r="A43" s="187" t="s">
        <v>178</v>
      </c>
      <c r="B43" s="188"/>
      <c r="C43" s="190">
        <f>(C42-B42)/B42</f>
        <v>-4.0040149532527242E-2</v>
      </c>
      <c r="D43" s="190">
        <f t="shared" ref="D43:M43" si="12">(D42-C42)/C42</f>
        <v>-1.6572813889272561E-2</v>
      </c>
      <c r="E43" s="190">
        <f t="shared" si="12"/>
        <v>2.8530565163095791E-2</v>
      </c>
      <c r="F43" s="190">
        <f t="shared" si="12"/>
        <v>-3.780538296430945E-2</v>
      </c>
      <c r="G43" s="190">
        <f t="shared" si="12"/>
        <v>-1.2159211918187557E-2</v>
      </c>
      <c r="H43" s="190">
        <f t="shared" si="12"/>
        <v>-3.6992136445443025E-2</v>
      </c>
      <c r="I43" s="190">
        <f t="shared" si="12"/>
        <v>5.3792948283842554E-2</v>
      </c>
      <c r="J43" s="190">
        <f t="shared" si="12"/>
        <v>-1.2013106449034416E-2</v>
      </c>
      <c r="K43" s="190">
        <f t="shared" si="12"/>
        <v>-6.8356292226881443E-2</v>
      </c>
      <c r="L43" s="190">
        <f t="shared" si="12"/>
        <v>3.6611679509136741E-2</v>
      </c>
      <c r="M43" s="190">
        <f t="shared" si="12"/>
        <v>8.1640158185568423E-3</v>
      </c>
      <c r="N43" s="197"/>
      <c r="O43" s="188"/>
    </row>
    <row r="44" spans="1:15" x14ac:dyDescent="0.25">
      <c r="A44" s="201">
        <v>2026</v>
      </c>
      <c r="B44" s="205" t="str" cm="1">
        <f t="array" ref="B44:M44">_xlfn.ANCHORARRAY(B31)</f>
        <v>2016 Actual</v>
      </c>
      <c r="C44" s="205" t="str">
        <v>2017 Actual</v>
      </c>
      <c r="D44" s="205" t="str">
        <v>2018 Actual</v>
      </c>
      <c r="E44" s="205" t="str">
        <v>2019 Actual</v>
      </c>
      <c r="F44" s="205" t="str">
        <v>2020 Actual</v>
      </c>
      <c r="G44" s="205" t="str">
        <v>2021 Actual</v>
      </c>
      <c r="H44" s="205" t="str">
        <v>2022 Actual</v>
      </c>
      <c r="I44" s="205" t="str">
        <v>2023 Actual</v>
      </c>
      <c r="J44" s="205" t="str">
        <v>2024 Actual</v>
      </c>
      <c r="K44" s="205" t="str">
        <v>2025 Actual</v>
      </c>
      <c r="L44" s="205" t="str">
        <v>2026 Bridge</v>
      </c>
      <c r="M44" s="218" t="str">
        <v>2027 Test</v>
      </c>
    </row>
    <row r="45" spans="1:15" x14ac:dyDescent="0.25">
      <c r="A45" s="192" t="str" cm="1">
        <f t="array" ref="A45:A48">A40:A43</f>
        <v xml:space="preserve">  Customers</v>
      </c>
      <c r="B45" s="193" cm="1">
        <f t="array" ref="B45:M45">'Load Forecast Summary'!B18:M18</f>
        <v>1283</v>
      </c>
      <c r="C45" s="193">
        <v>1224.5</v>
      </c>
      <c r="D45" s="193">
        <v>1237</v>
      </c>
      <c r="E45" s="193">
        <v>1237</v>
      </c>
      <c r="F45" s="193">
        <v>1252</v>
      </c>
      <c r="G45" s="193">
        <v>1236.25</v>
      </c>
      <c r="H45" s="193">
        <v>1199.125</v>
      </c>
      <c r="I45" s="193">
        <v>1174.375</v>
      </c>
      <c r="J45" s="193">
        <v>1170</v>
      </c>
      <c r="K45" s="193">
        <v>1179</v>
      </c>
      <c r="L45" s="193">
        <v>1188.0692307692307</v>
      </c>
      <c r="M45" s="220">
        <v>1197.2082248520708</v>
      </c>
    </row>
    <row r="46" spans="1:15" x14ac:dyDescent="0.25">
      <c r="A46" s="192" t="str">
        <v>YOY Comparison</v>
      </c>
      <c r="B46" s="202"/>
      <c r="C46" s="206">
        <f>(C45-B45)/B45</f>
        <v>-4.5596258768511304E-2</v>
      </c>
      <c r="D46" s="206">
        <f t="shared" ref="D46:M46" si="13">(D45-C45)/C45</f>
        <v>1.0208248264597795E-2</v>
      </c>
      <c r="E46" s="206">
        <f t="shared" si="13"/>
        <v>0</v>
      </c>
      <c r="F46" s="206">
        <f t="shared" si="13"/>
        <v>1.2126111560226353E-2</v>
      </c>
      <c r="G46" s="206">
        <f t="shared" si="13"/>
        <v>-1.2579872204472844E-2</v>
      </c>
      <c r="H46" s="206">
        <f t="shared" si="13"/>
        <v>-3.0030333670374117E-2</v>
      </c>
      <c r="I46" s="206">
        <f t="shared" si="13"/>
        <v>-2.0640050036484937E-2</v>
      </c>
      <c r="J46" s="206">
        <f t="shared" si="13"/>
        <v>-3.7253858435337944E-3</v>
      </c>
      <c r="K46" s="206">
        <f t="shared" si="13"/>
        <v>7.6923076923076927E-3</v>
      </c>
      <c r="L46" s="206">
        <f t="shared" si="13"/>
        <v>7.6923076923076095E-3</v>
      </c>
      <c r="M46" s="206">
        <f t="shared" si="13"/>
        <v>7.6923076923075774E-3</v>
      </c>
    </row>
    <row r="47" spans="1:15" x14ac:dyDescent="0.25">
      <c r="A47" s="192" t="str">
        <v xml:space="preserve">  kWh</v>
      </c>
      <c r="B47" s="193" cm="1">
        <f t="array" ref="B47:M47">'Load Forecast Summary'!B19:M19</f>
        <v>28315731</v>
      </c>
      <c r="C47" s="193">
        <v>27228067</v>
      </c>
      <c r="D47" s="193">
        <v>28692745</v>
      </c>
      <c r="E47" s="193">
        <v>28348056</v>
      </c>
      <c r="F47" s="193">
        <v>26410288</v>
      </c>
      <c r="G47" s="193">
        <v>27377213</v>
      </c>
      <c r="H47" s="193">
        <v>29663800</v>
      </c>
      <c r="I47" s="193">
        <v>28828610.309999999</v>
      </c>
      <c r="J47" s="193">
        <v>30766203.079999998</v>
      </c>
      <c r="K47" s="193">
        <v>31964518.84</v>
      </c>
      <c r="L47" s="193">
        <v>32562364.810462572</v>
      </c>
      <c r="M47" s="220">
        <v>32830261.66588974</v>
      </c>
    </row>
    <row r="48" spans="1:15" x14ac:dyDescent="0.25">
      <c r="A48" s="192" t="str">
        <v>YOY Comparison</v>
      </c>
      <c r="B48" s="202"/>
      <c r="C48" s="206">
        <f>(C47-B47)/B47</f>
        <v>-3.8412004973489823E-2</v>
      </c>
      <c r="D48" s="206">
        <f t="shared" ref="D48:M48" si="14">(D47-C47)/C47</f>
        <v>5.3792948283842554E-2</v>
      </c>
      <c r="E48" s="206">
        <f t="shared" si="14"/>
        <v>-1.2013106449034416E-2</v>
      </c>
      <c r="F48" s="206">
        <f t="shared" si="14"/>
        <v>-6.8356292226881443E-2</v>
      </c>
      <c r="G48" s="206">
        <f t="shared" si="14"/>
        <v>3.6611679509136741E-2</v>
      </c>
      <c r="H48" s="206">
        <f t="shared" si="14"/>
        <v>8.3521540340866687E-2</v>
      </c>
      <c r="I48" s="206">
        <f t="shared" si="14"/>
        <v>-2.8155182073773467E-2</v>
      </c>
      <c r="J48" s="206">
        <f t="shared" si="14"/>
        <v>6.7210758658314246E-2</v>
      </c>
      <c r="K48" s="206">
        <f t="shared" si="14"/>
        <v>3.8949094787032193E-2</v>
      </c>
      <c r="L48" s="206">
        <f t="shared" si="14"/>
        <v>1.8703424677065209E-2</v>
      </c>
      <c r="M48" s="206">
        <f t="shared" si="14"/>
        <v>8.2271928647237175E-3</v>
      </c>
    </row>
    <row r="49" spans="1:15" x14ac:dyDescent="0.25">
      <c r="A49" s="177"/>
      <c r="M49" s="179"/>
    </row>
    <row r="50" spans="1:15" x14ac:dyDescent="0.25">
      <c r="A50" s="177"/>
      <c r="M50" s="179"/>
    </row>
    <row r="51" spans="1:15" x14ac:dyDescent="0.25">
      <c r="A51" s="341" t="s">
        <v>170</v>
      </c>
      <c r="B51" s="341"/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198"/>
      <c r="O51" s="198"/>
    </row>
    <row r="52" spans="1:15" x14ac:dyDescent="0.25">
      <c r="A52" s="195">
        <v>2022</v>
      </c>
      <c r="B52" s="195" t="s">
        <v>156</v>
      </c>
      <c r="C52" s="195" t="s">
        <v>157</v>
      </c>
      <c r="D52" s="195" t="s">
        <v>158</v>
      </c>
      <c r="E52" s="195" t="s">
        <v>159</v>
      </c>
      <c r="F52" s="195" t="s">
        <v>160</v>
      </c>
      <c r="G52" s="195" t="s">
        <v>161</v>
      </c>
      <c r="H52" s="195" t="s">
        <v>162</v>
      </c>
      <c r="I52" s="195" t="s">
        <v>163</v>
      </c>
      <c r="J52" s="195" t="s">
        <v>164</v>
      </c>
      <c r="K52" s="195" t="s">
        <v>165</v>
      </c>
      <c r="L52" s="195" t="s">
        <v>166</v>
      </c>
      <c r="M52" s="219" t="s">
        <v>167</v>
      </c>
      <c r="N52" s="196" t="s">
        <v>167</v>
      </c>
      <c r="O52" s="187" t="s">
        <v>167</v>
      </c>
    </row>
    <row r="53" spans="1:15" x14ac:dyDescent="0.25">
      <c r="A53" s="187" t="s">
        <v>32</v>
      </c>
      <c r="B53" s="189">
        <v>95</v>
      </c>
      <c r="C53" s="189">
        <v>89</v>
      </c>
      <c r="D53" s="189">
        <v>89</v>
      </c>
      <c r="E53" s="189">
        <v>90</v>
      </c>
      <c r="F53" s="189">
        <v>93</v>
      </c>
      <c r="G53" s="189">
        <v>94</v>
      </c>
      <c r="H53" s="189">
        <v>95</v>
      </c>
      <c r="I53" s="189">
        <v>95</v>
      </c>
      <c r="J53" s="189">
        <v>95</v>
      </c>
      <c r="K53" s="189">
        <v>97</v>
      </c>
      <c r="L53" s="189">
        <v>101</v>
      </c>
      <c r="M53" s="217">
        <v>102</v>
      </c>
      <c r="N53" s="208">
        <v>98</v>
      </c>
      <c r="O53" s="189">
        <v>102</v>
      </c>
    </row>
    <row r="54" spans="1:15" x14ac:dyDescent="0.25">
      <c r="A54" s="187" t="s">
        <v>178</v>
      </c>
      <c r="B54" s="189"/>
      <c r="C54" s="190">
        <f>(C53-B53)/B53</f>
        <v>-6.3157894736842107E-2</v>
      </c>
      <c r="D54" s="190">
        <f t="shared" ref="D54:M54" si="15">(D53-C53)/C53</f>
        <v>0</v>
      </c>
      <c r="E54" s="190">
        <f t="shared" si="15"/>
        <v>1.1235955056179775E-2</v>
      </c>
      <c r="F54" s="190">
        <f t="shared" si="15"/>
        <v>3.3333333333333333E-2</v>
      </c>
      <c r="G54" s="190">
        <f t="shared" si="15"/>
        <v>1.0752688172043012E-2</v>
      </c>
      <c r="H54" s="190">
        <f t="shared" si="15"/>
        <v>1.0638297872340425E-2</v>
      </c>
      <c r="I54" s="190">
        <f t="shared" si="15"/>
        <v>0</v>
      </c>
      <c r="J54" s="190">
        <f t="shared" si="15"/>
        <v>0</v>
      </c>
      <c r="K54" s="190">
        <f t="shared" si="15"/>
        <v>2.1052631578947368E-2</v>
      </c>
      <c r="L54" s="190">
        <f t="shared" si="15"/>
        <v>4.1237113402061855E-2</v>
      </c>
      <c r="M54" s="190">
        <f t="shared" si="15"/>
        <v>9.9009900990099011E-3</v>
      </c>
      <c r="N54" s="208"/>
      <c r="O54" s="189"/>
    </row>
    <row r="55" spans="1:15" x14ac:dyDescent="0.25">
      <c r="A55" s="187" t="s">
        <v>33</v>
      </c>
      <c r="B55" s="188">
        <v>64324224</v>
      </c>
      <c r="C55" s="188">
        <v>60934472</v>
      </c>
      <c r="D55" s="188">
        <v>59427522</v>
      </c>
      <c r="E55" s="188">
        <v>57346380</v>
      </c>
      <c r="F55" s="188">
        <v>62304427</v>
      </c>
      <c r="G55" s="188">
        <v>59051959</v>
      </c>
      <c r="H55" s="188">
        <v>57977444</v>
      </c>
      <c r="I55" s="188">
        <v>59787962</v>
      </c>
      <c r="J55" s="188">
        <v>59632442</v>
      </c>
      <c r="K55" s="188">
        <v>52047649</v>
      </c>
      <c r="L55" s="188">
        <v>56544701</v>
      </c>
      <c r="M55" s="212">
        <v>59877627</v>
      </c>
      <c r="N55" s="197">
        <v>59482525</v>
      </c>
      <c r="O55" s="188">
        <v>59954921</v>
      </c>
    </row>
    <row r="56" spans="1:15" x14ac:dyDescent="0.25">
      <c r="A56" s="187" t="s">
        <v>178</v>
      </c>
      <c r="B56" s="188"/>
      <c r="C56" s="190">
        <f>(C55-B55)/B55</f>
        <v>-5.2697907401105998E-2</v>
      </c>
      <c r="D56" s="190">
        <f t="shared" ref="D56:M56" si="16">(D55-C55)/C55</f>
        <v>-2.4730664770509541E-2</v>
      </c>
      <c r="E56" s="190">
        <f t="shared" si="16"/>
        <v>-3.5019834749293433E-2</v>
      </c>
      <c r="F56" s="190">
        <f t="shared" si="16"/>
        <v>8.6457889756947168E-2</v>
      </c>
      <c r="G56" s="190">
        <f t="shared" si="16"/>
        <v>-5.2202839454730879E-2</v>
      </c>
      <c r="H56" s="190">
        <f t="shared" si="16"/>
        <v>-1.8196094053374249E-2</v>
      </c>
      <c r="I56" s="190">
        <f t="shared" si="16"/>
        <v>3.1227972036849364E-2</v>
      </c>
      <c r="J56" s="190">
        <f t="shared" si="16"/>
        <v>-2.6011925276864262E-3</v>
      </c>
      <c r="K56" s="190">
        <f t="shared" si="16"/>
        <v>-0.12719239302660118</v>
      </c>
      <c r="L56" s="190">
        <f t="shared" si="16"/>
        <v>8.6402596205642251E-2</v>
      </c>
      <c r="M56" s="190">
        <f t="shared" si="16"/>
        <v>5.8943206720643904E-2</v>
      </c>
      <c r="N56" s="197"/>
      <c r="O56" s="188"/>
    </row>
    <row r="57" spans="1:15" x14ac:dyDescent="0.25">
      <c r="A57" s="187" t="s">
        <v>34</v>
      </c>
      <c r="B57" s="188">
        <v>195461</v>
      </c>
      <c r="C57" s="188">
        <v>186874</v>
      </c>
      <c r="D57" s="188">
        <v>181893</v>
      </c>
      <c r="E57" s="188">
        <v>186326</v>
      </c>
      <c r="F57" s="188">
        <v>195328</v>
      </c>
      <c r="G57" s="188">
        <v>199545</v>
      </c>
      <c r="H57" s="188">
        <v>194896</v>
      </c>
      <c r="I57" s="188">
        <v>240290</v>
      </c>
      <c r="J57" s="188">
        <v>270945</v>
      </c>
      <c r="K57" s="188">
        <v>198260</v>
      </c>
      <c r="L57" s="188">
        <v>231007</v>
      </c>
      <c r="M57" s="212">
        <v>220809</v>
      </c>
      <c r="N57" s="197">
        <v>199000</v>
      </c>
      <c r="O57" s="188">
        <v>221094</v>
      </c>
    </row>
    <row r="58" spans="1:15" x14ac:dyDescent="0.25">
      <c r="A58" s="187" t="s">
        <v>178</v>
      </c>
      <c r="B58" s="188"/>
      <c r="C58" s="190">
        <f>(C57-B57)/B57</f>
        <v>-4.3932037593177153E-2</v>
      </c>
      <c r="D58" s="190">
        <f t="shared" ref="D58:M58" si="17">(D57-C57)/C57</f>
        <v>-2.6654323233836704E-2</v>
      </c>
      <c r="E58" s="190">
        <f t="shared" si="17"/>
        <v>2.4371471139626046E-2</v>
      </c>
      <c r="F58" s="190">
        <f t="shared" si="17"/>
        <v>4.8313171538056955E-2</v>
      </c>
      <c r="G58" s="190">
        <f t="shared" si="17"/>
        <v>2.1589326671035386E-2</v>
      </c>
      <c r="H58" s="190">
        <f t="shared" si="17"/>
        <v>-2.3298002956726554E-2</v>
      </c>
      <c r="I58" s="190">
        <f t="shared" si="17"/>
        <v>0.23291396437074133</v>
      </c>
      <c r="J58" s="190">
        <f t="shared" si="17"/>
        <v>0.12757501352532358</v>
      </c>
      <c r="K58" s="190">
        <f t="shared" si="17"/>
        <v>-0.26826477698425882</v>
      </c>
      <c r="L58" s="190">
        <f t="shared" si="17"/>
        <v>0.16517199636840513</v>
      </c>
      <c r="M58" s="190">
        <f t="shared" si="17"/>
        <v>-4.4145848394204504E-2</v>
      </c>
      <c r="N58" s="197"/>
      <c r="O58" s="188"/>
    </row>
    <row r="59" spans="1:15" x14ac:dyDescent="0.25">
      <c r="A59" s="201">
        <v>2026</v>
      </c>
      <c r="B59" s="201" t="str" cm="1">
        <f t="array" ref="B59:M59">_xlfn.ANCHORARRAY(B44)</f>
        <v>2016 Actual</v>
      </c>
      <c r="C59" s="201" t="str">
        <v>2017 Actual</v>
      </c>
      <c r="D59" s="201" t="str">
        <v>2018 Actual</v>
      </c>
      <c r="E59" s="201" t="str">
        <v>2019 Actual</v>
      </c>
      <c r="F59" s="201" t="str">
        <v>2020 Actual</v>
      </c>
      <c r="G59" s="201" t="str">
        <v>2021 Actual</v>
      </c>
      <c r="H59" s="201" t="str">
        <v>2022 Actual</v>
      </c>
      <c r="I59" s="201" t="str">
        <v>2023 Actual</v>
      </c>
      <c r="J59" s="201" t="str">
        <v>2024 Actual</v>
      </c>
      <c r="K59" s="201" t="str">
        <v>2025 Actual</v>
      </c>
      <c r="L59" s="201" t="str">
        <v>2026 Bridge</v>
      </c>
      <c r="M59" s="214" t="str">
        <v>2027 Test</v>
      </c>
    </row>
    <row r="60" spans="1:15" x14ac:dyDescent="0.25">
      <c r="A60" s="192" t="str" cm="1">
        <f t="array" ref="A60:A65">A53:A58</f>
        <v xml:space="preserve">  Customers</v>
      </c>
      <c r="B60" s="207" cm="1">
        <f t="array" ref="B60:M60">'Load Forecast Summary'!B22:M22</f>
        <v>101.5</v>
      </c>
      <c r="C60" s="202">
        <v>113.5</v>
      </c>
      <c r="D60" s="202">
        <v>110.5</v>
      </c>
      <c r="E60" s="202">
        <v>96</v>
      </c>
      <c r="F60" s="202">
        <v>98</v>
      </c>
      <c r="G60" s="202">
        <v>101</v>
      </c>
      <c r="H60" s="202">
        <v>98</v>
      </c>
      <c r="I60" s="202">
        <v>91.5</v>
      </c>
      <c r="J60" s="202">
        <v>90</v>
      </c>
      <c r="K60" s="202">
        <v>89</v>
      </c>
      <c r="L60" s="224">
        <v>89</v>
      </c>
      <c r="M60" s="225">
        <v>89</v>
      </c>
    </row>
    <row r="61" spans="1:15" x14ac:dyDescent="0.25">
      <c r="A61" s="192" t="str">
        <v>YOY Comparison</v>
      </c>
      <c r="B61" s="202"/>
      <c r="C61" s="206">
        <f>(C60-B60)/B60</f>
        <v>0.11822660098522167</v>
      </c>
      <c r="D61" s="206">
        <f t="shared" ref="D61:M61" si="18">(D60-C60)/C60</f>
        <v>-2.643171806167401E-2</v>
      </c>
      <c r="E61" s="206">
        <f t="shared" si="18"/>
        <v>-0.13122171945701358</v>
      </c>
      <c r="F61" s="206">
        <f t="shared" si="18"/>
        <v>2.0833333333333332E-2</v>
      </c>
      <c r="G61" s="206">
        <f t="shared" si="18"/>
        <v>3.0612244897959183E-2</v>
      </c>
      <c r="H61" s="206">
        <f t="shared" si="18"/>
        <v>-2.9702970297029702E-2</v>
      </c>
      <c r="I61" s="206">
        <f t="shared" si="18"/>
        <v>-6.6326530612244902E-2</v>
      </c>
      <c r="J61" s="206">
        <f t="shared" si="18"/>
        <v>-1.6393442622950821E-2</v>
      </c>
      <c r="K61" s="206">
        <f t="shared" si="18"/>
        <v>-1.1111111111111112E-2</v>
      </c>
      <c r="L61" s="206">
        <f t="shared" si="18"/>
        <v>0</v>
      </c>
      <c r="M61" s="206">
        <f t="shared" si="18"/>
        <v>0</v>
      </c>
    </row>
    <row r="62" spans="1:15" x14ac:dyDescent="0.25">
      <c r="A62" s="192" t="str">
        <v xml:space="preserve">  kWh</v>
      </c>
      <c r="B62" s="193" cm="1">
        <f t="array" ref="B62:M62">'Load Forecast Summary'!B23:M23</f>
        <v>59051959</v>
      </c>
      <c r="C62" s="193">
        <v>47449870</v>
      </c>
      <c r="D62" s="193">
        <v>59787962</v>
      </c>
      <c r="E62" s="193">
        <v>59632442</v>
      </c>
      <c r="F62" s="193">
        <v>52047649</v>
      </c>
      <c r="G62" s="193">
        <v>56544701</v>
      </c>
      <c r="H62" s="193">
        <v>55678001.560000002</v>
      </c>
      <c r="I62" s="193">
        <v>59808297.880000003</v>
      </c>
      <c r="J62" s="193">
        <v>59377098.68</v>
      </c>
      <c r="K62" s="193">
        <v>57467167.93</v>
      </c>
      <c r="L62" s="193">
        <v>57923465.548459642</v>
      </c>
      <c r="M62" s="220">
        <v>57945873.244628131</v>
      </c>
    </row>
    <row r="63" spans="1:15" x14ac:dyDescent="0.25">
      <c r="A63" s="192" t="str">
        <v>YOY Comparison</v>
      </c>
      <c r="B63" s="202"/>
      <c r="C63" s="206">
        <f>(C62-B62)/B62</f>
        <v>-0.19647255055501206</v>
      </c>
      <c r="D63" s="206">
        <f t="shared" ref="D63:M63" si="19">(D62-C62)/C62</f>
        <v>0.26002372609240026</v>
      </c>
      <c r="E63" s="206">
        <f t="shared" si="19"/>
        <v>-2.6011925276864262E-3</v>
      </c>
      <c r="F63" s="206">
        <f t="shared" si="19"/>
        <v>-0.12719239302660118</v>
      </c>
      <c r="G63" s="206">
        <f t="shared" si="19"/>
        <v>8.6402596205642251E-2</v>
      </c>
      <c r="H63" s="206">
        <f t="shared" si="19"/>
        <v>-1.5327686320244184E-2</v>
      </c>
      <c r="I63" s="206">
        <f t="shared" si="19"/>
        <v>7.4181834912826206E-2</v>
      </c>
      <c r="J63" s="206">
        <f t="shared" si="19"/>
        <v>-7.2096885429705016E-3</v>
      </c>
      <c r="K63" s="206">
        <f t="shared" si="19"/>
        <v>-3.2166117787148167E-2</v>
      </c>
      <c r="L63" s="206">
        <f t="shared" si="19"/>
        <v>7.9401445189617153E-3</v>
      </c>
      <c r="M63" s="206">
        <f t="shared" si="19"/>
        <v>3.8685006078828516E-4</v>
      </c>
    </row>
    <row r="64" spans="1:15" x14ac:dyDescent="0.25">
      <c r="A64" s="192" t="str">
        <v xml:space="preserve">  kW</v>
      </c>
      <c r="B64" s="193" cm="1">
        <f t="array" ref="B64:M64">'Load Forecast Summary'!B24:M24</f>
        <v>188539.6</v>
      </c>
      <c r="C64" s="193">
        <v>188530</v>
      </c>
      <c r="D64" s="193">
        <v>173784</v>
      </c>
      <c r="E64" s="193">
        <v>201036</v>
      </c>
      <c r="F64" s="193">
        <v>126949</v>
      </c>
      <c r="G64" s="193">
        <v>231007</v>
      </c>
      <c r="H64" s="193">
        <v>151124.07</v>
      </c>
      <c r="I64" s="193">
        <v>215106.83</v>
      </c>
      <c r="J64" s="193">
        <v>203008.10000000003</v>
      </c>
      <c r="K64" s="193">
        <v>203060.9</v>
      </c>
      <c r="L64" s="193">
        <v>204673.23289215044</v>
      </c>
      <c r="M64" s="220">
        <v>204752.41074473649</v>
      </c>
    </row>
    <row r="65" spans="1:15" x14ac:dyDescent="0.25">
      <c r="A65" s="192" t="str">
        <v>YOY Comparison</v>
      </c>
      <c r="B65" s="202"/>
      <c r="C65" s="206">
        <f>(C64-B64)/B64</f>
        <v>-5.0917685197199002E-5</v>
      </c>
      <c r="D65" s="206">
        <f t="shared" ref="D65:M65" si="20">(D64-C64)/C64</f>
        <v>-7.8215668593857743E-2</v>
      </c>
      <c r="E65" s="206">
        <f t="shared" si="20"/>
        <v>0.15681535699489021</v>
      </c>
      <c r="F65" s="206">
        <f t="shared" si="20"/>
        <v>-0.36852603513798526</v>
      </c>
      <c r="G65" s="206">
        <f t="shared" si="20"/>
        <v>0.8196834949467896</v>
      </c>
      <c r="H65" s="206">
        <f t="shared" si="20"/>
        <v>-0.34580307090261331</v>
      </c>
      <c r="I65" s="206">
        <f t="shared" si="20"/>
        <v>0.42337901566573727</v>
      </c>
      <c r="J65" s="206">
        <f t="shared" si="20"/>
        <v>-5.6245215458755785E-2</v>
      </c>
      <c r="K65" s="206">
        <f t="shared" si="20"/>
        <v>2.6008814426596398E-4</v>
      </c>
      <c r="L65" s="206">
        <f t="shared" si="20"/>
        <v>7.9401445189617673E-3</v>
      </c>
      <c r="M65" s="206">
        <f t="shared" si="20"/>
        <v>3.8685006078825599E-4</v>
      </c>
    </row>
    <row r="66" spans="1:15" x14ac:dyDescent="0.25">
      <c r="A66" s="177"/>
      <c r="M66" s="179"/>
    </row>
    <row r="67" spans="1:15" x14ac:dyDescent="0.25">
      <c r="A67" s="177"/>
      <c r="M67" s="179"/>
    </row>
    <row r="68" spans="1:15" x14ac:dyDescent="0.25">
      <c r="A68" s="342" t="str">
        <f>'Load Forecast Summary'!A40</f>
        <v>Street Lighting</v>
      </c>
      <c r="B68" s="341"/>
      <c r="C68" s="341"/>
      <c r="D68" s="341"/>
      <c r="E68" s="341"/>
      <c r="F68" s="341"/>
      <c r="G68" s="341"/>
      <c r="H68" s="341"/>
      <c r="I68" s="341"/>
      <c r="J68" s="341"/>
      <c r="K68" s="341"/>
      <c r="L68" s="341"/>
      <c r="M68" s="341"/>
      <c r="N68" s="198"/>
      <c r="O68" s="198"/>
    </row>
    <row r="69" spans="1:15" x14ac:dyDescent="0.25">
      <c r="A69" s="195">
        <v>2022</v>
      </c>
      <c r="B69" s="195" t="s">
        <v>156</v>
      </c>
      <c r="C69" s="195" t="s">
        <v>157</v>
      </c>
      <c r="D69" s="195" t="s">
        <v>158</v>
      </c>
      <c r="E69" s="195" t="s">
        <v>159</v>
      </c>
      <c r="F69" s="195" t="s">
        <v>160</v>
      </c>
      <c r="G69" s="195" t="s">
        <v>161</v>
      </c>
      <c r="H69" s="195" t="s">
        <v>162</v>
      </c>
      <c r="I69" s="195" t="s">
        <v>163</v>
      </c>
      <c r="J69" s="195" t="s">
        <v>164</v>
      </c>
      <c r="K69" s="195" t="s">
        <v>165</v>
      </c>
      <c r="L69" s="195" t="s">
        <v>166</v>
      </c>
      <c r="M69" s="219" t="s">
        <v>167</v>
      </c>
      <c r="N69" s="203" t="s">
        <v>167</v>
      </c>
      <c r="O69" s="195" t="s">
        <v>167</v>
      </c>
    </row>
    <row r="70" spans="1:15" x14ac:dyDescent="0.25">
      <c r="A70" s="187" t="s">
        <v>32</v>
      </c>
      <c r="B70" s="188">
        <v>2790</v>
      </c>
      <c r="C70" s="188">
        <v>2799</v>
      </c>
      <c r="D70" s="188">
        <v>2808</v>
      </c>
      <c r="E70" s="188">
        <v>2817</v>
      </c>
      <c r="F70" s="188">
        <v>2826</v>
      </c>
      <c r="G70" s="188">
        <v>2885</v>
      </c>
      <c r="H70" s="188">
        <v>2932</v>
      </c>
      <c r="I70" s="188">
        <v>2957</v>
      </c>
      <c r="J70" s="188">
        <v>2993</v>
      </c>
      <c r="K70" s="188">
        <v>3046</v>
      </c>
      <c r="L70" s="188">
        <v>3092</v>
      </c>
      <c r="M70" s="212">
        <v>3127</v>
      </c>
      <c r="N70" s="197">
        <v>3106</v>
      </c>
      <c r="O70" s="188">
        <v>3127</v>
      </c>
    </row>
    <row r="71" spans="1:15" x14ac:dyDescent="0.25">
      <c r="A71" s="187" t="s">
        <v>178</v>
      </c>
      <c r="B71" s="188"/>
      <c r="C71" s="190">
        <f>(C70-B70)/B70</f>
        <v>3.2258064516129032E-3</v>
      </c>
      <c r="D71" s="190">
        <f t="shared" ref="D71:M71" si="21">(D70-C70)/C70</f>
        <v>3.2154340836012861E-3</v>
      </c>
      <c r="E71" s="190">
        <f t="shared" si="21"/>
        <v>3.205128205128205E-3</v>
      </c>
      <c r="F71" s="190">
        <f t="shared" si="21"/>
        <v>3.1948881789137379E-3</v>
      </c>
      <c r="G71" s="190">
        <f t="shared" si="21"/>
        <v>2.0877565463552725E-2</v>
      </c>
      <c r="H71" s="190">
        <f t="shared" si="21"/>
        <v>1.6291161178509532E-2</v>
      </c>
      <c r="I71" s="190">
        <f t="shared" si="21"/>
        <v>8.5266030013642566E-3</v>
      </c>
      <c r="J71" s="190">
        <f t="shared" si="21"/>
        <v>1.217450118363206E-2</v>
      </c>
      <c r="K71" s="190">
        <f t="shared" si="21"/>
        <v>1.7707985299031073E-2</v>
      </c>
      <c r="L71" s="190">
        <f t="shared" si="21"/>
        <v>1.5101772816808929E-2</v>
      </c>
      <c r="M71" s="190">
        <f t="shared" si="21"/>
        <v>1.1319534282018111E-2</v>
      </c>
      <c r="N71" s="197"/>
      <c r="O71" s="188"/>
    </row>
    <row r="72" spans="1:15" x14ac:dyDescent="0.25">
      <c r="A72" s="187" t="s">
        <v>33</v>
      </c>
      <c r="B72" s="188">
        <v>2245234</v>
      </c>
      <c r="C72" s="188">
        <v>2346377</v>
      </c>
      <c r="D72" s="188">
        <v>2512898</v>
      </c>
      <c r="E72" s="188">
        <v>2302093</v>
      </c>
      <c r="F72" s="188">
        <v>2368289</v>
      </c>
      <c r="G72" s="188">
        <v>1585584</v>
      </c>
      <c r="H72" s="188">
        <v>1361607</v>
      </c>
      <c r="I72" s="188">
        <v>1349349</v>
      </c>
      <c r="J72" s="188">
        <v>1353784</v>
      </c>
      <c r="K72" s="188">
        <v>1283668</v>
      </c>
      <c r="L72" s="188">
        <v>1265084</v>
      </c>
      <c r="M72" s="212">
        <v>1279183</v>
      </c>
      <c r="N72" s="197">
        <v>1308977</v>
      </c>
      <c r="O72" s="188">
        <v>1279183</v>
      </c>
    </row>
    <row r="73" spans="1:15" x14ac:dyDescent="0.25">
      <c r="A73" s="187" t="s">
        <v>178</v>
      </c>
      <c r="B73" s="188"/>
      <c r="C73" s="190">
        <f>(C72-B72)/B72</f>
        <v>4.5047865834919654E-2</v>
      </c>
      <c r="D73" s="190">
        <f t="shared" ref="D73:M73" si="22">(D72-C72)/C72</f>
        <v>7.0969413696094025E-2</v>
      </c>
      <c r="E73" s="190">
        <f t="shared" si="22"/>
        <v>-8.3889198845317245E-2</v>
      </c>
      <c r="F73" s="190">
        <f t="shared" si="22"/>
        <v>2.8754702785682422E-2</v>
      </c>
      <c r="G73" s="190">
        <f t="shared" si="22"/>
        <v>-0.33049387131384728</v>
      </c>
      <c r="H73" s="190">
        <f t="shared" si="22"/>
        <v>-0.14125836284927193</v>
      </c>
      <c r="I73" s="190">
        <f t="shared" si="22"/>
        <v>-9.0025976658463132E-3</v>
      </c>
      <c r="J73" s="190">
        <f t="shared" si="22"/>
        <v>3.2867701387854441E-3</v>
      </c>
      <c r="K73" s="190">
        <f t="shared" si="22"/>
        <v>-5.1792605024139744E-2</v>
      </c>
      <c r="L73" s="190">
        <f t="shared" si="22"/>
        <v>-1.4477263591520548E-2</v>
      </c>
      <c r="M73" s="190">
        <f t="shared" si="22"/>
        <v>1.1144714501171464E-2</v>
      </c>
      <c r="N73" s="197"/>
      <c r="O73" s="188"/>
    </row>
    <row r="74" spans="1:15" x14ac:dyDescent="0.25">
      <c r="A74" s="187" t="s">
        <v>34</v>
      </c>
      <c r="B74" s="188">
        <v>5760</v>
      </c>
      <c r="C74" s="188">
        <v>6354</v>
      </c>
      <c r="D74" s="188">
        <v>6799</v>
      </c>
      <c r="E74" s="188">
        <v>6450</v>
      </c>
      <c r="F74" s="188">
        <v>6398</v>
      </c>
      <c r="G74" s="188">
        <v>4764</v>
      </c>
      <c r="H74" s="188">
        <v>3706</v>
      </c>
      <c r="I74" s="188">
        <v>3920</v>
      </c>
      <c r="J74" s="188">
        <v>3756</v>
      </c>
      <c r="K74" s="188">
        <v>3928</v>
      </c>
      <c r="L74" s="188">
        <v>3399</v>
      </c>
      <c r="M74" s="212">
        <v>3620</v>
      </c>
      <c r="N74" s="197">
        <v>3787</v>
      </c>
      <c r="O74" s="188">
        <v>3620</v>
      </c>
    </row>
    <row r="75" spans="1:15" x14ac:dyDescent="0.25">
      <c r="A75" s="187" t="s">
        <v>178</v>
      </c>
      <c r="B75" s="188"/>
      <c r="C75" s="190">
        <f>(C74-B74)/B74</f>
        <v>0.10312499999999999</v>
      </c>
      <c r="D75" s="190">
        <f t="shared" ref="D75:M75" si="23">(D74-C74)/C74</f>
        <v>7.0034623858986469E-2</v>
      </c>
      <c r="E75" s="190">
        <f t="shared" si="23"/>
        <v>-5.1331078099720547E-2</v>
      </c>
      <c r="F75" s="190">
        <f t="shared" si="23"/>
        <v>-8.0620155038759692E-3</v>
      </c>
      <c r="G75" s="190">
        <f t="shared" si="23"/>
        <v>-0.25539231009690527</v>
      </c>
      <c r="H75" s="190">
        <f t="shared" si="23"/>
        <v>-0.22208228379513015</v>
      </c>
      <c r="I75" s="190">
        <f t="shared" si="23"/>
        <v>5.7744198596869939E-2</v>
      </c>
      <c r="J75" s="190">
        <f t="shared" si="23"/>
        <v>-4.1836734693877553E-2</v>
      </c>
      <c r="K75" s="190">
        <f t="shared" si="23"/>
        <v>4.5793397231096912E-2</v>
      </c>
      <c r="L75" s="190">
        <f t="shared" si="23"/>
        <v>-0.13467413441955192</v>
      </c>
      <c r="M75" s="190">
        <f t="shared" si="23"/>
        <v>6.5019123271550461E-2</v>
      </c>
      <c r="N75" s="197"/>
      <c r="O75" s="188"/>
    </row>
    <row r="76" spans="1:15" x14ac:dyDescent="0.25">
      <c r="A76" s="201">
        <v>2026</v>
      </c>
      <c r="B76" s="205" t="str" cm="1">
        <f t="array" ref="B76:M76">_xlfn.ANCHORARRAY(B59)</f>
        <v>2016 Actual</v>
      </c>
      <c r="C76" s="205" t="str">
        <v>2017 Actual</v>
      </c>
      <c r="D76" s="205" t="str">
        <v>2018 Actual</v>
      </c>
      <c r="E76" s="205" t="str">
        <v>2019 Actual</v>
      </c>
      <c r="F76" s="205" t="str">
        <v>2020 Actual</v>
      </c>
      <c r="G76" s="205" t="str">
        <v>2021 Actual</v>
      </c>
      <c r="H76" s="205" t="str">
        <v>2022 Actual</v>
      </c>
      <c r="I76" s="205" t="str">
        <v>2023 Actual</v>
      </c>
      <c r="J76" s="205" t="str">
        <v>2024 Actual</v>
      </c>
      <c r="K76" s="205" t="str">
        <v>2025 Actual</v>
      </c>
      <c r="L76" s="205" t="str">
        <v>2026 Bridge</v>
      </c>
      <c r="M76" s="218" t="str">
        <v>2027 Test</v>
      </c>
    </row>
    <row r="77" spans="1:15" x14ac:dyDescent="0.25">
      <c r="A77" s="192" t="str" cm="1">
        <f t="array" ref="A77:A82">A70:A75</f>
        <v xml:space="preserve">  Customers</v>
      </c>
      <c r="B77" s="193" cm="1">
        <f t="array" ref="B77:M77">'Load Forecast Summary'!B41:M41</f>
        <v>2969.5</v>
      </c>
      <c r="C77" s="193">
        <v>2932</v>
      </c>
      <c r="D77" s="193">
        <v>2955</v>
      </c>
      <c r="E77" s="193">
        <v>2992</v>
      </c>
      <c r="F77" s="193">
        <v>3043</v>
      </c>
      <c r="G77" s="193">
        <v>3091.5</v>
      </c>
      <c r="H77" s="193">
        <v>3133</v>
      </c>
      <c r="I77" s="193">
        <v>3162</v>
      </c>
      <c r="J77" s="193">
        <v>3158</v>
      </c>
      <c r="K77" s="193">
        <v>3158.5</v>
      </c>
      <c r="L77" s="193">
        <v>3182.1208340647199</v>
      </c>
      <c r="M77" s="220">
        <v>3205.9183164757792</v>
      </c>
    </row>
    <row r="78" spans="1:15" x14ac:dyDescent="0.25">
      <c r="A78" s="192" t="str">
        <v>YOY Comparison</v>
      </c>
      <c r="B78" s="202"/>
      <c r="C78" s="206">
        <f>(C77-B77)/B77</f>
        <v>-1.2628388617612393E-2</v>
      </c>
      <c r="D78" s="206">
        <f t="shared" ref="D78:M78" si="24">(D77-C77)/C77</f>
        <v>7.8444747612551168E-3</v>
      </c>
      <c r="E78" s="206">
        <f t="shared" si="24"/>
        <v>1.2521150592216581E-2</v>
      </c>
      <c r="F78" s="206">
        <f t="shared" si="24"/>
        <v>1.7045454545454544E-2</v>
      </c>
      <c r="G78" s="206">
        <f t="shared" si="24"/>
        <v>1.593821886296418E-2</v>
      </c>
      <c r="H78" s="206">
        <f t="shared" si="24"/>
        <v>1.3423904253598577E-2</v>
      </c>
      <c r="I78" s="206">
        <f t="shared" si="24"/>
        <v>9.2563038621129908E-3</v>
      </c>
      <c r="J78" s="206">
        <f t="shared" si="24"/>
        <v>-1.2650221378874131E-3</v>
      </c>
      <c r="K78" s="206">
        <f t="shared" si="24"/>
        <v>1.5832805573147562E-4</v>
      </c>
      <c r="L78" s="206">
        <f t="shared" si="24"/>
        <v>7.4784974084913499E-3</v>
      </c>
      <c r="M78" s="206">
        <f t="shared" si="24"/>
        <v>7.4784974084913256E-3</v>
      </c>
    </row>
    <row r="79" spans="1:15" x14ac:dyDescent="0.25">
      <c r="A79" s="192" t="str">
        <v xml:space="preserve">  kWh</v>
      </c>
      <c r="B79" s="193" cm="1">
        <f t="array" ref="B79:M79">'Load Forecast Summary'!B42:M42</f>
        <v>1585584</v>
      </c>
      <c r="C79" s="193">
        <v>1361607</v>
      </c>
      <c r="D79" s="193">
        <v>1349349</v>
      </c>
      <c r="E79" s="193">
        <v>1353784</v>
      </c>
      <c r="F79" s="193">
        <v>1283668</v>
      </c>
      <c r="G79" s="193">
        <v>1265084</v>
      </c>
      <c r="H79" s="193">
        <v>1271846</v>
      </c>
      <c r="I79" s="193">
        <v>1187658.02</v>
      </c>
      <c r="J79" s="193">
        <v>1192252.47</v>
      </c>
      <c r="K79" s="193">
        <v>1199177.93</v>
      </c>
      <c r="L79" s="193">
        <v>1208145.9790418248</v>
      </c>
      <c r="M79" s="220">
        <v>1217181.0956151683</v>
      </c>
    </row>
    <row r="80" spans="1:15" x14ac:dyDescent="0.25">
      <c r="A80" s="192" t="str">
        <v>YOY Comparison</v>
      </c>
      <c r="B80" s="202"/>
      <c r="C80" s="206">
        <f>(C79-B79)/B79</f>
        <v>-0.14125836284927193</v>
      </c>
      <c r="D80" s="206">
        <f t="shared" ref="D80:M80" si="25">(D79-C79)/C79</f>
        <v>-9.0025976658463132E-3</v>
      </c>
      <c r="E80" s="206">
        <f t="shared" si="25"/>
        <v>3.2867701387854441E-3</v>
      </c>
      <c r="F80" s="206">
        <f t="shared" si="25"/>
        <v>-5.1792605024139744E-2</v>
      </c>
      <c r="G80" s="206">
        <f t="shared" si="25"/>
        <v>-1.4477263591520548E-2</v>
      </c>
      <c r="H80" s="206">
        <f t="shared" si="25"/>
        <v>5.3450996139386793E-3</v>
      </c>
      <c r="I80" s="206">
        <f t="shared" si="25"/>
        <v>-6.6193532864827959E-2</v>
      </c>
      <c r="J80" s="206">
        <f t="shared" si="25"/>
        <v>3.8684957476226643E-3</v>
      </c>
      <c r="K80" s="206">
        <f t="shared" si="25"/>
        <v>5.8087193562282686E-3</v>
      </c>
      <c r="L80" s="206">
        <f t="shared" si="25"/>
        <v>7.4784974084912336E-3</v>
      </c>
      <c r="M80" s="206">
        <f t="shared" si="25"/>
        <v>7.4784974084913395E-3</v>
      </c>
    </row>
    <row r="81" spans="1:15" x14ac:dyDescent="0.25">
      <c r="A81" s="192" t="str">
        <v xml:space="preserve">  kW</v>
      </c>
      <c r="B81" s="193" cm="1">
        <f t="array" ref="B81:M81">'Load Forecast Summary'!B43:M43</f>
        <v>4764</v>
      </c>
      <c r="C81" s="193">
        <v>3705</v>
      </c>
      <c r="D81" s="193">
        <v>3920</v>
      </c>
      <c r="E81" s="193">
        <v>3756</v>
      </c>
      <c r="F81" s="193">
        <v>3927</v>
      </c>
      <c r="G81" s="193">
        <v>3399</v>
      </c>
      <c r="H81" s="193">
        <v>3342</v>
      </c>
      <c r="I81" s="193">
        <v>3319.34</v>
      </c>
      <c r="J81" s="193">
        <v>3338.8</v>
      </c>
      <c r="K81" s="193">
        <v>3367.1</v>
      </c>
      <c r="L81" s="193">
        <v>3392.2808486241311</v>
      </c>
      <c r="M81" s="220">
        <v>3417.6500121594413</v>
      </c>
    </row>
    <row r="82" spans="1:15" x14ac:dyDescent="0.25">
      <c r="A82" s="192" t="str">
        <v>YOY Comparison</v>
      </c>
      <c r="B82" s="202"/>
      <c r="C82" s="206">
        <f>(C81-B81)/B81</f>
        <v>-0.22229219143576825</v>
      </c>
      <c r="D82" s="206">
        <f t="shared" ref="D82:M82" si="26">(D81-C81)/C81</f>
        <v>5.8029689608636977E-2</v>
      </c>
      <c r="E82" s="206">
        <f t="shared" si="26"/>
        <v>-4.1836734693877553E-2</v>
      </c>
      <c r="F82" s="206">
        <f t="shared" si="26"/>
        <v>4.5527156549520768E-2</v>
      </c>
      <c r="G82" s="206">
        <f t="shared" si="26"/>
        <v>-0.13445378151260504</v>
      </c>
      <c r="H82" s="206">
        <f t="shared" si="26"/>
        <v>-1.6769638128861428E-2</v>
      </c>
      <c r="I82" s="206">
        <f t="shared" si="26"/>
        <v>-6.7803710353081552E-3</v>
      </c>
      <c r="J82" s="206">
        <f t="shared" si="26"/>
        <v>5.8626112419939008E-3</v>
      </c>
      <c r="K82" s="206">
        <f t="shared" si="26"/>
        <v>8.4760991973163186E-3</v>
      </c>
      <c r="L82" s="206">
        <f t="shared" si="26"/>
        <v>7.4784974084913308E-3</v>
      </c>
      <c r="M82" s="206">
        <f t="shared" si="26"/>
        <v>7.4784974084913013E-3</v>
      </c>
    </row>
    <row r="83" spans="1:15" x14ac:dyDescent="0.25">
      <c r="A83" s="177"/>
      <c r="M83" s="179"/>
    </row>
    <row r="84" spans="1:15" x14ac:dyDescent="0.25">
      <c r="A84" s="177"/>
      <c r="M84" s="179"/>
    </row>
    <row r="85" spans="1:15" x14ac:dyDescent="0.25">
      <c r="A85" s="341" t="s">
        <v>172</v>
      </c>
      <c r="B85" s="341"/>
      <c r="C85" s="341"/>
      <c r="D85" s="341"/>
      <c r="E85" s="341"/>
      <c r="F85" s="341"/>
      <c r="G85" s="341"/>
      <c r="H85" s="341"/>
      <c r="I85" s="341"/>
      <c r="J85" s="341"/>
      <c r="K85" s="341"/>
      <c r="L85" s="341"/>
      <c r="M85" s="341"/>
      <c r="N85" s="198"/>
      <c r="O85" s="198"/>
    </row>
    <row r="86" spans="1:15" x14ac:dyDescent="0.25">
      <c r="A86" s="195">
        <v>2022</v>
      </c>
      <c r="B86" s="204" t="s">
        <v>156</v>
      </c>
      <c r="C86" s="204" t="s">
        <v>157</v>
      </c>
      <c r="D86" s="204" t="s">
        <v>158</v>
      </c>
      <c r="E86" s="204" t="s">
        <v>159</v>
      </c>
      <c r="F86" s="204" t="s">
        <v>160</v>
      </c>
      <c r="G86" s="204" t="s">
        <v>161</v>
      </c>
      <c r="H86" s="204" t="s">
        <v>162</v>
      </c>
      <c r="I86" s="204" t="s">
        <v>163</v>
      </c>
      <c r="J86" s="204" t="s">
        <v>164</v>
      </c>
      <c r="K86" s="204" t="s">
        <v>165</v>
      </c>
      <c r="L86" s="204" t="s">
        <v>166</v>
      </c>
      <c r="M86" s="216" t="s">
        <v>167</v>
      </c>
      <c r="N86" s="209" t="s">
        <v>167</v>
      </c>
      <c r="O86" s="204" t="s">
        <v>167</v>
      </c>
    </row>
    <row r="87" spans="1:15" x14ac:dyDescent="0.25">
      <c r="A87" s="187" t="s">
        <v>35</v>
      </c>
      <c r="B87" s="189">
        <v>32</v>
      </c>
      <c r="C87" s="189">
        <v>31</v>
      </c>
      <c r="D87" s="189">
        <v>31</v>
      </c>
      <c r="E87" s="189">
        <v>31</v>
      </c>
      <c r="F87" s="189">
        <v>31</v>
      </c>
      <c r="G87" s="189">
        <v>30</v>
      </c>
      <c r="H87" s="189">
        <v>31</v>
      </c>
      <c r="I87" s="189">
        <v>32</v>
      </c>
      <c r="J87" s="189">
        <v>32</v>
      </c>
      <c r="K87" s="189">
        <v>32</v>
      </c>
      <c r="L87" s="189">
        <v>31</v>
      </c>
      <c r="M87" s="217">
        <v>31</v>
      </c>
      <c r="N87" s="208">
        <v>32</v>
      </c>
      <c r="O87" s="189">
        <v>31</v>
      </c>
    </row>
    <row r="88" spans="1:15" x14ac:dyDescent="0.25">
      <c r="A88" s="187" t="s">
        <v>178</v>
      </c>
      <c r="B88" s="189"/>
      <c r="C88" s="190">
        <f>(C87-B87)/B87</f>
        <v>-3.125E-2</v>
      </c>
      <c r="D88" s="190">
        <f t="shared" ref="D88:M88" si="27">(D87-C87)/C87</f>
        <v>0</v>
      </c>
      <c r="E88" s="190">
        <f t="shared" si="27"/>
        <v>0</v>
      </c>
      <c r="F88" s="190">
        <f t="shared" si="27"/>
        <v>0</v>
      </c>
      <c r="G88" s="190">
        <f t="shared" si="27"/>
        <v>-3.2258064516129031E-2</v>
      </c>
      <c r="H88" s="190">
        <f t="shared" si="27"/>
        <v>3.3333333333333333E-2</v>
      </c>
      <c r="I88" s="190">
        <f t="shared" si="27"/>
        <v>3.2258064516129031E-2</v>
      </c>
      <c r="J88" s="190">
        <f t="shared" si="27"/>
        <v>0</v>
      </c>
      <c r="K88" s="190">
        <f t="shared" si="27"/>
        <v>0</v>
      </c>
      <c r="L88" s="190">
        <f t="shared" si="27"/>
        <v>-3.125E-2</v>
      </c>
      <c r="M88" s="190">
        <f t="shared" si="27"/>
        <v>0</v>
      </c>
      <c r="N88" s="208"/>
      <c r="O88" s="189"/>
    </row>
    <row r="89" spans="1:15" x14ac:dyDescent="0.25">
      <c r="A89" s="187" t="s">
        <v>33</v>
      </c>
      <c r="B89" s="188">
        <v>201696</v>
      </c>
      <c r="C89" s="188">
        <v>262229</v>
      </c>
      <c r="D89" s="188">
        <v>260597</v>
      </c>
      <c r="E89" s="188">
        <v>259677</v>
      </c>
      <c r="F89" s="188">
        <v>259607</v>
      </c>
      <c r="G89" s="188">
        <v>257059</v>
      </c>
      <c r="H89" s="188">
        <v>255469</v>
      </c>
      <c r="I89" s="188">
        <v>249143</v>
      </c>
      <c r="J89" s="188">
        <v>246885</v>
      </c>
      <c r="K89" s="188">
        <v>248217</v>
      </c>
      <c r="L89" s="188">
        <v>248173</v>
      </c>
      <c r="M89" s="212">
        <v>248173</v>
      </c>
      <c r="N89" s="197">
        <v>248217</v>
      </c>
      <c r="O89" s="188">
        <v>248173</v>
      </c>
    </row>
    <row r="90" spans="1:15" x14ac:dyDescent="0.25">
      <c r="A90" s="187" t="s">
        <v>178</v>
      </c>
      <c r="B90" s="188"/>
      <c r="C90" s="190">
        <f>(C89-B89)/B89</f>
        <v>0.30011998254799299</v>
      </c>
      <c r="D90" s="190">
        <f t="shared" ref="D90:M90" si="28">(D89-C89)/C89</f>
        <v>-6.2235679501504411E-3</v>
      </c>
      <c r="E90" s="190">
        <f t="shared" si="28"/>
        <v>-3.5303552995621591E-3</v>
      </c>
      <c r="F90" s="190">
        <f t="shared" si="28"/>
        <v>-2.6956565271471868E-4</v>
      </c>
      <c r="G90" s="190">
        <f t="shared" si="28"/>
        <v>-9.8148355013539697E-3</v>
      </c>
      <c r="H90" s="190">
        <f t="shared" si="28"/>
        <v>-6.1853504448395116E-3</v>
      </c>
      <c r="I90" s="190">
        <f t="shared" si="28"/>
        <v>-2.4762299926801293E-2</v>
      </c>
      <c r="J90" s="190">
        <f t="shared" si="28"/>
        <v>-9.0630681977819962E-3</v>
      </c>
      <c r="K90" s="190">
        <f t="shared" si="28"/>
        <v>5.3952244972355554E-3</v>
      </c>
      <c r="L90" s="190">
        <f t="shared" si="28"/>
        <v>-1.7726424862116616E-4</v>
      </c>
      <c r="M90" s="190">
        <f t="shared" si="28"/>
        <v>0</v>
      </c>
      <c r="N90" s="197"/>
      <c r="O90" s="188"/>
    </row>
    <row r="91" spans="1:15" x14ac:dyDescent="0.25">
      <c r="A91" s="201">
        <v>2026</v>
      </c>
      <c r="B91" s="205" t="str" cm="1">
        <f t="array" ref="B91:M91">_xlfn.ANCHORARRAY(B76)</f>
        <v>2016 Actual</v>
      </c>
      <c r="C91" s="205" t="str">
        <v>2017 Actual</v>
      </c>
      <c r="D91" s="205" t="str">
        <v>2018 Actual</v>
      </c>
      <c r="E91" s="205" t="str">
        <v>2019 Actual</v>
      </c>
      <c r="F91" s="205" t="str">
        <v>2020 Actual</v>
      </c>
      <c r="G91" s="205" t="str">
        <v>2021 Actual</v>
      </c>
      <c r="H91" s="205" t="str">
        <v>2022 Actual</v>
      </c>
      <c r="I91" s="205" t="str">
        <v>2023 Actual</v>
      </c>
      <c r="J91" s="205" t="str">
        <v>2024 Actual</v>
      </c>
      <c r="K91" s="205" t="str">
        <v>2025 Actual</v>
      </c>
      <c r="L91" s="205" t="str">
        <v>2026 Bridge</v>
      </c>
      <c r="M91" s="218" t="str">
        <v>2027 Test</v>
      </c>
    </row>
    <row r="92" spans="1:15" x14ac:dyDescent="0.25">
      <c r="A92" s="192" t="str" cm="1">
        <f t="array" ref="A92:A95">A87:A90</f>
        <v xml:space="preserve">  Connections</v>
      </c>
      <c r="B92" s="207" cm="1">
        <f t="array" ref="B92:M92">'Load Forecast Summary'!B32:M32</f>
        <v>30</v>
      </c>
      <c r="C92" s="202">
        <v>30.5</v>
      </c>
      <c r="D92" s="202">
        <v>31.5</v>
      </c>
      <c r="E92" s="202">
        <v>32</v>
      </c>
      <c r="F92" s="202">
        <v>32</v>
      </c>
      <c r="G92" s="202">
        <v>31.5</v>
      </c>
      <c r="H92" s="202">
        <v>31</v>
      </c>
      <c r="I92" s="202">
        <v>30</v>
      </c>
      <c r="J92" s="202">
        <v>29</v>
      </c>
      <c r="K92" s="202">
        <v>29</v>
      </c>
      <c r="L92" s="224">
        <v>28.434631333090945</v>
      </c>
      <c r="M92" s="225">
        <v>27.880284794786114</v>
      </c>
    </row>
    <row r="93" spans="1:15" x14ac:dyDescent="0.25">
      <c r="A93" s="192" t="str">
        <v>YOY Comparison</v>
      </c>
      <c r="B93" s="202"/>
      <c r="C93" s="206">
        <f>(C92-B92)/B92</f>
        <v>1.6666666666666666E-2</v>
      </c>
      <c r="D93" s="206">
        <f t="shared" ref="D93:M93" si="29">(D92-C92)/C92</f>
        <v>3.2786885245901641E-2</v>
      </c>
      <c r="E93" s="206">
        <f t="shared" si="29"/>
        <v>1.5873015873015872E-2</v>
      </c>
      <c r="F93" s="206">
        <f t="shared" si="29"/>
        <v>0</v>
      </c>
      <c r="G93" s="206">
        <f t="shared" si="29"/>
        <v>-1.5625E-2</v>
      </c>
      <c r="H93" s="206">
        <f t="shared" si="29"/>
        <v>-1.5873015873015872E-2</v>
      </c>
      <c r="I93" s="206">
        <f t="shared" si="29"/>
        <v>-3.2258064516129031E-2</v>
      </c>
      <c r="J93" s="206">
        <f t="shared" si="29"/>
        <v>-3.3333333333333333E-2</v>
      </c>
      <c r="K93" s="206">
        <f t="shared" si="29"/>
        <v>0</v>
      </c>
      <c r="L93" s="206">
        <f t="shared" si="29"/>
        <v>-1.9495471272726047E-2</v>
      </c>
      <c r="M93" s="206">
        <f t="shared" si="29"/>
        <v>-1.9495471272726057E-2</v>
      </c>
    </row>
    <row r="94" spans="1:15" x14ac:dyDescent="0.25">
      <c r="A94" s="192" t="str">
        <v xml:space="preserve">  kWh</v>
      </c>
      <c r="B94" s="193" cm="1">
        <f t="array" ref="B94:M94">'Load Forecast Summary'!B33:M33</f>
        <v>257059</v>
      </c>
      <c r="C94" s="193">
        <v>255469</v>
      </c>
      <c r="D94" s="193">
        <v>249143</v>
      </c>
      <c r="E94" s="193">
        <v>246885</v>
      </c>
      <c r="F94" s="193">
        <v>246885</v>
      </c>
      <c r="G94" s="193">
        <v>248173</v>
      </c>
      <c r="H94" s="193">
        <v>248448</v>
      </c>
      <c r="I94" s="193">
        <v>248859</v>
      </c>
      <c r="J94" s="193">
        <v>250863.24</v>
      </c>
      <c r="K94" s="193">
        <v>235012.72</v>
      </c>
      <c r="L94" s="193">
        <v>230431.03626851478</v>
      </c>
      <c r="M94" s="220">
        <v>225938.67462059745</v>
      </c>
    </row>
    <row r="95" spans="1:15" x14ac:dyDescent="0.25">
      <c r="A95" s="192" t="str">
        <v>YOY Comparison</v>
      </c>
      <c r="B95" s="202"/>
      <c r="C95" s="206">
        <f>(C94-B94)/B94</f>
        <v>-6.1853504448395116E-3</v>
      </c>
      <c r="D95" s="206">
        <f t="shared" ref="D95:M95" si="30">(D94-C94)/C94</f>
        <v>-2.4762299926801293E-2</v>
      </c>
      <c r="E95" s="206">
        <f t="shared" si="30"/>
        <v>-9.0630681977819962E-3</v>
      </c>
      <c r="F95" s="206">
        <f t="shared" si="30"/>
        <v>0</v>
      </c>
      <c r="G95" s="206">
        <f t="shared" si="30"/>
        <v>5.2170038681977442E-3</v>
      </c>
      <c r="H95" s="206">
        <f t="shared" si="30"/>
        <v>1.1080979800381185E-3</v>
      </c>
      <c r="I95" s="206">
        <f t="shared" si="30"/>
        <v>1.6542697063369398E-3</v>
      </c>
      <c r="J95" s="206">
        <f t="shared" si="30"/>
        <v>8.0537171651416696E-3</v>
      </c>
      <c r="K95" s="206">
        <f t="shared" si="30"/>
        <v>-6.3183908491335719E-2</v>
      </c>
      <c r="L95" s="206">
        <f t="shared" si="30"/>
        <v>-1.9495471272726075E-2</v>
      </c>
      <c r="M95" s="206">
        <f t="shared" si="30"/>
        <v>-1.9495471272726099E-2</v>
      </c>
    </row>
    <row r="96" spans="1:15" x14ac:dyDescent="0.25">
      <c r="A96" s="177"/>
      <c r="M96" s="179"/>
    </row>
    <row r="97" spans="1:15" x14ac:dyDescent="0.25">
      <c r="A97" s="177"/>
      <c r="M97" s="179"/>
    </row>
    <row r="98" spans="1:15" x14ac:dyDescent="0.25">
      <c r="A98" s="341" t="s">
        <v>173</v>
      </c>
      <c r="B98" s="341"/>
      <c r="C98" s="341"/>
      <c r="D98" s="341"/>
      <c r="E98" s="341"/>
      <c r="F98" s="341"/>
      <c r="G98" s="341"/>
      <c r="H98" s="341"/>
      <c r="I98" s="341"/>
      <c r="J98" s="341"/>
      <c r="K98" s="341"/>
      <c r="L98" s="341"/>
      <c r="M98" s="341"/>
      <c r="N98" s="198"/>
      <c r="O98" s="198"/>
    </row>
    <row r="99" spans="1:15" x14ac:dyDescent="0.25">
      <c r="A99" s="195">
        <v>2022</v>
      </c>
      <c r="B99" s="195" t="s">
        <v>156</v>
      </c>
      <c r="C99" s="195" t="s">
        <v>157</v>
      </c>
      <c r="D99" s="195" t="s">
        <v>158</v>
      </c>
      <c r="E99" s="195" t="s">
        <v>159</v>
      </c>
      <c r="F99" s="195" t="s">
        <v>160</v>
      </c>
      <c r="G99" s="195" t="s">
        <v>161</v>
      </c>
      <c r="H99" s="195" t="s">
        <v>162</v>
      </c>
      <c r="I99" s="195" t="s">
        <v>163</v>
      </c>
      <c r="J99" s="195" t="s">
        <v>164</v>
      </c>
      <c r="K99" s="195" t="s">
        <v>165</v>
      </c>
      <c r="L99" s="195" t="s">
        <v>166</v>
      </c>
      <c r="M99" s="219" t="s">
        <v>167</v>
      </c>
      <c r="N99" s="203" t="s">
        <v>167</v>
      </c>
      <c r="O99" s="195" t="s">
        <v>167</v>
      </c>
    </row>
    <row r="100" spans="1:15" x14ac:dyDescent="0.25">
      <c r="A100" s="187" t="s">
        <v>35</v>
      </c>
      <c r="B100" s="189">
        <v>7</v>
      </c>
      <c r="C100" s="189">
        <v>7</v>
      </c>
      <c r="D100" s="189">
        <v>7</v>
      </c>
      <c r="E100" s="189">
        <v>7</v>
      </c>
      <c r="F100" s="189">
        <v>7</v>
      </c>
      <c r="G100" s="189">
        <v>11</v>
      </c>
      <c r="H100" s="189">
        <v>16</v>
      </c>
      <c r="I100" s="189">
        <v>17</v>
      </c>
      <c r="J100" s="189">
        <v>17</v>
      </c>
      <c r="K100" s="189">
        <v>17</v>
      </c>
      <c r="L100" s="189">
        <v>17</v>
      </c>
      <c r="M100" s="217">
        <v>17</v>
      </c>
      <c r="N100" s="208">
        <v>17</v>
      </c>
      <c r="O100" s="189">
        <v>17</v>
      </c>
    </row>
    <row r="101" spans="1:15" x14ac:dyDescent="0.25">
      <c r="A101" s="187" t="s">
        <v>178</v>
      </c>
      <c r="B101" s="189"/>
      <c r="C101" s="190">
        <f>(C100-B100)/B100</f>
        <v>0</v>
      </c>
      <c r="D101" s="190">
        <f t="shared" ref="D101:M101" si="31">(D100-C100)/C100</f>
        <v>0</v>
      </c>
      <c r="E101" s="190">
        <f t="shared" si="31"/>
        <v>0</v>
      </c>
      <c r="F101" s="190">
        <f t="shared" si="31"/>
        <v>0</v>
      </c>
      <c r="G101" s="190">
        <f t="shared" si="31"/>
        <v>0.5714285714285714</v>
      </c>
      <c r="H101" s="190">
        <f t="shared" si="31"/>
        <v>0.45454545454545453</v>
      </c>
      <c r="I101" s="190">
        <f t="shared" si="31"/>
        <v>6.25E-2</v>
      </c>
      <c r="J101" s="190">
        <f t="shared" si="31"/>
        <v>0</v>
      </c>
      <c r="K101" s="190">
        <f t="shared" si="31"/>
        <v>0</v>
      </c>
      <c r="L101" s="190">
        <f t="shared" si="31"/>
        <v>0</v>
      </c>
      <c r="M101" s="190">
        <f t="shared" si="31"/>
        <v>0</v>
      </c>
      <c r="N101" s="208"/>
      <c r="O101" s="189"/>
    </row>
    <row r="102" spans="1:15" x14ac:dyDescent="0.25">
      <c r="A102" s="187" t="s">
        <v>33</v>
      </c>
      <c r="B102" s="188">
        <v>180196</v>
      </c>
      <c r="C102" s="188">
        <v>174345</v>
      </c>
      <c r="D102" s="188">
        <v>180742</v>
      </c>
      <c r="E102" s="188">
        <v>178799</v>
      </c>
      <c r="F102" s="188">
        <v>162569</v>
      </c>
      <c r="G102" s="188">
        <v>153690</v>
      </c>
      <c r="H102" s="188">
        <v>152795</v>
      </c>
      <c r="I102" s="188">
        <v>149558</v>
      </c>
      <c r="J102" s="188">
        <v>144657</v>
      </c>
      <c r="K102" s="188">
        <v>141998</v>
      </c>
      <c r="L102" s="188">
        <v>137713</v>
      </c>
      <c r="M102" s="212">
        <v>137713</v>
      </c>
      <c r="N102" s="197">
        <v>141998</v>
      </c>
      <c r="O102" s="188">
        <v>137713</v>
      </c>
    </row>
    <row r="103" spans="1:15" x14ac:dyDescent="0.25">
      <c r="A103" s="187" t="s">
        <v>178</v>
      </c>
      <c r="B103" s="188"/>
      <c r="C103" s="190">
        <f>(C102-B102)/B102</f>
        <v>-3.2470199116517572E-2</v>
      </c>
      <c r="D103" s="190">
        <f t="shared" ref="D103:M103" si="32">(D102-C102)/C102</f>
        <v>3.6691617195789956E-2</v>
      </c>
      <c r="E103" s="190">
        <f t="shared" si="32"/>
        <v>-1.0750130019585928E-2</v>
      </c>
      <c r="F103" s="190">
        <f t="shared" si="32"/>
        <v>-9.0772319755703337E-2</v>
      </c>
      <c r="G103" s="190">
        <f t="shared" si="32"/>
        <v>-5.4616808862698298E-2</v>
      </c>
      <c r="H103" s="190">
        <f t="shared" si="32"/>
        <v>-5.8234107619233519E-3</v>
      </c>
      <c r="I103" s="190">
        <f t="shared" si="32"/>
        <v>-2.1185248208383783E-2</v>
      </c>
      <c r="J103" s="190">
        <f t="shared" si="32"/>
        <v>-3.276989529145883E-2</v>
      </c>
      <c r="K103" s="190">
        <f t="shared" si="32"/>
        <v>-1.8381412582868441E-2</v>
      </c>
      <c r="L103" s="190">
        <f t="shared" si="32"/>
        <v>-3.0176481358892379E-2</v>
      </c>
      <c r="M103" s="190">
        <f t="shared" si="32"/>
        <v>0</v>
      </c>
      <c r="N103" s="197"/>
      <c r="O103" s="188"/>
    </row>
    <row r="104" spans="1:15" x14ac:dyDescent="0.25">
      <c r="A104" s="187" t="s">
        <v>34</v>
      </c>
      <c r="B104" s="189">
        <v>12</v>
      </c>
      <c r="C104" s="189">
        <v>293</v>
      </c>
      <c r="D104" s="189">
        <v>465</v>
      </c>
      <c r="E104" s="189">
        <v>471</v>
      </c>
      <c r="F104" s="189">
        <v>437</v>
      </c>
      <c r="G104" s="189">
        <v>411</v>
      </c>
      <c r="H104" s="189">
        <v>405</v>
      </c>
      <c r="I104" s="189">
        <v>387</v>
      </c>
      <c r="J104" s="189">
        <v>365</v>
      </c>
      <c r="K104" s="189">
        <v>385</v>
      </c>
      <c r="L104" s="189">
        <v>357</v>
      </c>
      <c r="M104" s="217">
        <v>360</v>
      </c>
      <c r="N104" s="208">
        <v>373</v>
      </c>
      <c r="O104" s="189">
        <v>360</v>
      </c>
    </row>
    <row r="105" spans="1:15" x14ac:dyDescent="0.25">
      <c r="A105" s="187" t="s">
        <v>178</v>
      </c>
      <c r="B105" s="189"/>
      <c r="C105" s="190">
        <f>(C104-B104)/B104</f>
        <v>23.416666666666668</v>
      </c>
      <c r="D105" s="190">
        <f t="shared" ref="D105:M105" si="33">(D104-C104)/C104</f>
        <v>0.58703071672354945</v>
      </c>
      <c r="E105" s="190">
        <f t="shared" si="33"/>
        <v>1.2903225806451613E-2</v>
      </c>
      <c r="F105" s="190">
        <f t="shared" si="33"/>
        <v>-7.2186836518046707E-2</v>
      </c>
      <c r="G105" s="190">
        <f t="shared" si="33"/>
        <v>-5.9496567505720827E-2</v>
      </c>
      <c r="H105" s="190">
        <f t="shared" si="33"/>
        <v>-1.4598540145985401E-2</v>
      </c>
      <c r="I105" s="190">
        <f t="shared" si="33"/>
        <v>-4.4444444444444446E-2</v>
      </c>
      <c r="J105" s="190">
        <f t="shared" si="33"/>
        <v>-5.6847545219638244E-2</v>
      </c>
      <c r="K105" s="190">
        <f t="shared" si="33"/>
        <v>5.4794520547945202E-2</v>
      </c>
      <c r="L105" s="190">
        <f t="shared" si="33"/>
        <v>-7.2727272727272724E-2</v>
      </c>
      <c r="M105" s="190">
        <f t="shared" si="33"/>
        <v>8.4033613445378148E-3</v>
      </c>
      <c r="N105" s="208"/>
      <c r="O105" s="189"/>
    </row>
    <row r="106" spans="1:15" ht="15" customHeight="1" x14ac:dyDescent="0.25">
      <c r="A106" s="201">
        <v>2026</v>
      </c>
      <c r="B106" s="201" t="str" cm="1">
        <f t="array" ref="B106:M106">_xlfn.ANCHORARRAY(B91)</f>
        <v>2016 Actual</v>
      </c>
      <c r="C106" s="201" t="str">
        <v>2017 Actual</v>
      </c>
      <c r="D106" s="201" t="str">
        <v>2018 Actual</v>
      </c>
      <c r="E106" s="201" t="str">
        <v>2019 Actual</v>
      </c>
      <c r="F106" s="201" t="str">
        <v>2020 Actual</v>
      </c>
      <c r="G106" s="201" t="str">
        <v>2021 Actual</v>
      </c>
      <c r="H106" s="201" t="str">
        <v>2022 Actual</v>
      </c>
      <c r="I106" s="201" t="str">
        <v>2023 Actual</v>
      </c>
      <c r="J106" s="201" t="str">
        <v>2024 Actual</v>
      </c>
      <c r="K106" s="201" t="str">
        <v>2025 Actual</v>
      </c>
      <c r="L106" s="201" t="str">
        <v>2026 Bridge</v>
      </c>
      <c r="M106" s="214" t="str">
        <v>2027 Test</v>
      </c>
    </row>
    <row r="107" spans="1:15" ht="15" customHeight="1" x14ac:dyDescent="0.25">
      <c r="A107" s="192" t="str" cm="1">
        <f t="array" ref="A107:A112">A100:A105</f>
        <v xml:space="preserve">  Connections</v>
      </c>
      <c r="B107" s="207" cm="1">
        <f t="array" ref="B107:M107">'Load Forecast Summary'!B36:M36</f>
        <v>73</v>
      </c>
      <c r="C107" s="202">
        <v>73</v>
      </c>
      <c r="D107" s="202">
        <v>73</v>
      </c>
      <c r="E107" s="202">
        <v>73</v>
      </c>
      <c r="F107" s="202">
        <v>73</v>
      </c>
      <c r="G107" s="202">
        <v>73</v>
      </c>
      <c r="H107" s="202">
        <v>73</v>
      </c>
      <c r="I107" s="202">
        <v>73</v>
      </c>
      <c r="J107" s="202">
        <v>73</v>
      </c>
      <c r="K107" s="202">
        <v>73</v>
      </c>
      <c r="L107" s="202">
        <v>73</v>
      </c>
      <c r="M107" s="215">
        <v>73</v>
      </c>
    </row>
    <row r="108" spans="1:15" ht="15" customHeight="1" x14ac:dyDescent="0.25">
      <c r="A108" s="192" t="str">
        <v>YOY Comparison</v>
      </c>
      <c r="B108" s="202"/>
      <c r="C108" s="206">
        <f>(C107-B107)/B107</f>
        <v>0</v>
      </c>
      <c r="D108" s="206">
        <f t="shared" ref="D108:M108" si="34">(D107-C107)/C107</f>
        <v>0</v>
      </c>
      <c r="E108" s="206">
        <f t="shared" si="34"/>
        <v>0</v>
      </c>
      <c r="F108" s="206">
        <f t="shared" si="34"/>
        <v>0</v>
      </c>
      <c r="G108" s="206">
        <f t="shared" si="34"/>
        <v>0</v>
      </c>
      <c r="H108" s="206">
        <f t="shared" si="34"/>
        <v>0</v>
      </c>
      <c r="I108" s="206">
        <f t="shared" si="34"/>
        <v>0</v>
      </c>
      <c r="J108" s="206">
        <f t="shared" si="34"/>
        <v>0</v>
      </c>
      <c r="K108" s="206">
        <f t="shared" si="34"/>
        <v>0</v>
      </c>
      <c r="L108" s="206">
        <f t="shared" si="34"/>
        <v>0</v>
      </c>
      <c r="M108" s="206">
        <f t="shared" si="34"/>
        <v>0</v>
      </c>
    </row>
    <row r="109" spans="1:15" ht="15" customHeight="1" x14ac:dyDescent="0.25">
      <c r="A109" s="192" t="str">
        <v xml:space="preserve">  kWh</v>
      </c>
      <c r="B109" s="193" cm="1">
        <f t="array" ref="B109:M109">'Load Forecast Summary'!B37:M37</f>
        <v>153690</v>
      </c>
      <c r="C109" s="193">
        <v>152795</v>
      </c>
      <c r="D109" s="193">
        <v>149558</v>
      </c>
      <c r="E109" s="193">
        <v>144657</v>
      </c>
      <c r="F109" s="193">
        <v>141998</v>
      </c>
      <c r="G109" s="193">
        <v>137713</v>
      </c>
      <c r="H109" s="193">
        <v>138479</v>
      </c>
      <c r="I109" s="193">
        <v>136721.45000000001</v>
      </c>
      <c r="J109" s="193">
        <v>137219.59</v>
      </c>
      <c r="K109" s="193">
        <v>117252.78</v>
      </c>
      <c r="L109" s="193">
        <v>117252.78</v>
      </c>
      <c r="M109" s="220">
        <v>117252.78</v>
      </c>
    </row>
    <row r="110" spans="1:15" ht="15" customHeight="1" x14ac:dyDescent="0.25">
      <c r="A110" s="192" t="str">
        <v>YOY Comparison</v>
      </c>
      <c r="B110" s="202"/>
      <c r="C110" s="206">
        <f>(C109-B109)/B109</f>
        <v>-5.8234107619233519E-3</v>
      </c>
      <c r="D110" s="206">
        <f t="shared" ref="D110:M110" si="35">(D109-C109)/C109</f>
        <v>-2.1185248208383783E-2</v>
      </c>
      <c r="E110" s="206">
        <f t="shared" si="35"/>
        <v>-3.276989529145883E-2</v>
      </c>
      <c r="F110" s="206">
        <f t="shared" si="35"/>
        <v>-1.8381412582868441E-2</v>
      </c>
      <c r="G110" s="206">
        <f t="shared" si="35"/>
        <v>-3.0176481358892379E-2</v>
      </c>
      <c r="H110" s="206">
        <f t="shared" si="35"/>
        <v>5.5622925940179936E-3</v>
      </c>
      <c r="I110" s="206">
        <f t="shared" si="35"/>
        <v>-1.2691816087637753E-2</v>
      </c>
      <c r="J110" s="206">
        <f t="shared" si="35"/>
        <v>3.6434663324590604E-3</v>
      </c>
      <c r="K110" s="206">
        <f t="shared" si="35"/>
        <v>-0.14550990860707277</v>
      </c>
      <c r="L110" s="206">
        <f t="shared" si="35"/>
        <v>0</v>
      </c>
      <c r="M110" s="206">
        <f t="shared" si="35"/>
        <v>0</v>
      </c>
    </row>
    <row r="111" spans="1:15" ht="15" customHeight="1" x14ac:dyDescent="0.25">
      <c r="A111" s="192" t="str">
        <v xml:space="preserve">  kW</v>
      </c>
      <c r="B111" s="207" cm="1">
        <f t="array" ref="B111:M111">'Load Forecast Summary'!B38:M38</f>
        <v>411</v>
      </c>
      <c r="C111" s="202">
        <v>406</v>
      </c>
      <c r="D111" s="202">
        <v>388</v>
      </c>
      <c r="E111" s="202">
        <v>364</v>
      </c>
      <c r="F111" s="202">
        <v>385</v>
      </c>
      <c r="G111" s="202">
        <v>357</v>
      </c>
      <c r="H111" s="202">
        <v>360</v>
      </c>
      <c r="I111" s="202">
        <v>357.1</v>
      </c>
      <c r="J111" s="224">
        <v>352</v>
      </c>
      <c r="K111" s="224">
        <v>375.7</v>
      </c>
      <c r="L111" s="224">
        <v>375.7</v>
      </c>
      <c r="M111" s="225">
        <v>375.7</v>
      </c>
    </row>
    <row r="112" spans="1:15" ht="15" customHeight="1" x14ac:dyDescent="0.25">
      <c r="A112" s="192" t="str">
        <v>YOY Comparison</v>
      </c>
      <c r="B112" s="202"/>
      <c r="C112" s="206">
        <f>(C111-B111)/B111</f>
        <v>-1.2165450121654502E-2</v>
      </c>
      <c r="D112" s="206">
        <f t="shared" ref="D112:M112" si="36">(D111-C111)/C111</f>
        <v>-4.4334975369458129E-2</v>
      </c>
      <c r="E112" s="206">
        <f t="shared" si="36"/>
        <v>-6.1855670103092786E-2</v>
      </c>
      <c r="F112" s="206">
        <f t="shared" si="36"/>
        <v>5.7692307692307696E-2</v>
      </c>
      <c r="G112" s="206">
        <f t="shared" si="36"/>
        <v>-7.2727272727272724E-2</v>
      </c>
      <c r="H112" s="206">
        <f t="shared" si="36"/>
        <v>8.4033613445378148E-3</v>
      </c>
      <c r="I112" s="206">
        <f t="shared" si="36"/>
        <v>-8.0555555555554929E-3</v>
      </c>
      <c r="J112" s="206">
        <f t="shared" si="36"/>
        <v>-1.4281713805656742E-2</v>
      </c>
      <c r="K112" s="206">
        <f t="shared" si="36"/>
        <v>6.732954545454542E-2</v>
      </c>
      <c r="L112" s="206">
        <f t="shared" si="36"/>
        <v>0</v>
      </c>
      <c r="M112" s="206">
        <f t="shared" si="36"/>
        <v>0</v>
      </c>
    </row>
    <row r="113" spans="1:15" ht="15" customHeight="1" x14ac:dyDescent="0.25">
      <c r="A113" s="177"/>
      <c r="M113" s="179"/>
    </row>
    <row r="114" spans="1:15" x14ac:dyDescent="0.25">
      <c r="A114" s="177"/>
      <c r="M114" s="179"/>
    </row>
    <row r="115" spans="1:15" x14ac:dyDescent="0.25">
      <c r="A115" s="341" t="s">
        <v>174</v>
      </c>
      <c r="B115" s="341"/>
      <c r="C115" s="341"/>
      <c r="D115" s="341"/>
      <c r="E115" s="341"/>
      <c r="F115" s="341"/>
      <c r="G115" s="341"/>
      <c r="H115" s="341"/>
      <c r="I115" s="341"/>
      <c r="J115" s="341"/>
      <c r="K115" s="341"/>
      <c r="L115" s="341"/>
      <c r="M115" s="341"/>
      <c r="N115" s="198"/>
      <c r="O115" s="198"/>
    </row>
    <row r="116" spans="1:15" x14ac:dyDescent="0.25">
      <c r="A116" s="195">
        <v>2022</v>
      </c>
      <c r="B116" s="204" t="s">
        <v>156</v>
      </c>
      <c r="C116" s="204" t="s">
        <v>157</v>
      </c>
      <c r="D116" s="204" t="s">
        <v>158</v>
      </c>
      <c r="E116" s="204" t="s">
        <v>159</v>
      </c>
      <c r="F116" s="204" t="s">
        <v>160</v>
      </c>
      <c r="G116" s="204" t="s">
        <v>161</v>
      </c>
      <c r="H116" s="204" t="s">
        <v>162</v>
      </c>
      <c r="I116" s="204" t="s">
        <v>163</v>
      </c>
      <c r="J116" s="204" t="s">
        <v>164</v>
      </c>
      <c r="K116" s="204" t="s">
        <v>165</v>
      </c>
      <c r="L116" s="204" t="s">
        <v>166</v>
      </c>
      <c r="M116" s="216" t="s">
        <v>167</v>
      </c>
      <c r="N116" s="209" t="s">
        <v>167</v>
      </c>
      <c r="O116" s="204" t="s">
        <v>167</v>
      </c>
    </row>
    <row r="117" spans="1:15" x14ac:dyDescent="0.25">
      <c r="A117" s="187" t="s">
        <v>35</v>
      </c>
      <c r="B117" s="189">
        <v>4</v>
      </c>
      <c r="C117" s="189">
        <v>4</v>
      </c>
      <c r="D117" s="189">
        <v>4</v>
      </c>
      <c r="E117" s="189">
        <v>5</v>
      </c>
      <c r="F117" s="189">
        <v>5</v>
      </c>
      <c r="G117" s="189">
        <v>6</v>
      </c>
      <c r="H117" s="189">
        <v>6</v>
      </c>
      <c r="I117" s="189">
        <v>6</v>
      </c>
      <c r="J117" s="189">
        <v>6</v>
      </c>
      <c r="K117" s="189">
        <v>6</v>
      </c>
      <c r="L117" s="189">
        <v>6</v>
      </c>
      <c r="M117" s="217">
        <v>6</v>
      </c>
      <c r="N117" s="208">
        <v>6</v>
      </c>
      <c r="O117" s="189">
        <v>6</v>
      </c>
    </row>
    <row r="118" spans="1:15" x14ac:dyDescent="0.25">
      <c r="A118" s="187" t="s">
        <v>178</v>
      </c>
      <c r="B118" s="189"/>
      <c r="C118" s="190">
        <f>(C117-B117)/B117</f>
        <v>0</v>
      </c>
      <c r="D118" s="190">
        <f t="shared" ref="D118:M118" si="37">(D117-C117)/C117</f>
        <v>0</v>
      </c>
      <c r="E118" s="190">
        <f t="shared" si="37"/>
        <v>0.25</v>
      </c>
      <c r="F118" s="190">
        <f t="shared" si="37"/>
        <v>0</v>
      </c>
      <c r="G118" s="190">
        <f t="shared" si="37"/>
        <v>0.2</v>
      </c>
      <c r="H118" s="190">
        <f t="shared" si="37"/>
        <v>0</v>
      </c>
      <c r="I118" s="190">
        <f t="shared" si="37"/>
        <v>0</v>
      </c>
      <c r="J118" s="190">
        <f t="shared" si="37"/>
        <v>0</v>
      </c>
      <c r="K118" s="190">
        <f t="shared" si="37"/>
        <v>0</v>
      </c>
      <c r="L118" s="190">
        <f t="shared" si="37"/>
        <v>0</v>
      </c>
      <c r="M118" s="190">
        <f t="shared" si="37"/>
        <v>0</v>
      </c>
      <c r="N118" s="208"/>
      <c r="O118" s="189"/>
    </row>
    <row r="119" spans="1:15" x14ac:dyDescent="0.25">
      <c r="A119" s="187" t="s">
        <v>33</v>
      </c>
      <c r="B119" s="188">
        <v>52740415</v>
      </c>
      <c r="C119" s="188">
        <v>50111691</v>
      </c>
      <c r="D119" s="188">
        <v>49811242</v>
      </c>
      <c r="E119" s="188">
        <v>60211197</v>
      </c>
      <c r="F119" s="188">
        <v>62244251</v>
      </c>
      <c r="G119" s="188">
        <v>58154767</v>
      </c>
      <c r="H119" s="188">
        <v>56843411</v>
      </c>
      <c r="I119" s="188">
        <v>61680653</v>
      </c>
      <c r="J119" s="188">
        <v>60666329</v>
      </c>
      <c r="K119" s="188">
        <v>50859469</v>
      </c>
      <c r="L119" s="188">
        <v>50859469</v>
      </c>
      <c r="M119" s="212">
        <v>50859469</v>
      </c>
      <c r="N119" s="197">
        <v>57735484</v>
      </c>
      <c r="O119" s="188">
        <v>50859469</v>
      </c>
    </row>
    <row r="120" spans="1:15" x14ac:dyDescent="0.25">
      <c r="A120" s="187" t="s">
        <v>178</v>
      </c>
      <c r="B120" s="188"/>
      <c r="C120" s="190">
        <f>(C119-B119)/B119</f>
        <v>-4.9842687055079105E-2</v>
      </c>
      <c r="D120" s="190">
        <f t="shared" ref="D120:M120" si="38">(D119-C119)/C119</f>
        <v>-5.9955869379861877E-3</v>
      </c>
      <c r="E120" s="190">
        <f t="shared" si="38"/>
        <v>0.20878730548417163</v>
      </c>
      <c r="F120" s="190">
        <f t="shared" si="38"/>
        <v>3.3765380880901606E-2</v>
      </c>
      <c r="G120" s="190">
        <f t="shared" si="38"/>
        <v>-6.570058976209707E-2</v>
      </c>
      <c r="H120" s="190">
        <f t="shared" si="38"/>
        <v>-2.2549415424534328E-2</v>
      </c>
      <c r="I120" s="190">
        <f t="shared" si="38"/>
        <v>8.5097672973917765E-2</v>
      </c>
      <c r="J120" s="190">
        <f t="shared" si="38"/>
        <v>-1.6444767535129693E-2</v>
      </c>
      <c r="K120" s="190">
        <f t="shared" si="38"/>
        <v>-0.16165243820835112</v>
      </c>
      <c r="L120" s="190">
        <f t="shared" si="38"/>
        <v>0</v>
      </c>
      <c r="M120" s="190">
        <f t="shared" si="38"/>
        <v>0</v>
      </c>
      <c r="N120" s="197"/>
      <c r="O120" s="188"/>
    </row>
    <row r="121" spans="1:15" x14ac:dyDescent="0.25">
      <c r="A121" s="187" t="s">
        <v>34</v>
      </c>
      <c r="B121" s="188">
        <v>113911</v>
      </c>
      <c r="C121" s="188">
        <v>111194</v>
      </c>
      <c r="D121" s="188">
        <v>110635</v>
      </c>
      <c r="E121" s="188">
        <v>134313</v>
      </c>
      <c r="F121" s="188">
        <v>135969</v>
      </c>
      <c r="G121" s="188">
        <v>132942</v>
      </c>
      <c r="H121" s="188">
        <v>130522</v>
      </c>
      <c r="I121" s="188">
        <v>145229</v>
      </c>
      <c r="J121" s="188">
        <v>139224</v>
      </c>
      <c r="K121" s="188">
        <v>142149</v>
      </c>
      <c r="L121" s="188">
        <v>115598</v>
      </c>
      <c r="M121" s="212">
        <v>122199</v>
      </c>
      <c r="N121" s="197">
        <v>138872</v>
      </c>
      <c r="O121" s="188">
        <v>122199</v>
      </c>
    </row>
    <row r="122" spans="1:15" x14ac:dyDescent="0.25">
      <c r="A122" s="187" t="s">
        <v>178</v>
      </c>
      <c r="B122" s="188"/>
      <c r="C122" s="190">
        <f>(C121-B121)/B121</f>
        <v>-2.3851954596132069E-2</v>
      </c>
      <c r="D122" s="190">
        <f t="shared" ref="D122:M122" si="39">(D121-C121)/C121</f>
        <v>-5.0272496717448786E-3</v>
      </c>
      <c r="E122" s="190">
        <f t="shared" si="39"/>
        <v>0.21401907172233017</v>
      </c>
      <c r="F122" s="190">
        <f t="shared" si="39"/>
        <v>1.2329409662504747E-2</v>
      </c>
      <c r="G122" s="190">
        <f t="shared" si="39"/>
        <v>-2.2262427465083952E-2</v>
      </c>
      <c r="H122" s="190">
        <f t="shared" si="39"/>
        <v>-1.8203427058416453E-2</v>
      </c>
      <c r="I122" s="190">
        <f t="shared" si="39"/>
        <v>0.11267832242840288</v>
      </c>
      <c r="J122" s="190">
        <f t="shared" si="39"/>
        <v>-4.1348491003862863E-2</v>
      </c>
      <c r="K122" s="190">
        <f t="shared" si="39"/>
        <v>2.1009308739872435E-2</v>
      </c>
      <c r="L122" s="190">
        <f t="shared" si="39"/>
        <v>-0.18678288274979071</v>
      </c>
      <c r="M122" s="190">
        <f t="shared" si="39"/>
        <v>5.7103064066852366E-2</v>
      </c>
      <c r="N122" s="197"/>
      <c r="O122" s="188"/>
    </row>
    <row r="123" spans="1:15" x14ac:dyDescent="0.25">
      <c r="A123" s="201">
        <v>2026</v>
      </c>
      <c r="B123" s="205" t="str" cm="1">
        <f t="array" ref="B123:M123">_xlfn.ANCHORARRAY(B106)</f>
        <v>2016 Actual</v>
      </c>
      <c r="C123" s="205" t="str">
        <v>2017 Actual</v>
      </c>
      <c r="D123" s="205" t="str">
        <v>2018 Actual</v>
      </c>
      <c r="E123" s="205" t="str">
        <v>2019 Actual</v>
      </c>
      <c r="F123" s="205" t="str">
        <v>2020 Actual</v>
      </c>
      <c r="G123" s="205" t="str">
        <v>2021 Actual</v>
      </c>
      <c r="H123" s="205" t="str">
        <v>2022 Actual</v>
      </c>
      <c r="I123" s="205" t="str">
        <v>2023 Actual</v>
      </c>
      <c r="J123" s="205" t="str">
        <v>2024 Actual</v>
      </c>
      <c r="K123" s="205" t="str">
        <v>2025 Actual</v>
      </c>
      <c r="L123" s="205" t="str">
        <v>2026 Bridge</v>
      </c>
      <c r="M123" s="218" t="str">
        <v>2027 Test</v>
      </c>
    </row>
    <row r="124" spans="1:15" x14ac:dyDescent="0.25">
      <c r="A124" s="192" t="str" cm="1">
        <f t="array" ref="A124:A129">A117:A122</f>
        <v xml:space="preserve">  Connections</v>
      </c>
      <c r="B124" s="207" cm="1">
        <f t="array" ref="B124:M124">'Load Forecast Summary'!B27:M27</f>
        <v>6</v>
      </c>
      <c r="C124" s="202">
        <v>6</v>
      </c>
      <c r="D124" s="202">
        <v>6</v>
      </c>
      <c r="E124" s="202">
        <v>6</v>
      </c>
      <c r="F124" s="202">
        <v>6</v>
      </c>
      <c r="G124" s="202">
        <v>6</v>
      </c>
      <c r="H124" s="202">
        <v>6</v>
      </c>
      <c r="I124" s="202">
        <v>6</v>
      </c>
      <c r="J124" s="202">
        <v>6</v>
      </c>
      <c r="K124" s="202">
        <v>6</v>
      </c>
      <c r="L124" s="202">
        <v>6</v>
      </c>
      <c r="M124" s="215">
        <v>6</v>
      </c>
    </row>
    <row r="125" spans="1:15" x14ac:dyDescent="0.25">
      <c r="A125" s="192" t="str">
        <v>YOY Comparison</v>
      </c>
      <c r="B125" s="202"/>
      <c r="C125" s="206">
        <f>(C124-B124)/B124</f>
        <v>0</v>
      </c>
      <c r="D125" s="206">
        <f t="shared" ref="D125:M125" si="40">(D124-C124)/C124</f>
        <v>0</v>
      </c>
      <c r="E125" s="206">
        <f t="shared" si="40"/>
        <v>0</v>
      </c>
      <c r="F125" s="206">
        <f t="shared" si="40"/>
        <v>0</v>
      </c>
      <c r="G125" s="206">
        <f t="shared" si="40"/>
        <v>0</v>
      </c>
      <c r="H125" s="206">
        <f t="shared" si="40"/>
        <v>0</v>
      </c>
      <c r="I125" s="206">
        <f t="shared" si="40"/>
        <v>0</v>
      </c>
      <c r="J125" s="206">
        <f t="shared" si="40"/>
        <v>0</v>
      </c>
      <c r="K125" s="206">
        <f t="shared" si="40"/>
        <v>0</v>
      </c>
      <c r="L125" s="206">
        <f t="shared" si="40"/>
        <v>0</v>
      </c>
      <c r="M125" s="206">
        <f t="shared" si="40"/>
        <v>0</v>
      </c>
    </row>
    <row r="126" spans="1:15" x14ac:dyDescent="0.25">
      <c r="A126" s="192" t="str">
        <v xml:space="preserve">  kWh</v>
      </c>
      <c r="B126" s="193" cm="1">
        <f t="array" ref="B126:M126">'Load Forecast Summary'!B28:M28</f>
        <v>57823879</v>
      </c>
      <c r="C126" s="193">
        <v>56843411</v>
      </c>
      <c r="D126" s="193">
        <v>61680653</v>
      </c>
      <c r="E126" s="193">
        <v>60666329</v>
      </c>
      <c r="F126" s="193">
        <v>60666329</v>
      </c>
      <c r="G126" s="193">
        <v>50859469</v>
      </c>
      <c r="H126" s="193">
        <v>45020625</v>
      </c>
      <c r="I126" s="193">
        <v>47435810.810000002</v>
      </c>
      <c r="J126" s="193">
        <v>46518193.75</v>
      </c>
      <c r="K126" s="193">
        <v>41943487.75</v>
      </c>
      <c r="L126" s="193">
        <v>41943487.75</v>
      </c>
      <c r="M126" s="220">
        <v>41943487.75</v>
      </c>
    </row>
    <row r="127" spans="1:15" x14ac:dyDescent="0.25">
      <c r="A127" s="192" t="str">
        <v>YOY Comparison</v>
      </c>
      <c r="B127" s="202"/>
      <c r="C127" s="206">
        <f>(C126-B126)/B126</f>
        <v>-1.6956109084276413E-2</v>
      </c>
      <c r="D127" s="206">
        <f t="shared" ref="D127:M127" si="41">(D126-C126)/C126</f>
        <v>8.5097672973917765E-2</v>
      </c>
      <c r="E127" s="206">
        <f t="shared" si="41"/>
        <v>-1.6444767535129693E-2</v>
      </c>
      <c r="F127" s="206">
        <f t="shared" si="41"/>
        <v>0</v>
      </c>
      <c r="G127" s="206">
        <f t="shared" si="41"/>
        <v>-0.16165243820835112</v>
      </c>
      <c r="H127" s="206">
        <f t="shared" si="41"/>
        <v>-0.11480347936782431</v>
      </c>
      <c r="I127" s="206">
        <f t="shared" si="41"/>
        <v>5.3646207932475445E-2</v>
      </c>
      <c r="J127" s="206">
        <f t="shared" si="41"/>
        <v>-1.934439496935E-2</v>
      </c>
      <c r="K127" s="206">
        <f t="shared" si="41"/>
        <v>-9.834229644825794E-2</v>
      </c>
      <c r="L127" s="206">
        <f t="shared" si="41"/>
        <v>0</v>
      </c>
      <c r="M127" s="206">
        <f t="shared" si="41"/>
        <v>0</v>
      </c>
    </row>
    <row r="128" spans="1:15" x14ac:dyDescent="0.25">
      <c r="A128" s="192" t="str">
        <v xml:space="preserve">  kW</v>
      </c>
      <c r="B128" s="193" cm="1">
        <f t="array" ref="B128:M128">'Load Forecast Summary'!B29:M29</f>
        <v>117955</v>
      </c>
      <c r="C128" s="193">
        <v>143958</v>
      </c>
      <c r="D128" s="193">
        <v>145229</v>
      </c>
      <c r="E128" s="193">
        <v>139224</v>
      </c>
      <c r="F128" s="193">
        <v>139224</v>
      </c>
      <c r="G128" s="193">
        <v>115598</v>
      </c>
      <c r="H128" s="193">
        <v>129568</v>
      </c>
      <c r="I128" s="193">
        <v>127663.3</v>
      </c>
      <c r="J128" s="193">
        <v>121969.7</v>
      </c>
      <c r="K128" s="193">
        <v>116093.29</v>
      </c>
      <c r="L128" s="193">
        <v>116093.29</v>
      </c>
      <c r="M128" s="220">
        <v>116093.29</v>
      </c>
    </row>
    <row r="129" spans="1:15" x14ac:dyDescent="0.25">
      <c r="A129" s="192" t="str">
        <v>YOY Comparison</v>
      </c>
      <c r="B129" s="202"/>
      <c r="C129" s="206">
        <f>(C128-B128)/B128</f>
        <v>0.22044847611377219</v>
      </c>
      <c r="D129" s="206">
        <f t="shared" ref="D129:M129" si="42">(D128-C128)/C128</f>
        <v>8.8289640033898768E-3</v>
      </c>
      <c r="E129" s="206">
        <f t="shared" si="42"/>
        <v>-4.1348491003862863E-2</v>
      </c>
      <c r="F129" s="206">
        <f t="shared" si="42"/>
        <v>0</v>
      </c>
      <c r="G129" s="206">
        <f t="shared" si="42"/>
        <v>-0.16969775326093203</v>
      </c>
      <c r="H129" s="206">
        <f t="shared" si="42"/>
        <v>0.12084984169276285</v>
      </c>
      <c r="I129" s="206">
        <f t="shared" si="42"/>
        <v>-1.470038898493453E-2</v>
      </c>
      <c r="J129" s="206">
        <f t="shared" si="42"/>
        <v>-4.4598565131874282E-2</v>
      </c>
      <c r="K129" s="206">
        <f t="shared" si="42"/>
        <v>-4.8179260914801E-2</v>
      </c>
      <c r="L129" s="206">
        <f t="shared" si="42"/>
        <v>0</v>
      </c>
      <c r="M129" s="206">
        <f t="shared" si="42"/>
        <v>0</v>
      </c>
    </row>
    <row r="130" spans="1:15" x14ac:dyDescent="0.25">
      <c r="A130" s="177"/>
      <c r="M130" s="179"/>
    </row>
    <row r="131" spans="1:15" x14ac:dyDescent="0.25">
      <c r="A131" s="177"/>
      <c r="M131" s="179"/>
    </row>
    <row r="132" spans="1:15" x14ac:dyDescent="0.25">
      <c r="A132" s="341" t="s">
        <v>5</v>
      </c>
      <c r="B132" s="341"/>
      <c r="C132" s="341"/>
      <c r="D132" s="341"/>
      <c r="E132" s="341"/>
      <c r="F132" s="341"/>
      <c r="G132" s="341"/>
      <c r="H132" s="341"/>
      <c r="I132" s="341"/>
      <c r="J132" s="341"/>
      <c r="K132" s="341"/>
      <c r="L132" s="341"/>
      <c r="M132" s="341"/>
      <c r="N132" s="198"/>
      <c r="O132" s="198"/>
    </row>
    <row r="133" spans="1:15" x14ac:dyDescent="0.25">
      <c r="A133" s="195">
        <v>2022</v>
      </c>
      <c r="B133" s="187" t="s">
        <v>156</v>
      </c>
      <c r="C133" s="187" t="s">
        <v>157</v>
      </c>
      <c r="D133" s="187" t="s">
        <v>158</v>
      </c>
      <c r="E133" s="187" t="s">
        <v>159</v>
      </c>
      <c r="F133" s="187" t="s">
        <v>160</v>
      </c>
      <c r="G133" s="187" t="s">
        <v>161</v>
      </c>
      <c r="H133" s="187" t="s">
        <v>162</v>
      </c>
      <c r="I133" s="187" t="s">
        <v>163</v>
      </c>
      <c r="J133" s="187" t="s">
        <v>164</v>
      </c>
      <c r="K133" s="187" t="s">
        <v>165</v>
      </c>
      <c r="L133" s="187" t="s">
        <v>166</v>
      </c>
      <c r="M133" s="211" t="s">
        <v>167</v>
      </c>
      <c r="N133" s="196" t="s">
        <v>167</v>
      </c>
      <c r="O133" s="187" t="s">
        <v>167</v>
      </c>
    </row>
    <row r="134" spans="1:15" x14ac:dyDescent="0.25">
      <c r="A134" s="187" t="s">
        <v>37</v>
      </c>
      <c r="B134" s="188">
        <v>14057</v>
      </c>
      <c r="C134" s="188">
        <v>14147</v>
      </c>
      <c r="D134" s="188">
        <v>14231</v>
      </c>
      <c r="E134" s="188">
        <v>14321</v>
      </c>
      <c r="F134" s="188">
        <v>14402</v>
      </c>
      <c r="G134" s="188">
        <v>14535</v>
      </c>
      <c r="H134" s="188">
        <v>14697</v>
      </c>
      <c r="I134" s="188">
        <v>14855</v>
      </c>
      <c r="J134" s="188">
        <v>15016</v>
      </c>
      <c r="K134" s="188">
        <v>15227</v>
      </c>
      <c r="L134" s="188">
        <v>15365</v>
      </c>
      <c r="M134" s="212">
        <v>15591</v>
      </c>
      <c r="N134" s="197">
        <v>15497</v>
      </c>
      <c r="O134" s="188">
        <v>15506</v>
      </c>
    </row>
    <row r="135" spans="1:15" x14ac:dyDescent="0.25">
      <c r="A135" s="187" t="s">
        <v>178</v>
      </c>
      <c r="B135" s="188"/>
      <c r="C135" s="190">
        <f>(C134-B134)/B134</f>
        <v>6.4025040904887249E-3</v>
      </c>
      <c r="D135" s="190">
        <f t="shared" ref="D135:M135" si="43">(D134-C134)/C134</f>
        <v>5.9376546264225628E-3</v>
      </c>
      <c r="E135" s="190">
        <f t="shared" si="43"/>
        <v>6.324221769376713E-3</v>
      </c>
      <c r="F135" s="190">
        <f t="shared" si="43"/>
        <v>5.6560296068710282E-3</v>
      </c>
      <c r="G135" s="190">
        <f t="shared" si="43"/>
        <v>9.2348284960422165E-3</v>
      </c>
      <c r="H135" s="190">
        <f t="shared" si="43"/>
        <v>1.1145510835913313E-2</v>
      </c>
      <c r="I135" s="190">
        <f t="shared" si="43"/>
        <v>1.0750493297951963E-2</v>
      </c>
      <c r="J135" s="190">
        <f t="shared" si="43"/>
        <v>1.0838101649276339E-2</v>
      </c>
      <c r="K135" s="190">
        <f t="shared" si="43"/>
        <v>1.405167820990943E-2</v>
      </c>
      <c r="L135" s="190">
        <f t="shared" si="43"/>
        <v>9.0628488868457341E-3</v>
      </c>
      <c r="M135" s="190">
        <f t="shared" si="43"/>
        <v>1.4708753660917669E-2</v>
      </c>
      <c r="N135" s="197"/>
      <c r="O135" s="188"/>
    </row>
    <row r="136" spans="1:15" x14ac:dyDescent="0.25">
      <c r="A136" s="187" t="s">
        <v>33</v>
      </c>
      <c r="B136" s="188">
        <v>242102870</v>
      </c>
      <c r="C136" s="188">
        <v>233519429</v>
      </c>
      <c r="D136" s="188">
        <v>229905667</v>
      </c>
      <c r="E136" s="188">
        <v>239175688</v>
      </c>
      <c r="F136" s="188">
        <v>246710164</v>
      </c>
      <c r="G136" s="188">
        <v>238443209</v>
      </c>
      <c r="H136" s="188">
        <v>230348443</v>
      </c>
      <c r="I136" s="188">
        <v>246426600</v>
      </c>
      <c r="J136" s="188">
        <v>242876721</v>
      </c>
      <c r="K136" s="188">
        <v>229297247</v>
      </c>
      <c r="L136" s="188">
        <v>242792191</v>
      </c>
      <c r="M136" s="212">
        <v>244797242</v>
      </c>
      <c r="N136" s="197">
        <v>240081043</v>
      </c>
      <c r="O136" s="188">
        <v>244304678</v>
      </c>
    </row>
    <row r="137" spans="1:15" x14ac:dyDescent="0.25">
      <c r="A137" s="187" t="s">
        <v>178</v>
      </c>
      <c r="B137" s="188"/>
      <c r="C137" s="190">
        <f>(C136-B136)/B136</f>
        <v>-3.5453693712924596E-2</v>
      </c>
      <c r="D137" s="190">
        <f t="shared" ref="D137:M137" si="44">(D136-C136)/C136</f>
        <v>-1.5475209131313866E-2</v>
      </c>
      <c r="E137" s="190">
        <f t="shared" si="44"/>
        <v>4.0320976515989926E-2</v>
      </c>
      <c r="F137" s="190">
        <f t="shared" si="44"/>
        <v>3.1501847294780227E-2</v>
      </c>
      <c r="G137" s="190">
        <f t="shared" si="44"/>
        <v>-3.3508773477204615E-2</v>
      </c>
      <c r="H137" s="190">
        <f t="shared" si="44"/>
        <v>-3.3948402363600132E-2</v>
      </c>
      <c r="I137" s="190">
        <f t="shared" si="44"/>
        <v>6.9799286639849356E-2</v>
      </c>
      <c r="J137" s="190">
        <f t="shared" si="44"/>
        <v>-1.4405421330327165E-2</v>
      </c>
      <c r="K137" s="190">
        <f t="shared" si="44"/>
        <v>-5.5910973863979328E-2</v>
      </c>
      <c r="L137" s="190">
        <f t="shared" si="44"/>
        <v>5.8853493343511448E-2</v>
      </c>
      <c r="M137" s="190">
        <f t="shared" si="44"/>
        <v>8.2583010258348872E-3</v>
      </c>
      <c r="N137" s="197"/>
      <c r="O137" s="188"/>
    </row>
    <row r="138" spans="1:15" x14ac:dyDescent="0.25">
      <c r="A138" s="187" t="s">
        <v>36</v>
      </c>
      <c r="B138" s="188">
        <v>315143</v>
      </c>
      <c r="C138" s="188">
        <v>304715</v>
      </c>
      <c r="D138" s="188">
        <v>299791</v>
      </c>
      <c r="E138" s="188">
        <v>327560</v>
      </c>
      <c r="F138" s="188">
        <v>338132</v>
      </c>
      <c r="G138" s="188">
        <v>337662</v>
      </c>
      <c r="H138" s="188">
        <v>329528</v>
      </c>
      <c r="I138" s="188">
        <v>389826</v>
      </c>
      <c r="J138" s="188">
        <v>414290</v>
      </c>
      <c r="K138" s="188">
        <v>344722</v>
      </c>
      <c r="L138" s="188">
        <v>350361</v>
      </c>
      <c r="M138" s="212">
        <v>346988</v>
      </c>
      <c r="N138" s="197">
        <v>342032</v>
      </c>
      <c r="O138" s="188">
        <v>347273</v>
      </c>
    </row>
    <row r="139" spans="1:15" x14ac:dyDescent="0.25">
      <c r="A139" s="187" t="s">
        <v>178</v>
      </c>
      <c r="B139" s="189"/>
      <c r="C139" s="190">
        <f>(C138-B138)/B138</f>
        <v>-3.3089740213173069E-2</v>
      </c>
      <c r="D139" s="190">
        <f t="shared" ref="D139:M139" si="45">(D138-C138)/C138</f>
        <v>-1.6159362026811938E-2</v>
      </c>
      <c r="E139" s="190">
        <f t="shared" si="45"/>
        <v>9.2627864078641459E-2</v>
      </c>
      <c r="F139" s="190">
        <f t="shared" si="45"/>
        <v>3.2275003052875811E-2</v>
      </c>
      <c r="G139" s="190">
        <f t="shared" si="45"/>
        <v>-1.3899897081613099E-3</v>
      </c>
      <c r="H139" s="190">
        <f t="shared" si="45"/>
        <v>-2.4089177935331781E-2</v>
      </c>
      <c r="I139" s="190">
        <f t="shared" si="45"/>
        <v>0.18298293316501177</v>
      </c>
      <c r="J139" s="190">
        <f t="shared" si="45"/>
        <v>6.275620405001206E-2</v>
      </c>
      <c r="K139" s="190">
        <f t="shared" si="45"/>
        <v>-0.16792102150667407</v>
      </c>
      <c r="L139" s="190">
        <f t="shared" si="45"/>
        <v>1.6358108852930767E-2</v>
      </c>
      <c r="M139" s="190">
        <f t="shared" si="45"/>
        <v>-9.6272130745145724E-3</v>
      </c>
      <c r="N139" s="208"/>
      <c r="O139" s="189"/>
    </row>
    <row r="140" spans="1:15" x14ac:dyDescent="0.25">
      <c r="A140" s="201">
        <v>2026</v>
      </c>
      <c r="B140" s="201" t="str" cm="1">
        <f t="array" ref="B140:M140">_xlfn.ANCHORARRAY(B123)</f>
        <v>2016 Actual</v>
      </c>
      <c r="C140" s="201" t="str">
        <v>2017 Actual</v>
      </c>
      <c r="D140" s="201" t="str">
        <v>2018 Actual</v>
      </c>
      <c r="E140" s="201" t="str">
        <v>2019 Actual</v>
      </c>
      <c r="F140" s="201" t="str">
        <v>2020 Actual</v>
      </c>
      <c r="G140" s="201" t="str">
        <v>2021 Actual</v>
      </c>
      <c r="H140" s="201" t="str">
        <v>2022 Actual</v>
      </c>
      <c r="I140" s="201" t="str">
        <v>2023 Actual</v>
      </c>
      <c r="J140" s="201" t="str">
        <v>2024 Actual</v>
      </c>
      <c r="K140" s="201" t="str">
        <v>2025 Actual</v>
      </c>
      <c r="L140" s="201" t="str">
        <v>2026 Bridge</v>
      </c>
      <c r="M140" s="214" t="str">
        <v>2027 Test</v>
      </c>
    </row>
    <row r="141" spans="1:15" x14ac:dyDescent="0.25">
      <c r="A141" s="192" t="str" cm="1">
        <f t="array" ref="A141:A146">A134:A139</f>
        <v xml:space="preserve">  Customer/Connections</v>
      </c>
      <c r="B141" s="193" cm="1">
        <f t="array" ref="B141:M141">'Load Forecast Summary'!B46:M46</f>
        <v>14740</v>
      </c>
      <c r="C141" s="193">
        <v>14754</v>
      </c>
      <c r="D141" s="193">
        <v>15072.5</v>
      </c>
      <c r="E141" s="193">
        <v>15358.5</v>
      </c>
      <c r="F141" s="193">
        <v>15523.5</v>
      </c>
      <c r="G141" s="193">
        <v>15635.25</v>
      </c>
      <c r="H141" s="193">
        <v>15676.125</v>
      </c>
      <c r="I141" s="193">
        <v>15750.375</v>
      </c>
      <c r="J141" s="193">
        <v>15824.5</v>
      </c>
      <c r="K141" s="193">
        <v>15889</v>
      </c>
      <c r="L141" s="193">
        <v>15989.33702828467</v>
      </c>
      <c r="M141" s="220">
        <v>16090.341276984602</v>
      </c>
    </row>
    <row r="142" spans="1:15" x14ac:dyDescent="0.25">
      <c r="A142" s="192" t="str">
        <v>YOY Comparison</v>
      </c>
      <c r="B142" s="202"/>
      <c r="C142" s="206">
        <f>(C141-B141)/B141</f>
        <v>9.4979647218453186E-4</v>
      </c>
      <c r="D142" s="206">
        <f t="shared" ref="D142:M142" si="46">(D141-C141)/C141</f>
        <v>2.1587366137996476E-2</v>
      </c>
      <c r="E142" s="206">
        <f t="shared" si="46"/>
        <v>1.8974954387128876E-2</v>
      </c>
      <c r="F142" s="206">
        <f t="shared" si="46"/>
        <v>1.0743236644203536E-2</v>
      </c>
      <c r="G142" s="206">
        <f t="shared" si="46"/>
        <v>7.1987631655232387E-3</v>
      </c>
      <c r="H142" s="206">
        <f t="shared" si="46"/>
        <v>2.6142850290209623E-3</v>
      </c>
      <c r="I142" s="206">
        <f t="shared" si="46"/>
        <v>4.736502164916394E-3</v>
      </c>
      <c r="J142" s="206">
        <f t="shared" si="46"/>
        <v>4.7062371530836571E-3</v>
      </c>
      <c r="K142" s="206">
        <f t="shared" si="46"/>
        <v>4.075958166134791E-3</v>
      </c>
      <c r="L142" s="206">
        <f t="shared" si="46"/>
        <v>6.3148737041141632E-3</v>
      </c>
      <c r="M142" s="206">
        <f t="shared" si="46"/>
        <v>6.3169754018730286E-3</v>
      </c>
    </row>
    <row r="143" spans="1:15" x14ac:dyDescent="0.25">
      <c r="A143" s="192" t="str">
        <v xml:space="preserve">  kWh</v>
      </c>
      <c r="B143" s="193" cm="1">
        <f t="array" ref="B143:M143">'Load Forecast Summary'!B47:M47</f>
        <v>238667221</v>
      </c>
      <c r="C143" s="193">
        <v>219820870</v>
      </c>
      <c r="D143" s="193">
        <v>246426601</v>
      </c>
      <c r="E143" s="193">
        <v>242876722</v>
      </c>
      <c r="F143" s="193">
        <v>239102776</v>
      </c>
      <c r="G143" s="193">
        <v>242792191</v>
      </c>
      <c r="H143" s="193">
        <v>237860654.56</v>
      </c>
      <c r="I143" s="193">
        <v>234104539.5</v>
      </c>
      <c r="J143" s="193">
        <v>239605809.73000002</v>
      </c>
      <c r="K143" s="193">
        <v>237588161.69</v>
      </c>
      <c r="L143" s="193">
        <v>240425961.1667386</v>
      </c>
      <c r="M143" s="220">
        <v>241417091.70779774</v>
      </c>
    </row>
    <row r="144" spans="1:15" x14ac:dyDescent="0.25">
      <c r="A144" s="192" t="str">
        <v>YOY Comparison</v>
      </c>
      <c r="B144" s="202"/>
      <c r="C144" s="206">
        <f>(C143-B143)/B143</f>
        <v>-7.8964974415150199E-2</v>
      </c>
      <c r="D144" s="206">
        <f t="shared" ref="D144:M144" si="47">(D143-C143)/C143</f>
        <v>0.12103368984027768</v>
      </c>
      <c r="E144" s="206">
        <f t="shared" si="47"/>
        <v>-1.4405421271869915E-2</v>
      </c>
      <c r="F144" s="206">
        <f t="shared" si="47"/>
        <v>-1.5538524931178872E-2</v>
      </c>
      <c r="G144" s="206">
        <f t="shared" si="47"/>
        <v>1.5430247451413947E-2</v>
      </c>
      <c r="H144" s="206">
        <f t="shared" si="47"/>
        <v>-2.0311758873661621E-2</v>
      </c>
      <c r="I144" s="206">
        <f t="shared" si="47"/>
        <v>-1.579124158616375E-2</v>
      </c>
      <c r="J144" s="206">
        <f t="shared" si="47"/>
        <v>2.349920356841273E-2</v>
      </c>
      <c r="K144" s="206">
        <f t="shared" si="47"/>
        <v>-8.4206974875676421E-3</v>
      </c>
      <c r="L144" s="206">
        <f t="shared" si="47"/>
        <v>1.1944195605340399E-2</v>
      </c>
      <c r="M144" s="206">
        <f t="shared" si="47"/>
        <v>4.1223940054118122E-3</v>
      </c>
    </row>
    <row r="145" spans="1:14" x14ac:dyDescent="0.25">
      <c r="A145" s="192" t="str">
        <v xml:space="preserve">  kW from applicable classes</v>
      </c>
      <c r="B145" s="193" cm="1">
        <f t="array" ref="B145:M145">'Load Forecast Summary'!B48:M48</f>
        <v>311669.59999999998</v>
      </c>
      <c r="C145" s="193">
        <v>336599</v>
      </c>
      <c r="D145" s="193">
        <v>323321</v>
      </c>
      <c r="E145" s="193">
        <v>344380</v>
      </c>
      <c r="F145" s="193">
        <v>270485</v>
      </c>
      <c r="G145" s="193">
        <v>350361</v>
      </c>
      <c r="H145" s="193">
        <v>284394.07</v>
      </c>
      <c r="I145" s="193">
        <v>346446.57</v>
      </c>
      <c r="J145" s="193">
        <v>328668.60000000003</v>
      </c>
      <c r="K145" s="193">
        <v>322896.99</v>
      </c>
      <c r="L145" s="193">
        <v>324534.50374077458</v>
      </c>
      <c r="M145" s="220">
        <v>324639.05075689591</v>
      </c>
    </row>
    <row r="146" spans="1:14" x14ac:dyDescent="0.25">
      <c r="A146" s="192" t="str">
        <v>YOY Comparison</v>
      </c>
      <c r="B146" s="202"/>
      <c r="C146" s="206">
        <f>(C145-B145)/B145</f>
        <v>7.9986626863832802E-2</v>
      </c>
      <c r="D146" s="206">
        <f t="shared" ref="D146:M146" si="48">(D145-C145)/C145</f>
        <v>-3.944753252386371E-2</v>
      </c>
      <c r="E146" s="206">
        <f t="shared" si="48"/>
        <v>6.5133412305417832E-2</v>
      </c>
      <c r="F146" s="206">
        <f t="shared" si="48"/>
        <v>-0.21457401707416227</v>
      </c>
      <c r="G146" s="206">
        <f t="shared" si="48"/>
        <v>0.29530657892304563</v>
      </c>
      <c r="H146" s="206">
        <f t="shared" si="48"/>
        <v>-0.18828274265685963</v>
      </c>
      <c r="I146" s="206">
        <f t="shared" si="48"/>
        <v>0.2181919615975115</v>
      </c>
      <c r="J146" s="206">
        <f t="shared" si="48"/>
        <v>-5.1315185484445615E-2</v>
      </c>
      <c r="K146" s="206">
        <f t="shared" si="48"/>
        <v>-1.7560576215677567E-2</v>
      </c>
      <c r="L146" s="206">
        <f t="shared" si="48"/>
        <v>5.0713193107640719E-3</v>
      </c>
      <c r="M146" s="206">
        <f t="shared" si="48"/>
        <v>3.2214453291178779E-4</v>
      </c>
    </row>
    <row r="147" spans="1:14" x14ac:dyDescent="0.25">
      <c r="M147" s="179"/>
    </row>
    <row r="148" spans="1:14" x14ac:dyDescent="0.25">
      <c r="A148" s="178">
        <v>2014</v>
      </c>
      <c r="B148" s="178">
        <v>2015</v>
      </c>
      <c r="C148" s="178">
        <v>2016</v>
      </c>
      <c r="D148" s="178">
        <v>2017</v>
      </c>
      <c r="E148" s="178">
        <v>2018</v>
      </c>
      <c r="F148" s="178">
        <v>2019</v>
      </c>
      <c r="G148" s="178">
        <v>2020</v>
      </c>
      <c r="H148" s="178">
        <v>2021</v>
      </c>
      <c r="I148" s="178">
        <v>2022</v>
      </c>
      <c r="J148" s="178">
        <v>2023</v>
      </c>
      <c r="K148" s="178">
        <v>2024</v>
      </c>
      <c r="L148" s="178">
        <v>2025</v>
      </c>
      <c r="M148" s="179">
        <v>2026</v>
      </c>
      <c r="N148" s="178">
        <v>2027</v>
      </c>
    </row>
    <row r="149" spans="1:14" x14ac:dyDescent="0.25">
      <c r="A149" s="182">
        <f>E27+E40+E53+E117+E100+E87</f>
        <v>11505</v>
      </c>
      <c r="B149" s="182">
        <f>F27+F40+F53+F117+F100+F87</f>
        <v>11577</v>
      </c>
      <c r="C149" s="182">
        <f>B32+B45+B60+B124+B107+B92</f>
        <v>11770.5</v>
      </c>
      <c r="D149" s="182">
        <f t="shared" ref="D149:N149" si="49">C32+C45+C60+C124+C107+C92</f>
        <v>11822</v>
      </c>
      <c r="E149" s="182">
        <f t="shared" si="49"/>
        <v>12117.5</v>
      </c>
      <c r="F149" s="182">
        <f t="shared" si="49"/>
        <v>12366.5</v>
      </c>
      <c r="G149" s="182">
        <f t="shared" si="49"/>
        <v>12480.5</v>
      </c>
      <c r="H149" s="182">
        <f t="shared" si="49"/>
        <v>12543.75</v>
      </c>
      <c r="I149" s="182">
        <f t="shared" si="49"/>
        <v>12543.125</v>
      </c>
      <c r="J149" s="182">
        <f t="shared" si="49"/>
        <v>12588.375</v>
      </c>
      <c r="K149" s="182">
        <f t="shared" si="49"/>
        <v>12666.5</v>
      </c>
      <c r="L149" s="182">
        <f t="shared" si="49"/>
        <v>12730.5</v>
      </c>
      <c r="M149" s="182">
        <f t="shared" si="49"/>
        <v>12807.216194219951</v>
      </c>
      <c r="N149" s="182">
        <f t="shared" si="49"/>
        <v>12884.422960508822</v>
      </c>
    </row>
    <row r="150" spans="1:14" x14ac:dyDescent="0.25">
      <c r="A150" s="178">
        <v>12398</v>
      </c>
      <c r="H150" s="300"/>
      <c r="I150" s="302"/>
      <c r="K150" s="301">
        <f>(K149-A149)/A149</f>
        <v>0.1009561060408518</v>
      </c>
      <c r="L150" s="301">
        <f t="shared" ref="L150:N150" si="50">(L149-B149)/B149</f>
        <v>9.9637211712878981E-2</v>
      </c>
      <c r="M150" s="301">
        <f t="shared" si="50"/>
        <v>8.8077498340763005E-2</v>
      </c>
      <c r="N150" s="301">
        <f t="shared" si="50"/>
        <v>8.9868293056066834E-2</v>
      </c>
    </row>
    <row r="151" spans="1:14" x14ac:dyDescent="0.25">
      <c r="A151" s="182">
        <f>A150-A149</f>
        <v>893</v>
      </c>
      <c r="H151" s="301"/>
      <c r="K151" s="178">
        <v>12743</v>
      </c>
      <c r="M151" s="179"/>
    </row>
    <row r="152" spans="1:14" x14ac:dyDescent="0.25">
      <c r="K152" s="182">
        <f>K149-K151</f>
        <v>-76.5</v>
      </c>
      <c r="M152" s="179"/>
    </row>
    <row r="153" spans="1:14" x14ac:dyDescent="0.25">
      <c r="M153" s="179"/>
    </row>
    <row r="154" spans="1:14" x14ac:dyDescent="0.25">
      <c r="M154" s="179"/>
    </row>
    <row r="155" spans="1:14" x14ac:dyDescent="0.25">
      <c r="M155" s="179"/>
    </row>
    <row r="156" spans="1:14" x14ac:dyDescent="0.25">
      <c r="M156" s="179"/>
    </row>
    <row r="157" spans="1:14" x14ac:dyDescent="0.25">
      <c r="M157" s="179"/>
    </row>
    <row r="158" spans="1:14" x14ac:dyDescent="0.25">
      <c r="M158" s="179"/>
    </row>
    <row r="159" spans="1:14" x14ac:dyDescent="0.25">
      <c r="M159" s="179"/>
    </row>
    <row r="160" spans="1:14" x14ac:dyDescent="0.25">
      <c r="M160" s="179"/>
    </row>
    <row r="161" spans="13:13" x14ac:dyDescent="0.25">
      <c r="M161" s="179"/>
    </row>
    <row r="162" spans="13:13" x14ac:dyDescent="0.25">
      <c r="M162" s="179"/>
    </row>
    <row r="163" spans="13:13" x14ac:dyDescent="0.25">
      <c r="M163" s="179"/>
    </row>
    <row r="164" spans="13:13" x14ac:dyDescent="0.25">
      <c r="M164" s="179"/>
    </row>
    <row r="165" spans="13:13" x14ac:dyDescent="0.25">
      <c r="M165" s="179"/>
    </row>
    <row r="166" spans="13:13" x14ac:dyDescent="0.25">
      <c r="M166" s="179"/>
    </row>
    <row r="167" spans="13:13" x14ac:dyDescent="0.25">
      <c r="M167" s="179"/>
    </row>
    <row r="168" spans="13:13" x14ac:dyDescent="0.25">
      <c r="M168" s="179"/>
    </row>
    <row r="169" spans="13:13" x14ac:dyDescent="0.25">
      <c r="M169" s="179"/>
    </row>
    <row r="170" spans="13:13" x14ac:dyDescent="0.25">
      <c r="M170" s="179"/>
    </row>
    <row r="171" spans="13:13" x14ac:dyDescent="0.25">
      <c r="M171" s="179"/>
    </row>
    <row r="172" spans="13:13" x14ac:dyDescent="0.25">
      <c r="M172" s="179"/>
    </row>
    <row r="173" spans="13:13" x14ac:dyDescent="0.25">
      <c r="M173" s="179"/>
    </row>
    <row r="174" spans="13:13" x14ac:dyDescent="0.25">
      <c r="M174" s="179"/>
    </row>
    <row r="175" spans="13:13" x14ac:dyDescent="0.25">
      <c r="M175" s="179"/>
    </row>
    <row r="176" spans="13:13" x14ac:dyDescent="0.25">
      <c r="M176" s="179"/>
    </row>
    <row r="177" spans="13:13" x14ac:dyDescent="0.25">
      <c r="M177" s="179"/>
    </row>
    <row r="178" spans="13:13" x14ac:dyDescent="0.25">
      <c r="M178" s="179"/>
    </row>
    <row r="179" spans="13:13" x14ac:dyDescent="0.25">
      <c r="M179" s="179"/>
    </row>
    <row r="180" spans="13:13" x14ac:dyDescent="0.25">
      <c r="M180" s="179"/>
    </row>
    <row r="181" spans="13:13" x14ac:dyDescent="0.25">
      <c r="M181" s="179"/>
    </row>
    <row r="182" spans="13:13" x14ac:dyDescent="0.25">
      <c r="M182" s="179"/>
    </row>
    <row r="183" spans="13:13" x14ac:dyDescent="0.25">
      <c r="M183" s="179"/>
    </row>
    <row r="184" spans="13:13" x14ac:dyDescent="0.25">
      <c r="M184" s="179"/>
    </row>
    <row r="185" spans="13:13" x14ac:dyDescent="0.25">
      <c r="M185" s="179"/>
    </row>
    <row r="186" spans="13:13" x14ac:dyDescent="0.25">
      <c r="M186" s="179"/>
    </row>
    <row r="187" spans="13:13" x14ac:dyDescent="0.25">
      <c r="M187" s="179"/>
    </row>
    <row r="188" spans="13:13" x14ac:dyDescent="0.25">
      <c r="M188" s="179"/>
    </row>
    <row r="189" spans="13:13" x14ac:dyDescent="0.25">
      <c r="M189" s="179"/>
    </row>
    <row r="190" spans="13:13" x14ac:dyDescent="0.25">
      <c r="M190" s="179"/>
    </row>
    <row r="191" spans="13:13" x14ac:dyDescent="0.25">
      <c r="M191" s="179"/>
    </row>
    <row r="192" spans="13:13" x14ac:dyDescent="0.25">
      <c r="M192" s="179"/>
    </row>
  </sheetData>
  <mergeCells count="8">
    <mergeCell ref="A25:M25"/>
    <mergeCell ref="A132:M132"/>
    <mergeCell ref="A115:M115"/>
    <mergeCell ref="A98:M98"/>
    <mergeCell ref="A85:M85"/>
    <mergeCell ref="A68:M68"/>
    <mergeCell ref="A51:M51"/>
    <mergeCell ref="A38:M38"/>
  </mergeCells>
  <phoneticPr fontId="2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34B0-70C9-4911-9E29-83B0DE311AE9}">
  <dimension ref="A1:O59"/>
  <sheetViews>
    <sheetView workbookViewId="0">
      <selection activeCell="C13" sqref="C13"/>
    </sheetView>
  </sheetViews>
  <sheetFormatPr defaultRowHeight="12.75" x14ac:dyDescent="0.2"/>
  <cols>
    <col min="2" max="2" width="8.85546875" customWidth="1"/>
  </cols>
  <sheetData>
    <row r="1" spans="1:15" x14ac:dyDescent="0.2">
      <c r="A1" t="s">
        <v>75</v>
      </c>
    </row>
    <row r="2" spans="1:15" x14ac:dyDescent="0.2">
      <c r="A2" t="s">
        <v>56</v>
      </c>
      <c r="B2" s="343" t="s">
        <v>51</v>
      </c>
      <c r="C2" s="344"/>
      <c r="D2" s="343" t="s">
        <v>57</v>
      </c>
      <c r="E2" s="344"/>
      <c r="F2" s="343" t="s">
        <v>114</v>
      </c>
      <c r="G2" s="344"/>
      <c r="H2" s="343" t="s">
        <v>131</v>
      </c>
      <c r="I2" s="344"/>
      <c r="J2" s="343" t="s">
        <v>130</v>
      </c>
      <c r="K2" s="344"/>
      <c r="L2" s="343" t="s">
        <v>78</v>
      </c>
      <c r="M2" s="344"/>
      <c r="N2" s="343" t="s">
        <v>79</v>
      </c>
      <c r="O2" s="344"/>
    </row>
    <row r="3" spans="1:15" x14ac:dyDescent="0.2">
      <c r="A3">
        <v>2015</v>
      </c>
      <c r="B3" s="297">
        <v>10242</v>
      </c>
      <c r="C3" s="298"/>
      <c r="D3" s="297">
        <v>1360</v>
      </c>
      <c r="E3" s="298"/>
      <c r="F3" s="297">
        <v>102</v>
      </c>
      <c r="G3" s="298"/>
      <c r="H3" s="297">
        <v>6</v>
      </c>
      <c r="I3" s="298"/>
      <c r="J3" s="297">
        <v>30</v>
      </c>
      <c r="K3" s="298"/>
      <c r="L3" s="297">
        <v>73</v>
      </c>
      <c r="M3" s="298"/>
      <c r="N3" s="297">
        <v>3007</v>
      </c>
      <c r="O3" s="298"/>
    </row>
    <row r="4" spans="1:15" s="288" customFormat="1" x14ac:dyDescent="0.2">
      <c r="A4" s="288">
        <v>2016</v>
      </c>
      <c r="B4" s="289">
        <v>10312</v>
      </c>
      <c r="C4" s="290">
        <f>(B4+B3)/2</f>
        <v>10277</v>
      </c>
      <c r="D4" s="289">
        <v>1206</v>
      </c>
      <c r="E4" s="290">
        <f>(D4+D3)/2</f>
        <v>1283</v>
      </c>
      <c r="F4" s="289">
        <v>101</v>
      </c>
      <c r="G4" s="290">
        <f>(F4+F3)/2</f>
        <v>101.5</v>
      </c>
      <c r="H4" s="289">
        <v>6</v>
      </c>
      <c r="I4" s="290">
        <f>(H4+H3)/2</f>
        <v>6</v>
      </c>
      <c r="J4" s="289">
        <v>30</v>
      </c>
      <c r="K4" s="290">
        <f>(J4+J3)/2</f>
        <v>30</v>
      </c>
      <c r="L4" s="289">
        <v>73</v>
      </c>
      <c r="M4" s="290">
        <f>(L4+L3)/2</f>
        <v>73</v>
      </c>
      <c r="N4" s="289">
        <v>2932</v>
      </c>
      <c r="O4" s="290">
        <f>(N4+N3)/2</f>
        <v>2969.5</v>
      </c>
    </row>
    <row r="5" spans="1:15" x14ac:dyDescent="0.2">
      <c r="A5">
        <v>2017</v>
      </c>
      <c r="B5" s="286">
        <v>10437</v>
      </c>
      <c r="C5" s="290">
        <f>(B5+B4)/2</f>
        <v>10374.5</v>
      </c>
      <c r="D5" s="286">
        <v>1243</v>
      </c>
      <c r="E5" s="290">
        <f>(D5+D4)/2</f>
        <v>1224.5</v>
      </c>
      <c r="F5" s="286">
        <v>126</v>
      </c>
      <c r="G5" s="290">
        <f>(F5+F4)/2</f>
        <v>113.5</v>
      </c>
      <c r="H5" s="286">
        <v>6</v>
      </c>
      <c r="I5" s="290">
        <f>(H5+H4)/2</f>
        <v>6</v>
      </c>
      <c r="J5" s="286">
        <v>31</v>
      </c>
      <c r="K5" s="290">
        <f>(J5+J4)/2</f>
        <v>30.5</v>
      </c>
      <c r="L5" s="286">
        <v>73</v>
      </c>
      <c r="M5" s="290">
        <f>(L5+L4)/2</f>
        <v>73</v>
      </c>
      <c r="N5" s="286">
        <v>2932</v>
      </c>
      <c r="O5" s="290">
        <f>(N5+N4)/2</f>
        <v>2932</v>
      </c>
    </row>
    <row r="6" spans="1:15" x14ac:dyDescent="0.2">
      <c r="A6">
        <v>2018</v>
      </c>
      <c r="B6" s="286">
        <v>10882</v>
      </c>
      <c r="C6" s="290">
        <f t="shared" ref="C6:C13" si="0">(B6+B5)/2</f>
        <v>10659.5</v>
      </c>
      <c r="D6" s="286">
        <v>1231</v>
      </c>
      <c r="E6" s="290">
        <f t="shared" ref="E6:E13" si="1">(D6+D5)/2</f>
        <v>1237</v>
      </c>
      <c r="F6" s="286">
        <v>95</v>
      </c>
      <c r="G6" s="290">
        <f t="shared" ref="G6:G12" si="2">(F6+F5)/2</f>
        <v>110.5</v>
      </c>
      <c r="H6" s="286">
        <v>6</v>
      </c>
      <c r="I6" s="290">
        <f t="shared" ref="I6:I12" si="3">(H6+H5)/2</f>
        <v>6</v>
      </c>
      <c r="J6" s="286">
        <v>32</v>
      </c>
      <c r="K6" s="290">
        <f t="shared" ref="K6:K12" si="4">(J6+J5)/2</f>
        <v>31.5</v>
      </c>
      <c r="L6" s="286">
        <v>73</v>
      </c>
      <c r="M6" s="290">
        <f t="shared" ref="M6:M12" si="5">(L6+L5)/2</f>
        <v>73</v>
      </c>
      <c r="N6" s="286">
        <v>2978</v>
      </c>
      <c r="O6" s="290">
        <f t="shared" ref="O6:O12" si="6">(N6+N5)/2</f>
        <v>2955</v>
      </c>
    </row>
    <row r="7" spans="1:15" x14ac:dyDescent="0.2">
      <c r="A7">
        <v>2019</v>
      </c>
      <c r="B7" s="286">
        <v>10963</v>
      </c>
      <c r="C7" s="290">
        <f t="shared" si="0"/>
        <v>10922.5</v>
      </c>
      <c r="D7" s="286">
        <v>1243</v>
      </c>
      <c r="E7" s="290">
        <f t="shared" si="1"/>
        <v>1237</v>
      </c>
      <c r="F7" s="286">
        <v>97</v>
      </c>
      <c r="G7" s="290">
        <f t="shared" si="2"/>
        <v>96</v>
      </c>
      <c r="H7" s="286">
        <v>6</v>
      </c>
      <c r="I7" s="290">
        <f t="shared" si="3"/>
        <v>6</v>
      </c>
      <c r="J7" s="286">
        <v>32</v>
      </c>
      <c r="K7" s="290">
        <f t="shared" si="4"/>
        <v>32</v>
      </c>
      <c r="L7" s="286">
        <v>73</v>
      </c>
      <c r="M7" s="290">
        <f t="shared" si="5"/>
        <v>73</v>
      </c>
      <c r="N7" s="286">
        <v>3006</v>
      </c>
      <c r="O7" s="290">
        <f t="shared" si="6"/>
        <v>2992</v>
      </c>
    </row>
    <row r="8" spans="1:15" x14ac:dyDescent="0.2">
      <c r="A8">
        <v>2020</v>
      </c>
      <c r="B8" s="286">
        <v>11076</v>
      </c>
      <c r="C8" s="290">
        <f t="shared" si="0"/>
        <v>11019.5</v>
      </c>
      <c r="D8" s="286">
        <v>1261</v>
      </c>
      <c r="E8" s="290">
        <f t="shared" si="1"/>
        <v>1252</v>
      </c>
      <c r="F8" s="286">
        <v>99</v>
      </c>
      <c r="G8" s="290">
        <f t="shared" si="2"/>
        <v>98</v>
      </c>
      <c r="H8" s="286">
        <v>6</v>
      </c>
      <c r="I8" s="290">
        <f t="shared" si="3"/>
        <v>6</v>
      </c>
      <c r="J8" s="286">
        <v>32</v>
      </c>
      <c r="K8" s="290">
        <f t="shared" si="4"/>
        <v>32</v>
      </c>
      <c r="L8" s="286">
        <v>73</v>
      </c>
      <c r="M8" s="290">
        <f t="shared" si="5"/>
        <v>73</v>
      </c>
      <c r="N8" s="286">
        <v>3080</v>
      </c>
      <c r="O8" s="290">
        <f t="shared" si="6"/>
        <v>3043</v>
      </c>
    </row>
    <row r="9" spans="1:15" x14ac:dyDescent="0.2">
      <c r="A9">
        <v>2021</v>
      </c>
      <c r="B9" s="292">
        <f>(B8+B10)/2</f>
        <v>11116</v>
      </c>
      <c r="C9" s="290">
        <f t="shared" si="0"/>
        <v>11096</v>
      </c>
      <c r="D9" s="293">
        <f>(D8+D11)/2</f>
        <v>1211.5</v>
      </c>
      <c r="E9" s="290">
        <f t="shared" si="1"/>
        <v>1236.25</v>
      </c>
      <c r="F9" s="286">
        <v>103</v>
      </c>
      <c r="G9" s="290">
        <f t="shared" si="2"/>
        <v>101</v>
      </c>
      <c r="H9" s="286">
        <v>6</v>
      </c>
      <c r="I9" s="290">
        <f t="shared" si="3"/>
        <v>6</v>
      </c>
      <c r="J9" s="286">
        <v>31</v>
      </c>
      <c r="K9" s="290">
        <f t="shared" si="4"/>
        <v>31.5</v>
      </c>
      <c r="L9" s="286">
        <v>73</v>
      </c>
      <c r="M9" s="290">
        <f t="shared" si="5"/>
        <v>73</v>
      </c>
      <c r="N9" s="286">
        <v>3103</v>
      </c>
      <c r="O9" s="290">
        <f t="shared" si="6"/>
        <v>3091.5</v>
      </c>
    </row>
    <row r="10" spans="1:15" x14ac:dyDescent="0.2">
      <c r="A10">
        <v>2022</v>
      </c>
      <c r="B10" s="286">
        <v>11156</v>
      </c>
      <c r="C10" s="290">
        <f t="shared" si="0"/>
        <v>11136</v>
      </c>
      <c r="D10" s="293">
        <f>(D9+D11)/2</f>
        <v>1186.75</v>
      </c>
      <c r="E10" s="290">
        <f t="shared" si="1"/>
        <v>1199.125</v>
      </c>
      <c r="F10" s="286">
        <v>93</v>
      </c>
      <c r="G10" s="290">
        <f t="shared" si="2"/>
        <v>98</v>
      </c>
      <c r="H10" s="286">
        <v>6</v>
      </c>
      <c r="I10" s="290">
        <f t="shared" si="3"/>
        <v>6</v>
      </c>
      <c r="J10" s="286">
        <v>31</v>
      </c>
      <c r="K10" s="290">
        <f t="shared" si="4"/>
        <v>31</v>
      </c>
      <c r="L10" s="286">
        <v>73</v>
      </c>
      <c r="M10" s="290">
        <f t="shared" si="5"/>
        <v>73</v>
      </c>
      <c r="N10" s="286">
        <v>3163</v>
      </c>
      <c r="O10" s="290">
        <f t="shared" si="6"/>
        <v>3133</v>
      </c>
    </row>
    <row r="11" spans="1:15" x14ac:dyDescent="0.2">
      <c r="A11">
        <v>2023</v>
      </c>
      <c r="B11" s="286">
        <v>11271</v>
      </c>
      <c r="C11" s="290">
        <f t="shared" si="0"/>
        <v>11213.5</v>
      </c>
      <c r="D11" s="286">
        <v>1162</v>
      </c>
      <c r="E11" s="290">
        <f t="shared" si="1"/>
        <v>1174.375</v>
      </c>
      <c r="F11" s="286">
        <v>90</v>
      </c>
      <c r="G11" s="290">
        <f t="shared" si="2"/>
        <v>91.5</v>
      </c>
      <c r="H11" s="286">
        <v>6</v>
      </c>
      <c r="I11" s="290">
        <f t="shared" si="3"/>
        <v>6</v>
      </c>
      <c r="J11" s="286">
        <v>29</v>
      </c>
      <c r="K11" s="290">
        <f t="shared" si="4"/>
        <v>30</v>
      </c>
      <c r="L11" s="286">
        <v>73</v>
      </c>
      <c r="M11" s="290">
        <f t="shared" si="5"/>
        <v>73</v>
      </c>
      <c r="N11" s="286">
        <v>3161</v>
      </c>
      <c r="O11" s="290">
        <f t="shared" si="6"/>
        <v>3162</v>
      </c>
    </row>
    <row r="12" spans="1:15" x14ac:dyDescent="0.2">
      <c r="A12">
        <v>2024</v>
      </c>
      <c r="B12" s="286">
        <v>11326</v>
      </c>
      <c r="C12" s="290">
        <f t="shared" si="0"/>
        <v>11298.5</v>
      </c>
      <c r="D12" s="286">
        <v>1178</v>
      </c>
      <c r="E12" s="290">
        <f t="shared" si="1"/>
        <v>1170</v>
      </c>
      <c r="F12" s="286">
        <v>90</v>
      </c>
      <c r="G12" s="290">
        <f t="shared" si="2"/>
        <v>90</v>
      </c>
      <c r="H12" s="286">
        <v>6</v>
      </c>
      <c r="I12" s="290">
        <f t="shared" si="3"/>
        <v>6</v>
      </c>
      <c r="J12" s="286">
        <v>29</v>
      </c>
      <c r="K12" s="290">
        <f t="shared" si="4"/>
        <v>29</v>
      </c>
      <c r="L12" s="286">
        <v>73</v>
      </c>
      <c r="M12" s="290">
        <f t="shared" si="5"/>
        <v>73</v>
      </c>
      <c r="N12" s="286">
        <v>3155</v>
      </c>
      <c r="O12" s="290">
        <f t="shared" si="6"/>
        <v>3158</v>
      </c>
    </row>
    <row r="13" spans="1:15" x14ac:dyDescent="0.2">
      <c r="A13">
        <v>2025</v>
      </c>
      <c r="B13" s="287">
        <v>11383</v>
      </c>
      <c r="C13" s="291">
        <f t="shared" si="0"/>
        <v>11354.5</v>
      </c>
      <c r="D13" s="287">
        <v>1180</v>
      </c>
      <c r="E13" s="291">
        <f t="shared" si="1"/>
        <v>1179</v>
      </c>
      <c r="F13" s="287">
        <v>88</v>
      </c>
      <c r="G13" s="291">
        <f>(F13+F12)/2</f>
        <v>89</v>
      </c>
      <c r="H13" s="287">
        <v>6</v>
      </c>
      <c r="I13" s="291">
        <f>(H13+H12)/2</f>
        <v>6</v>
      </c>
      <c r="J13" s="287">
        <v>29</v>
      </c>
      <c r="K13" s="291">
        <f>(J13+J12)/2</f>
        <v>29</v>
      </c>
      <c r="L13" s="287">
        <v>73</v>
      </c>
      <c r="M13" s="291">
        <f>(L13+L12)/2</f>
        <v>73</v>
      </c>
      <c r="N13" s="287">
        <v>3162</v>
      </c>
      <c r="O13" s="291">
        <f>(N13+N12)/2</f>
        <v>3158.5</v>
      </c>
    </row>
    <row r="15" spans="1:15" hidden="1" x14ac:dyDescent="0.2">
      <c r="C15" s="40">
        <v>10312</v>
      </c>
      <c r="D15" s="40"/>
      <c r="E15" s="40">
        <v>1206</v>
      </c>
      <c r="F15" s="40"/>
      <c r="G15" s="40">
        <v>101</v>
      </c>
      <c r="H15" s="40"/>
      <c r="I15" s="40">
        <v>6</v>
      </c>
      <c r="J15" s="40"/>
      <c r="K15" s="40">
        <v>30</v>
      </c>
      <c r="L15" s="40"/>
      <c r="M15" s="40">
        <v>73</v>
      </c>
      <c r="N15" s="40"/>
      <c r="O15" s="40">
        <v>2932</v>
      </c>
    </row>
    <row r="16" spans="1:15" hidden="1" x14ac:dyDescent="0.2">
      <c r="C16" s="40">
        <v>10374.5</v>
      </c>
      <c r="D16" s="40"/>
      <c r="E16" s="40">
        <v>1224.5</v>
      </c>
      <c r="F16" s="40"/>
      <c r="G16" s="40">
        <v>113.5</v>
      </c>
      <c r="H16" s="40"/>
      <c r="I16" s="40">
        <v>6</v>
      </c>
      <c r="J16" s="40"/>
      <c r="K16" s="40">
        <v>30.5</v>
      </c>
      <c r="L16" s="40"/>
      <c r="M16" s="40">
        <v>73</v>
      </c>
      <c r="N16" s="40"/>
      <c r="O16" s="40">
        <v>2932</v>
      </c>
    </row>
    <row r="17" spans="3:15" hidden="1" x14ac:dyDescent="0.2">
      <c r="C17" s="40">
        <v>10659.5</v>
      </c>
      <c r="D17" s="40"/>
      <c r="E17" s="40">
        <v>1237</v>
      </c>
      <c r="F17" s="40"/>
      <c r="G17" s="40">
        <v>110.5</v>
      </c>
      <c r="H17" s="40"/>
      <c r="I17" s="40">
        <v>6</v>
      </c>
      <c r="J17" s="40"/>
      <c r="K17" s="40">
        <v>31.5</v>
      </c>
      <c r="L17" s="40"/>
      <c r="M17" s="40">
        <v>73</v>
      </c>
      <c r="N17" s="40"/>
      <c r="O17" s="40">
        <v>2955</v>
      </c>
    </row>
    <row r="18" spans="3:15" hidden="1" x14ac:dyDescent="0.2">
      <c r="C18" s="40">
        <v>10922.5</v>
      </c>
      <c r="D18" s="40"/>
      <c r="E18" s="40">
        <v>1237</v>
      </c>
      <c r="F18" s="40"/>
      <c r="G18" s="40">
        <v>96</v>
      </c>
      <c r="H18" s="40"/>
      <c r="I18" s="40">
        <v>6</v>
      </c>
      <c r="J18" s="40"/>
      <c r="K18" s="40">
        <v>32</v>
      </c>
      <c r="L18" s="40"/>
      <c r="M18" s="40">
        <v>73</v>
      </c>
      <c r="N18" s="40"/>
      <c r="O18" s="40">
        <v>2992</v>
      </c>
    </row>
    <row r="19" spans="3:15" hidden="1" x14ac:dyDescent="0.2">
      <c r="C19" s="40">
        <v>11019.5</v>
      </c>
      <c r="D19" s="40"/>
      <c r="E19" s="40">
        <v>1252</v>
      </c>
      <c r="F19" s="40"/>
      <c r="G19" s="40">
        <v>98</v>
      </c>
      <c r="H19" s="40"/>
      <c r="I19" s="40">
        <v>6</v>
      </c>
      <c r="J19" s="40"/>
      <c r="K19" s="40">
        <v>32</v>
      </c>
      <c r="L19" s="40"/>
      <c r="M19" s="40">
        <v>73</v>
      </c>
      <c r="N19" s="40"/>
      <c r="O19" s="40">
        <v>3043</v>
      </c>
    </row>
    <row r="20" spans="3:15" hidden="1" x14ac:dyDescent="0.2">
      <c r="C20" s="40">
        <v>11096</v>
      </c>
      <c r="D20" s="40"/>
      <c r="E20" s="40">
        <v>1236.25</v>
      </c>
      <c r="F20" s="40"/>
      <c r="G20" s="40">
        <v>101</v>
      </c>
      <c r="H20" s="40"/>
      <c r="I20" s="40">
        <v>6</v>
      </c>
      <c r="J20" s="40"/>
      <c r="K20" s="40">
        <v>31.5</v>
      </c>
      <c r="L20" s="40"/>
      <c r="M20" s="40">
        <v>73</v>
      </c>
      <c r="N20" s="40"/>
      <c r="O20" s="40">
        <v>3091.5</v>
      </c>
    </row>
    <row r="21" spans="3:15" hidden="1" x14ac:dyDescent="0.2">
      <c r="C21" s="40">
        <v>11136</v>
      </c>
      <c r="D21" s="40"/>
      <c r="E21" s="40">
        <v>1199.125</v>
      </c>
      <c r="F21" s="40"/>
      <c r="G21" s="40">
        <v>98</v>
      </c>
      <c r="H21" s="40"/>
      <c r="I21" s="40">
        <v>6</v>
      </c>
      <c r="J21" s="40"/>
      <c r="K21" s="40">
        <v>31</v>
      </c>
      <c r="L21" s="40"/>
      <c r="M21" s="40">
        <v>73</v>
      </c>
      <c r="N21" s="40"/>
      <c r="O21" s="40">
        <v>3133</v>
      </c>
    </row>
    <row r="22" spans="3:15" hidden="1" x14ac:dyDescent="0.2">
      <c r="C22" s="40">
        <v>11213.5</v>
      </c>
      <c r="D22" s="40"/>
      <c r="E22" s="40">
        <v>1174.375</v>
      </c>
      <c r="F22" s="40"/>
      <c r="G22" s="40">
        <v>91.5</v>
      </c>
      <c r="H22" s="40"/>
      <c r="I22" s="40">
        <v>6</v>
      </c>
      <c r="J22" s="40"/>
      <c r="K22" s="40">
        <v>30</v>
      </c>
      <c r="L22" s="40"/>
      <c r="M22" s="40">
        <v>73</v>
      </c>
      <c r="N22" s="40"/>
      <c r="O22" s="40">
        <v>3162</v>
      </c>
    </row>
    <row r="23" spans="3:15" hidden="1" x14ac:dyDescent="0.2">
      <c r="C23" s="40">
        <v>11298.5</v>
      </c>
      <c r="D23" s="40"/>
      <c r="E23" s="40">
        <v>1170</v>
      </c>
      <c r="F23" s="40"/>
      <c r="G23" s="40">
        <v>90</v>
      </c>
      <c r="H23" s="40"/>
      <c r="I23" s="40">
        <v>6</v>
      </c>
      <c r="J23" s="40"/>
      <c r="K23" s="40">
        <v>29</v>
      </c>
      <c r="L23" s="40"/>
      <c r="M23" s="40">
        <v>73</v>
      </c>
      <c r="N23" s="40"/>
      <c r="O23" s="40">
        <v>3158</v>
      </c>
    </row>
    <row r="24" spans="3:15" hidden="1" x14ac:dyDescent="0.2">
      <c r="C24" s="40">
        <v>11354.5</v>
      </c>
      <c r="D24" s="40"/>
      <c r="E24" s="40">
        <v>1179</v>
      </c>
      <c r="F24" s="40"/>
      <c r="G24" s="40">
        <v>89</v>
      </c>
      <c r="H24" s="40"/>
      <c r="I24" s="40">
        <v>6</v>
      </c>
      <c r="J24" s="40"/>
      <c r="K24" s="40">
        <v>29</v>
      </c>
      <c r="L24" s="40"/>
      <c r="M24" s="40">
        <v>73</v>
      </c>
      <c r="N24" s="40"/>
      <c r="O24" s="40">
        <v>3158.5</v>
      </c>
    </row>
    <row r="25" spans="3:15" hidden="1" x14ac:dyDescent="0.2"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3:15" hidden="1" x14ac:dyDescent="0.2">
      <c r="C26">
        <f>C4-C15</f>
        <v>-35</v>
      </c>
      <c r="E26">
        <f t="shared" ref="E26:O26" si="7">E4-E15</f>
        <v>77</v>
      </c>
      <c r="G26">
        <f t="shared" si="7"/>
        <v>0.5</v>
      </c>
      <c r="I26">
        <f t="shared" si="7"/>
        <v>0</v>
      </c>
      <c r="K26">
        <f t="shared" si="7"/>
        <v>0</v>
      </c>
      <c r="M26">
        <f t="shared" si="7"/>
        <v>0</v>
      </c>
      <c r="O26">
        <f t="shared" si="7"/>
        <v>37.5</v>
      </c>
    </row>
    <row r="27" spans="3:15" hidden="1" x14ac:dyDescent="0.2">
      <c r="C27">
        <f t="shared" ref="C27:O27" si="8">C5-C16</f>
        <v>0</v>
      </c>
      <c r="E27">
        <f t="shared" si="8"/>
        <v>0</v>
      </c>
      <c r="G27">
        <f t="shared" si="8"/>
        <v>0</v>
      </c>
      <c r="I27">
        <f t="shared" si="8"/>
        <v>0</v>
      </c>
      <c r="K27">
        <f t="shared" si="8"/>
        <v>0</v>
      </c>
      <c r="M27">
        <f t="shared" si="8"/>
        <v>0</v>
      </c>
      <c r="O27">
        <f t="shared" si="8"/>
        <v>0</v>
      </c>
    </row>
    <row r="28" spans="3:15" hidden="1" x14ac:dyDescent="0.2">
      <c r="C28">
        <f t="shared" ref="C28:O28" si="9">C6-C17</f>
        <v>0</v>
      </c>
      <c r="E28">
        <f t="shared" si="9"/>
        <v>0</v>
      </c>
      <c r="G28">
        <f t="shared" si="9"/>
        <v>0</v>
      </c>
      <c r="I28">
        <f t="shared" si="9"/>
        <v>0</v>
      </c>
      <c r="K28">
        <f t="shared" si="9"/>
        <v>0</v>
      </c>
      <c r="M28">
        <f t="shared" si="9"/>
        <v>0</v>
      </c>
      <c r="O28">
        <f t="shared" si="9"/>
        <v>0</v>
      </c>
    </row>
    <row r="29" spans="3:15" hidden="1" x14ac:dyDescent="0.2">
      <c r="C29">
        <f t="shared" ref="C29:O29" si="10">C7-C18</f>
        <v>0</v>
      </c>
      <c r="E29">
        <f t="shared" si="10"/>
        <v>0</v>
      </c>
      <c r="G29">
        <f t="shared" si="10"/>
        <v>0</v>
      </c>
      <c r="I29">
        <f t="shared" si="10"/>
        <v>0</v>
      </c>
      <c r="K29">
        <f t="shared" si="10"/>
        <v>0</v>
      </c>
      <c r="M29">
        <f t="shared" si="10"/>
        <v>0</v>
      </c>
      <c r="O29">
        <f t="shared" si="10"/>
        <v>0</v>
      </c>
    </row>
    <row r="30" spans="3:15" hidden="1" x14ac:dyDescent="0.2">
      <c r="C30">
        <f t="shared" ref="C30:O30" si="11">C8-C19</f>
        <v>0</v>
      </c>
      <c r="E30">
        <f t="shared" si="11"/>
        <v>0</v>
      </c>
      <c r="G30">
        <f t="shared" si="11"/>
        <v>0</v>
      </c>
      <c r="I30">
        <f t="shared" si="11"/>
        <v>0</v>
      </c>
      <c r="K30">
        <f t="shared" si="11"/>
        <v>0</v>
      </c>
      <c r="M30">
        <f t="shared" si="11"/>
        <v>0</v>
      </c>
      <c r="O30">
        <f t="shared" si="11"/>
        <v>0</v>
      </c>
    </row>
    <row r="31" spans="3:15" hidden="1" x14ac:dyDescent="0.2">
      <c r="C31">
        <f t="shared" ref="C31:O31" si="12">C9-C20</f>
        <v>0</v>
      </c>
      <c r="E31">
        <f t="shared" si="12"/>
        <v>0</v>
      </c>
      <c r="G31">
        <f t="shared" si="12"/>
        <v>0</v>
      </c>
      <c r="I31">
        <f t="shared" si="12"/>
        <v>0</v>
      </c>
      <c r="K31">
        <f t="shared" si="12"/>
        <v>0</v>
      </c>
      <c r="M31">
        <f t="shared" si="12"/>
        <v>0</v>
      </c>
      <c r="O31">
        <f t="shared" si="12"/>
        <v>0</v>
      </c>
    </row>
    <row r="32" spans="3:15" hidden="1" x14ac:dyDescent="0.2">
      <c r="C32">
        <f t="shared" ref="C32:O32" si="13">C10-C21</f>
        <v>0</v>
      </c>
      <c r="E32">
        <f t="shared" si="13"/>
        <v>0</v>
      </c>
      <c r="G32">
        <f t="shared" si="13"/>
        <v>0</v>
      </c>
      <c r="I32">
        <f t="shared" si="13"/>
        <v>0</v>
      </c>
      <c r="K32">
        <f t="shared" si="13"/>
        <v>0</v>
      </c>
      <c r="M32">
        <f t="shared" si="13"/>
        <v>0</v>
      </c>
      <c r="O32">
        <f t="shared" si="13"/>
        <v>0</v>
      </c>
    </row>
    <row r="33" spans="3:15" hidden="1" x14ac:dyDescent="0.2">
      <c r="C33">
        <f t="shared" ref="C33:O33" si="14">C11-C22</f>
        <v>0</v>
      </c>
      <c r="E33">
        <f t="shared" si="14"/>
        <v>0</v>
      </c>
      <c r="G33">
        <f t="shared" si="14"/>
        <v>0</v>
      </c>
      <c r="I33">
        <f t="shared" si="14"/>
        <v>0</v>
      </c>
      <c r="K33">
        <f t="shared" si="14"/>
        <v>0</v>
      </c>
      <c r="M33">
        <f t="shared" si="14"/>
        <v>0</v>
      </c>
      <c r="O33">
        <f t="shared" si="14"/>
        <v>0</v>
      </c>
    </row>
    <row r="34" spans="3:15" hidden="1" x14ac:dyDescent="0.2">
      <c r="C34">
        <f t="shared" ref="C34:O34" si="15">C12-C23</f>
        <v>0</v>
      </c>
      <c r="E34">
        <f t="shared" si="15"/>
        <v>0</v>
      </c>
      <c r="G34">
        <f t="shared" si="15"/>
        <v>0</v>
      </c>
      <c r="I34">
        <f t="shared" si="15"/>
        <v>0</v>
      </c>
      <c r="K34">
        <f t="shared" si="15"/>
        <v>0</v>
      </c>
      <c r="M34">
        <f t="shared" si="15"/>
        <v>0</v>
      </c>
      <c r="O34">
        <f t="shared" si="15"/>
        <v>0</v>
      </c>
    </row>
    <row r="35" spans="3:15" hidden="1" x14ac:dyDescent="0.2">
      <c r="C35">
        <f t="shared" ref="C35:O35" si="16">C13-C24</f>
        <v>0</v>
      </c>
      <c r="E35" s="40">
        <f>E13-E24</f>
        <v>0</v>
      </c>
      <c r="G35">
        <f t="shared" si="16"/>
        <v>0</v>
      </c>
      <c r="I35">
        <f t="shared" si="16"/>
        <v>0</v>
      </c>
      <c r="K35">
        <f t="shared" si="16"/>
        <v>0</v>
      </c>
      <c r="M35">
        <f t="shared" si="16"/>
        <v>0</v>
      </c>
      <c r="O35">
        <f t="shared" si="16"/>
        <v>0</v>
      </c>
    </row>
    <row r="36" spans="3:15" x14ac:dyDescent="0.2">
      <c r="C36" s="40"/>
    </row>
    <row r="37" spans="3:15" x14ac:dyDescent="0.2"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3:15" x14ac:dyDescent="0.2"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3:15" x14ac:dyDescent="0.2"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3:15" x14ac:dyDescent="0.2"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3:15" x14ac:dyDescent="0.2"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3:15" x14ac:dyDescent="0.2"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3:15" x14ac:dyDescent="0.2"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3:15" x14ac:dyDescent="0.2"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3:15" x14ac:dyDescent="0.2"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3:15" x14ac:dyDescent="0.2"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8" spans="3:15" x14ac:dyDescent="0.2"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3:15" x14ac:dyDescent="0.2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3:15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3:15" x14ac:dyDescent="0.2"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3:15" x14ac:dyDescent="0.2"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3:15" x14ac:dyDescent="0.2"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3:15" x14ac:dyDescent="0.2"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3:15" x14ac:dyDescent="0.2"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</row>
    <row r="56" spans="3:15" x14ac:dyDescent="0.2"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</row>
    <row r="57" spans="3:15" x14ac:dyDescent="0.2"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3:15" x14ac:dyDescent="0.2"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</row>
    <row r="59" spans="3:15" x14ac:dyDescent="0.2"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</sheetData>
  <mergeCells count="7">
    <mergeCell ref="L2:M2"/>
    <mergeCell ref="N2:O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C28D-E181-4DA1-83B3-BC24DA2F2B73}">
  <dimension ref="A1:G82"/>
  <sheetViews>
    <sheetView topLeftCell="A64" workbookViewId="0">
      <selection activeCell="A12" sqref="A12"/>
    </sheetView>
  </sheetViews>
  <sheetFormatPr defaultRowHeight="12.75" x14ac:dyDescent="0.2"/>
  <cols>
    <col min="1" max="1" width="22.140625" bestFit="1" customWidth="1"/>
    <col min="2" max="2" width="5" bestFit="1" customWidth="1"/>
    <col min="3" max="3" width="23.28515625" bestFit="1" customWidth="1"/>
    <col min="4" max="4" width="34.85546875" bestFit="1" customWidth="1"/>
    <col min="5" max="5" width="34.42578125" bestFit="1" customWidth="1"/>
    <col min="6" max="6" width="26.7109375" bestFit="1" customWidth="1"/>
    <col min="7" max="7" width="14.140625" bestFit="1" customWidth="1"/>
  </cols>
  <sheetData>
    <row r="1" spans="1:7" x14ac:dyDescent="0.2">
      <c r="A1" t="s">
        <v>132</v>
      </c>
      <c r="B1" t="s">
        <v>52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</row>
    <row r="2" spans="1:7" x14ac:dyDescent="0.2">
      <c r="A2" t="s">
        <v>138</v>
      </c>
      <c r="B2">
        <v>2016</v>
      </c>
      <c r="C2" t="s">
        <v>139</v>
      </c>
      <c r="D2" t="s">
        <v>140</v>
      </c>
      <c r="E2" s="295">
        <v>141641</v>
      </c>
      <c r="F2" s="295">
        <v>57823879</v>
      </c>
      <c r="G2" s="295">
        <v>117955</v>
      </c>
    </row>
    <row r="3" spans="1:7" x14ac:dyDescent="0.2">
      <c r="A3" t="s">
        <v>138</v>
      </c>
      <c r="B3">
        <v>2016</v>
      </c>
      <c r="C3" t="s">
        <v>139</v>
      </c>
      <c r="D3" t="s">
        <v>141</v>
      </c>
      <c r="E3" s="295">
        <v>265</v>
      </c>
      <c r="F3" s="295">
        <v>153690</v>
      </c>
      <c r="G3" s="295">
        <v>411</v>
      </c>
    </row>
    <row r="4" spans="1:7" x14ac:dyDescent="0.2">
      <c r="A4" t="s">
        <v>138</v>
      </c>
      <c r="B4">
        <v>2016</v>
      </c>
      <c r="C4" t="s">
        <v>139</v>
      </c>
      <c r="D4" t="s">
        <v>142</v>
      </c>
      <c r="E4" s="295">
        <v>94970</v>
      </c>
      <c r="F4" s="295">
        <v>1585584</v>
      </c>
      <c r="G4" s="295">
        <v>4764</v>
      </c>
    </row>
    <row r="5" spans="1:7" x14ac:dyDescent="0.2">
      <c r="A5" t="s">
        <v>138</v>
      </c>
      <c r="B5">
        <v>2016</v>
      </c>
      <c r="C5" t="s">
        <v>139</v>
      </c>
      <c r="D5" t="s">
        <v>143</v>
      </c>
      <c r="E5" s="295">
        <v>2810</v>
      </c>
      <c r="F5" s="295">
        <v>257059</v>
      </c>
      <c r="G5" s="295">
        <v>0</v>
      </c>
    </row>
    <row r="6" spans="1:7" x14ac:dyDescent="0.2">
      <c r="A6" t="s">
        <v>138</v>
      </c>
      <c r="B6">
        <v>2016</v>
      </c>
      <c r="C6" t="s">
        <v>117</v>
      </c>
      <c r="D6" t="s">
        <v>57</v>
      </c>
      <c r="E6" s="295">
        <v>392925</v>
      </c>
      <c r="F6" s="295">
        <v>28315731</v>
      </c>
      <c r="G6" s="295">
        <v>0</v>
      </c>
    </row>
    <row r="7" spans="1:7" x14ac:dyDescent="0.2">
      <c r="A7" t="s">
        <v>138</v>
      </c>
      <c r="B7">
        <v>2016</v>
      </c>
      <c r="C7" t="s">
        <v>117</v>
      </c>
      <c r="D7" t="s">
        <v>144</v>
      </c>
      <c r="E7" s="295">
        <v>464986</v>
      </c>
      <c r="F7" s="295">
        <v>59051959</v>
      </c>
      <c r="G7" s="295">
        <v>188539.6</v>
      </c>
    </row>
    <row r="8" spans="1:7" x14ac:dyDescent="0.2">
      <c r="A8" t="s">
        <v>138</v>
      </c>
      <c r="B8">
        <v>2016</v>
      </c>
      <c r="C8" t="s">
        <v>117</v>
      </c>
      <c r="D8" t="s">
        <v>145</v>
      </c>
      <c r="E8" s="295">
        <v>0</v>
      </c>
      <c r="F8" s="295">
        <v>0</v>
      </c>
      <c r="G8" s="295">
        <v>0</v>
      </c>
    </row>
    <row r="9" spans="1:7" x14ac:dyDescent="0.2">
      <c r="A9" t="s">
        <v>138</v>
      </c>
      <c r="B9">
        <v>2016</v>
      </c>
      <c r="C9" t="s">
        <v>117</v>
      </c>
      <c r="D9" t="s">
        <v>51</v>
      </c>
      <c r="E9" s="295">
        <v>2173572</v>
      </c>
      <c r="F9" s="295">
        <v>91479319</v>
      </c>
      <c r="G9" s="295">
        <v>0</v>
      </c>
    </row>
    <row r="10" spans="1:7" x14ac:dyDescent="0.2">
      <c r="A10" t="s">
        <v>138</v>
      </c>
      <c r="B10">
        <v>2016</v>
      </c>
      <c r="C10" t="s">
        <v>117</v>
      </c>
      <c r="D10" t="s">
        <v>146</v>
      </c>
      <c r="E10" s="295">
        <v>0</v>
      </c>
      <c r="F10" s="295">
        <v>0</v>
      </c>
      <c r="G10" s="295">
        <v>0</v>
      </c>
    </row>
    <row r="11" spans="1:7" x14ac:dyDescent="0.2">
      <c r="A11" t="s">
        <v>138</v>
      </c>
      <c r="B11">
        <v>2017</v>
      </c>
      <c r="C11" t="s">
        <v>139</v>
      </c>
      <c r="D11" t="s">
        <v>140</v>
      </c>
      <c r="E11" s="295">
        <v>181773.78</v>
      </c>
      <c r="F11" s="295">
        <v>56843411</v>
      </c>
      <c r="G11" s="295">
        <v>143958</v>
      </c>
    </row>
    <row r="12" spans="1:7" x14ac:dyDescent="0.2">
      <c r="A12" t="s">
        <v>138</v>
      </c>
      <c r="B12">
        <v>2017</v>
      </c>
      <c r="C12" t="s">
        <v>139</v>
      </c>
      <c r="D12" t="s">
        <v>141</v>
      </c>
      <c r="E12" s="295">
        <v>211.2</v>
      </c>
      <c r="F12" s="295">
        <v>152795</v>
      </c>
      <c r="G12" s="295">
        <v>406</v>
      </c>
    </row>
    <row r="13" spans="1:7" x14ac:dyDescent="0.2">
      <c r="A13" t="s">
        <v>138</v>
      </c>
      <c r="B13">
        <v>2017</v>
      </c>
      <c r="C13" t="s">
        <v>139</v>
      </c>
      <c r="D13" t="s">
        <v>142</v>
      </c>
      <c r="E13" s="295">
        <v>83334.070000000007</v>
      </c>
      <c r="F13" s="295">
        <v>1361607</v>
      </c>
      <c r="G13" s="295">
        <v>3705</v>
      </c>
    </row>
    <row r="14" spans="1:7" x14ac:dyDescent="0.2">
      <c r="A14" t="s">
        <v>138</v>
      </c>
      <c r="B14">
        <v>2017</v>
      </c>
      <c r="C14" t="s">
        <v>139</v>
      </c>
      <c r="D14" t="s">
        <v>143</v>
      </c>
      <c r="E14" s="295">
        <v>2794</v>
      </c>
      <c r="F14" s="295">
        <v>255469</v>
      </c>
      <c r="G14" s="295">
        <v>0</v>
      </c>
    </row>
    <row r="15" spans="1:7" x14ac:dyDescent="0.2">
      <c r="A15" t="s">
        <v>138</v>
      </c>
      <c r="B15">
        <v>2017</v>
      </c>
      <c r="C15" t="s">
        <v>117</v>
      </c>
      <c r="D15" t="s">
        <v>57</v>
      </c>
      <c r="E15" s="295">
        <v>398344.36</v>
      </c>
      <c r="F15" s="295">
        <v>27228067</v>
      </c>
      <c r="G15" s="295">
        <v>0</v>
      </c>
    </row>
    <row r="16" spans="1:7" x14ac:dyDescent="0.2">
      <c r="A16" t="s">
        <v>138</v>
      </c>
      <c r="B16">
        <v>2017</v>
      </c>
      <c r="C16" t="s">
        <v>117</v>
      </c>
      <c r="D16" t="s">
        <v>144</v>
      </c>
      <c r="E16" s="295">
        <v>466209.68</v>
      </c>
      <c r="F16" s="295">
        <v>47449870</v>
      </c>
      <c r="G16" s="295">
        <v>188530</v>
      </c>
    </row>
    <row r="17" spans="1:7" x14ac:dyDescent="0.2">
      <c r="A17" t="s">
        <v>138</v>
      </c>
      <c r="B17">
        <v>2017</v>
      </c>
      <c r="C17" t="s">
        <v>117</v>
      </c>
      <c r="D17" t="s">
        <v>145</v>
      </c>
      <c r="E17" s="295">
        <v>0</v>
      </c>
      <c r="F17" s="295">
        <v>0</v>
      </c>
      <c r="G17" s="295">
        <v>0</v>
      </c>
    </row>
    <row r="18" spans="1:7" x14ac:dyDescent="0.2">
      <c r="A18" t="s">
        <v>138</v>
      </c>
      <c r="B18">
        <v>2017</v>
      </c>
      <c r="C18" t="s">
        <v>117</v>
      </c>
      <c r="D18" t="s">
        <v>51</v>
      </c>
      <c r="E18" s="295">
        <v>2126749</v>
      </c>
      <c r="F18" s="295">
        <v>86529651</v>
      </c>
      <c r="G18" s="295">
        <v>0</v>
      </c>
    </row>
    <row r="19" spans="1:7" x14ac:dyDescent="0.2">
      <c r="A19" t="s">
        <v>138</v>
      </c>
      <c r="B19">
        <v>2017</v>
      </c>
      <c r="C19" t="s">
        <v>117</v>
      </c>
      <c r="D19" t="s">
        <v>146</v>
      </c>
      <c r="E19" s="295">
        <v>0</v>
      </c>
      <c r="F19" s="295">
        <v>0</v>
      </c>
      <c r="G19" s="295">
        <v>0</v>
      </c>
    </row>
    <row r="20" spans="1:7" x14ac:dyDescent="0.2">
      <c r="A20" t="s">
        <v>138</v>
      </c>
      <c r="B20">
        <v>2018</v>
      </c>
      <c r="C20" t="s">
        <v>139</v>
      </c>
      <c r="D20" t="s">
        <v>140</v>
      </c>
      <c r="E20" s="295">
        <v>176014.9</v>
      </c>
      <c r="F20" s="295">
        <v>61680653</v>
      </c>
      <c r="G20" s="295">
        <v>145229</v>
      </c>
    </row>
    <row r="21" spans="1:7" x14ac:dyDescent="0.2">
      <c r="A21" t="s">
        <v>138</v>
      </c>
      <c r="B21">
        <v>2018</v>
      </c>
      <c r="C21" t="s">
        <v>139</v>
      </c>
      <c r="D21" t="s">
        <v>141</v>
      </c>
      <c r="E21" s="295">
        <v>184.91</v>
      </c>
      <c r="F21" s="295">
        <v>149558</v>
      </c>
      <c r="G21" s="295">
        <v>388</v>
      </c>
    </row>
    <row r="22" spans="1:7" x14ac:dyDescent="0.2">
      <c r="A22" t="s">
        <v>138</v>
      </c>
      <c r="B22">
        <v>2018</v>
      </c>
      <c r="C22" t="s">
        <v>139</v>
      </c>
      <c r="D22" t="s">
        <v>142</v>
      </c>
      <c r="E22" s="295">
        <v>87852.91</v>
      </c>
      <c r="F22" s="295">
        <v>1349349</v>
      </c>
      <c r="G22" s="295">
        <v>3920</v>
      </c>
    </row>
    <row r="23" spans="1:7" x14ac:dyDescent="0.2">
      <c r="A23" t="s">
        <v>138</v>
      </c>
      <c r="B23">
        <v>2018</v>
      </c>
      <c r="C23" t="s">
        <v>139</v>
      </c>
      <c r="D23" t="s">
        <v>143</v>
      </c>
      <c r="E23" s="295">
        <v>2820</v>
      </c>
      <c r="F23" s="295">
        <v>249143</v>
      </c>
      <c r="G23" s="295">
        <v>0</v>
      </c>
    </row>
    <row r="24" spans="1:7" x14ac:dyDescent="0.2">
      <c r="A24" t="s">
        <v>138</v>
      </c>
      <c r="B24">
        <v>2018</v>
      </c>
      <c r="C24" t="s">
        <v>117</v>
      </c>
      <c r="D24" t="s">
        <v>57</v>
      </c>
      <c r="E24" s="295">
        <v>413063.51</v>
      </c>
      <c r="F24" s="295">
        <v>28692745</v>
      </c>
      <c r="G24" s="295">
        <v>0</v>
      </c>
    </row>
    <row r="25" spans="1:7" x14ac:dyDescent="0.2">
      <c r="A25" t="s">
        <v>138</v>
      </c>
      <c r="B25">
        <v>2018</v>
      </c>
      <c r="C25" t="s">
        <v>117</v>
      </c>
      <c r="D25" t="s">
        <v>144</v>
      </c>
      <c r="E25" s="295">
        <v>558861.39</v>
      </c>
      <c r="F25" s="295">
        <v>59787962</v>
      </c>
      <c r="G25" s="295">
        <v>173784</v>
      </c>
    </row>
    <row r="26" spans="1:7" x14ac:dyDescent="0.2">
      <c r="A26" t="s">
        <v>138</v>
      </c>
      <c r="B26">
        <v>2018</v>
      </c>
      <c r="C26" t="s">
        <v>117</v>
      </c>
      <c r="D26" t="s">
        <v>145</v>
      </c>
      <c r="E26" s="295">
        <v>0</v>
      </c>
      <c r="F26" s="295">
        <v>0</v>
      </c>
      <c r="G26" s="295">
        <v>0</v>
      </c>
    </row>
    <row r="27" spans="1:7" x14ac:dyDescent="0.2">
      <c r="A27" t="s">
        <v>138</v>
      </c>
      <c r="B27">
        <v>2018</v>
      </c>
      <c r="C27" t="s">
        <v>117</v>
      </c>
      <c r="D27" t="s">
        <v>51</v>
      </c>
      <c r="E27" s="295">
        <v>2224845.04</v>
      </c>
      <c r="F27" s="295">
        <v>94517191</v>
      </c>
      <c r="G27" s="295">
        <v>0</v>
      </c>
    </row>
    <row r="28" spans="1:7" x14ac:dyDescent="0.2">
      <c r="A28" t="s">
        <v>138</v>
      </c>
      <c r="B28">
        <v>2018</v>
      </c>
      <c r="C28" t="s">
        <v>117</v>
      </c>
      <c r="D28" t="s">
        <v>146</v>
      </c>
      <c r="E28" s="295">
        <v>0</v>
      </c>
      <c r="F28" s="295">
        <v>0</v>
      </c>
      <c r="G28" s="295">
        <v>0</v>
      </c>
    </row>
    <row r="29" spans="1:7" x14ac:dyDescent="0.2">
      <c r="A29" t="s">
        <v>138</v>
      </c>
      <c r="B29">
        <v>2019</v>
      </c>
      <c r="C29" t="s">
        <v>139</v>
      </c>
      <c r="D29" t="s">
        <v>140</v>
      </c>
      <c r="E29" s="295">
        <v>175682.76</v>
      </c>
      <c r="F29" s="295">
        <v>60666329</v>
      </c>
      <c r="G29" s="295">
        <v>139224</v>
      </c>
    </row>
    <row r="30" spans="1:7" x14ac:dyDescent="0.2">
      <c r="A30" t="s">
        <v>138</v>
      </c>
      <c r="B30">
        <v>2019</v>
      </c>
      <c r="C30" t="s">
        <v>139</v>
      </c>
      <c r="D30" t="s">
        <v>141</v>
      </c>
      <c r="E30" s="295">
        <v>179.02</v>
      </c>
      <c r="F30" s="295">
        <v>144657</v>
      </c>
      <c r="G30" s="295">
        <v>364</v>
      </c>
    </row>
    <row r="31" spans="1:7" x14ac:dyDescent="0.2">
      <c r="A31" t="s">
        <v>138</v>
      </c>
      <c r="B31">
        <v>2019</v>
      </c>
      <c r="C31" t="s">
        <v>139</v>
      </c>
      <c r="D31" t="s">
        <v>142</v>
      </c>
      <c r="E31" s="295">
        <v>105129.38</v>
      </c>
      <c r="F31" s="295">
        <v>1353784</v>
      </c>
      <c r="G31" s="295">
        <v>3756</v>
      </c>
    </row>
    <row r="32" spans="1:7" x14ac:dyDescent="0.2">
      <c r="A32" t="s">
        <v>138</v>
      </c>
      <c r="B32">
        <v>2019</v>
      </c>
      <c r="C32" t="s">
        <v>139</v>
      </c>
      <c r="D32" t="s">
        <v>143</v>
      </c>
      <c r="E32" s="295">
        <v>2830</v>
      </c>
      <c r="F32" s="295">
        <v>246885</v>
      </c>
      <c r="G32" s="295">
        <v>0</v>
      </c>
    </row>
    <row r="33" spans="1:7" x14ac:dyDescent="0.2">
      <c r="A33" t="s">
        <v>138</v>
      </c>
      <c r="B33">
        <v>2019</v>
      </c>
      <c r="C33" t="s">
        <v>117</v>
      </c>
      <c r="D33" t="s">
        <v>57</v>
      </c>
      <c r="E33" s="295">
        <v>414336.71</v>
      </c>
      <c r="F33" s="295">
        <v>28348056</v>
      </c>
      <c r="G33" s="295">
        <v>0</v>
      </c>
    </row>
    <row r="34" spans="1:7" x14ac:dyDescent="0.2">
      <c r="A34" t="s">
        <v>138</v>
      </c>
      <c r="B34">
        <v>2019</v>
      </c>
      <c r="C34" t="s">
        <v>117</v>
      </c>
      <c r="D34" t="s">
        <v>144</v>
      </c>
      <c r="E34" s="295">
        <v>611997.43999999994</v>
      </c>
      <c r="F34" s="295">
        <v>59632442</v>
      </c>
      <c r="G34" s="295">
        <v>201036</v>
      </c>
    </row>
    <row r="35" spans="1:7" x14ac:dyDescent="0.2">
      <c r="A35" t="s">
        <v>138</v>
      </c>
      <c r="B35">
        <v>2019</v>
      </c>
      <c r="C35" t="s">
        <v>117</v>
      </c>
      <c r="D35" t="s">
        <v>145</v>
      </c>
      <c r="E35" s="295">
        <v>0</v>
      </c>
      <c r="F35" s="295">
        <v>0</v>
      </c>
      <c r="G35" s="295">
        <v>0</v>
      </c>
    </row>
    <row r="36" spans="1:7" x14ac:dyDescent="0.2">
      <c r="A36" t="s">
        <v>138</v>
      </c>
      <c r="B36">
        <v>2019</v>
      </c>
      <c r="C36" t="s">
        <v>117</v>
      </c>
      <c r="D36" t="s">
        <v>51</v>
      </c>
      <c r="E36" s="295">
        <v>2405228.2599999998</v>
      </c>
      <c r="F36" s="295">
        <v>92484569</v>
      </c>
      <c r="G36" s="295">
        <v>0</v>
      </c>
    </row>
    <row r="37" spans="1:7" x14ac:dyDescent="0.2">
      <c r="A37" t="s">
        <v>138</v>
      </c>
      <c r="B37">
        <v>2019</v>
      </c>
      <c r="C37" t="s">
        <v>117</v>
      </c>
      <c r="D37" t="s">
        <v>146</v>
      </c>
      <c r="E37" s="295">
        <v>0</v>
      </c>
      <c r="F37" s="295">
        <v>0</v>
      </c>
      <c r="G37" s="295">
        <v>0</v>
      </c>
    </row>
    <row r="38" spans="1:7" x14ac:dyDescent="0.2">
      <c r="A38" t="s">
        <v>138</v>
      </c>
      <c r="B38">
        <v>2020</v>
      </c>
      <c r="C38" t="s">
        <v>139</v>
      </c>
      <c r="D38" t="s">
        <v>140</v>
      </c>
      <c r="E38" s="295">
        <v>177152</v>
      </c>
      <c r="F38" s="295">
        <v>60666329</v>
      </c>
      <c r="G38" s="295">
        <v>139224</v>
      </c>
    </row>
    <row r="39" spans="1:7" x14ac:dyDescent="0.2">
      <c r="A39" t="s">
        <v>138</v>
      </c>
      <c r="B39">
        <v>2020</v>
      </c>
      <c r="C39" t="s">
        <v>139</v>
      </c>
      <c r="D39" t="s">
        <v>141</v>
      </c>
      <c r="E39" s="295">
        <v>189.25</v>
      </c>
      <c r="F39" s="295">
        <v>141998</v>
      </c>
      <c r="G39" s="295">
        <v>385</v>
      </c>
    </row>
    <row r="40" spans="1:7" x14ac:dyDescent="0.2">
      <c r="A40" t="s">
        <v>138</v>
      </c>
      <c r="B40">
        <v>2020</v>
      </c>
      <c r="C40" t="s">
        <v>139</v>
      </c>
      <c r="D40" t="s">
        <v>142</v>
      </c>
      <c r="E40" s="295">
        <v>113784.55</v>
      </c>
      <c r="F40" s="295">
        <v>1283668</v>
      </c>
      <c r="G40" s="295">
        <v>3927</v>
      </c>
    </row>
    <row r="41" spans="1:7" x14ac:dyDescent="0.2">
      <c r="A41" t="s">
        <v>138</v>
      </c>
      <c r="B41">
        <v>2020</v>
      </c>
      <c r="C41" t="s">
        <v>139</v>
      </c>
      <c r="D41" t="s">
        <v>143</v>
      </c>
      <c r="E41" s="295">
        <v>3081</v>
      </c>
      <c r="F41" s="295">
        <v>246885</v>
      </c>
      <c r="G41" s="295">
        <v>0</v>
      </c>
    </row>
    <row r="42" spans="1:7" x14ac:dyDescent="0.2">
      <c r="A42" t="s">
        <v>138</v>
      </c>
      <c r="B42">
        <v>2020</v>
      </c>
      <c r="C42" t="s">
        <v>117</v>
      </c>
      <c r="D42" t="s">
        <v>57</v>
      </c>
      <c r="E42" s="295">
        <v>443192.62</v>
      </c>
      <c r="F42" s="295">
        <v>26410288</v>
      </c>
      <c r="G42" s="295">
        <v>0</v>
      </c>
    </row>
    <row r="43" spans="1:7" x14ac:dyDescent="0.2">
      <c r="A43" t="s">
        <v>138</v>
      </c>
      <c r="B43">
        <v>2020</v>
      </c>
      <c r="C43" t="s">
        <v>117</v>
      </c>
      <c r="D43" t="s">
        <v>144</v>
      </c>
      <c r="E43" s="295">
        <v>400993.45</v>
      </c>
      <c r="F43" s="295">
        <v>52047649</v>
      </c>
      <c r="G43" s="295">
        <v>126949</v>
      </c>
    </row>
    <row r="44" spans="1:7" x14ac:dyDescent="0.2">
      <c r="A44" t="s">
        <v>138</v>
      </c>
      <c r="B44">
        <v>2020</v>
      </c>
      <c r="C44" t="s">
        <v>117</v>
      </c>
      <c r="D44" t="s">
        <v>145</v>
      </c>
      <c r="E44" s="295">
        <v>0</v>
      </c>
      <c r="F44" s="295">
        <v>0</v>
      </c>
      <c r="G44" s="295">
        <v>0</v>
      </c>
    </row>
    <row r="45" spans="1:7" x14ac:dyDescent="0.2">
      <c r="A45" t="s">
        <v>138</v>
      </c>
      <c r="B45">
        <v>2020</v>
      </c>
      <c r="C45" t="s">
        <v>117</v>
      </c>
      <c r="D45" t="s">
        <v>51</v>
      </c>
      <c r="E45" s="295">
        <v>2422851.06</v>
      </c>
      <c r="F45" s="295">
        <v>98305959</v>
      </c>
      <c r="G45" s="295">
        <v>0</v>
      </c>
    </row>
    <row r="46" spans="1:7" x14ac:dyDescent="0.2">
      <c r="A46" t="s">
        <v>138</v>
      </c>
      <c r="B46">
        <v>2020</v>
      </c>
      <c r="C46" t="s">
        <v>117</v>
      </c>
      <c r="D46" t="s">
        <v>146</v>
      </c>
      <c r="E46" s="295">
        <v>0</v>
      </c>
      <c r="F46" s="295">
        <v>0</v>
      </c>
      <c r="G46" s="295">
        <v>0</v>
      </c>
    </row>
    <row r="47" spans="1:7" x14ac:dyDescent="0.2">
      <c r="A47" t="s">
        <v>138</v>
      </c>
      <c r="B47">
        <v>2021</v>
      </c>
      <c r="C47" t="s">
        <v>139</v>
      </c>
      <c r="D47" t="s">
        <v>140</v>
      </c>
      <c r="E47" s="295">
        <v>216072</v>
      </c>
      <c r="F47" s="295">
        <v>50859469</v>
      </c>
      <c r="G47" s="295">
        <v>115598</v>
      </c>
    </row>
    <row r="48" spans="1:7" x14ac:dyDescent="0.2">
      <c r="A48" t="s">
        <v>138</v>
      </c>
      <c r="B48">
        <v>2021</v>
      </c>
      <c r="C48" t="s">
        <v>139</v>
      </c>
      <c r="D48" t="s">
        <v>141</v>
      </c>
      <c r="E48" s="295">
        <v>9920.5300000000007</v>
      </c>
      <c r="F48" s="295">
        <v>137713</v>
      </c>
      <c r="G48" s="295">
        <v>357</v>
      </c>
    </row>
    <row r="49" spans="1:7" x14ac:dyDescent="0.2">
      <c r="A49" t="s">
        <v>138</v>
      </c>
      <c r="B49">
        <v>2021</v>
      </c>
      <c r="C49" t="s">
        <v>139</v>
      </c>
      <c r="D49" t="s">
        <v>142</v>
      </c>
      <c r="E49" s="295">
        <v>44432.98</v>
      </c>
      <c r="F49" s="295">
        <v>1265084</v>
      </c>
      <c r="G49" s="295">
        <v>3399</v>
      </c>
    </row>
    <row r="50" spans="1:7" x14ac:dyDescent="0.2">
      <c r="A50" t="s">
        <v>138</v>
      </c>
      <c r="B50">
        <v>2021</v>
      </c>
      <c r="C50" t="s">
        <v>139</v>
      </c>
      <c r="D50" t="s">
        <v>143</v>
      </c>
      <c r="E50" s="295">
        <v>3149.2</v>
      </c>
      <c r="F50" s="295">
        <v>248173</v>
      </c>
      <c r="G50" s="295">
        <v>0</v>
      </c>
    </row>
    <row r="51" spans="1:7" x14ac:dyDescent="0.2">
      <c r="A51" t="s">
        <v>138</v>
      </c>
      <c r="B51">
        <v>2021</v>
      </c>
      <c r="C51" t="s">
        <v>117</v>
      </c>
      <c r="D51" t="s">
        <v>57</v>
      </c>
      <c r="E51" s="295">
        <v>432140.93</v>
      </c>
      <c r="F51" s="295">
        <v>27377213</v>
      </c>
      <c r="G51" s="295">
        <v>0</v>
      </c>
    </row>
    <row r="52" spans="1:7" x14ac:dyDescent="0.2">
      <c r="A52" t="s">
        <v>138</v>
      </c>
      <c r="B52">
        <v>2021</v>
      </c>
      <c r="C52" t="s">
        <v>117</v>
      </c>
      <c r="D52" t="s">
        <v>144</v>
      </c>
      <c r="E52" s="295">
        <v>494441.5</v>
      </c>
      <c r="F52" s="295">
        <v>56544701</v>
      </c>
      <c r="G52" s="295">
        <v>231007</v>
      </c>
    </row>
    <row r="53" spans="1:7" x14ac:dyDescent="0.2">
      <c r="A53" t="s">
        <v>138</v>
      </c>
      <c r="B53">
        <v>2021</v>
      </c>
      <c r="C53" t="s">
        <v>117</v>
      </c>
      <c r="D53" t="s">
        <v>145</v>
      </c>
      <c r="E53" s="295">
        <v>0</v>
      </c>
      <c r="F53" s="295">
        <v>0</v>
      </c>
      <c r="G53" s="295">
        <v>0</v>
      </c>
    </row>
    <row r="54" spans="1:7" x14ac:dyDescent="0.2">
      <c r="A54" t="s">
        <v>138</v>
      </c>
      <c r="B54">
        <v>2021</v>
      </c>
      <c r="C54" t="s">
        <v>117</v>
      </c>
      <c r="D54" t="s">
        <v>51</v>
      </c>
      <c r="E54" s="295">
        <v>2531427.4300000002</v>
      </c>
      <c r="F54" s="295">
        <v>106359838</v>
      </c>
      <c r="G54" s="295">
        <v>0</v>
      </c>
    </row>
    <row r="55" spans="1:7" x14ac:dyDescent="0.2">
      <c r="A55" t="s">
        <v>138</v>
      </c>
      <c r="B55">
        <v>2021</v>
      </c>
      <c r="C55" t="s">
        <v>117</v>
      </c>
      <c r="D55" t="s">
        <v>146</v>
      </c>
      <c r="E55" s="295">
        <v>0</v>
      </c>
      <c r="F55" s="295">
        <v>0</v>
      </c>
      <c r="G55" s="295">
        <v>0</v>
      </c>
    </row>
    <row r="56" spans="1:7" x14ac:dyDescent="0.2">
      <c r="A56" t="s">
        <v>138</v>
      </c>
      <c r="B56">
        <v>2022</v>
      </c>
      <c r="C56" t="s">
        <v>139</v>
      </c>
      <c r="D56" t="s">
        <v>140</v>
      </c>
      <c r="E56" s="295">
        <v>145913.65</v>
      </c>
      <c r="F56" s="295">
        <v>45020625</v>
      </c>
      <c r="G56" s="295">
        <v>129568</v>
      </c>
    </row>
    <row r="57" spans="1:7" x14ac:dyDescent="0.2">
      <c r="A57" t="s">
        <v>138</v>
      </c>
      <c r="B57">
        <v>2022</v>
      </c>
      <c r="C57" t="s">
        <v>139</v>
      </c>
      <c r="D57" t="s">
        <v>141</v>
      </c>
      <c r="E57" s="295">
        <v>39266.57</v>
      </c>
      <c r="F57" s="295">
        <v>138479</v>
      </c>
      <c r="G57" s="295">
        <v>360</v>
      </c>
    </row>
    <row r="58" spans="1:7" x14ac:dyDescent="0.2">
      <c r="A58" t="s">
        <v>138</v>
      </c>
      <c r="B58">
        <v>2022</v>
      </c>
      <c r="C58" t="s">
        <v>139</v>
      </c>
      <c r="D58" t="s">
        <v>142</v>
      </c>
      <c r="E58" s="295">
        <v>44903.38</v>
      </c>
      <c r="F58" s="295">
        <v>1271846</v>
      </c>
      <c r="G58" s="295">
        <v>3342</v>
      </c>
    </row>
    <row r="59" spans="1:7" x14ac:dyDescent="0.2">
      <c r="A59" t="s">
        <v>138</v>
      </c>
      <c r="B59">
        <v>2022</v>
      </c>
      <c r="C59" t="s">
        <v>139</v>
      </c>
      <c r="D59" t="s">
        <v>143</v>
      </c>
      <c r="E59" s="295">
        <v>2979.04</v>
      </c>
      <c r="F59" s="295">
        <v>248448</v>
      </c>
      <c r="G59" s="295">
        <v>0</v>
      </c>
    </row>
    <row r="60" spans="1:7" x14ac:dyDescent="0.2">
      <c r="A60" t="s">
        <v>138</v>
      </c>
      <c r="B60">
        <v>2022</v>
      </c>
      <c r="C60" t="s">
        <v>117</v>
      </c>
      <c r="D60" t="s">
        <v>57</v>
      </c>
      <c r="E60" s="295">
        <v>474516.52</v>
      </c>
      <c r="F60" s="295">
        <v>29663800</v>
      </c>
      <c r="G60" s="295">
        <v>0</v>
      </c>
    </row>
    <row r="61" spans="1:7" x14ac:dyDescent="0.2">
      <c r="A61" t="s">
        <v>138</v>
      </c>
      <c r="B61">
        <v>2022</v>
      </c>
      <c r="C61" t="s">
        <v>117</v>
      </c>
      <c r="D61" t="s">
        <v>144</v>
      </c>
      <c r="E61" s="295">
        <v>484595.4</v>
      </c>
      <c r="F61" s="295">
        <v>55678001.560000002</v>
      </c>
      <c r="G61" s="295">
        <v>151124.07</v>
      </c>
    </row>
    <row r="62" spans="1:7" x14ac:dyDescent="0.2">
      <c r="A62" t="s">
        <v>138</v>
      </c>
      <c r="B62">
        <v>2022</v>
      </c>
      <c r="C62" t="s">
        <v>117</v>
      </c>
      <c r="D62" t="s">
        <v>145</v>
      </c>
      <c r="E62" s="295">
        <v>0</v>
      </c>
      <c r="F62" s="295">
        <v>0</v>
      </c>
      <c r="G62" s="295">
        <v>0</v>
      </c>
    </row>
    <row r="63" spans="1:7" x14ac:dyDescent="0.2">
      <c r="A63" t="s">
        <v>138</v>
      </c>
      <c r="B63">
        <v>2022</v>
      </c>
      <c r="C63" t="s">
        <v>117</v>
      </c>
      <c r="D63" t="s">
        <v>51</v>
      </c>
      <c r="E63" s="295">
        <v>2512096.9</v>
      </c>
      <c r="F63" s="295">
        <v>105839455</v>
      </c>
      <c r="G63" s="295">
        <v>0</v>
      </c>
    </row>
    <row r="64" spans="1:7" x14ac:dyDescent="0.2">
      <c r="A64" t="s">
        <v>138</v>
      </c>
      <c r="B64">
        <v>2022</v>
      </c>
      <c r="C64" t="s">
        <v>117</v>
      </c>
      <c r="D64" t="s">
        <v>146</v>
      </c>
      <c r="E64" s="295">
        <v>0</v>
      </c>
      <c r="F64" s="295">
        <v>0</v>
      </c>
      <c r="G64" s="295">
        <v>0</v>
      </c>
    </row>
    <row r="65" spans="1:7" x14ac:dyDescent="0.2">
      <c r="A65" t="s">
        <v>138</v>
      </c>
      <c r="B65">
        <v>2023</v>
      </c>
      <c r="C65" t="s">
        <v>139</v>
      </c>
      <c r="D65" t="s">
        <v>140</v>
      </c>
      <c r="E65" s="295">
        <v>129701.83</v>
      </c>
      <c r="F65" s="295">
        <v>47435810.810000002</v>
      </c>
      <c r="G65" s="295">
        <v>68047.839999999997</v>
      </c>
    </row>
    <row r="66" spans="1:7" x14ac:dyDescent="0.2">
      <c r="A66" t="s">
        <v>138</v>
      </c>
      <c r="B66">
        <v>2023</v>
      </c>
      <c r="C66" t="s">
        <v>139</v>
      </c>
      <c r="D66" t="s">
        <v>141</v>
      </c>
      <c r="E66" s="295">
        <v>38974.230000000003</v>
      </c>
      <c r="F66" s="295">
        <v>136721.45000000001</v>
      </c>
      <c r="G66" s="295">
        <v>0</v>
      </c>
    </row>
    <row r="67" spans="1:7" x14ac:dyDescent="0.2">
      <c r="A67" t="s">
        <v>138</v>
      </c>
      <c r="B67">
        <v>2023</v>
      </c>
      <c r="C67" t="s">
        <v>139</v>
      </c>
      <c r="D67" t="s">
        <v>142</v>
      </c>
      <c r="E67" s="295">
        <v>45123.44</v>
      </c>
      <c r="F67" s="295">
        <v>1187658.02</v>
      </c>
      <c r="G67" s="295">
        <v>3319.34</v>
      </c>
    </row>
    <row r="68" spans="1:7" x14ac:dyDescent="0.2">
      <c r="A68" t="s">
        <v>138</v>
      </c>
      <c r="B68">
        <v>2023</v>
      </c>
      <c r="C68" t="s">
        <v>139</v>
      </c>
      <c r="D68" t="s">
        <v>143</v>
      </c>
      <c r="E68" s="295">
        <v>6978.82</v>
      </c>
      <c r="F68" s="295">
        <v>248859</v>
      </c>
      <c r="G68" s="295">
        <v>0</v>
      </c>
    </row>
    <row r="69" spans="1:7" x14ac:dyDescent="0.2">
      <c r="A69" t="s">
        <v>138</v>
      </c>
      <c r="B69">
        <v>2023</v>
      </c>
      <c r="C69" t="s">
        <v>117</v>
      </c>
      <c r="D69" t="s">
        <v>57</v>
      </c>
      <c r="E69" s="295">
        <v>565702.73</v>
      </c>
      <c r="F69" s="295">
        <v>28828610.309999999</v>
      </c>
      <c r="G69" s="295">
        <v>0</v>
      </c>
    </row>
    <row r="70" spans="1:7" x14ac:dyDescent="0.2">
      <c r="A70" t="s">
        <v>138</v>
      </c>
      <c r="B70">
        <v>2023</v>
      </c>
      <c r="C70" t="s">
        <v>117</v>
      </c>
      <c r="D70" t="s">
        <v>144</v>
      </c>
      <c r="E70" s="295">
        <v>511191.65</v>
      </c>
      <c r="F70" s="295">
        <v>59808297.880000003</v>
      </c>
      <c r="G70" s="295">
        <v>215106.83</v>
      </c>
    </row>
    <row r="71" spans="1:7" x14ac:dyDescent="0.2">
      <c r="A71" t="s">
        <v>138</v>
      </c>
      <c r="B71">
        <v>2023</v>
      </c>
      <c r="C71" t="s">
        <v>117</v>
      </c>
      <c r="D71" t="s">
        <v>145</v>
      </c>
      <c r="E71" s="295">
        <v>0</v>
      </c>
      <c r="F71" s="295">
        <v>0</v>
      </c>
      <c r="G71" s="295">
        <v>0</v>
      </c>
    </row>
    <row r="72" spans="1:7" x14ac:dyDescent="0.2">
      <c r="A72" t="s">
        <v>138</v>
      </c>
      <c r="B72">
        <v>2023</v>
      </c>
      <c r="C72" t="s">
        <v>117</v>
      </c>
      <c r="D72" t="s">
        <v>51</v>
      </c>
      <c r="E72" s="295">
        <v>2531772.75</v>
      </c>
      <c r="F72" s="295">
        <v>96458582.030000001</v>
      </c>
      <c r="G72" s="295">
        <v>0</v>
      </c>
    </row>
    <row r="73" spans="1:7" x14ac:dyDescent="0.2">
      <c r="A73" t="s">
        <v>138</v>
      </c>
      <c r="B73">
        <v>2023</v>
      </c>
      <c r="C73" t="s">
        <v>117</v>
      </c>
      <c r="D73" t="s">
        <v>146</v>
      </c>
      <c r="E73" s="295">
        <v>0</v>
      </c>
      <c r="F73" s="295">
        <v>0</v>
      </c>
      <c r="G73" s="295">
        <v>0</v>
      </c>
    </row>
    <row r="74" spans="1:7" x14ac:dyDescent="0.2">
      <c r="A74" t="s">
        <v>138</v>
      </c>
      <c r="B74">
        <v>2024</v>
      </c>
      <c r="C74" t="s">
        <v>139</v>
      </c>
      <c r="D74" t="s">
        <v>140</v>
      </c>
      <c r="E74" s="295">
        <v>319984.98</v>
      </c>
      <c r="F74" s="295">
        <v>54571051</v>
      </c>
      <c r="G74" s="295">
        <v>125912</v>
      </c>
    </row>
    <row r="75" spans="1:7" x14ac:dyDescent="0.2">
      <c r="A75" t="s">
        <v>138</v>
      </c>
      <c r="B75">
        <v>2024</v>
      </c>
      <c r="C75" t="s">
        <v>139</v>
      </c>
      <c r="D75" t="s">
        <v>141</v>
      </c>
      <c r="E75" s="295">
        <v>37656.230000000003</v>
      </c>
      <c r="F75" s="295">
        <v>136027</v>
      </c>
      <c r="G75" s="295">
        <v>352</v>
      </c>
    </row>
    <row r="76" spans="1:7" x14ac:dyDescent="0.2">
      <c r="A76" t="s">
        <v>138</v>
      </c>
      <c r="B76">
        <v>2024</v>
      </c>
      <c r="C76" t="s">
        <v>139</v>
      </c>
      <c r="D76" t="s">
        <v>142</v>
      </c>
      <c r="E76" s="295">
        <v>43323.61</v>
      </c>
      <c r="F76" s="295">
        <v>1241060</v>
      </c>
      <c r="G76" s="295">
        <v>3339</v>
      </c>
    </row>
    <row r="77" spans="1:7" x14ac:dyDescent="0.2">
      <c r="A77" t="s">
        <v>138</v>
      </c>
      <c r="B77">
        <v>2024</v>
      </c>
      <c r="C77" t="s">
        <v>139</v>
      </c>
      <c r="D77" t="s">
        <v>143</v>
      </c>
      <c r="E77" s="295">
        <v>4596.25</v>
      </c>
      <c r="F77" s="295">
        <v>250863</v>
      </c>
      <c r="G77" s="295">
        <v>0</v>
      </c>
    </row>
    <row r="78" spans="1:7" x14ac:dyDescent="0.2">
      <c r="A78" t="s">
        <v>138</v>
      </c>
      <c r="B78">
        <v>2024</v>
      </c>
      <c r="C78" t="s">
        <v>117</v>
      </c>
      <c r="D78" t="s">
        <v>57</v>
      </c>
      <c r="E78" s="295">
        <v>510694.63</v>
      </c>
      <c r="F78" s="295">
        <v>30934872</v>
      </c>
      <c r="G78" s="295">
        <v>0</v>
      </c>
    </row>
    <row r="79" spans="1:7" x14ac:dyDescent="0.2">
      <c r="A79" t="s">
        <v>138</v>
      </c>
      <c r="B79">
        <v>2024</v>
      </c>
      <c r="C79" t="s">
        <v>117</v>
      </c>
      <c r="D79" t="s">
        <v>144</v>
      </c>
      <c r="E79" s="295">
        <v>277250.65999999997</v>
      </c>
      <c r="F79" s="295">
        <v>54440254</v>
      </c>
      <c r="G79" s="295">
        <v>206808.69</v>
      </c>
    </row>
    <row r="80" spans="1:7" x14ac:dyDescent="0.2">
      <c r="A80" t="s">
        <v>138</v>
      </c>
      <c r="B80">
        <v>2024</v>
      </c>
      <c r="C80" t="s">
        <v>117</v>
      </c>
      <c r="D80" t="s">
        <v>145</v>
      </c>
      <c r="E80" s="295">
        <v>0</v>
      </c>
      <c r="F80" s="295">
        <v>0</v>
      </c>
      <c r="G80" s="295">
        <v>0</v>
      </c>
    </row>
    <row r="81" spans="1:7" x14ac:dyDescent="0.2">
      <c r="A81" t="s">
        <v>138</v>
      </c>
      <c r="B81">
        <v>2024</v>
      </c>
      <c r="C81" t="s">
        <v>117</v>
      </c>
      <c r="D81" t="s">
        <v>51</v>
      </c>
      <c r="E81" s="295">
        <v>2521208.29</v>
      </c>
      <c r="F81" s="295">
        <v>106171199</v>
      </c>
      <c r="G81" s="295">
        <v>0</v>
      </c>
    </row>
    <row r="82" spans="1:7" x14ac:dyDescent="0.2">
      <c r="A82" t="s">
        <v>138</v>
      </c>
      <c r="B82">
        <v>2024</v>
      </c>
      <c r="C82" t="s">
        <v>117</v>
      </c>
      <c r="D82" t="s">
        <v>146</v>
      </c>
      <c r="E82" s="295">
        <v>0</v>
      </c>
      <c r="F82" s="295">
        <v>0</v>
      </c>
      <c r="G82" s="29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5C763ADCD424F92A12D35BCE20D6B" ma:contentTypeVersion="15" ma:contentTypeDescription="Create a new document." ma:contentTypeScope="" ma:versionID="576c6a218e9cca993427fdb36ee8cb12">
  <xsd:schema xmlns:xsd="http://www.w3.org/2001/XMLSchema" xmlns:xs="http://www.w3.org/2001/XMLSchema" xmlns:p="http://schemas.microsoft.com/office/2006/metadata/properties" xmlns:ns1="http://schemas.microsoft.com/sharepoint/v3" xmlns:ns2="45cd1edb-bc22-4a20-951a-eabaa3bee824" xmlns:ns3="1a6b1645-0888-4fab-b44f-6caed2deb131" targetNamespace="http://schemas.microsoft.com/office/2006/metadata/properties" ma:root="true" ma:fieldsID="6d09188af9612ee12b11158313bf122b" ns1:_="" ns2:_="" ns3:_="">
    <xsd:import namespace="http://schemas.microsoft.com/sharepoint/v3"/>
    <xsd:import namespace="45cd1edb-bc22-4a20-951a-eabaa3bee824"/>
    <xsd:import namespace="1a6b1645-0888-4fab-b44f-6caed2deb131"/>
    <xsd:element name="properties">
      <xsd:complexType>
        <xsd:sequence>
          <xsd:element name="documentManagement">
            <xsd:complexType>
              <xsd:all>
                <xsd:element ref="ns2:Disposition_x0020_Context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d1edb-bc22-4a20-951a-eabaa3bee824" elementFormDefault="qualified">
    <xsd:import namespace="http://schemas.microsoft.com/office/2006/documentManagement/types"/>
    <xsd:import namespace="http://schemas.microsoft.com/office/infopath/2007/PartnerControls"/>
    <xsd:element name="Disposition_x0020_Context" ma:index="8" nillable="true" ma:displayName="Disposition Context" ma:internalName="Disposition_x0020_Context">
      <xsd:simpleType>
        <xsd:restriction base="dms:Text">
          <xsd:maxLength value="60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0feda43-4a3a-4dde-b2fb-72b633878d0e}" ma:internalName="TaxCatchAll" ma:showField="CatchAllData" ma:web="45cd1edb-bc22-4a20-951a-eabaa3bee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1645-0888-4fab-b44f-6caed2deb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5119f4e-add6-4197-a727-edb0d1122a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isposition_x0020_Context xmlns="45cd1edb-bc22-4a20-951a-eabaa3bee824" xsi:nil="true"/>
    <TaxCatchAll xmlns="45cd1edb-bc22-4a20-951a-eabaa3bee824" xsi:nil="true"/>
    <lcf76f155ced4ddcb4097134ff3c332f xmlns="1a6b1645-0888-4fab-b44f-6caed2deb13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148AD5-2B17-4202-898A-43AC9742A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cd1edb-bc22-4a20-951a-eabaa3bee824"/>
    <ds:schemaRef ds:uri="1a6b1645-0888-4fab-b44f-6caed2deb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68780A-4F53-4DA4-B9ED-BC03281EFCE2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a6b1645-0888-4fab-b44f-6caed2deb131"/>
    <ds:schemaRef ds:uri="45cd1edb-bc22-4a20-951a-eabaa3bee82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C9CC6CB-6E56-449C-B756-2FC893A8AB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f86f0e4-a396-404b-9fd9-41c4cf25f9c0}" enabled="1" method="Standard" siteId="{198a3c7d-74ec-4699-ac61-64893df4bed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Exhibit 3</vt:lpstr>
      <vt:lpstr>Inputs</vt:lpstr>
      <vt:lpstr>Load Forecast Summary</vt:lpstr>
      <vt:lpstr>Power Purchased Model</vt:lpstr>
      <vt:lpstr>Power Purchased Model (WN)</vt:lpstr>
      <vt:lpstr>Rate Class Energy Model</vt:lpstr>
      <vt:lpstr>Rate Class Customer Model</vt:lpstr>
      <vt:lpstr>Rate Class Load Model</vt:lpstr>
      <vt:lpstr>Selected</vt:lpstr>
      <vt:lpstr>2022 Settled LF</vt:lpstr>
      <vt:lpstr>LF Comparison</vt:lpstr>
      <vt:lpstr>Customer Determination</vt:lpstr>
      <vt:lpstr>Sheet1</vt:lpstr>
      <vt:lpstr>'Load Forecast Summary'!Print_Area</vt:lpstr>
      <vt:lpstr>'Power Purchased Model'!Print_Area</vt:lpstr>
      <vt:lpstr>'Power Purchased Model (WN)'!Print_Area</vt:lpstr>
      <vt:lpstr>'Rate Class Customer Model'!Print_Area</vt:lpstr>
      <vt:lpstr>'Rate Class Load Model'!Print_Area</vt:lpstr>
      <vt:lpstr>'Power Purchased Model'!Print_Titles</vt:lpstr>
      <vt:lpstr>'Power Purchased Model (WN)'!Print_Titles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2026-08-05T18:05:39Z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  <property fmtid="{D5CDD505-2E9C-101B-9397-08002B2CF9AE}" pid="3" name="ContentTypeId">
    <vt:lpwstr>0x0101003055C763ADCD424F92A12D35BCE20D6B</vt:lpwstr>
  </property>
  <property fmtid="{D5CDD505-2E9C-101B-9397-08002B2CF9AE}" pid="4" name="MediaServiceImageTags">
    <vt:lpwstr/>
  </property>
</Properties>
</file>