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06_Settlement Conference/Settlement Proposal/To OEB/"/>
    </mc:Choice>
  </mc:AlternateContent>
  <xr:revisionPtr revIDLastSave="42" documentId="8_{563BCFB0-380B-4521-86BE-FA8AC0303A94}" xr6:coauthVersionLast="47" xr6:coauthVersionMax="47" xr10:uidLastSave="{F6A242F6-1536-4565-8BC3-793C96D9AB65}"/>
  <bookViews>
    <workbookView xWindow="-120" yWindow="-120" windowWidth="29040" windowHeight="15720" tabRatio="704" xr2:uid="{3D4054E1-92DD-4961-90C5-87610CF33C52}"/>
  </bookViews>
  <sheets>
    <sheet name="App.2-ZA_Com. Exp. (2027)" sheetId="6" r:id="rId1"/>
    <sheet name="App.2-ZB_Cost of Power (2027)" sheetId="7" r:id="rId2"/>
    <sheet name="App.2-ZA_Com. Exp. (2028)" sheetId="8" r:id="rId3"/>
    <sheet name="App.2-ZB_Cost of Power (2028)" sheetId="9" r:id="rId4"/>
    <sheet name="App.2-ZA_Com. Exp. (2029)" sheetId="10" r:id="rId5"/>
    <sheet name="App.2-ZB_Cost of Power (2029)" sheetId="11" r:id="rId6"/>
    <sheet name="App.2-ZA_Com. Exp. (2030)" sheetId="12" r:id="rId7"/>
    <sheet name="App.2-ZB_Cost of Power (2030)" sheetId="13" r:id="rId8"/>
    <sheet name="App.2-ZA_Com. Exp. (2031)" sheetId="14" r:id="rId9"/>
    <sheet name="App.2-ZB_Cost of Power (2031)" sheetId="15" r:id="rId10"/>
  </sheets>
  <definedNames>
    <definedName name="_Fill" hidden="1">#REF!</definedName>
    <definedName name="_Order1" hidden="1">255</definedName>
    <definedName name="_Order2" hidden="1">0</definedName>
    <definedName name="_Parse_Out" hidden="1">#REF!</definedName>
    <definedName name="_Sort" hidden="1">#REF!</definedName>
    <definedName name="ApprovedYr">#REF!</definedName>
    <definedName name="AS2DocOpenMode" hidden="1">"AS2DocumentEdit"</definedName>
    <definedName name="BI_LDCLIST">#REF!</definedName>
    <definedName name="Bridge_Year">#REF!</definedName>
    <definedName name="BridgeYear">#REF!</definedName>
    <definedName name="Cash">#REF!</definedName>
    <definedName name="contactf">#REF!</definedName>
    <definedName name="CRLF">#REF!</definedName>
    <definedName name="CustomerAdministration">#REF!</definedName>
    <definedName name="EBNUMBER">#REF!</definedName>
    <definedName name="Fixed_Charges">#REF!</definedName>
    <definedName name="histdate">#REF!</definedName>
    <definedName name="Incr2000">#REF!</definedName>
    <definedName name="Last_Rebasing_Year">#REF!</definedName>
    <definedName name="LDC_LIST">#REF!</definedName>
    <definedName name="LDCLIST">#REF!</definedName>
    <definedName name="LDCNAMES">#REF!</definedName>
    <definedName name="LIMIT">#REF!</definedName>
    <definedName name="LossFactors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idPeak">#REF!</definedName>
    <definedName name="MidPeakPer">#REF!</definedName>
    <definedName name="NonPayment">#REF!</definedName>
    <definedName name="OER">#REF!</definedName>
    <definedName name="OffPeak">#REF!</definedName>
    <definedName name="OffPeakPer">#REF!</definedName>
    <definedName name="OnPeak">#REF!</definedName>
    <definedName name="OnPeakPer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NYbud">#REF!</definedName>
    <definedName name="othPYACT">#REF!</definedName>
    <definedName name="OTHSTART">#REF!</definedName>
    <definedName name="print_end">#REF!</definedName>
    <definedName name="Rate_Class">#REF!</definedName>
    <definedName name="RATE_CLASSES">#REF!</definedName>
    <definedName name="ratedescription">#REF!</definedName>
    <definedName name="RebaseYear">#REF!</definedName>
    <definedName name="RebaseYear_1">#REF!</definedName>
    <definedName name="RenameBridge">#REF!</definedName>
    <definedName name="RenameRebase">#REF!</definedName>
    <definedName name="RenameTest">#REF!</definedName>
    <definedName name="RMpilsVer">#REF!</definedName>
    <definedName name="RMversion">#REF!</definedName>
    <definedName name="SALBENF">#REF!</definedName>
    <definedName name="salreg">#REF!</definedName>
    <definedName name="SALREGF">#REF!</definedName>
    <definedName name="SME">#REF!</definedName>
    <definedName name="TableName">"Dummy"</definedName>
    <definedName name="TEMPA">#REF!</definedName>
    <definedName name="Test_Year">#REF!</definedName>
    <definedName name="TestYear">#REF!</definedName>
    <definedName name="TestYr">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RANBUD">#REF!</definedName>
    <definedName name="TRANEND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Units">#REF!</definedName>
    <definedName name="Units1">#REF!</definedName>
    <definedName name="Units2">#REF!</definedName>
    <definedName name="Utility">#REF!</definedName>
    <definedName name="utitliy1">#REF!</definedName>
    <definedName name="valuevx">42.314159</definedName>
    <definedName name="WAGBENF">#REF!</definedName>
    <definedName name="wagdob">#REF!</definedName>
    <definedName name="wagdobf">#REF!</definedName>
    <definedName name="wagreg">#REF!</definedName>
    <definedName name="wagregf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2" l="1"/>
  <c r="H18" i="14"/>
  <c r="H17" i="14"/>
  <c r="H18" i="8"/>
  <c r="H17" i="8"/>
  <c r="H18" i="10" l="1"/>
  <c r="H17" i="12"/>
  <c r="H17" i="10"/>
  <c r="D10" i="13" l="1"/>
  <c r="G52" i="12"/>
  <c r="G43" i="12"/>
  <c r="G26" i="12"/>
  <c r="D10" i="11"/>
  <c r="G43" i="10"/>
  <c r="G26" i="10"/>
  <c r="D10" i="9"/>
  <c r="G52" i="8"/>
  <c r="G43" i="8"/>
  <c r="G26" i="8"/>
  <c r="D10" i="7"/>
  <c r="G52" i="6"/>
  <c r="G43" i="6"/>
  <c r="G26" i="6"/>
  <c r="H69" i="15" l="1"/>
  <c r="H69" i="13"/>
  <c r="H69" i="11"/>
  <c r="H69" i="9"/>
  <c r="A71" i="15"/>
  <c r="A69" i="15"/>
  <c r="A54" i="15"/>
  <c r="A52" i="15"/>
  <c r="A71" i="13"/>
  <c r="A69" i="13"/>
  <c r="A54" i="13"/>
  <c r="A52" i="13"/>
  <c r="A71" i="11"/>
  <c r="A69" i="11"/>
  <c r="A54" i="11"/>
  <c r="A52" i="11"/>
  <c r="A71" i="9"/>
  <c r="A69" i="9"/>
  <c r="A54" i="9"/>
  <c r="A52" i="9"/>
  <c r="A71" i="7"/>
  <c r="A69" i="7"/>
  <c r="A54" i="7"/>
  <c r="A52" i="7"/>
  <c r="H69" i="7" l="1"/>
  <c r="B181" i="15" l="1"/>
  <c r="B180" i="15"/>
  <c r="B179" i="15"/>
  <c r="B178" i="15"/>
  <c r="B177" i="15"/>
  <c r="B176" i="15"/>
  <c r="B175" i="15"/>
  <c r="B181" i="13"/>
  <c r="B180" i="13"/>
  <c r="B179" i="13"/>
  <c r="B178" i="13"/>
  <c r="B177" i="13"/>
  <c r="B176" i="13"/>
  <c r="B175" i="13"/>
  <c r="B181" i="11"/>
  <c r="B180" i="11"/>
  <c r="B179" i="11"/>
  <c r="B178" i="11"/>
  <c r="B177" i="11"/>
  <c r="B176" i="11"/>
  <c r="B175" i="11"/>
  <c r="B181" i="9"/>
  <c r="B180" i="9"/>
  <c r="B179" i="9"/>
  <c r="B178" i="9"/>
  <c r="B177" i="9"/>
  <c r="B176" i="9"/>
  <c r="B175" i="9"/>
  <c r="B176" i="7"/>
  <c r="B177" i="7"/>
  <c r="B178" i="7"/>
  <c r="B179" i="7"/>
  <c r="B180" i="7"/>
  <c r="B181" i="7"/>
  <c r="B175" i="7"/>
  <c r="H23" i="9"/>
  <c r="H22" i="9"/>
  <c r="H23" i="11"/>
  <c r="H22" i="11"/>
  <c r="H23" i="13"/>
  <c r="H22" i="13"/>
  <c r="H23" i="15"/>
  <c r="H22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43" i="13"/>
  <c r="F42" i="13"/>
  <c r="F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43" i="9"/>
  <c r="F42" i="9"/>
  <c r="F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H22" i="7"/>
  <c r="H23" i="7"/>
  <c r="K60" i="6" l="1"/>
  <c r="J38" i="6"/>
  <c r="J164" i="15"/>
  <c r="F164" i="15"/>
  <c r="J163" i="15"/>
  <c r="F163" i="15"/>
  <c r="J162" i="15"/>
  <c r="F162" i="15"/>
  <c r="J161" i="15"/>
  <c r="F161" i="15"/>
  <c r="J160" i="15"/>
  <c r="F160" i="15"/>
  <c r="E158" i="15"/>
  <c r="I158" i="15" s="1"/>
  <c r="I157" i="15"/>
  <c r="J152" i="15"/>
  <c r="F152" i="15"/>
  <c r="J151" i="15"/>
  <c r="F151" i="15"/>
  <c r="J137" i="15"/>
  <c r="F137" i="15"/>
  <c r="J136" i="15"/>
  <c r="F136" i="15"/>
  <c r="E128" i="15"/>
  <c r="E129" i="15" s="1"/>
  <c r="I129" i="15" s="1"/>
  <c r="I127" i="15"/>
  <c r="J122" i="15"/>
  <c r="F122" i="15"/>
  <c r="J121" i="15"/>
  <c r="F121" i="15"/>
  <c r="I112" i="15"/>
  <c r="E112" i="15" s="1"/>
  <c r="J107" i="15"/>
  <c r="F107" i="15"/>
  <c r="J106" i="15"/>
  <c r="F106" i="15"/>
  <c r="F105" i="15"/>
  <c r="F104" i="15"/>
  <c r="F103" i="15"/>
  <c r="F102" i="15"/>
  <c r="F101" i="15"/>
  <c r="F100" i="15"/>
  <c r="F99" i="15"/>
  <c r="I98" i="15"/>
  <c r="I113" i="15" s="1"/>
  <c r="E113" i="15" s="1"/>
  <c r="F98" i="15"/>
  <c r="J97" i="15"/>
  <c r="F97" i="15"/>
  <c r="J92" i="15"/>
  <c r="F92" i="15"/>
  <c r="J91" i="15"/>
  <c r="F91" i="15"/>
  <c r="E82" i="15"/>
  <c r="E83" i="15" s="1"/>
  <c r="J77" i="15"/>
  <c r="F77" i="15"/>
  <c r="J76" i="15"/>
  <c r="F76" i="15"/>
  <c r="J60" i="15"/>
  <c r="F60" i="15"/>
  <c r="J59" i="15"/>
  <c r="F59" i="15"/>
  <c r="A59" i="15"/>
  <c r="A76" i="15" s="1"/>
  <c r="A91" i="15" s="1"/>
  <c r="A106" i="15" s="1"/>
  <c r="A121" i="15" s="1"/>
  <c r="A136" i="15" s="1"/>
  <c r="A151" i="15" s="1"/>
  <c r="A55" i="15"/>
  <c r="A72" i="15" s="1"/>
  <c r="A87" i="15" s="1"/>
  <c r="A102" i="15" s="1"/>
  <c r="A117" i="15" s="1"/>
  <c r="A132" i="15" s="1"/>
  <c r="A147" i="15" s="1"/>
  <c r="A51" i="15"/>
  <c r="A68" i="15" s="1"/>
  <c r="A85" i="15" s="1"/>
  <c r="A100" i="15" s="1"/>
  <c r="A115" i="15" s="1"/>
  <c r="A130" i="15" s="1"/>
  <c r="A145" i="15" s="1"/>
  <c r="A50" i="15"/>
  <c r="A67" i="15" s="1"/>
  <c r="A84" i="15" s="1"/>
  <c r="A99" i="15" s="1"/>
  <c r="A114" i="15" s="1"/>
  <c r="A129" i="15" s="1"/>
  <c r="A144" i="15" s="1"/>
  <c r="A159" i="15" s="1"/>
  <c r="A48" i="15"/>
  <c r="A65" i="15" s="1"/>
  <c r="A82" i="15" s="1"/>
  <c r="A97" i="15" s="1"/>
  <c r="A112" i="15" s="1"/>
  <c r="A127" i="15" s="1"/>
  <c r="A142" i="15" s="1"/>
  <c r="A157" i="15" s="1"/>
  <c r="A36" i="15"/>
  <c r="A34" i="15"/>
  <c r="A30" i="15"/>
  <c r="A29" i="15"/>
  <c r="F44" i="15"/>
  <c r="A60" i="15"/>
  <c r="A77" i="15" s="1"/>
  <c r="A92" i="15" s="1"/>
  <c r="A107" i="15" s="1"/>
  <c r="A122" i="15" s="1"/>
  <c r="A137" i="15" s="1"/>
  <c r="A152" i="15" s="1"/>
  <c r="A37" i="15"/>
  <c r="A58" i="15"/>
  <c r="A75" i="15" s="1"/>
  <c r="A90" i="15" s="1"/>
  <c r="A105" i="15" s="1"/>
  <c r="A120" i="15" s="1"/>
  <c r="A135" i="15" s="1"/>
  <c r="A150" i="15" s="1"/>
  <c r="A35" i="15"/>
  <c r="A56" i="15"/>
  <c r="A73" i="15" s="1"/>
  <c r="A88" i="15" s="1"/>
  <c r="A103" i="15" s="1"/>
  <c r="A118" i="15" s="1"/>
  <c r="A133" i="15" s="1"/>
  <c r="A148" i="15" s="1"/>
  <c r="A33" i="15"/>
  <c r="A53" i="15"/>
  <c r="A70" i="15" s="1"/>
  <c r="A86" i="15" s="1"/>
  <c r="A101" i="15" s="1"/>
  <c r="A116" i="15" s="1"/>
  <c r="A131" i="15" s="1"/>
  <c r="A146" i="15" s="1"/>
  <c r="A31" i="15"/>
  <c r="A49" i="15"/>
  <c r="A66" i="15" s="1"/>
  <c r="A83" i="15" s="1"/>
  <c r="A98" i="15" s="1"/>
  <c r="A113" i="15" s="1"/>
  <c r="A128" i="15" s="1"/>
  <c r="A143" i="15" s="1"/>
  <c r="A158" i="15" s="1"/>
  <c r="A28" i="15"/>
  <c r="H10" i="15"/>
  <c r="H65" i="14"/>
  <c r="B65" i="14"/>
  <c r="H64" i="14"/>
  <c r="B64" i="14"/>
  <c r="B61" i="14"/>
  <c r="B59" i="14"/>
  <c r="B58" i="14"/>
  <c r="F50" i="14"/>
  <c r="L49" i="14"/>
  <c r="B63" i="14"/>
  <c r="B62" i="14"/>
  <c r="B60" i="14"/>
  <c r="B57" i="14"/>
  <c r="B56" i="14"/>
  <c r="B55" i="14"/>
  <c r="J164" i="13"/>
  <c r="F164" i="13"/>
  <c r="J163" i="13"/>
  <c r="F163" i="13"/>
  <c r="J162" i="13"/>
  <c r="F162" i="13"/>
  <c r="J161" i="13"/>
  <c r="F161" i="13"/>
  <c r="J160" i="13"/>
  <c r="F160" i="13"/>
  <c r="E158" i="13"/>
  <c r="E159" i="13" s="1"/>
  <c r="I157" i="13"/>
  <c r="J152" i="13"/>
  <c r="F152" i="13"/>
  <c r="J151" i="13"/>
  <c r="F151" i="13"/>
  <c r="J137" i="13"/>
  <c r="F137" i="13"/>
  <c r="J136" i="13"/>
  <c r="F136" i="13"/>
  <c r="E128" i="13"/>
  <c r="I127" i="13"/>
  <c r="J122" i="13"/>
  <c r="F122" i="13"/>
  <c r="J121" i="13"/>
  <c r="F121" i="13"/>
  <c r="I112" i="13"/>
  <c r="E112" i="13" s="1"/>
  <c r="J107" i="13"/>
  <c r="F107" i="13"/>
  <c r="J106" i="13"/>
  <c r="F106" i="13"/>
  <c r="F105" i="13"/>
  <c r="F104" i="13"/>
  <c r="F103" i="13"/>
  <c r="F102" i="13"/>
  <c r="F101" i="13"/>
  <c r="F100" i="13"/>
  <c r="F99" i="13"/>
  <c r="I98" i="13"/>
  <c r="I99" i="13" s="1"/>
  <c r="F98" i="13"/>
  <c r="J97" i="13"/>
  <c r="F97" i="13"/>
  <c r="J92" i="13"/>
  <c r="F92" i="13"/>
  <c r="J91" i="13"/>
  <c r="F91" i="13"/>
  <c r="E82" i="13"/>
  <c r="E83" i="13" s="1"/>
  <c r="J77" i="13"/>
  <c r="F77" i="13"/>
  <c r="J76" i="13"/>
  <c r="F76" i="13"/>
  <c r="A70" i="13"/>
  <c r="A86" i="13" s="1"/>
  <c r="A101" i="13" s="1"/>
  <c r="A116" i="13" s="1"/>
  <c r="A131" i="13" s="1"/>
  <c r="A146" i="13" s="1"/>
  <c r="J60" i="13"/>
  <c r="F60" i="13"/>
  <c r="J59" i="13"/>
  <c r="F59" i="13"/>
  <c r="A58" i="13"/>
  <c r="A75" i="13" s="1"/>
  <c r="A90" i="13" s="1"/>
  <c r="A105" i="13" s="1"/>
  <c r="A120" i="13" s="1"/>
  <c r="A135" i="13" s="1"/>
  <c r="A150" i="13" s="1"/>
  <c r="A56" i="13"/>
  <c r="A73" i="13" s="1"/>
  <c r="A88" i="13" s="1"/>
  <c r="A103" i="13" s="1"/>
  <c r="A118" i="13" s="1"/>
  <c r="A133" i="13" s="1"/>
  <c r="A148" i="13" s="1"/>
  <c r="A51" i="13"/>
  <c r="A68" i="13" s="1"/>
  <c r="A85" i="13" s="1"/>
  <c r="A100" i="13" s="1"/>
  <c r="A115" i="13" s="1"/>
  <c r="A130" i="13" s="1"/>
  <c r="A145" i="13" s="1"/>
  <c r="A49" i="13"/>
  <c r="A66" i="13" s="1"/>
  <c r="A83" i="13" s="1"/>
  <c r="A98" i="13" s="1"/>
  <c r="A113" i="13" s="1"/>
  <c r="A128" i="13" s="1"/>
  <c r="A143" i="13" s="1"/>
  <c r="A158" i="13" s="1"/>
  <c r="A48" i="13"/>
  <c r="A65" i="13" s="1"/>
  <c r="A82" i="13" s="1"/>
  <c r="A97" i="13" s="1"/>
  <c r="A112" i="13" s="1"/>
  <c r="A127" i="13" s="1"/>
  <c r="A142" i="13" s="1"/>
  <c r="A157" i="13" s="1"/>
  <c r="A37" i="13"/>
  <c r="A36" i="13"/>
  <c r="A34" i="13"/>
  <c r="A32" i="13"/>
  <c r="A31" i="13"/>
  <c r="A30" i="13"/>
  <c r="A28" i="13"/>
  <c r="A60" i="13"/>
  <c r="A77" i="13" s="1"/>
  <c r="A92" i="13" s="1"/>
  <c r="A107" i="13" s="1"/>
  <c r="A122" i="13" s="1"/>
  <c r="A137" i="13" s="1"/>
  <c r="A152" i="13" s="1"/>
  <c r="A59" i="13"/>
  <c r="A76" i="13" s="1"/>
  <c r="A91" i="13" s="1"/>
  <c r="A106" i="13" s="1"/>
  <c r="A121" i="13" s="1"/>
  <c r="A136" i="13" s="1"/>
  <c r="A151" i="13" s="1"/>
  <c r="A33" i="13"/>
  <c r="A53" i="13"/>
  <c r="A50" i="13"/>
  <c r="A67" i="13" s="1"/>
  <c r="A84" i="13" s="1"/>
  <c r="A99" i="13" s="1"/>
  <c r="A114" i="13" s="1"/>
  <c r="A129" i="13" s="1"/>
  <c r="A144" i="13" s="1"/>
  <c r="A159" i="13" s="1"/>
  <c r="A29" i="13"/>
  <c r="H10" i="13"/>
  <c r="H65" i="12"/>
  <c r="B65" i="12"/>
  <c r="H64" i="12"/>
  <c r="B64" i="12"/>
  <c r="B62" i="12"/>
  <c r="B61" i="12"/>
  <c r="B59" i="12"/>
  <c r="F50" i="12"/>
  <c r="L49" i="12"/>
  <c r="B63" i="12"/>
  <c r="B60" i="12"/>
  <c r="B58" i="12"/>
  <c r="B57" i="12"/>
  <c r="B56" i="12"/>
  <c r="B55" i="12"/>
  <c r="J164" i="11"/>
  <c r="F164" i="11"/>
  <c r="J163" i="11"/>
  <c r="F163" i="11"/>
  <c r="J162" i="11"/>
  <c r="F162" i="11"/>
  <c r="J161" i="11"/>
  <c r="F161" i="11"/>
  <c r="J160" i="11"/>
  <c r="F160" i="11"/>
  <c r="E158" i="11"/>
  <c r="I158" i="11" s="1"/>
  <c r="I157" i="11"/>
  <c r="J152" i="11"/>
  <c r="F152" i="11"/>
  <c r="J151" i="11"/>
  <c r="F151" i="11"/>
  <c r="J137" i="11"/>
  <c r="F137" i="11"/>
  <c r="J136" i="11"/>
  <c r="F136" i="11"/>
  <c r="E128" i="11"/>
  <c r="I128" i="11" s="1"/>
  <c r="I127" i="11"/>
  <c r="J122" i="11"/>
  <c r="F122" i="11"/>
  <c r="J121" i="11"/>
  <c r="F121" i="11"/>
  <c r="I112" i="11"/>
  <c r="E112" i="11" s="1"/>
  <c r="J107" i="11"/>
  <c r="F107" i="11"/>
  <c r="J106" i="11"/>
  <c r="F106" i="11"/>
  <c r="F105" i="11"/>
  <c r="F104" i="11"/>
  <c r="F103" i="11"/>
  <c r="F102" i="11"/>
  <c r="F101" i="11"/>
  <c r="F100" i="11"/>
  <c r="F99" i="11"/>
  <c r="I98" i="11"/>
  <c r="I99" i="11" s="1"/>
  <c r="F98" i="11"/>
  <c r="J97" i="11"/>
  <c r="F97" i="11"/>
  <c r="J92" i="11"/>
  <c r="F92" i="11"/>
  <c r="J91" i="11"/>
  <c r="F91" i="11"/>
  <c r="E82" i="11"/>
  <c r="E83" i="11" s="1"/>
  <c r="J77" i="11"/>
  <c r="F77" i="11"/>
  <c r="J76" i="11"/>
  <c r="F76" i="11"/>
  <c r="J60" i="11"/>
  <c r="F60" i="11"/>
  <c r="J59" i="11"/>
  <c r="F59" i="11"/>
  <c r="A55" i="11"/>
  <c r="A72" i="11" s="1"/>
  <c r="A87" i="11" s="1"/>
  <c r="A102" i="11" s="1"/>
  <c r="A117" i="11" s="1"/>
  <c r="A132" i="11" s="1"/>
  <c r="A147" i="11" s="1"/>
  <c r="A53" i="11"/>
  <c r="A70" i="11" s="1"/>
  <c r="A86" i="11" s="1"/>
  <c r="A101" i="11" s="1"/>
  <c r="A116" i="11" s="1"/>
  <c r="A131" i="11" s="1"/>
  <c r="A146" i="11" s="1"/>
  <c r="A51" i="11"/>
  <c r="A68" i="11" s="1"/>
  <c r="A85" i="11" s="1"/>
  <c r="A100" i="11" s="1"/>
  <c r="A115" i="11" s="1"/>
  <c r="A130" i="11" s="1"/>
  <c r="A145" i="11" s="1"/>
  <c r="A48" i="11"/>
  <c r="A65" i="11" s="1"/>
  <c r="A82" i="11" s="1"/>
  <c r="A97" i="11" s="1"/>
  <c r="A112" i="11" s="1"/>
  <c r="A127" i="11" s="1"/>
  <c r="A142" i="11" s="1"/>
  <c r="A157" i="11" s="1"/>
  <c r="A36" i="11"/>
  <c r="A33" i="11"/>
  <c r="A31" i="11"/>
  <c r="A30" i="11"/>
  <c r="A29" i="11"/>
  <c r="F44" i="11"/>
  <c r="A28" i="11"/>
  <c r="A60" i="11"/>
  <c r="A77" i="11" s="1"/>
  <c r="A92" i="11" s="1"/>
  <c r="A107" i="11" s="1"/>
  <c r="A122" i="11" s="1"/>
  <c r="A137" i="11" s="1"/>
  <c r="A152" i="11" s="1"/>
  <c r="A59" i="11"/>
  <c r="A76" i="11" s="1"/>
  <c r="A91" i="11" s="1"/>
  <c r="A106" i="11" s="1"/>
  <c r="A121" i="11" s="1"/>
  <c r="A136" i="11" s="1"/>
  <c r="A151" i="11" s="1"/>
  <c r="A58" i="11"/>
  <c r="A75" i="11" s="1"/>
  <c r="A90" i="11" s="1"/>
  <c r="A105" i="11" s="1"/>
  <c r="A120" i="11" s="1"/>
  <c r="A135" i="11" s="1"/>
  <c r="A150" i="11" s="1"/>
  <c r="A35" i="11"/>
  <c r="A34" i="11"/>
  <c r="A32" i="11"/>
  <c r="A50" i="11"/>
  <c r="A67" i="11" s="1"/>
  <c r="A84" i="11" s="1"/>
  <c r="A99" i="11" s="1"/>
  <c r="A114" i="11" s="1"/>
  <c r="A129" i="11" s="1"/>
  <c r="A144" i="11" s="1"/>
  <c r="A159" i="11" s="1"/>
  <c r="A49" i="11"/>
  <c r="A66" i="11" s="1"/>
  <c r="A83" i="11" s="1"/>
  <c r="A98" i="11" s="1"/>
  <c r="A113" i="11" s="1"/>
  <c r="A128" i="11" s="1"/>
  <c r="A143" i="11" s="1"/>
  <c r="A158" i="11" s="1"/>
  <c r="H10" i="11"/>
  <c r="H65" i="10"/>
  <c r="B65" i="10"/>
  <c r="H64" i="10"/>
  <c r="B64" i="10"/>
  <c r="B62" i="10"/>
  <c r="B61" i="10"/>
  <c r="B57" i="10"/>
  <c r="F50" i="10"/>
  <c r="L49" i="10"/>
  <c r="G52" i="10"/>
  <c r="B63" i="10"/>
  <c r="B60" i="10"/>
  <c r="B59" i="10"/>
  <c r="B58" i="10"/>
  <c r="B56" i="10"/>
  <c r="B55" i="10"/>
  <c r="J164" i="9"/>
  <c r="F164" i="9"/>
  <c r="J163" i="9"/>
  <c r="F163" i="9"/>
  <c r="J162" i="9"/>
  <c r="F162" i="9"/>
  <c r="J161" i="9"/>
  <c r="F161" i="9"/>
  <c r="J160" i="9"/>
  <c r="F160" i="9"/>
  <c r="E158" i="9"/>
  <c r="I158" i="9" s="1"/>
  <c r="I157" i="9"/>
  <c r="J152" i="9"/>
  <c r="F152" i="9"/>
  <c r="J151" i="9"/>
  <c r="F151" i="9"/>
  <c r="J137" i="9"/>
  <c r="F137" i="9"/>
  <c r="J136" i="9"/>
  <c r="F136" i="9"/>
  <c r="E128" i="9"/>
  <c r="E129" i="9" s="1"/>
  <c r="I129" i="9" s="1"/>
  <c r="I127" i="9"/>
  <c r="J122" i="9"/>
  <c r="F122" i="9"/>
  <c r="J121" i="9"/>
  <c r="F121" i="9"/>
  <c r="I112" i="9"/>
  <c r="E112" i="9" s="1"/>
  <c r="J107" i="9"/>
  <c r="F107" i="9"/>
  <c r="J106" i="9"/>
  <c r="F106" i="9"/>
  <c r="F105" i="9"/>
  <c r="F104" i="9"/>
  <c r="F103" i="9"/>
  <c r="F102" i="9"/>
  <c r="F101" i="9"/>
  <c r="F100" i="9"/>
  <c r="F99" i="9"/>
  <c r="I98" i="9"/>
  <c r="I113" i="9" s="1"/>
  <c r="E113" i="9" s="1"/>
  <c r="F98" i="9"/>
  <c r="J97" i="9"/>
  <c r="F97" i="9"/>
  <c r="J92" i="9"/>
  <c r="F92" i="9"/>
  <c r="J91" i="9"/>
  <c r="F91" i="9"/>
  <c r="E82" i="9"/>
  <c r="E83" i="9" s="1"/>
  <c r="J77" i="9"/>
  <c r="F77" i="9"/>
  <c r="J76" i="9"/>
  <c r="F76" i="9"/>
  <c r="J60" i="9"/>
  <c r="F60" i="9"/>
  <c r="J59" i="9"/>
  <c r="F59" i="9"/>
  <c r="A57" i="9"/>
  <c r="A74" i="9" s="1"/>
  <c r="A89" i="9" s="1"/>
  <c r="A104" i="9" s="1"/>
  <c r="A119" i="9" s="1"/>
  <c r="A134" i="9" s="1"/>
  <c r="A149" i="9" s="1"/>
  <c r="A56" i="9"/>
  <c r="A73" i="9" s="1"/>
  <c r="A88" i="9" s="1"/>
  <c r="A103" i="9" s="1"/>
  <c r="A118" i="9" s="1"/>
  <c r="A133" i="9" s="1"/>
  <c r="A148" i="9" s="1"/>
  <c r="A55" i="9"/>
  <c r="A72" i="9" s="1"/>
  <c r="A87" i="9" s="1"/>
  <c r="A102" i="9" s="1"/>
  <c r="A117" i="9" s="1"/>
  <c r="A132" i="9" s="1"/>
  <c r="A147" i="9" s="1"/>
  <c r="A53" i="9"/>
  <c r="A70" i="9" s="1"/>
  <c r="A86" i="9" s="1"/>
  <c r="A101" i="9" s="1"/>
  <c r="A116" i="9" s="1"/>
  <c r="A131" i="9" s="1"/>
  <c r="A146" i="9" s="1"/>
  <c r="A48" i="9"/>
  <c r="A65" i="9" s="1"/>
  <c r="A82" i="9" s="1"/>
  <c r="A97" i="9" s="1"/>
  <c r="A112" i="9" s="1"/>
  <c r="A127" i="9" s="1"/>
  <c r="A142" i="9" s="1"/>
  <c r="A157" i="9" s="1"/>
  <c r="A38" i="9"/>
  <c r="A34" i="9"/>
  <c r="A33" i="9"/>
  <c r="A30" i="9"/>
  <c r="A29" i="9"/>
  <c r="F44" i="9"/>
  <c r="A28" i="9"/>
  <c r="A60" i="9"/>
  <c r="A77" i="9" s="1"/>
  <c r="A92" i="9" s="1"/>
  <c r="A107" i="9" s="1"/>
  <c r="A122" i="9" s="1"/>
  <c r="A137" i="9" s="1"/>
  <c r="A152" i="9" s="1"/>
  <c r="A59" i="9"/>
  <c r="A76" i="9" s="1"/>
  <c r="A91" i="9" s="1"/>
  <c r="A106" i="9" s="1"/>
  <c r="A121" i="9" s="1"/>
  <c r="A136" i="9" s="1"/>
  <c r="A151" i="9" s="1"/>
  <c r="A58" i="9"/>
  <c r="A75" i="9" s="1"/>
  <c r="A90" i="9" s="1"/>
  <c r="A105" i="9" s="1"/>
  <c r="A120" i="9" s="1"/>
  <c r="A135" i="9" s="1"/>
  <c r="A150" i="9" s="1"/>
  <c r="A35" i="9"/>
  <c r="A32" i="9"/>
  <c r="A31" i="9"/>
  <c r="A50" i="9"/>
  <c r="A67" i="9" s="1"/>
  <c r="A84" i="9" s="1"/>
  <c r="A99" i="9" s="1"/>
  <c r="A114" i="9" s="1"/>
  <c r="A129" i="9" s="1"/>
  <c r="A144" i="9" s="1"/>
  <c r="A159" i="9" s="1"/>
  <c r="A49" i="9"/>
  <c r="A66" i="9" s="1"/>
  <c r="A83" i="9" s="1"/>
  <c r="A98" i="9" s="1"/>
  <c r="A113" i="9" s="1"/>
  <c r="A128" i="9" s="1"/>
  <c r="A143" i="9" s="1"/>
  <c r="A158" i="9" s="1"/>
  <c r="H10" i="9"/>
  <c r="D174" i="9"/>
  <c r="H65" i="8"/>
  <c r="B65" i="8"/>
  <c r="H64" i="8"/>
  <c r="B64" i="8"/>
  <c r="B63" i="8"/>
  <c r="B61" i="8"/>
  <c r="B59" i="8"/>
  <c r="B57" i="8"/>
  <c r="B55" i="8"/>
  <c r="F50" i="8"/>
  <c r="L49" i="8"/>
  <c r="B62" i="8"/>
  <c r="B60" i="8"/>
  <c r="B58" i="8"/>
  <c r="B56" i="8"/>
  <c r="J164" i="7"/>
  <c r="F164" i="7"/>
  <c r="J163" i="7"/>
  <c r="F163" i="7"/>
  <c r="J162" i="7"/>
  <c r="F162" i="7"/>
  <c r="J161" i="7"/>
  <c r="F161" i="7"/>
  <c r="J160" i="7"/>
  <c r="F160" i="7"/>
  <c r="E158" i="7"/>
  <c r="E159" i="7" s="1"/>
  <c r="I157" i="7"/>
  <c r="J152" i="7"/>
  <c r="F152" i="7"/>
  <c r="J151" i="7"/>
  <c r="F151" i="7"/>
  <c r="J137" i="7"/>
  <c r="F137" i="7"/>
  <c r="J136" i="7"/>
  <c r="F136" i="7"/>
  <c r="E128" i="7"/>
  <c r="I128" i="7" s="1"/>
  <c r="I127" i="7"/>
  <c r="J122" i="7"/>
  <c r="F122" i="7"/>
  <c r="J121" i="7"/>
  <c r="F121" i="7"/>
  <c r="I112" i="7"/>
  <c r="E112" i="7" s="1"/>
  <c r="J107" i="7"/>
  <c r="F107" i="7"/>
  <c r="J106" i="7"/>
  <c r="F106" i="7"/>
  <c r="F105" i="7"/>
  <c r="F104" i="7"/>
  <c r="F103" i="7"/>
  <c r="F102" i="7"/>
  <c r="F101" i="7"/>
  <c r="F100" i="7"/>
  <c r="F99" i="7"/>
  <c r="I98" i="7"/>
  <c r="J98" i="7" s="1"/>
  <c r="F98" i="7"/>
  <c r="J97" i="7"/>
  <c r="F97" i="7"/>
  <c r="J92" i="7"/>
  <c r="F92" i="7"/>
  <c r="J91" i="7"/>
  <c r="F91" i="7"/>
  <c r="E82" i="7"/>
  <c r="I82" i="7" s="1"/>
  <c r="J77" i="7"/>
  <c r="F77" i="7"/>
  <c r="J76" i="7"/>
  <c r="F76" i="7"/>
  <c r="J60" i="7"/>
  <c r="F60" i="7"/>
  <c r="A60" i="7"/>
  <c r="A77" i="7" s="1"/>
  <c r="A92" i="7" s="1"/>
  <c r="A107" i="7" s="1"/>
  <c r="A122" i="7" s="1"/>
  <c r="A137" i="7" s="1"/>
  <c r="A152" i="7" s="1"/>
  <c r="J59" i="7"/>
  <c r="F59" i="7"/>
  <c r="A53" i="7"/>
  <c r="A70" i="7" s="1"/>
  <c r="A86" i="7" s="1"/>
  <c r="A101" i="7" s="1"/>
  <c r="A116" i="7" s="1"/>
  <c r="A131" i="7" s="1"/>
  <c r="A146" i="7" s="1"/>
  <c r="A48" i="7"/>
  <c r="A65" i="7" s="1"/>
  <c r="A82" i="7" s="1"/>
  <c r="A97" i="7" s="1"/>
  <c r="A112" i="7" s="1"/>
  <c r="A127" i="7" s="1"/>
  <c r="A142" i="7" s="1"/>
  <c r="A157" i="7" s="1"/>
  <c r="F43" i="7"/>
  <c r="F42" i="7"/>
  <c r="F41" i="7"/>
  <c r="F40" i="7"/>
  <c r="F39" i="7"/>
  <c r="F38" i="7"/>
  <c r="A38" i="7"/>
  <c r="F37" i="7"/>
  <c r="F36" i="7"/>
  <c r="F35" i="7"/>
  <c r="A35" i="7"/>
  <c r="F34" i="7"/>
  <c r="A34" i="7"/>
  <c r="F33" i="7"/>
  <c r="F32" i="7"/>
  <c r="A32" i="7"/>
  <c r="F31" i="7"/>
  <c r="F30" i="7"/>
  <c r="F29" i="7"/>
  <c r="A29" i="7"/>
  <c r="F28" i="7"/>
  <c r="A59" i="7"/>
  <c r="A76" i="7" s="1"/>
  <c r="A91" i="7" s="1"/>
  <c r="A106" i="7" s="1"/>
  <c r="A121" i="7" s="1"/>
  <c r="A136" i="7" s="1"/>
  <c r="A151" i="7" s="1"/>
  <c r="A58" i="7"/>
  <c r="A75" i="7" s="1"/>
  <c r="A90" i="7" s="1"/>
  <c r="A105" i="7" s="1"/>
  <c r="A120" i="7" s="1"/>
  <c r="A135" i="7" s="1"/>
  <c r="A150" i="7" s="1"/>
  <c r="A57" i="7"/>
  <c r="A74" i="7" s="1"/>
  <c r="A89" i="7" s="1"/>
  <c r="A104" i="7" s="1"/>
  <c r="A119" i="7" s="1"/>
  <c r="A134" i="7" s="1"/>
  <c r="A149" i="7" s="1"/>
  <c r="A56" i="7"/>
  <c r="A73" i="7" s="1"/>
  <c r="A88" i="7" s="1"/>
  <c r="A103" i="7" s="1"/>
  <c r="A118" i="7" s="1"/>
  <c r="A133" i="7" s="1"/>
  <c r="A148" i="7" s="1"/>
  <c r="A33" i="7"/>
  <c r="A31" i="7"/>
  <c r="A50" i="7"/>
  <c r="A67" i="7" s="1"/>
  <c r="A84" i="7" s="1"/>
  <c r="A99" i="7" s="1"/>
  <c r="A114" i="7" s="1"/>
  <c r="A129" i="7" s="1"/>
  <c r="A144" i="7" s="1"/>
  <c r="A159" i="7" s="1"/>
  <c r="A49" i="7"/>
  <c r="A66" i="7" s="1"/>
  <c r="A83" i="7" s="1"/>
  <c r="A98" i="7" s="1"/>
  <c r="A113" i="7" s="1"/>
  <c r="A128" i="7" s="1"/>
  <c r="A143" i="7" s="1"/>
  <c r="A158" i="7" s="1"/>
  <c r="A28" i="7"/>
  <c r="D174" i="7"/>
  <c r="K65" i="6"/>
  <c r="L65" i="6" s="1"/>
  <c r="H65" i="6"/>
  <c r="B65" i="6"/>
  <c r="K64" i="6"/>
  <c r="L64" i="6" s="1"/>
  <c r="H64" i="6"/>
  <c r="B64" i="6"/>
  <c r="K61" i="6"/>
  <c r="K57" i="6"/>
  <c r="K56" i="6"/>
  <c r="F50" i="6"/>
  <c r="L49" i="6"/>
  <c r="B63" i="6"/>
  <c r="B62" i="6"/>
  <c r="B61" i="6"/>
  <c r="B60" i="6"/>
  <c r="B59" i="6"/>
  <c r="B58" i="6"/>
  <c r="J31" i="6"/>
  <c r="B57" i="6"/>
  <c r="B56" i="6"/>
  <c r="B55" i="6"/>
  <c r="H18" i="6"/>
  <c r="K63" i="6"/>
  <c r="J98" i="15" l="1"/>
  <c r="I99" i="15"/>
  <c r="J99" i="15" s="1"/>
  <c r="F108" i="15"/>
  <c r="I128" i="15"/>
  <c r="I113" i="13"/>
  <c r="E113" i="13" s="1"/>
  <c r="F108" i="13"/>
  <c r="D174" i="13"/>
  <c r="E129" i="11"/>
  <c r="I129" i="11" s="1"/>
  <c r="F108" i="11"/>
  <c r="E159" i="11"/>
  <c r="I159" i="11" s="1"/>
  <c r="J98" i="11"/>
  <c r="J98" i="9"/>
  <c r="I99" i="9"/>
  <c r="J99" i="9" s="1"/>
  <c r="I128" i="9"/>
  <c r="F108" i="9"/>
  <c r="E83" i="7"/>
  <c r="I83" i="7" s="1"/>
  <c r="E129" i="7"/>
  <c r="E130" i="7" s="1"/>
  <c r="F108" i="7"/>
  <c r="F44" i="7"/>
  <c r="I99" i="7"/>
  <c r="I83" i="11"/>
  <c r="E84" i="11"/>
  <c r="E159" i="9"/>
  <c r="I159" i="9" s="1"/>
  <c r="I82" i="13"/>
  <c r="I82" i="15"/>
  <c r="I158" i="7"/>
  <c r="I82" i="11"/>
  <c r="E159" i="15"/>
  <c r="I159" i="15" s="1"/>
  <c r="J33" i="8"/>
  <c r="J32" i="6"/>
  <c r="K60" i="8"/>
  <c r="J32" i="10"/>
  <c r="K55" i="10"/>
  <c r="J38" i="12"/>
  <c r="K57" i="12"/>
  <c r="J38" i="14"/>
  <c r="K62" i="14"/>
  <c r="J29" i="6"/>
  <c r="J39" i="6"/>
  <c r="K46" i="6"/>
  <c r="K47" i="6" s="1"/>
  <c r="J35" i="6"/>
  <c r="J36" i="6"/>
  <c r="J33" i="6"/>
  <c r="J37" i="6"/>
  <c r="J37" i="8"/>
  <c r="J38" i="8"/>
  <c r="J34" i="8"/>
  <c r="J39" i="8"/>
  <c r="K62" i="8"/>
  <c r="E84" i="15"/>
  <c r="I83" i="15"/>
  <c r="I100" i="15"/>
  <c r="E130" i="15"/>
  <c r="D174" i="15"/>
  <c r="A32" i="15"/>
  <c r="A38" i="15"/>
  <c r="I114" i="15"/>
  <c r="A57" i="15"/>
  <c r="A74" i="15" s="1"/>
  <c r="A89" i="15" s="1"/>
  <c r="A104" i="15" s="1"/>
  <c r="A119" i="15" s="1"/>
  <c r="A134" i="15" s="1"/>
  <c r="A149" i="15" s="1"/>
  <c r="J34" i="14"/>
  <c r="J30" i="14"/>
  <c r="J37" i="14"/>
  <c r="E84" i="13"/>
  <c r="I83" i="13"/>
  <c r="A35" i="13"/>
  <c r="A57" i="13"/>
  <c r="A74" i="13" s="1"/>
  <c r="A89" i="13" s="1"/>
  <c r="A104" i="13" s="1"/>
  <c r="A119" i="13" s="1"/>
  <c r="A134" i="13" s="1"/>
  <c r="A149" i="13" s="1"/>
  <c r="J99" i="13"/>
  <c r="I114" i="13"/>
  <c r="E114" i="13" s="1"/>
  <c r="E129" i="13"/>
  <c r="I128" i="13"/>
  <c r="I158" i="13"/>
  <c r="A38" i="13"/>
  <c r="I159" i="13"/>
  <c r="I100" i="13"/>
  <c r="F44" i="13"/>
  <c r="A55" i="13"/>
  <c r="A72" i="13" s="1"/>
  <c r="A87" i="13" s="1"/>
  <c r="A102" i="13" s="1"/>
  <c r="A117" i="13" s="1"/>
  <c r="A132" i="13" s="1"/>
  <c r="A147" i="13" s="1"/>
  <c r="J98" i="13"/>
  <c r="J99" i="11"/>
  <c r="I114" i="11"/>
  <c r="I100" i="11"/>
  <c r="I113" i="11"/>
  <c r="E113" i="11" s="1"/>
  <c r="E130" i="11"/>
  <c r="A37" i="11"/>
  <c r="D174" i="11"/>
  <c r="A56" i="11"/>
  <c r="A73" i="11" s="1"/>
  <c r="A88" i="11" s="1"/>
  <c r="A103" i="11" s="1"/>
  <c r="A118" i="11" s="1"/>
  <c r="A133" i="11" s="1"/>
  <c r="A148" i="11" s="1"/>
  <c r="A38" i="11"/>
  <c r="A57" i="11"/>
  <c r="A74" i="11" s="1"/>
  <c r="A89" i="11" s="1"/>
  <c r="A104" i="11" s="1"/>
  <c r="A119" i="11" s="1"/>
  <c r="A134" i="11" s="1"/>
  <c r="A149" i="11" s="1"/>
  <c r="K63" i="10"/>
  <c r="E84" i="9"/>
  <c r="I83" i="9"/>
  <c r="A36" i="9"/>
  <c r="A51" i="9"/>
  <c r="A68" i="9" s="1"/>
  <c r="A85" i="9" s="1"/>
  <c r="A100" i="9" s="1"/>
  <c r="A115" i="9" s="1"/>
  <c r="A130" i="9" s="1"/>
  <c r="A145" i="9" s="1"/>
  <c r="I82" i="9"/>
  <c r="E130" i="9"/>
  <c r="A37" i="9"/>
  <c r="I114" i="9"/>
  <c r="E114" i="9" s="1"/>
  <c r="J32" i="8"/>
  <c r="K55" i="8"/>
  <c r="K59" i="8"/>
  <c r="K63" i="8"/>
  <c r="J30" i="8"/>
  <c r="J29" i="8"/>
  <c r="E131" i="7"/>
  <c r="I130" i="7"/>
  <c r="I159" i="7"/>
  <c r="H10" i="7"/>
  <c r="I129" i="7"/>
  <c r="A30" i="7"/>
  <c r="A55" i="7"/>
  <c r="A72" i="7" s="1"/>
  <c r="A87" i="7" s="1"/>
  <c r="A102" i="7" s="1"/>
  <c r="A117" i="7" s="1"/>
  <c r="A132" i="7" s="1"/>
  <c r="A147" i="7" s="1"/>
  <c r="I113" i="7"/>
  <c r="E113" i="7" s="1"/>
  <c r="A36" i="7"/>
  <c r="A51" i="7"/>
  <c r="A68" i="7" s="1"/>
  <c r="A85" i="7" s="1"/>
  <c r="A100" i="7" s="1"/>
  <c r="A115" i="7" s="1"/>
  <c r="A130" i="7" s="1"/>
  <c r="A145" i="7" s="1"/>
  <c r="A37" i="7"/>
  <c r="K58" i="6"/>
  <c r="K62" i="6"/>
  <c r="J34" i="6"/>
  <c r="K55" i="6"/>
  <c r="K59" i="6"/>
  <c r="H17" i="6"/>
  <c r="H20" i="6" s="1"/>
  <c r="J30" i="6"/>
  <c r="I100" i="9" l="1"/>
  <c r="E84" i="7"/>
  <c r="E85" i="7" s="1"/>
  <c r="I85" i="7" s="1"/>
  <c r="E86" i="7"/>
  <c r="I100" i="7"/>
  <c r="J99" i="7"/>
  <c r="I114" i="7"/>
  <c r="E114" i="7" s="1"/>
  <c r="I84" i="7"/>
  <c r="E85" i="11"/>
  <c r="I84" i="11"/>
  <c r="J30" i="10"/>
  <c r="J30" i="12"/>
  <c r="J35" i="12"/>
  <c r="J29" i="14"/>
  <c r="J32" i="14"/>
  <c r="J34" i="12"/>
  <c r="J35" i="14"/>
  <c r="J33" i="12"/>
  <c r="K46" i="12"/>
  <c r="K47" i="12" s="1"/>
  <c r="K48" i="12" s="1"/>
  <c r="K46" i="14"/>
  <c r="K47" i="14" s="1"/>
  <c r="K48" i="14" s="1"/>
  <c r="K60" i="10"/>
  <c r="J37" i="12"/>
  <c r="J33" i="14"/>
  <c r="K58" i="8"/>
  <c r="J36" i="14"/>
  <c r="K56" i="8"/>
  <c r="J34" i="10"/>
  <c r="J29" i="10"/>
  <c r="J39" i="10"/>
  <c r="J38" i="10"/>
  <c r="K56" i="10"/>
  <c r="K61" i="10"/>
  <c r="K55" i="14"/>
  <c r="H20" i="10"/>
  <c r="K63" i="14"/>
  <c r="J37" i="10"/>
  <c r="J33" i="10"/>
  <c r="K59" i="10"/>
  <c r="J36" i="12"/>
  <c r="J32" i="12"/>
  <c r="J29" i="12"/>
  <c r="J35" i="10"/>
  <c r="K55" i="12"/>
  <c r="K65" i="12"/>
  <c r="L65" i="12" s="1"/>
  <c r="K57" i="8"/>
  <c r="K64" i="8"/>
  <c r="L64" i="8" s="1"/>
  <c r="J31" i="12"/>
  <c r="K64" i="14"/>
  <c r="L64" i="14" s="1"/>
  <c r="K65" i="14"/>
  <c r="L65" i="14" s="1"/>
  <c r="K60" i="14"/>
  <c r="K59" i="14"/>
  <c r="H20" i="14"/>
  <c r="K58" i="14"/>
  <c r="K57" i="14"/>
  <c r="K56" i="14"/>
  <c r="J31" i="14"/>
  <c r="J39" i="14"/>
  <c r="K58" i="12"/>
  <c r="K62" i="12"/>
  <c r="K61" i="12"/>
  <c r="K60" i="12"/>
  <c r="K56" i="12"/>
  <c r="K62" i="10"/>
  <c r="K57" i="10"/>
  <c r="K65" i="10"/>
  <c r="L65" i="10" s="1"/>
  <c r="K64" i="10"/>
  <c r="L64" i="10" s="1"/>
  <c r="K58" i="10"/>
  <c r="K65" i="8"/>
  <c r="L65" i="8" s="1"/>
  <c r="H20" i="8"/>
  <c r="H20" i="12"/>
  <c r="K46" i="10"/>
  <c r="K63" i="12"/>
  <c r="K61" i="8"/>
  <c r="K64" i="12"/>
  <c r="L64" i="12" s="1"/>
  <c r="K61" i="14"/>
  <c r="K59" i="12"/>
  <c r="J39" i="12"/>
  <c r="J31" i="10"/>
  <c r="J36" i="10"/>
  <c r="J31" i="8"/>
  <c r="J36" i="8"/>
  <c r="J35" i="8"/>
  <c r="K46" i="8"/>
  <c r="K47" i="8" s="1"/>
  <c r="K48" i="8" s="1"/>
  <c r="E131" i="15"/>
  <c r="I130" i="15"/>
  <c r="I115" i="15"/>
  <c r="I101" i="15"/>
  <c r="E114" i="15"/>
  <c r="I84" i="15"/>
  <c r="E85" i="15"/>
  <c r="I129" i="13"/>
  <c r="E130" i="13"/>
  <c r="I115" i="13"/>
  <c r="I101" i="13"/>
  <c r="I84" i="13"/>
  <c r="E85" i="13"/>
  <c r="I115" i="11"/>
  <c r="I101" i="11"/>
  <c r="E114" i="11"/>
  <c r="E131" i="11"/>
  <c r="I130" i="11"/>
  <c r="I115" i="9"/>
  <c r="I101" i="9"/>
  <c r="E131" i="9"/>
  <c r="I130" i="9"/>
  <c r="E85" i="9"/>
  <c r="I84" i="9"/>
  <c r="E132" i="7"/>
  <c r="I131" i="7"/>
  <c r="E87" i="7"/>
  <c r="I86" i="7"/>
  <c r="K48" i="6"/>
  <c r="K29" i="6"/>
  <c r="K39" i="6"/>
  <c r="L39" i="6" s="1"/>
  <c r="K31" i="6"/>
  <c r="K33" i="6"/>
  <c r="K35" i="6"/>
  <c r="K37" i="6"/>
  <c r="K30" i="6"/>
  <c r="K38" i="6"/>
  <c r="L38" i="6" s="1"/>
  <c r="K32" i="6"/>
  <c r="K34" i="6"/>
  <c r="K36" i="6"/>
  <c r="I115" i="7" l="1"/>
  <c r="E115" i="7" s="1"/>
  <c r="I101" i="7"/>
  <c r="E86" i="11"/>
  <c r="I85" i="11"/>
  <c r="K34" i="12"/>
  <c r="K29" i="12"/>
  <c r="K32" i="12"/>
  <c r="K37" i="8"/>
  <c r="K34" i="8"/>
  <c r="K35" i="8"/>
  <c r="K30" i="8"/>
  <c r="K36" i="8"/>
  <c r="K32" i="8"/>
  <c r="K29" i="8"/>
  <c r="K39" i="8"/>
  <c r="L39" i="8" s="1"/>
  <c r="K31" i="8"/>
  <c r="K33" i="8"/>
  <c r="K38" i="8"/>
  <c r="L38" i="8" s="1"/>
  <c r="K34" i="14"/>
  <c r="K39" i="14"/>
  <c r="L39" i="14" s="1"/>
  <c r="K29" i="14"/>
  <c r="K33" i="14"/>
  <c r="K31" i="14"/>
  <c r="K38" i="14"/>
  <c r="L38" i="14" s="1"/>
  <c r="K35" i="14"/>
  <c r="K37" i="14"/>
  <c r="K30" i="14"/>
  <c r="K36" i="14"/>
  <c r="K32" i="14"/>
  <c r="K36" i="12"/>
  <c r="K30" i="12"/>
  <c r="K35" i="12"/>
  <c r="K31" i="12"/>
  <c r="K39" i="12"/>
  <c r="L39" i="12" s="1"/>
  <c r="K37" i="12"/>
  <c r="K38" i="12"/>
  <c r="L38" i="12" s="1"/>
  <c r="K33" i="12"/>
  <c r="I102" i="15"/>
  <c r="I116" i="15"/>
  <c r="E115" i="15"/>
  <c r="I131" i="15"/>
  <c r="E132" i="15"/>
  <c r="E86" i="15"/>
  <c r="I85" i="15"/>
  <c r="E115" i="13"/>
  <c r="E131" i="13"/>
  <c r="I130" i="13"/>
  <c r="I102" i="13"/>
  <c r="I116" i="13"/>
  <c r="E86" i="13"/>
  <c r="I85" i="13"/>
  <c r="I102" i="11"/>
  <c r="I116" i="11"/>
  <c r="E115" i="11"/>
  <c r="I131" i="11"/>
  <c r="E132" i="11"/>
  <c r="K31" i="10"/>
  <c r="K39" i="10"/>
  <c r="L39" i="10" s="1"/>
  <c r="K33" i="10"/>
  <c r="K38" i="10"/>
  <c r="L38" i="10" s="1"/>
  <c r="K35" i="10"/>
  <c r="K29" i="10"/>
  <c r="K37" i="10"/>
  <c r="K30" i="10"/>
  <c r="K32" i="10"/>
  <c r="K34" i="10"/>
  <c r="K36" i="10"/>
  <c r="K47" i="10"/>
  <c r="I131" i="9"/>
  <c r="E132" i="9"/>
  <c r="E86" i="9"/>
  <c r="I85" i="9"/>
  <c r="I102" i="9"/>
  <c r="I116" i="9"/>
  <c r="E115" i="9"/>
  <c r="E133" i="7"/>
  <c r="I132" i="7"/>
  <c r="E88" i="7"/>
  <c r="I87" i="7"/>
  <c r="I102" i="7" l="1"/>
  <c r="I116" i="7"/>
  <c r="E116" i="7" s="1"/>
  <c r="I86" i="11"/>
  <c r="E87" i="11"/>
  <c r="I86" i="15"/>
  <c r="E87" i="15"/>
  <c r="E116" i="15"/>
  <c r="I117" i="15"/>
  <c r="I103" i="15"/>
  <c r="E133" i="15"/>
  <c r="I132" i="15"/>
  <c r="I86" i="13"/>
  <c r="E87" i="13"/>
  <c r="E116" i="13"/>
  <c r="I131" i="13"/>
  <c r="E132" i="13"/>
  <c r="I117" i="13"/>
  <c r="I103" i="13"/>
  <c r="E133" i="11"/>
  <c r="I132" i="11"/>
  <c r="I117" i="11"/>
  <c r="I103" i="11"/>
  <c r="E116" i="11"/>
  <c r="K48" i="10"/>
  <c r="E116" i="9"/>
  <c r="I117" i="9"/>
  <c r="I103" i="9"/>
  <c r="E133" i="9"/>
  <c r="I132" i="9"/>
  <c r="I86" i="9"/>
  <c r="E87" i="9"/>
  <c r="I88" i="7"/>
  <c r="E89" i="7"/>
  <c r="I133" i="7"/>
  <c r="E134" i="7"/>
  <c r="I117" i="7" l="1"/>
  <c r="E117" i="7" s="1"/>
  <c r="I103" i="7"/>
  <c r="I87" i="11"/>
  <c r="E88" i="11"/>
  <c r="E134" i="15"/>
  <c r="I133" i="15"/>
  <c r="E117" i="15"/>
  <c r="E88" i="15"/>
  <c r="I87" i="15"/>
  <c r="I104" i="15"/>
  <c r="I118" i="15"/>
  <c r="I118" i="13"/>
  <c r="I104" i="13"/>
  <c r="E117" i="13"/>
  <c r="E133" i="13"/>
  <c r="I132" i="13"/>
  <c r="E88" i="13"/>
  <c r="I87" i="13"/>
  <c r="E134" i="11"/>
  <c r="I133" i="11"/>
  <c r="I104" i="11"/>
  <c r="I118" i="11"/>
  <c r="E117" i="11"/>
  <c r="E134" i="9"/>
  <c r="I133" i="9"/>
  <c r="I104" i="9"/>
  <c r="I118" i="9"/>
  <c r="E88" i="9"/>
  <c r="I87" i="9"/>
  <c r="E117" i="9"/>
  <c r="E135" i="7"/>
  <c r="I134" i="7"/>
  <c r="E90" i="7"/>
  <c r="I89" i="7"/>
  <c r="I104" i="7" l="1"/>
  <c r="I118" i="7"/>
  <c r="E118" i="7" s="1"/>
  <c r="I88" i="11"/>
  <c r="E89" i="11"/>
  <c r="E118" i="15"/>
  <c r="I119" i="15"/>
  <c r="I105" i="15"/>
  <c r="J104" i="15"/>
  <c r="I88" i="15"/>
  <c r="E89" i="15"/>
  <c r="I134" i="15"/>
  <c r="E135" i="15"/>
  <c r="I88" i="13"/>
  <c r="E89" i="13"/>
  <c r="E134" i="13"/>
  <c r="I133" i="13"/>
  <c r="I119" i="13"/>
  <c r="I105" i="13"/>
  <c r="J104" i="13"/>
  <c r="E118" i="13"/>
  <c r="E135" i="11"/>
  <c r="I134" i="11"/>
  <c r="E118" i="11"/>
  <c r="I119" i="11"/>
  <c r="I105" i="11"/>
  <c r="J104" i="11"/>
  <c r="E118" i="9"/>
  <c r="E135" i="9"/>
  <c r="I134" i="9"/>
  <c r="I88" i="9"/>
  <c r="E89" i="9"/>
  <c r="I119" i="9"/>
  <c r="I105" i="9"/>
  <c r="J104" i="9"/>
  <c r="I135" i="7"/>
  <c r="I90" i="7"/>
  <c r="I119" i="7" l="1"/>
  <c r="E119" i="7" s="1"/>
  <c r="I105" i="7"/>
  <c r="J104" i="7"/>
  <c r="E90" i="11"/>
  <c r="I90" i="11" s="1"/>
  <c r="I89" i="11"/>
  <c r="I135" i="15"/>
  <c r="E90" i="15"/>
  <c r="I89" i="15"/>
  <c r="E119" i="15"/>
  <c r="J105" i="15"/>
  <c r="I120" i="15"/>
  <c r="J105" i="13"/>
  <c r="I120" i="13"/>
  <c r="E119" i="13"/>
  <c r="I134" i="13"/>
  <c r="E135" i="13"/>
  <c r="I89" i="13"/>
  <c r="E90" i="13"/>
  <c r="J105" i="11"/>
  <c r="I120" i="11"/>
  <c r="E119" i="11"/>
  <c r="I135" i="11"/>
  <c r="J105" i="9"/>
  <c r="I120" i="9"/>
  <c r="E119" i="9"/>
  <c r="I135" i="9"/>
  <c r="E90" i="9"/>
  <c r="I89" i="9"/>
  <c r="J105" i="7" l="1"/>
  <c r="I120" i="7"/>
  <c r="E120" i="7" s="1"/>
  <c r="E120" i="15"/>
  <c r="I90" i="15"/>
  <c r="E120" i="13"/>
  <c r="I135" i="13"/>
  <c r="I90" i="13"/>
  <c r="E120" i="11"/>
  <c r="E120" i="9"/>
  <c r="I90" i="9"/>
  <c r="I143" i="7" l="1"/>
  <c r="I147" i="7"/>
  <c r="I147" i="9" l="1"/>
  <c r="I148" i="7"/>
  <c r="I145" i="7"/>
  <c r="I144" i="7"/>
  <c r="I146" i="7"/>
  <c r="I142" i="7"/>
  <c r="I150" i="7"/>
  <c r="I143" i="9"/>
  <c r="I149" i="7"/>
  <c r="I150" i="9" l="1"/>
  <c r="I146" i="9"/>
  <c r="I142" i="9"/>
  <c r="I147" i="11"/>
  <c r="I148" i="9"/>
  <c r="I149" i="9"/>
  <c r="I145" i="9"/>
  <c r="I144" i="9"/>
  <c r="I143" i="11"/>
  <c r="I143" i="15" l="1"/>
  <c r="I148" i="11"/>
  <c r="I149" i="11"/>
  <c r="I147" i="13"/>
  <c r="I146" i="11"/>
  <c r="I150" i="11"/>
  <c r="I144" i="11"/>
  <c r="I143" i="13"/>
  <c r="I142" i="11"/>
  <c r="I145" i="11"/>
  <c r="I146" i="13" l="1"/>
  <c r="I148" i="13"/>
  <c r="I149" i="13"/>
  <c r="I150" i="13"/>
  <c r="I149" i="15"/>
  <c r="I147" i="15"/>
  <c r="I144" i="15"/>
  <c r="I145" i="15"/>
  <c r="I148" i="15"/>
  <c r="I150" i="15"/>
  <c r="I145" i="13"/>
  <c r="I146" i="15"/>
  <c r="I142" i="13"/>
  <c r="I144" i="13"/>
  <c r="I142" i="15" l="1"/>
  <c r="F142" i="7" l="1"/>
  <c r="F143" i="7"/>
  <c r="F144" i="7"/>
  <c r="F150" i="7"/>
  <c r="J157" i="7"/>
  <c r="F157" i="7"/>
  <c r="J158" i="7"/>
  <c r="F158" i="7"/>
  <c r="J159" i="7"/>
  <c r="F159" i="7"/>
  <c r="J157" i="9"/>
  <c r="F142" i="9"/>
  <c r="F144" i="9"/>
  <c r="F150" i="9"/>
  <c r="F159" i="9"/>
  <c r="J157" i="11"/>
  <c r="F157" i="11"/>
  <c r="F143" i="11"/>
  <c r="F159" i="11"/>
  <c r="F150" i="11"/>
  <c r="J159" i="11"/>
  <c r="J158" i="13"/>
  <c r="F143" i="13"/>
  <c r="F142" i="13"/>
  <c r="J159" i="13"/>
  <c r="F159" i="13"/>
  <c r="F150" i="13"/>
  <c r="F158" i="13"/>
  <c r="F142" i="15"/>
  <c r="F143" i="15"/>
  <c r="J159" i="15"/>
  <c r="F150" i="15"/>
  <c r="F157" i="15"/>
  <c r="J144" i="7" l="1"/>
  <c r="J144" i="9"/>
  <c r="J150" i="13"/>
  <c r="J150" i="7"/>
  <c r="J150" i="11"/>
  <c r="J142" i="7"/>
  <c r="J143" i="9"/>
  <c r="J143" i="13"/>
  <c r="J150" i="9"/>
  <c r="J145" i="11"/>
  <c r="F145" i="15"/>
  <c r="D13" i="15"/>
  <c r="F13" i="15" s="1"/>
  <c r="F82" i="15"/>
  <c r="J148" i="15"/>
  <c r="F86" i="15"/>
  <c r="D17" i="15"/>
  <c r="F17" i="15" s="1"/>
  <c r="J149" i="13"/>
  <c r="J146" i="13"/>
  <c r="F83" i="13"/>
  <c r="D14" i="13"/>
  <c r="F14" i="13" s="1"/>
  <c r="D20" i="9"/>
  <c r="F20" i="9" s="1"/>
  <c r="F89" i="9"/>
  <c r="J147" i="9"/>
  <c r="F149" i="7"/>
  <c r="J117" i="7"/>
  <c r="D21" i="15"/>
  <c r="F21" i="15" s="1"/>
  <c r="F90" i="15"/>
  <c r="J118" i="15"/>
  <c r="F147" i="15"/>
  <c r="F148" i="13"/>
  <c r="F148" i="11"/>
  <c r="J149" i="7"/>
  <c r="J103" i="7"/>
  <c r="D15" i="7"/>
  <c r="F15" i="7" s="1"/>
  <c r="F84" i="7"/>
  <c r="D19" i="15"/>
  <c r="F19" i="15" s="1"/>
  <c r="F88" i="15"/>
  <c r="F147" i="13"/>
  <c r="J147" i="11"/>
  <c r="D19" i="11"/>
  <c r="F19" i="11" s="1"/>
  <c r="F88" i="11"/>
  <c r="F148" i="9"/>
  <c r="F149" i="9"/>
  <c r="F86" i="9"/>
  <c r="D17" i="9"/>
  <c r="F17" i="9" s="1"/>
  <c r="F148" i="7"/>
  <c r="J114" i="7"/>
  <c r="J147" i="15"/>
  <c r="J116" i="15"/>
  <c r="F146" i="15"/>
  <c r="J146" i="15"/>
  <c r="F145" i="13"/>
  <c r="F88" i="13"/>
  <c r="D19" i="13"/>
  <c r="F19" i="13" s="1"/>
  <c r="F145" i="11"/>
  <c r="J148" i="9"/>
  <c r="J119" i="9"/>
  <c r="J116" i="9"/>
  <c r="J113" i="9"/>
  <c r="J148" i="7"/>
  <c r="D20" i="7"/>
  <c r="F20" i="7" s="1"/>
  <c r="F89" i="7"/>
  <c r="J100" i="7"/>
  <c r="F85" i="11"/>
  <c r="D16" i="11"/>
  <c r="F16" i="11" s="1"/>
  <c r="F146" i="9"/>
  <c r="J149" i="9"/>
  <c r="F147" i="7"/>
  <c r="J119" i="7"/>
  <c r="J115" i="11"/>
  <c r="D13" i="11"/>
  <c r="F13" i="11" s="1"/>
  <c r="F82" i="11"/>
  <c r="F145" i="9"/>
  <c r="J147" i="7"/>
  <c r="D17" i="7"/>
  <c r="F17" i="7" s="1"/>
  <c r="F86" i="7"/>
  <c r="F85" i="13"/>
  <c r="D16" i="13"/>
  <c r="F16" i="13" s="1"/>
  <c r="J101" i="13"/>
  <c r="J142" i="13"/>
  <c r="J101" i="11"/>
  <c r="J145" i="9"/>
  <c r="F146" i="7"/>
  <c r="J116" i="7"/>
  <c r="J143" i="7"/>
  <c r="J148" i="13"/>
  <c r="D19" i="9"/>
  <c r="F19" i="9" s="1"/>
  <c r="F88" i="9"/>
  <c r="J146" i="7"/>
  <c r="J102" i="7"/>
  <c r="F83" i="7"/>
  <c r="D14" i="7"/>
  <c r="F14" i="7" s="1"/>
  <c r="J117" i="11"/>
  <c r="J113" i="11"/>
  <c r="D16" i="9"/>
  <c r="F16" i="9" s="1"/>
  <c r="F85" i="9"/>
  <c r="J112" i="9"/>
  <c r="F145" i="7"/>
  <c r="J113" i="7"/>
  <c r="J115" i="13"/>
  <c r="F87" i="15"/>
  <c r="D18" i="15"/>
  <c r="F18" i="15" s="1"/>
  <c r="J118" i="9"/>
  <c r="J115" i="9"/>
  <c r="J145" i="7"/>
  <c r="D19" i="7"/>
  <c r="F19" i="7" s="1"/>
  <c r="F88" i="7"/>
  <c r="J120" i="11"/>
  <c r="J103" i="11"/>
  <c r="J117" i="15"/>
  <c r="J114" i="15"/>
  <c r="F87" i="11"/>
  <c r="D18" i="11"/>
  <c r="F18" i="11" s="1"/>
  <c r="F84" i="11"/>
  <c r="D15" i="11"/>
  <c r="F15" i="11" s="1"/>
  <c r="F90" i="9"/>
  <c r="D21" i="9"/>
  <c r="F21" i="9" s="1"/>
  <c r="J101" i="9"/>
  <c r="J118" i="7"/>
  <c r="J145" i="15"/>
  <c r="J101" i="15"/>
  <c r="J112" i="13"/>
  <c r="J120" i="15"/>
  <c r="J112" i="15"/>
  <c r="J100" i="15"/>
  <c r="J117" i="13"/>
  <c r="J144" i="13"/>
  <c r="J100" i="11"/>
  <c r="J120" i="9"/>
  <c r="D16" i="7"/>
  <c r="F16" i="7" s="1"/>
  <c r="F85" i="7"/>
  <c r="J145" i="13"/>
  <c r="D14" i="15"/>
  <c r="F14" i="15" s="1"/>
  <c r="F83" i="15"/>
  <c r="F87" i="13"/>
  <c r="D18" i="13"/>
  <c r="F18" i="13" s="1"/>
  <c r="J144" i="15"/>
  <c r="J103" i="13"/>
  <c r="J119" i="15"/>
  <c r="D15" i="15"/>
  <c r="F15" i="15" s="1"/>
  <c r="F84" i="15"/>
  <c r="D20" i="13"/>
  <c r="F20" i="13" s="1"/>
  <c r="F89" i="13"/>
  <c r="J114" i="13"/>
  <c r="D18" i="9"/>
  <c r="F18" i="9" s="1"/>
  <c r="F87" i="9"/>
  <c r="J115" i="7"/>
  <c r="J119" i="11"/>
  <c r="J102" i="11"/>
  <c r="J114" i="11"/>
  <c r="J103" i="9"/>
  <c r="D21" i="7"/>
  <c r="F21" i="7" s="1"/>
  <c r="F90" i="7"/>
  <c r="J101" i="7"/>
  <c r="D13" i="7"/>
  <c r="F13" i="7" s="1"/>
  <c r="F82" i="7"/>
  <c r="J118" i="13"/>
  <c r="J116" i="13"/>
  <c r="J149" i="15"/>
  <c r="F89" i="15"/>
  <c r="D20" i="15"/>
  <c r="F20" i="15" s="1"/>
  <c r="F146" i="13"/>
  <c r="F89" i="11"/>
  <c r="D20" i="11"/>
  <c r="F20" i="11" s="1"/>
  <c r="F165" i="7"/>
  <c r="J120" i="7"/>
  <c r="J112" i="7"/>
  <c r="J119" i="13"/>
  <c r="F148" i="15"/>
  <c r="F149" i="13"/>
  <c r="J117" i="9"/>
  <c r="J165" i="7"/>
  <c r="F87" i="7"/>
  <c r="D18" i="7"/>
  <c r="F18" i="7" s="1"/>
  <c r="F159" i="15"/>
  <c r="F144" i="11"/>
  <c r="J150" i="15"/>
  <c r="F157" i="13"/>
  <c r="F165" i="13" s="1"/>
  <c r="J144" i="11"/>
  <c r="J142" i="9"/>
  <c r="F158" i="15"/>
  <c r="J157" i="13"/>
  <c r="J165" i="13" s="1"/>
  <c r="F142" i="11"/>
  <c r="J158" i="15"/>
  <c r="F144" i="13"/>
  <c r="J142" i="11"/>
  <c r="J157" i="15"/>
  <c r="F144" i="15"/>
  <c r="F143" i="9"/>
  <c r="J159" i="9"/>
  <c r="J142" i="15"/>
  <c r="F158" i="9"/>
  <c r="J143" i="11"/>
  <c r="J158" i="9"/>
  <c r="F157" i="9"/>
  <c r="F158" i="11"/>
  <c r="F165" i="11" s="1"/>
  <c r="J158" i="11"/>
  <c r="J165" i="11" s="1"/>
  <c r="F153" i="7" l="1"/>
  <c r="J153" i="7"/>
  <c r="L35" i="14"/>
  <c r="L37" i="14"/>
  <c r="J143" i="15"/>
  <c r="J153" i="15" s="1"/>
  <c r="J165" i="15"/>
  <c r="J123" i="7"/>
  <c r="F165" i="9"/>
  <c r="L37" i="8"/>
  <c r="L29" i="14"/>
  <c r="H66" i="15"/>
  <c r="J82" i="11"/>
  <c r="H127" i="11"/>
  <c r="J127" i="11" s="1"/>
  <c r="H135" i="13"/>
  <c r="J135" i="13" s="1"/>
  <c r="J90" i="13"/>
  <c r="J86" i="11"/>
  <c r="H131" i="11"/>
  <c r="J131" i="11" s="1"/>
  <c r="J85" i="15"/>
  <c r="H130" i="15"/>
  <c r="J130" i="15" s="1"/>
  <c r="D128" i="15"/>
  <c r="F128" i="15" s="1"/>
  <c r="F113" i="15"/>
  <c r="L31" i="10"/>
  <c r="G45" i="10"/>
  <c r="G46" i="14"/>
  <c r="L46" i="14" s="1"/>
  <c r="J40" i="15" s="1"/>
  <c r="D129" i="11"/>
  <c r="F129" i="11" s="1"/>
  <c r="F114" i="11"/>
  <c r="L33" i="6"/>
  <c r="G47" i="6"/>
  <c r="L47" i="6" s="1"/>
  <c r="J41" i="7" s="1"/>
  <c r="J89" i="7"/>
  <c r="H134" i="7"/>
  <c r="J134" i="7" s="1"/>
  <c r="H66" i="9"/>
  <c r="F119" i="7"/>
  <c r="D134" i="7"/>
  <c r="F134" i="7" s="1"/>
  <c r="J89" i="9"/>
  <c r="H134" i="9"/>
  <c r="J134" i="9" s="1"/>
  <c r="H18" i="7"/>
  <c r="J18" i="7" s="1"/>
  <c r="H60" i="6"/>
  <c r="L60" i="6" s="1"/>
  <c r="J33" i="7" s="1"/>
  <c r="D70" i="13"/>
  <c r="J103" i="15"/>
  <c r="L36" i="12"/>
  <c r="L32" i="6"/>
  <c r="G46" i="6"/>
  <c r="L46" i="6" s="1"/>
  <c r="J40" i="7" s="1"/>
  <c r="L36" i="14"/>
  <c r="H67" i="11"/>
  <c r="H21" i="11"/>
  <c r="J21" i="11" s="1"/>
  <c r="H63" i="10"/>
  <c r="L63" i="10" s="1"/>
  <c r="J36" i="11" s="1"/>
  <c r="D132" i="15"/>
  <c r="F132" i="15" s="1"/>
  <c r="F117" i="15"/>
  <c r="D70" i="7"/>
  <c r="H128" i="9"/>
  <c r="J128" i="9" s="1"/>
  <c r="J83" i="9"/>
  <c r="H73" i="7"/>
  <c r="L36" i="8"/>
  <c r="H74" i="7"/>
  <c r="D74" i="13"/>
  <c r="J90" i="15"/>
  <c r="H135" i="15"/>
  <c r="J135" i="15" s="1"/>
  <c r="D68" i="15"/>
  <c r="D67" i="11"/>
  <c r="F115" i="9"/>
  <c r="D130" i="9"/>
  <c r="F130" i="9" s="1"/>
  <c r="H130" i="11"/>
  <c r="J130" i="11" s="1"/>
  <c r="J85" i="11"/>
  <c r="D72" i="7"/>
  <c r="D74" i="9"/>
  <c r="D73" i="7"/>
  <c r="F118" i="13"/>
  <c r="D133" i="13"/>
  <c r="F133" i="13" s="1"/>
  <c r="H73" i="11"/>
  <c r="D75" i="7"/>
  <c r="F114" i="15"/>
  <c r="D129" i="15"/>
  <c r="F129" i="15" s="1"/>
  <c r="D13" i="13"/>
  <c r="F13" i="13" s="1"/>
  <c r="F82" i="13"/>
  <c r="L29" i="6"/>
  <c r="H75" i="15"/>
  <c r="L30" i="6"/>
  <c r="H56" i="10"/>
  <c r="L56" i="10" s="1"/>
  <c r="J29" i="11" s="1"/>
  <c r="H14" i="11"/>
  <c r="J14" i="11" s="1"/>
  <c r="F118" i="9"/>
  <c r="D133" i="9"/>
  <c r="F133" i="9" s="1"/>
  <c r="L32" i="10"/>
  <c r="G46" i="10"/>
  <c r="L46" i="10" s="1"/>
  <c r="J40" i="11" s="1"/>
  <c r="H68" i="9"/>
  <c r="H68" i="13"/>
  <c r="D72" i="9"/>
  <c r="J89" i="13"/>
  <c r="H134" i="13"/>
  <c r="J134" i="13" s="1"/>
  <c r="J89" i="15"/>
  <c r="H134" i="15"/>
  <c r="J134" i="15" s="1"/>
  <c r="H18" i="13"/>
  <c r="J18" i="13" s="1"/>
  <c r="H60" i="12"/>
  <c r="L60" i="12" s="1"/>
  <c r="J33" i="13" s="1"/>
  <c r="D132" i="11"/>
  <c r="F132" i="11" s="1"/>
  <c r="F117" i="11"/>
  <c r="H66" i="7"/>
  <c r="H14" i="9"/>
  <c r="J14" i="9" s="1"/>
  <c r="H56" i="8"/>
  <c r="L56" i="8" s="1"/>
  <c r="J29" i="9" s="1"/>
  <c r="H73" i="13"/>
  <c r="D131" i="15"/>
  <c r="F131" i="15" s="1"/>
  <c r="F116" i="15"/>
  <c r="J83" i="7"/>
  <c r="H128" i="7"/>
  <c r="J128" i="7" s="1"/>
  <c r="H18" i="11"/>
  <c r="J18" i="11" s="1"/>
  <c r="H60" i="10"/>
  <c r="L60" i="10" s="1"/>
  <c r="J33" i="11" s="1"/>
  <c r="D127" i="11"/>
  <c r="F127" i="11" s="1"/>
  <c r="F112" i="11"/>
  <c r="H70" i="9"/>
  <c r="H17" i="9"/>
  <c r="J17" i="9" s="1"/>
  <c r="H59" i="8"/>
  <c r="L59" i="8" s="1"/>
  <c r="J32" i="9" s="1"/>
  <c r="D70" i="15"/>
  <c r="F116" i="9"/>
  <c r="D131" i="9"/>
  <c r="F131" i="9" s="1"/>
  <c r="D134" i="9"/>
  <c r="F134" i="9" s="1"/>
  <c r="F119" i="9"/>
  <c r="J114" i="9"/>
  <c r="J123" i="9" s="1"/>
  <c r="J115" i="15"/>
  <c r="D74" i="15"/>
  <c r="J102" i="9"/>
  <c r="L34" i="8"/>
  <c r="G48" i="8"/>
  <c r="L48" i="8" s="1"/>
  <c r="J42" i="9" s="1"/>
  <c r="D68" i="13"/>
  <c r="G45" i="14"/>
  <c r="L31" i="14"/>
  <c r="H65" i="15"/>
  <c r="D73" i="13"/>
  <c r="G46" i="12"/>
  <c r="L46" i="12" s="1"/>
  <c r="J40" i="13" s="1"/>
  <c r="L32" i="12"/>
  <c r="D65" i="11"/>
  <c r="H74" i="9"/>
  <c r="D133" i="15"/>
  <c r="F133" i="15" s="1"/>
  <c r="F118" i="15"/>
  <c r="H72" i="15"/>
  <c r="D73" i="15"/>
  <c r="F85" i="15"/>
  <c r="F93" i="15" s="1"/>
  <c r="D16" i="15"/>
  <c r="F16" i="15" s="1"/>
  <c r="F24" i="15" s="1"/>
  <c r="K165" i="11"/>
  <c r="E181" i="11" s="1"/>
  <c r="J82" i="7"/>
  <c r="H127" i="7"/>
  <c r="J127" i="7" s="1"/>
  <c r="D135" i="7"/>
  <c r="F135" i="7" s="1"/>
  <c r="F120" i="7"/>
  <c r="J146" i="9"/>
  <c r="J153" i="9" s="1"/>
  <c r="J146" i="11"/>
  <c r="D13" i="9"/>
  <c r="F13" i="9" s="1"/>
  <c r="F82" i="9"/>
  <c r="F86" i="11"/>
  <c r="D17" i="11"/>
  <c r="F17" i="11" s="1"/>
  <c r="F117" i="7"/>
  <c r="D132" i="7"/>
  <c r="F132" i="7" s="1"/>
  <c r="H17" i="13"/>
  <c r="J17" i="13" s="1"/>
  <c r="H59" i="12"/>
  <c r="L59" i="12" s="1"/>
  <c r="J32" i="13" s="1"/>
  <c r="J87" i="9"/>
  <c r="H132" i="9"/>
  <c r="J132" i="9" s="1"/>
  <c r="D132" i="9"/>
  <c r="F132" i="9" s="1"/>
  <c r="F117" i="9"/>
  <c r="J87" i="13"/>
  <c r="H132" i="13"/>
  <c r="J132" i="13" s="1"/>
  <c r="F115" i="7"/>
  <c r="D130" i="7"/>
  <c r="F130" i="7" s="1"/>
  <c r="H67" i="15"/>
  <c r="H130" i="9"/>
  <c r="J130" i="9" s="1"/>
  <c r="J85" i="9"/>
  <c r="J82" i="15"/>
  <c r="H127" i="15"/>
  <c r="J127" i="15" s="1"/>
  <c r="H65" i="13"/>
  <c r="H130" i="13"/>
  <c r="J130" i="13" s="1"/>
  <c r="J85" i="13"/>
  <c r="H133" i="15"/>
  <c r="J133" i="15" s="1"/>
  <c r="J88" i="15"/>
  <c r="D129" i="7"/>
  <c r="F129" i="7" s="1"/>
  <c r="F114" i="7"/>
  <c r="F153" i="13"/>
  <c r="F147" i="9"/>
  <c r="F153" i="9" s="1"/>
  <c r="H20" i="15"/>
  <c r="J20" i="15" s="1"/>
  <c r="H62" i="14"/>
  <c r="L62" i="14" s="1"/>
  <c r="J35" i="15" s="1"/>
  <c r="J165" i="9"/>
  <c r="F147" i="11"/>
  <c r="J100" i="9"/>
  <c r="H63" i="6"/>
  <c r="L63" i="6" s="1"/>
  <c r="J36" i="7" s="1"/>
  <c r="H21" i="7"/>
  <c r="J21" i="7" s="1"/>
  <c r="H135" i="9"/>
  <c r="J135" i="9" s="1"/>
  <c r="J90" i="9"/>
  <c r="L34" i="12"/>
  <c r="G48" i="12"/>
  <c r="L48" i="12" s="1"/>
  <c r="J42" i="13" s="1"/>
  <c r="J84" i="15"/>
  <c r="H129" i="15"/>
  <c r="J129" i="15" s="1"/>
  <c r="G46" i="8"/>
  <c r="L46" i="8" s="1"/>
  <c r="J40" i="9" s="1"/>
  <c r="L32" i="8"/>
  <c r="H75" i="11"/>
  <c r="D133" i="7"/>
  <c r="F133" i="7" s="1"/>
  <c r="F118" i="7"/>
  <c r="H16" i="13"/>
  <c r="J16" i="13" s="1"/>
  <c r="H58" i="12"/>
  <c r="L58" i="12" s="1"/>
  <c r="J31" i="13" s="1"/>
  <c r="H127" i="13"/>
  <c r="J127" i="13" s="1"/>
  <c r="J82" i="13"/>
  <c r="H20" i="9"/>
  <c r="J20" i="9" s="1"/>
  <c r="H62" i="8"/>
  <c r="L62" i="8" s="1"/>
  <c r="J35" i="9" s="1"/>
  <c r="H61" i="6"/>
  <c r="L61" i="6" s="1"/>
  <c r="J34" i="7" s="1"/>
  <c r="H19" i="7"/>
  <c r="J19" i="7" s="1"/>
  <c r="J90" i="11"/>
  <c r="H135" i="11"/>
  <c r="J135" i="11" s="1"/>
  <c r="F115" i="13"/>
  <c r="D130" i="13"/>
  <c r="F130" i="13" s="1"/>
  <c r="H58" i="10"/>
  <c r="L58" i="10" s="1"/>
  <c r="J31" i="11" s="1"/>
  <c r="H16" i="11"/>
  <c r="J16" i="11" s="1"/>
  <c r="D130" i="11"/>
  <c r="F130" i="11" s="1"/>
  <c r="F115" i="11"/>
  <c r="D73" i="9"/>
  <c r="H70" i="15"/>
  <c r="H73" i="9"/>
  <c r="H19" i="15"/>
  <c r="J19" i="15" s="1"/>
  <c r="H61" i="14"/>
  <c r="L61" i="14" s="1"/>
  <c r="J34" i="15" s="1"/>
  <c r="L36" i="10"/>
  <c r="D65" i="15"/>
  <c r="J100" i="13"/>
  <c r="J147" i="13"/>
  <c r="J153" i="13" s="1"/>
  <c r="D15" i="9"/>
  <c r="F15" i="9" s="1"/>
  <c r="F84" i="9"/>
  <c r="J149" i="11"/>
  <c r="L37" i="6"/>
  <c r="K165" i="7"/>
  <c r="E181" i="7" s="1"/>
  <c r="H57" i="10"/>
  <c r="L57" i="10" s="1"/>
  <c r="J30" i="11" s="1"/>
  <c r="H15" i="11"/>
  <c r="J15" i="11" s="1"/>
  <c r="F149" i="11"/>
  <c r="H75" i="7"/>
  <c r="H75" i="9"/>
  <c r="H133" i="7"/>
  <c r="J133" i="7" s="1"/>
  <c r="J88" i="7"/>
  <c r="H55" i="14"/>
  <c r="H13" i="15"/>
  <c r="J13" i="15" s="1"/>
  <c r="L35" i="8"/>
  <c r="H57" i="14"/>
  <c r="L57" i="14" s="1"/>
  <c r="J30" i="15" s="1"/>
  <c r="H15" i="15"/>
  <c r="J15" i="15" s="1"/>
  <c r="D68" i="7"/>
  <c r="H56" i="6"/>
  <c r="L56" i="6" s="1"/>
  <c r="J29" i="7" s="1"/>
  <c r="H14" i="7"/>
  <c r="J14" i="7" s="1"/>
  <c r="F113" i="7"/>
  <c r="D128" i="7"/>
  <c r="F128" i="7" s="1"/>
  <c r="H17" i="7"/>
  <c r="J17" i="7" s="1"/>
  <c r="H59" i="6"/>
  <c r="L59" i="6" s="1"/>
  <c r="J32" i="7" s="1"/>
  <c r="J108" i="7"/>
  <c r="K108" i="7" s="1"/>
  <c r="F118" i="11"/>
  <c r="D133" i="11"/>
  <c r="F133" i="11" s="1"/>
  <c r="D67" i="7"/>
  <c r="F120" i="15"/>
  <c r="D135" i="15"/>
  <c r="F135" i="15" s="1"/>
  <c r="H134" i="11"/>
  <c r="J134" i="11" s="1"/>
  <c r="J89" i="11"/>
  <c r="F83" i="11"/>
  <c r="D14" i="11"/>
  <c r="F14" i="11" s="1"/>
  <c r="J113" i="15"/>
  <c r="H58" i="6"/>
  <c r="L58" i="6" s="1"/>
  <c r="J31" i="7" s="1"/>
  <c r="H16" i="7"/>
  <c r="J16" i="7" s="1"/>
  <c r="H55" i="6"/>
  <c r="H13" i="7"/>
  <c r="J13" i="7" s="1"/>
  <c r="J118" i="11"/>
  <c r="H19" i="13"/>
  <c r="J19" i="13" s="1"/>
  <c r="H61" i="12"/>
  <c r="L61" i="12" s="1"/>
  <c r="J34" i="13" s="1"/>
  <c r="L29" i="10"/>
  <c r="J112" i="11"/>
  <c r="D17" i="13"/>
  <c r="F17" i="13" s="1"/>
  <c r="F86" i="13"/>
  <c r="F90" i="11"/>
  <c r="D21" i="11"/>
  <c r="F21" i="11" s="1"/>
  <c r="D14" i="9"/>
  <c r="F14" i="9" s="1"/>
  <c r="F83" i="9"/>
  <c r="F146" i="11"/>
  <c r="L35" i="12"/>
  <c r="J90" i="7"/>
  <c r="H135" i="7"/>
  <c r="J135" i="7" s="1"/>
  <c r="F119" i="11"/>
  <c r="D134" i="11"/>
  <c r="F134" i="11" s="1"/>
  <c r="F112" i="7"/>
  <c r="D127" i="7"/>
  <c r="F127" i="7" s="1"/>
  <c r="H57" i="12"/>
  <c r="L57" i="12" s="1"/>
  <c r="J30" i="13" s="1"/>
  <c r="H15" i="13"/>
  <c r="J15" i="13" s="1"/>
  <c r="L35" i="6"/>
  <c r="H133" i="9"/>
  <c r="J133" i="9" s="1"/>
  <c r="J88" i="9"/>
  <c r="H58" i="8"/>
  <c r="L58" i="8" s="1"/>
  <c r="J31" i="9" s="1"/>
  <c r="H16" i="9"/>
  <c r="J16" i="9" s="1"/>
  <c r="H70" i="7"/>
  <c r="H62" i="6"/>
  <c r="L62" i="6" s="1"/>
  <c r="J35" i="7" s="1"/>
  <c r="H20" i="7"/>
  <c r="J20" i="7" s="1"/>
  <c r="H67" i="7"/>
  <c r="H66" i="11"/>
  <c r="H17" i="15"/>
  <c r="J17" i="15" s="1"/>
  <c r="H59" i="14"/>
  <c r="L59" i="14" s="1"/>
  <c r="J32" i="15" s="1"/>
  <c r="G48" i="6"/>
  <c r="L48" i="6" s="1"/>
  <c r="J42" i="7" s="1"/>
  <c r="L34" i="6"/>
  <c r="D75" i="15"/>
  <c r="F113" i="13"/>
  <c r="D128" i="13"/>
  <c r="F128" i="13" s="1"/>
  <c r="D127" i="15"/>
  <c r="F127" i="15" s="1"/>
  <c r="F112" i="15"/>
  <c r="F149" i="15"/>
  <c r="F153" i="15" s="1"/>
  <c r="H73" i="15"/>
  <c r="H65" i="7"/>
  <c r="H20" i="13"/>
  <c r="J20" i="13" s="1"/>
  <c r="H62" i="12"/>
  <c r="L62" i="12" s="1"/>
  <c r="J35" i="13" s="1"/>
  <c r="J116" i="11"/>
  <c r="J113" i="13"/>
  <c r="D65" i="7"/>
  <c r="G47" i="10"/>
  <c r="L47" i="10" s="1"/>
  <c r="J41" i="11" s="1"/>
  <c r="H21" i="9"/>
  <c r="J21" i="9" s="1"/>
  <c r="H63" i="8"/>
  <c r="L63" i="8" s="1"/>
  <c r="J36" i="9" s="1"/>
  <c r="H63" i="14"/>
  <c r="L63" i="14" s="1"/>
  <c r="J36" i="15" s="1"/>
  <c r="H21" i="15"/>
  <c r="J21" i="15" s="1"/>
  <c r="H18" i="15"/>
  <c r="J18" i="15" s="1"/>
  <c r="H60" i="14"/>
  <c r="L60" i="14" s="1"/>
  <c r="J33" i="15" s="1"/>
  <c r="D66" i="7"/>
  <c r="G45" i="6"/>
  <c r="L31" i="6"/>
  <c r="J87" i="7"/>
  <c r="H132" i="7"/>
  <c r="J132" i="7" s="1"/>
  <c r="H68" i="15"/>
  <c r="J102" i="15"/>
  <c r="J85" i="7"/>
  <c r="H130" i="7"/>
  <c r="J130" i="7" s="1"/>
  <c r="D67" i="15"/>
  <c r="D134" i="15"/>
  <c r="F134" i="15" s="1"/>
  <c r="F119" i="15"/>
  <c r="F84" i="13"/>
  <c r="D15" i="13"/>
  <c r="F15" i="13" s="1"/>
  <c r="H18" i="9"/>
  <c r="J18" i="9" s="1"/>
  <c r="H60" i="8"/>
  <c r="L60" i="8" s="1"/>
  <c r="J33" i="9" s="1"/>
  <c r="F93" i="7"/>
  <c r="D132" i="13"/>
  <c r="F132" i="13" s="1"/>
  <c r="F117" i="13"/>
  <c r="H13" i="13"/>
  <c r="J13" i="13" s="1"/>
  <c r="H55" i="12"/>
  <c r="F120" i="9"/>
  <c r="D135" i="9"/>
  <c r="F135" i="9" s="1"/>
  <c r="H68" i="7"/>
  <c r="D68" i="9"/>
  <c r="F116" i="7"/>
  <c r="D131" i="7"/>
  <c r="F131" i="7" s="1"/>
  <c r="H72" i="7"/>
  <c r="J84" i="7"/>
  <c r="H129" i="7"/>
  <c r="J129" i="7" s="1"/>
  <c r="H128" i="11"/>
  <c r="J128" i="11" s="1"/>
  <c r="J83" i="11"/>
  <c r="D72" i="15"/>
  <c r="D66" i="13"/>
  <c r="J120" i="13"/>
  <c r="D21" i="13"/>
  <c r="F21" i="13" s="1"/>
  <c r="F90" i="13"/>
  <c r="F24" i="7"/>
  <c r="H129" i="11"/>
  <c r="J129" i="11" s="1"/>
  <c r="J84" i="11"/>
  <c r="D75" i="9"/>
  <c r="J87" i="11"/>
  <c r="H132" i="11"/>
  <c r="J132" i="11" s="1"/>
  <c r="H61" i="8"/>
  <c r="L61" i="8" s="1"/>
  <c r="J34" i="9" s="1"/>
  <c r="H19" i="9"/>
  <c r="J19" i="9" s="1"/>
  <c r="H13" i="9"/>
  <c r="J13" i="9" s="1"/>
  <c r="H55" i="8"/>
  <c r="H68" i="11"/>
  <c r="D72" i="11"/>
  <c r="D68" i="11"/>
  <c r="J102" i="13"/>
  <c r="H70" i="13"/>
  <c r="J148" i="11"/>
  <c r="F165" i="15"/>
  <c r="K165" i="13"/>
  <c r="E181" i="13" s="1"/>
  <c r="H74" i="13"/>
  <c r="H20" i="11"/>
  <c r="J20" i="11" s="1"/>
  <c r="H62" i="10"/>
  <c r="L62" i="10" s="1"/>
  <c r="J35" i="11" s="1"/>
  <c r="F119" i="13"/>
  <c r="D134" i="13"/>
  <c r="F134" i="13" s="1"/>
  <c r="D66" i="15"/>
  <c r="J108" i="11"/>
  <c r="K108" i="11" s="1"/>
  <c r="G48" i="10"/>
  <c r="L48" i="10" s="1"/>
  <c r="J42" i="11" s="1"/>
  <c r="L34" i="10"/>
  <c r="J86" i="7"/>
  <c r="H131" i="7"/>
  <c r="J131" i="7" s="1"/>
  <c r="L36" i="6"/>
  <c r="H57" i="6"/>
  <c r="L57" i="6" s="1"/>
  <c r="J30" i="7" s="1"/>
  <c r="H15" i="7"/>
  <c r="J15" i="7" s="1"/>
  <c r="H72" i="13"/>
  <c r="D74" i="7"/>
  <c r="K153" i="7" l="1"/>
  <c r="E180" i="7" s="1"/>
  <c r="L29" i="8"/>
  <c r="J108" i="15"/>
  <c r="K108" i="15" s="1"/>
  <c r="L33" i="10"/>
  <c r="L30" i="10"/>
  <c r="J123" i="13"/>
  <c r="F153" i="11"/>
  <c r="L30" i="8"/>
  <c r="J24" i="7"/>
  <c r="K24" i="7" s="1"/>
  <c r="E175" i="7" s="1"/>
  <c r="L37" i="12"/>
  <c r="J153" i="11"/>
  <c r="F24" i="11"/>
  <c r="F93" i="11"/>
  <c r="G47" i="14"/>
  <c r="L47" i="14" s="1"/>
  <c r="J41" i="15" s="1"/>
  <c r="L33" i="14"/>
  <c r="K153" i="15"/>
  <c r="E180" i="15" s="1"/>
  <c r="D65" i="9"/>
  <c r="H15" i="9"/>
  <c r="J15" i="9" s="1"/>
  <c r="J24" i="9" s="1"/>
  <c r="H57" i="8"/>
  <c r="L57" i="8" s="1"/>
  <c r="J30" i="9" s="1"/>
  <c r="H75" i="13"/>
  <c r="G50" i="10"/>
  <c r="L45" i="10"/>
  <c r="L45" i="6"/>
  <c r="G50" i="6"/>
  <c r="D73" i="11"/>
  <c r="H74" i="15"/>
  <c r="L30" i="12"/>
  <c r="D131" i="13"/>
  <c r="F131" i="13" s="1"/>
  <c r="F116" i="13"/>
  <c r="H14" i="15"/>
  <c r="J14" i="15" s="1"/>
  <c r="H56" i="14"/>
  <c r="L56" i="14" s="1"/>
  <c r="J29" i="15" s="1"/>
  <c r="D72" i="13"/>
  <c r="F24" i="9"/>
  <c r="F115" i="15"/>
  <c r="F123" i="15" s="1"/>
  <c r="D130" i="15"/>
  <c r="F130" i="15" s="1"/>
  <c r="F138" i="15" s="1"/>
  <c r="L30" i="14"/>
  <c r="J86" i="15"/>
  <c r="H131" i="15"/>
  <c r="J131" i="15" s="1"/>
  <c r="H66" i="13"/>
  <c r="H74" i="11"/>
  <c r="H133" i="11"/>
  <c r="J133" i="11" s="1"/>
  <c r="J138" i="11" s="1"/>
  <c r="J88" i="11"/>
  <c r="J93" i="11" s="1"/>
  <c r="F112" i="9"/>
  <c r="D127" i="9"/>
  <c r="F127" i="9" s="1"/>
  <c r="D67" i="13"/>
  <c r="D70" i="11"/>
  <c r="L45" i="14"/>
  <c r="J123" i="11"/>
  <c r="L31" i="12"/>
  <c r="G45" i="12"/>
  <c r="L35" i="10"/>
  <c r="J86" i="13"/>
  <c r="H131" i="13"/>
  <c r="J131" i="13" s="1"/>
  <c r="H13" i="11"/>
  <c r="J13" i="11" s="1"/>
  <c r="H55" i="10"/>
  <c r="H67" i="13"/>
  <c r="J108" i="9"/>
  <c r="K108" i="9" s="1"/>
  <c r="L40" i="6"/>
  <c r="J83" i="13"/>
  <c r="H128" i="13"/>
  <c r="J128" i="13" s="1"/>
  <c r="D66" i="11"/>
  <c r="L33" i="12"/>
  <c r="G47" i="12"/>
  <c r="L47" i="12" s="1"/>
  <c r="J41" i="13" s="1"/>
  <c r="J88" i="13"/>
  <c r="H133" i="13"/>
  <c r="J133" i="13" s="1"/>
  <c r="F113" i="11"/>
  <c r="D128" i="11"/>
  <c r="F128" i="11" s="1"/>
  <c r="H129" i="13"/>
  <c r="J129" i="13" s="1"/>
  <c r="J84" i="13"/>
  <c r="L31" i="8"/>
  <c r="G45" i="8"/>
  <c r="K165" i="9"/>
  <c r="E181" i="9" s="1"/>
  <c r="F93" i="13"/>
  <c r="H70" i="11"/>
  <c r="J108" i="13"/>
  <c r="K108" i="13" s="1"/>
  <c r="H67" i="9"/>
  <c r="F24" i="13"/>
  <c r="D75" i="13"/>
  <c r="F114" i="13"/>
  <c r="D129" i="13"/>
  <c r="F129" i="13" s="1"/>
  <c r="H56" i="12"/>
  <c r="L56" i="12" s="1"/>
  <c r="J29" i="13" s="1"/>
  <c r="H14" i="13"/>
  <c r="J14" i="13" s="1"/>
  <c r="H19" i="11"/>
  <c r="J19" i="11" s="1"/>
  <c r="H61" i="10"/>
  <c r="L61" i="10" s="1"/>
  <c r="J34" i="11" s="1"/>
  <c r="H129" i="9"/>
  <c r="J129" i="9" s="1"/>
  <c r="J84" i="9"/>
  <c r="F112" i="13"/>
  <c r="D127" i="13"/>
  <c r="F127" i="13" s="1"/>
  <c r="D70" i="9"/>
  <c r="H17" i="11"/>
  <c r="J17" i="11" s="1"/>
  <c r="H59" i="10"/>
  <c r="L59" i="10" s="1"/>
  <c r="J32" i="11" s="1"/>
  <c r="L29" i="12"/>
  <c r="H72" i="11"/>
  <c r="H131" i="9"/>
  <c r="J131" i="9" s="1"/>
  <c r="J86" i="9"/>
  <c r="D65" i="13"/>
  <c r="D128" i="9"/>
  <c r="F128" i="9" s="1"/>
  <c r="F113" i="9"/>
  <c r="D74" i="11"/>
  <c r="J83" i="15"/>
  <c r="H128" i="15"/>
  <c r="J128" i="15" s="1"/>
  <c r="H65" i="11"/>
  <c r="L55" i="6"/>
  <c r="H66" i="6"/>
  <c r="G47" i="8"/>
  <c r="L47" i="8" s="1"/>
  <c r="J41" i="9" s="1"/>
  <c r="L33" i="8"/>
  <c r="J87" i="15"/>
  <c r="H132" i="15"/>
  <c r="J132" i="15" s="1"/>
  <c r="F138" i="7"/>
  <c r="D66" i="9"/>
  <c r="L55" i="14"/>
  <c r="L37" i="10"/>
  <c r="J138" i="7"/>
  <c r="L34" i="14"/>
  <c r="G48" i="14"/>
  <c r="L48" i="14" s="1"/>
  <c r="J42" i="15" s="1"/>
  <c r="L55" i="8"/>
  <c r="F116" i="11"/>
  <c r="D131" i="11"/>
  <c r="F131" i="11" s="1"/>
  <c r="J93" i="7"/>
  <c r="D135" i="13"/>
  <c r="F135" i="13" s="1"/>
  <c r="F120" i="13"/>
  <c r="H63" i="12"/>
  <c r="L63" i="12" s="1"/>
  <c r="J36" i="13" s="1"/>
  <c r="H21" i="13"/>
  <c r="J21" i="13" s="1"/>
  <c r="F123" i="7"/>
  <c r="K123" i="7" s="1"/>
  <c r="D75" i="11"/>
  <c r="H127" i="9"/>
  <c r="J127" i="9" s="1"/>
  <c r="J82" i="9"/>
  <c r="D67" i="9"/>
  <c r="H72" i="9"/>
  <c r="J123" i="15"/>
  <c r="H65" i="9"/>
  <c r="K165" i="15"/>
  <c r="E181" i="15" s="1"/>
  <c r="F114" i="9"/>
  <c r="D129" i="9"/>
  <c r="F129" i="9" s="1"/>
  <c r="K153" i="9"/>
  <c r="E180" i="9" s="1"/>
  <c r="H16" i="15"/>
  <c r="J16" i="15" s="1"/>
  <c r="H58" i="14"/>
  <c r="L58" i="14" s="1"/>
  <c r="J31" i="15" s="1"/>
  <c r="L32" i="14"/>
  <c r="L55" i="12"/>
  <c r="F120" i="11"/>
  <c r="D135" i="11"/>
  <c r="F135" i="11" s="1"/>
  <c r="K153" i="13"/>
  <c r="E180" i="13" s="1"/>
  <c r="F93" i="9"/>
  <c r="K153" i="11" l="1"/>
  <c r="E180" i="11" s="1"/>
  <c r="L40" i="10"/>
  <c r="J93" i="9"/>
  <c r="K93" i="9" s="1"/>
  <c r="H66" i="8"/>
  <c r="J138" i="9"/>
  <c r="F138" i="13"/>
  <c r="J93" i="13"/>
  <c r="K93" i="13" s="1"/>
  <c r="F138" i="9"/>
  <c r="J24" i="15"/>
  <c r="G50" i="14"/>
  <c r="L40" i="8"/>
  <c r="K123" i="15"/>
  <c r="L40" i="12"/>
  <c r="K93" i="11"/>
  <c r="J28" i="15"/>
  <c r="L67" i="14"/>
  <c r="H66" i="12"/>
  <c r="L67" i="12"/>
  <c r="J28" i="13"/>
  <c r="G50" i="8"/>
  <c r="L45" i="8"/>
  <c r="L50" i="14"/>
  <c r="J39" i="15"/>
  <c r="L40" i="14"/>
  <c r="L67" i="8"/>
  <c r="J28" i="9"/>
  <c r="L67" i="6"/>
  <c r="J28" i="7"/>
  <c r="L55" i="10"/>
  <c r="H66" i="10"/>
  <c r="J24" i="11"/>
  <c r="L50" i="6"/>
  <c r="J39" i="7"/>
  <c r="K24" i="9"/>
  <c r="E175" i="9" s="1"/>
  <c r="J39" i="11"/>
  <c r="L50" i="10"/>
  <c r="J138" i="15"/>
  <c r="J138" i="13"/>
  <c r="H66" i="14"/>
  <c r="J93" i="15"/>
  <c r="J24" i="13"/>
  <c r="K24" i="13" s="1"/>
  <c r="E175" i="13" s="1"/>
  <c r="L45" i="12"/>
  <c r="G50" i="12"/>
  <c r="F123" i="9"/>
  <c r="K123" i="9" s="1"/>
  <c r="F123" i="13"/>
  <c r="K123" i="13" s="1"/>
  <c r="F138" i="11"/>
  <c r="F123" i="11"/>
  <c r="K138" i="7"/>
  <c r="K93" i="7"/>
  <c r="K138" i="9" l="1"/>
  <c r="E177" i="9" s="1"/>
  <c r="K138" i="13"/>
  <c r="E177" i="13" s="1"/>
  <c r="K24" i="15"/>
  <c r="E175" i="15" s="1"/>
  <c r="J44" i="15"/>
  <c r="K123" i="11"/>
  <c r="J44" i="7"/>
  <c r="K24" i="11"/>
  <c r="E175" i="11" s="1"/>
  <c r="E177" i="7"/>
  <c r="K138" i="11"/>
  <c r="L50" i="12"/>
  <c r="J39" i="13"/>
  <c r="J44" i="13" s="1"/>
  <c r="L50" i="8"/>
  <c r="J39" i="9"/>
  <c r="J44" i="9" s="1"/>
  <c r="L67" i="10"/>
  <c r="J28" i="11"/>
  <c r="J44" i="11" s="1"/>
  <c r="K93" i="15"/>
  <c r="K138" i="15"/>
  <c r="K44" i="15" l="1"/>
  <c r="E176" i="15" s="1"/>
  <c r="E177" i="11"/>
  <c r="E177" i="15"/>
  <c r="K44" i="7"/>
  <c r="E176" i="7" s="1"/>
  <c r="K44" i="9"/>
  <c r="E176" i="9" s="1"/>
  <c r="K44" i="13"/>
  <c r="E176" i="13" s="1"/>
  <c r="K44" i="11"/>
  <c r="E176" i="11" s="1"/>
  <c r="F48" i="7" l="1"/>
  <c r="I48" i="7"/>
  <c r="J48" i="7"/>
  <c r="F49" i="7"/>
  <c r="I49" i="7"/>
  <c r="J49" i="7"/>
  <c r="F50" i="7"/>
  <c r="I50" i="7"/>
  <c r="J50" i="7" s="1"/>
  <c r="F51" i="7"/>
  <c r="I51" i="7"/>
  <c r="J51" i="7" s="1"/>
  <c r="I52" i="7"/>
  <c r="J52" i="7"/>
  <c r="F53" i="7"/>
  <c r="F61" i="7" s="1"/>
  <c r="I53" i="7"/>
  <c r="J53" i="7" s="1"/>
  <c r="I54" i="7"/>
  <c r="J54" i="7"/>
  <c r="F55" i="7"/>
  <c r="I55" i="7"/>
  <c r="J55" i="7"/>
  <c r="F56" i="7"/>
  <c r="I56" i="7"/>
  <c r="J56" i="7" s="1"/>
  <c r="F57" i="7"/>
  <c r="I57" i="7"/>
  <c r="J57" i="7"/>
  <c r="F58" i="7"/>
  <c r="I58" i="7"/>
  <c r="J58" i="7"/>
  <c r="F65" i="7"/>
  <c r="I65" i="7"/>
  <c r="J65" i="7" s="1"/>
  <c r="F66" i="7"/>
  <c r="F78" i="7" s="1"/>
  <c r="I66" i="7"/>
  <c r="J66" i="7" s="1"/>
  <c r="F67" i="7"/>
  <c r="I67" i="7"/>
  <c r="J67" i="7" s="1"/>
  <c r="F68" i="7"/>
  <c r="I68" i="7"/>
  <c r="J68" i="7"/>
  <c r="I69" i="7"/>
  <c r="J69" i="7" s="1"/>
  <c r="F70" i="7"/>
  <c r="I70" i="7"/>
  <c r="J70" i="7" s="1"/>
  <c r="I71" i="7"/>
  <c r="J71" i="7"/>
  <c r="F72" i="7"/>
  <c r="I72" i="7"/>
  <c r="J72" i="7" s="1"/>
  <c r="F73" i="7"/>
  <c r="I73" i="7"/>
  <c r="J73" i="7" s="1"/>
  <c r="F74" i="7"/>
  <c r="I74" i="7"/>
  <c r="J74" i="7"/>
  <c r="F75" i="7"/>
  <c r="I75" i="7"/>
  <c r="J75" i="7" s="1"/>
  <c r="F48" i="9"/>
  <c r="F61" i="9" s="1"/>
  <c r="I48" i="9"/>
  <c r="J48" i="9" s="1"/>
  <c r="F49" i="9"/>
  <c r="I49" i="9"/>
  <c r="J49" i="9"/>
  <c r="F50" i="9"/>
  <c r="I50" i="9"/>
  <c r="J50" i="9"/>
  <c r="F51" i="9"/>
  <c r="I51" i="9"/>
  <c r="J51" i="9"/>
  <c r="I52" i="9"/>
  <c r="J52" i="9" s="1"/>
  <c r="F53" i="9"/>
  <c r="I53" i="9"/>
  <c r="J53" i="9"/>
  <c r="I54" i="9"/>
  <c r="J54" i="9" s="1"/>
  <c r="F55" i="9"/>
  <c r="I55" i="9"/>
  <c r="J55" i="9"/>
  <c r="F56" i="9"/>
  <c r="I56" i="9"/>
  <c r="J56" i="9"/>
  <c r="F57" i="9"/>
  <c r="I57" i="9"/>
  <c r="J57" i="9"/>
  <c r="F58" i="9"/>
  <c r="I58" i="9"/>
  <c r="J58" i="9"/>
  <c r="F65" i="9"/>
  <c r="I65" i="9"/>
  <c r="J65" i="9" s="1"/>
  <c r="F66" i="9"/>
  <c r="I66" i="9"/>
  <c r="J66" i="9" s="1"/>
  <c r="F67" i="9"/>
  <c r="I67" i="9"/>
  <c r="J67" i="9" s="1"/>
  <c r="F68" i="9"/>
  <c r="I68" i="9"/>
  <c r="J68" i="9" s="1"/>
  <c r="I69" i="9"/>
  <c r="J69" i="9"/>
  <c r="F70" i="9"/>
  <c r="F78" i="9" s="1"/>
  <c r="I70" i="9"/>
  <c r="J70" i="9" s="1"/>
  <c r="I71" i="9"/>
  <c r="J71" i="9"/>
  <c r="F72" i="9"/>
  <c r="I72" i="9"/>
  <c r="J72" i="9" s="1"/>
  <c r="F73" i="9"/>
  <c r="I73" i="9"/>
  <c r="J73" i="9" s="1"/>
  <c r="F74" i="9"/>
  <c r="I74" i="9"/>
  <c r="J74" i="9" s="1"/>
  <c r="F75" i="9"/>
  <c r="I75" i="9"/>
  <c r="J75" i="9"/>
  <c r="F48" i="11"/>
  <c r="F61" i="11" s="1"/>
  <c r="I48" i="11"/>
  <c r="J48" i="11"/>
  <c r="F49" i="11"/>
  <c r="I49" i="11"/>
  <c r="J49" i="11" s="1"/>
  <c r="J61" i="11" s="1"/>
  <c r="F50" i="11"/>
  <c r="I50" i="11"/>
  <c r="J50" i="11"/>
  <c r="F51" i="11"/>
  <c r="I51" i="11"/>
  <c r="J51" i="11" s="1"/>
  <c r="I52" i="11"/>
  <c r="J52" i="11"/>
  <c r="F53" i="11"/>
  <c r="I53" i="11"/>
  <c r="J53" i="11"/>
  <c r="I54" i="11"/>
  <c r="J54" i="11"/>
  <c r="F55" i="11"/>
  <c r="I55" i="11"/>
  <c r="J55" i="11" s="1"/>
  <c r="F56" i="11"/>
  <c r="I56" i="11"/>
  <c r="J56" i="11"/>
  <c r="F57" i="11"/>
  <c r="I57" i="11"/>
  <c r="J57" i="11" s="1"/>
  <c r="F58" i="11"/>
  <c r="I58" i="11"/>
  <c r="J58" i="11" s="1"/>
  <c r="F65" i="11"/>
  <c r="I65" i="11"/>
  <c r="J65" i="11"/>
  <c r="F66" i="11"/>
  <c r="I66" i="11"/>
  <c r="J66" i="11" s="1"/>
  <c r="F67" i="11"/>
  <c r="I67" i="11"/>
  <c r="J67" i="11"/>
  <c r="F68" i="11"/>
  <c r="I68" i="11"/>
  <c r="J68" i="11"/>
  <c r="I69" i="11"/>
  <c r="J69" i="11"/>
  <c r="F70" i="11"/>
  <c r="I70" i="11"/>
  <c r="J70" i="11"/>
  <c r="I71" i="11"/>
  <c r="J71" i="11"/>
  <c r="F72" i="11"/>
  <c r="I72" i="11"/>
  <c r="J72" i="11"/>
  <c r="F73" i="11"/>
  <c r="I73" i="11"/>
  <c r="J73" i="11"/>
  <c r="F74" i="11"/>
  <c r="I74" i="11"/>
  <c r="J74" i="11"/>
  <c r="F75" i="11"/>
  <c r="I75" i="11"/>
  <c r="J75" i="11"/>
  <c r="F48" i="13"/>
  <c r="I48" i="13"/>
  <c r="J48" i="13"/>
  <c r="F49" i="13"/>
  <c r="I49" i="13"/>
  <c r="J49" i="13" s="1"/>
  <c r="F50" i="13"/>
  <c r="I50" i="13"/>
  <c r="J50" i="13"/>
  <c r="F51" i="13"/>
  <c r="I51" i="13"/>
  <c r="J51" i="13" s="1"/>
  <c r="I52" i="13"/>
  <c r="J52" i="13" s="1"/>
  <c r="F53" i="13"/>
  <c r="I53" i="13"/>
  <c r="J53" i="13"/>
  <c r="I54" i="13"/>
  <c r="J54" i="13"/>
  <c r="F55" i="13"/>
  <c r="I55" i="13"/>
  <c r="J55" i="13" s="1"/>
  <c r="F56" i="13"/>
  <c r="I56" i="13"/>
  <c r="J56" i="13"/>
  <c r="F57" i="13"/>
  <c r="I57" i="13"/>
  <c r="J57" i="13" s="1"/>
  <c r="F58" i="13"/>
  <c r="I58" i="13"/>
  <c r="J58" i="13" s="1"/>
  <c r="F65" i="13"/>
  <c r="F78" i="13" s="1"/>
  <c r="I65" i="13"/>
  <c r="J65" i="13"/>
  <c r="F66" i="13"/>
  <c r="I66" i="13"/>
  <c r="J66" i="13" s="1"/>
  <c r="F67" i="13"/>
  <c r="I67" i="13"/>
  <c r="J67" i="13"/>
  <c r="F68" i="13"/>
  <c r="I68" i="13"/>
  <c r="J68" i="13" s="1"/>
  <c r="I69" i="13"/>
  <c r="J69" i="13"/>
  <c r="F70" i="13"/>
  <c r="I70" i="13"/>
  <c r="J70" i="13"/>
  <c r="I71" i="13"/>
  <c r="J71" i="13"/>
  <c r="F72" i="13"/>
  <c r="I72" i="13"/>
  <c r="J72" i="13" s="1"/>
  <c r="F73" i="13"/>
  <c r="I73" i="13"/>
  <c r="J73" i="13"/>
  <c r="F74" i="13"/>
  <c r="I74" i="13"/>
  <c r="J74" i="13" s="1"/>
  <c r="F75" i="13"/>
  <c r="I75" i="13"/>
  <c r="J75" i="13"/>
  <c r="J78" i="13"/>
  <c r="F48" i="15"/>
  <c r="I48" i="15"/>
  <c r="J48" i="15"/>
  <c r="F49" i="15"/>
  <c r="F61" i="15" s="1"/>
  <c r="I49" i="15"/>
  <c r="J49" i="15" s="1"/>
  <c r="F50" i="15"/>
  <c r="I50" i="15"/>
  <c r="J50" i="15"/>
  <c r="F51" i="15"/>
  <c r="I51" i="15"/>
  <c r="J51" i="15"/>
  <c r="I52" i="15"/>
  <c r="J52" i="15" s="1"/>
  <c r="F53" i="15"/>
  <c r="I53" i="15"/>
  <c r="J53" i="15" s="1"/>
  <c r="I54" i="15"/>
  <c r="J54" i="15"/>
  <c r="F55" i="15"/>
  <c r="I55" i="15"/>
  <c r="J55" i="15" s="1"/>
  <c r="F56" i="15"/>
  <c r="I56" i="15"/>
  <c r="J56" i="15"/>
  <c r="F57" i="15"/>
  <c r="I57" i="15"/>
  <c r="J57" i="15"/>
  <c r="F58" i="15"/>
  <c r="I58" i="15"/>
  <c r="J58" i="15"/>
  <c r="F65" i="15"/>
  <c r="I65" i="15"/>
  <c r="J65" i="15"/>
  <c r="J78" i="15" s="1"/>
  <c r="F66" i="15"/>
  <c r="I66" i="15"/>
  <c r="J66" i="15" s="1"/>
  <c r="F67" i="15"/>
  <c r="I67" i="15"/>
  <c r="J67" i="15"/>
  <c r="F68" i="15"/>
  <c r="I68" i="15"/>
  <c r="J68" i="15" s="1"/>
  <c r="I69" i="15"/>
  <c r="J69" i="15" s="1"/>
  <c r="F70" i="15"/>
  <c r="I70" i="15"/>
  <c r="J70" i="15"/>
  <c r="I71" i="15"/>
  <c r="J71" i="15"/>
  <c r="F72" i="15"/>
  <c r="I72" i="15"/>
  <c r="J72" i="15" s="1"/>
  <c r="F73" i="15"/>
  <c r="I73" i="15"/>
  <c r="J73" i="15"/>
  <c r="F74" i="15"/>
  <c r="I74" i="15"/>
  <c r="J74" i="15" s="1"/>
  <c r="F75" i="15"/>
  <c r="I75" i="15"/>
  <c r="J75" i="15" s="1"/>
  <c r="J78" i="7" l="1"/>
  <c r="K61" i="7"/>
  <c r="E178" i="7" s="1"/>
  <c r="F167" i="7"/>
  <c r="J61" i="15"/>
  <c r="K78" i="13"/>
  <c r="E179" i="13" s="1"/>
  <c r="K78" i="9"/>
  <c r="E179" i="9" s="1"/>
  <c r="K61" i="11"/>
  <c r="E178" i="11" s="1"/>
  <c r="J61" i="7"/>
  <c r="F78" i="15"/>
  <c r="J61" i="13"/>
  <c r="J61" i="9"/>
  <c r="J78" i="11"/>
  <c r="F167" i="9"/>
  <c r="K61" i="9"/>
  <c r="E178" i="9" s="1"/>
  <c r="F61" i="13"/>
  <c r="F78" i="11"/>
  <c r="J78" i="9"/>
  <c r="K78" i="11" l="1"/>
  <c r="E179" i="11" s="1"/>
  <c r="K61" i="13"/>
  <c r="E178" i="13" s="1"/>
  <c r="F167" i="13"/>
  <c r="J167" i="15"/>
  <c r="J169" i="15" s="1"/>
  <c r="J167" i="9"/>
  <c r="J169" i="9" s="1"/>
  <c r="K78" i="15"/>
  <c r="E179" i="15" s="1"/>
  <c r="F167" i="15"/>
  <c r="F167" i="11"/>
  <c r="K167" i="7"/>
  <c r="F168" i="7"/>
  <c r="F169" i="7" s="1"/>
  <c r="F168" i="9"/>
  <c r="K61" i="15"/>
  <c r="E178" i="15" s="1"/>
  <c r="J167" i="13"/>
  <c r="J169" i="13" s="1"/>
  <c r="K78" i="7"/>
  <c r="E179" i="7" s="1"/>
  <c r="J167" i="7"/>
  <c r="J169" i="7" s="1"/>
  <c r="J167" i="11"/>
  <c r="J169" i="11" s="1"/>
  <c r="K167" i="9" l="1"/>
  <c r="K167" i="11"/>
  <c r="F168" i="11"/>
  <c r="F169" i="11" s="1"/>
  <c r="K167" i="15"/>
  <c r="F168" i="15"/>
  <c r="K168" i="9"/>
  <c r="E182" i="9" s="1"/>
  <c r="E183" i="9" s="1"/>
  <c r="F168" i="13"/>
  <c r="F169" i="13" s="1"/>
  <c r="K167" i="13"/>
  <c r="F169" i="9"/>
  <c r="K168" i="7"/>
  <c r="E182" i="7" s="1"/>
  <c r="E183" i="7" s="1"/>
  <c r="K169" i="9" l="1"/>
  <c r="K168" i="15"/>
  <c r="E182" i="15" s="1"/>
  <c r="E183" i="15" s="1"/>
  <c r="F169" i="15"/>
  <c r="K168" i="11"/>
  <c r="E182" i="11" s="1"/>
  <c r="E183" i="11" s="1"/>
  <c r="K169" i="11"/>
  <c r="K168" i="13"/>
  <c r="E182" i="13" s="1"/>
  <c r="E183" i="13" s="1"/>
  <c r="E184" i="9"/>
  <c r="K169" i="7"/>
  <c r="E184" i="7" s="1"/>
  <c r="K169" i="15" l="1"/>
  <c r="E184" i="15" s="1"/>
  <c r="E184" i="11"/>
  <c r="K169" i="13"/>
  <c r="E184" i="13" s="1"/>
</calcChain>
</file>

<file path=xl/sharedStrings.xml><?xml version="1.0" encoding="utf-8"?>
<sst xmlns="http://schemas.openxmlformats.org/spreadsheetml/2006/main" count="1049" uniqueCount="99">
  <si>
    <t>Commodity</t>
  </si>
  <si>
    <t>File Number:</t>
  </si>
  <si>
    <t>Exhibit:</t>
  </si>
  <si>
    <t xml:space="preserve">Commodity Expense </t>
  </si>
  <si>
    <t>Tab:</t>
  </si>
  <si>
    <t>Schedule:</t>
  </si>
  <si>
    <t>Page:</t>
  </si>
  <si>
    <t>Date:</t>
  </si>
  <si>
    <t>Step 1:</t>
  </si>
  <si>
    <t>Commodity Pricing</t>
  </si>
  <si>
    <t> </t>
  </si>
  <si>
    <t>Forecasted Commodity Prices</t>
  </si>
  <si>
    <t xml:space="preserve"> Table 1: Average RPP Supply Cost Summary*</t>
  </si>
  <si>
    <t>non-RPP</t>
  </si>
  <si>
    <t>RPP</t>
  </si>
  <si>
    <t>HOEP ($/MWh)</t>
  </si>
  <si>
    <t>Load-Weighted Price for RPP Consumers</t>
  </si>
  <si>
    <t>Global Adjustment ($/MWh)</t>
  </si>
  <si>
    <t>Impact of the Global Adjustment</t>
  </si>
  <si>
    <t>Adjustments ($/MWh)</t>
  </si>
  <si>
    <t>TOTAL ($/MWh)</t>
  </si>
  <si>
    <t>Average Supply Cost for RPP Consumers</t>
  </si>
  <si>
    <t>Step 2:</t>
  </si>
  <si>
    <t>Commodity Expense</t>
  </si>
  <si>
    <t>(volumes for the test year is loss adjusted)</t>
  </si>
  <si>
    <t>Customer</t>
  </si>
  <si>
    <t>Revenue</t>
  </si>
  <si>
    <t>Expense</t>
  </si>
  <si>
    <t>Class Name</t>
  </si>
  <si>
    <t>UoM</t>
  </si>
  <si>
    <t>USoA #</t>
  </si>
  <si>
    <t>Class A Non-RPP Volume**</t>
  </si>
  <si>
    <t>Class B Non-RPP Volume**</t>
  </si>
  <si>
    <t>Class B RPP Volume**</t>
  </si>
  <si>
    <t>Average HOEP</t>
  </si>
  <si>
    <t>Average RPP Rate</t>
  </si>
  <si>
    <t>Amount</t>
  </si>
  <si>
    <t>kWh</t>
  </si>
  <si>
    <t>TOTAL</t>
  </si>
  <si>
    <t>Class A - non-RPP Global Adjustment</t>
  </si>
  <si>
    <t>kWh Volume</t>
  </si>
  <si>
    <t>Hist. Avg GA/kWh ***</t>
  </si>
  <si>
    <t>Class B - non-RPP Global Adjustment</t>
  </si>
  <si>
    <t>Class B Non-RPP Volume</t>
  </si>
  <si>
    <t>GA Rate/kWh</t>
  </si>
  <si>
    <t>Total Volume</t>
  </si>
  <si>
    <t>*Regulated Price Plan Prices for the Period November 1, 2023 to October 31, 2024, p. 5</t>
  </si>
  <si>
    <t>** Enter 2024 load forecast data by class based on the most recent 12-month historic Class A and Class B RPP/Non-RPP proportions</t>
  </si>
  <si>
    <t>*** Based on average $ GA per kWh billed to class A customers for most recent 12-month historical year.</t>
  </si>
  <si>
    <t>Cost of Power Calculation</t>
  </si>
  <si>
    <t>All Volume should be loss adjusted with the exception of:</t>
  </si>
  <si>
    <t>1. Volume for Electricity Commodity, Wholesale Market Services, Class A and B should loss adjusted less WMP</t>
  </si>
  <si>
    <t>2. Low Voltage Charges - No loss adjustment for kWh</t>
  </si>
  <si>
    <t>Total</t>
  </si>
  <si>
    <t>Electricity Commodity</t>
  </si>
  <si>
    <t>Units</t>
  </si>
  <si>
    <t>Volume</t>
  </si>
  <si>
    <t>Rate</t>
  </si>
  <si>
    <t xml:space="preserve">$ </t>
  </si>
  <si>
    <t>$</t>
  </si>
  <si>
    <t>Class per Load Forecast</t>
  </si>
  <si>
    <t>SUB-TOTAL</t>
  </si>
  <si>
    <t>Global Adjustment non-RPP</t>
  </si>
  <si>
    <t xml:space="preserve">Class per Load Forecast </t>
  </si>
  <si>
    <t>Transmission - Network</t>
  </si>
  <si>
    <t xml:space="preserve"> Volume</t>
  </si>
  <si>
    <t>Transmission - Connection</t>
  </si>
  <si>
    <t>Wholesale Market Service</t>
  </si>
  <si>
    <t xml:space="preserve">Class A CBR </t>
  </si>
  <si>
    <t xml:space="preserve">Class B CBR </t>
  </si>
  <si>
    <t>RRRP</t>
  </si>
  <si>
    <t>Low Voltage - No TLF adjustment</t>
  </si>
  <si>
    <t>Smart Meter Entity Charge</t>
  </si>
  <si>
    <t>SUB- TOTAL</t>
  </si>
  <si>
    <t>OER CREDIT</t>
  </si>
  <si>
    <t xml:space="preserve">3.The OER Credit will only apply to RPP proportion of the listed components. Impacts on distribution charges are excluded for the purpose of calculating the cost of power. </t>
  </si>
  <si>
    <t>4. Class A CBR: use the average CBR per kWh, similar to how the Class A GA cost is calculated</t>
  </si>
  <si>
    <t>4705 -Power Purchased</t>
  </si>
  <si>
    <t>4707- Global Adjustment</t>
  </si>
  <si>
    <t>4708-Charges-WMS</t>
  </si>
  <si>
    <t>4714-Charges-NW</t>
  </si>
  <si>
    <t>4716-Charges-CN</t>
  </si>
  <si>
    <t>4750-Charges-LV</t>
  </si>
  <si>
    <t>4751-IESO SME</t>
  </si>
  <si>
    <t>Misc A/R or A/P</t>
  </si>
  <si>
    <t>Residential</t>
  </si>
  <si>
    <t>Residential Seasonal</t>
  </si>
  <si>
    <t>GS&lt;50</t>
  </si>
  <si>
    <t>GS 50 - 2,999</t>
  </si>
  <si>
    <t>GS 3,000 - 4,999</t>
  </si>
  <si>
    <t>Large Use</t>
  </si>
  <si>
    <t>Street Light</t>
  </si>
  <si>
    <t>Sentinel Light</t>
  </si>
  <si>
    <t>USL</t>
  </si>
  <si>
    <t/>
  </si>
  <si>
    <t>2031 Test Year</t>
  </si>
  <si>
    <t>EB-2025-0312</t>
  </si>
  <si>
    <t>Settlement Proposal</t>
  </si>
  <si>
    <t>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</si>
</sst>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5" formatCode="&quot;$&quot;#,##0;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  <numFmt numFmtId="165" formatCode="_(&quot;$&quot;* #,##0.00_);_(&quot;$&quot;* \(#,##0.00\);_(&quot;$&quot;* &quot;-&quot;??_);_(@_)"/>
    <numFmt numFmtId="166" formatCode="\$#,##0.00_);&quot;($&quot;#,##0.00\)"/>
    <numFmt numFmtId="167" formatCode="_-* #,##0_-;\-* #,##0_-;_-* &quot;-&quot;??_-;_-@_-"/>
    <numFmt numFmtId="168" formatCode="_(&quot;$&quot;* #,##0.00000_);_(&quot;$&quot;* \(#,##0.00000\);_(&quot;$&quot;* &quot;-&quot;??_);_(@_)"/>
    <numFmt numFmtId="169" formatCode="\$#,##0"/>
    <numFmt numFmtId="170" formatCode="_(* #,##0.00_);_(* \(#,##0.00\);_(* &quot;-&quot;??_);_(@_)"/>
    <numFmt numFmtId="171" formatCode="_(* #,##0_);_(* \(#,##0\);_(* &quot;-&quot;??_);_(@_)"/>
    <numFmt numFmtId="172" formatCode="_(* #,##0.0000_);_(* \(#,##0.0000\);_(* &quot;-&quot;??_);_(@_)"/>
    <numFmt numFmtId="173" formatCode="0.0000"/>
    <numFmt numFmtId="174" formatCode="_-* #,##0_-;\-* #,##0_-;_-* \-??_-;_-@_-"/>
    <numFmt numFmtId="175" formatCode="_-* #,##0.00_-;\-* #,##0.00_-;_-* \-??_-;_-@_-"/>
    <numFmt numFmtId="176" formatCode="_(&quot;$&quot;* #,##0_);_(&quot;$&quot;* \(#,##0\);_(&quot;$&quot;* &quot;-&quot;??_);_(@_)"/>
    <numFmt numFmtId="177" formatCode="0.00000"/>
    <numFmt numFmtId="178" formatCode="_(* #,##0.0_);_(* \(#,##0.0\);_(* &quot;-&quot;??_);_(@_)"/>
    <numFmt numFmtId="179" formatCode="#,##0.0"/>
    <numFmt numFmtId="180" formatCode="mm/dd/yyyy"/>
    <numFmt numFmtId="181" formatCode="0\-0"/>
    <numFmt numFmtId="182" formatCode="##\-#"/>
    <numFmt numFmtId="183" formatCode="&quot;£ &quot;#,##0.00;[Red]\-&quot;£ &quot;#,##0.00"/>
  </numFmts>
  <fonts count="6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indexed="22"/>
      <name val="Arial"/>
      <family val="2"/>
    </font>
    <font>
      <strike/>
      <sz val="11"/>
      <color rgb="FFFF0000"/>
      <name val="Aptos Narrow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  <charset val="1"/>
    </font>
    <font>
      <sz val="11"/>
      <name val="Arial"/>
      <family val="2"/>
      <charset val="1"/>
    </font>
    <font>
      <i/>
      <sz val="10"/>
      <name val="Arial"/>
      <family val="2"/>
      <charset val="1"/>
    </font>
    <font>
      <sz val="10"/>
      <name val="Mangal"/>
      <family val="2"/>
      <charset val="1"/>
    </font>
    <font>
      <b/>
      <i/>
      <sz val="11"/>
      <name val="Arial"/>
      <family val="2"/>
    </font>
    <font>
      <b/>
      <u/>
      <sz val="12"/>
      <name val="Arial"/>
      <family val="2"/>
      <charset val="1"/>
    </font>
    <font>
      <b/>
      <sz val="11"/>
      <name val="Arial"/>
      <family val="2"/>
      <charset val="1"/>
    </font>
    <font>
      <b/>
      <u/>
      <sz val="11"/>
      <name val="Arial"/>
      <family val="2"/>
      <charset val="1"/>
    </font>
    <font>
      <b/>
      <sz val="11"/>
      <name val="Arial"/>
      <family val="2"/>
    </font>
    <font>
      <b/>
      <u/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i/>
      <sz val="10"/>
      <color rgb="FFFF0000"/>
      <name val="Arial"/>
      <family val="2"/>
      <charset val="1"/>
    </font>
    <font>
      <b/>
      <sz val="12"/>
      <name val="Arial"/>
      <family val="2"/>
    </font>
    <font>
      <sz val="10"/>
      <name val="Arial"/>
      <family val="2"/>
    </font>
    <font>
      <b/>
      <sz val="10"/>
      <color theme="0" tint="-0.499984740745262"/>
      <name val="Arial"/>
      <family val="2"/>
      <charset val="1"/>
    </font>
    <font>
      <sz val="10"/>
      <color theme="0" tint="-0.499984740745262"/>
      <name val="Arial"/>
      <family val="2"/>
      <charset val="1"/>
    </font>
    <font>
      <sz val="11"/>
      <color theme="0" tint="-0.499984740745262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rgb="FF9C6500"/>
      <name val="Aptos Narrow"/>
      <family val="2"/>
      <scheme val="minor"/>
    </font>
    <font>
      <sz val="11"/>
      <color indexed="60"/>
      <name val="Calibri"/>
      <family val="2"/>
    </font>
    <font>
      <sz val="11"/>
      <color theme="1"/>
      <name val="Calibri"/>
      <family val="2"/>
    </font>
    <font>
      <b/>
      <sz val="11"/>
      <color indexed="63"/>
      <name val="Calibri"/>
      <family val="2"/>
    </font>
    <font>
      <b/>
      <sz val="18"/>
      <color theme="3"/>
      <name val="Aptos Display"/>
      <family val="2"/>
      <scheme val="major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6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58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14">
    <xf numFmtId="0" fontId="0" fillId="0" borderId="0"/>
    <xf numFmtId="0" fontId="3" fillId="0" borderId="0"/>
    <xf numFmtId="0" fontId="1" fillId="0" borderId="0"/>
    <xf numFmtId="9" fontId="11" fillId="0" borderId="0" applyFill="0" applyBorder="0" applyAlignment="0" applyProtection="0"/>
    <xf numFmtId="43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5" fontId="11" fillId="0" borderId="0" applyFill="0" applyBorder="0" applyAlignment="0" applyProtection="0"/>
    <xf numFmtId="170" fontId="1" fillId="0" borderId="0" applyFont="0" applyFill="0" applyBorder="0" applyAlignment="0" applyProtection="0"/>
    <xf numFmtId="0" fontId="22" fillId="0" borderId="0"/>
    <xf numFmtId="170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78" fontId="3" fillId="0" borderId="0"/>
    <xf numFmtId="179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80" fontId="3" fillId="0" borderId="0"/>
    <xf numFmtId="181" fontId="3" fillId="0" borderId="0"/>
    <xf numFmtId="180" fontId="3" fillId="0" borderId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1" fillId="4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1" fillId="4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1" fillId="42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1" fillId="4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41" fillId="44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1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1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1" fillId="4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1" fillId="4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1" fillId="4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41" fillId="46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1" fillId="49" borderId="0" applyNumberFormat="0" applyBorder="0" applyAlignment="0" applyProtection="0"/>
    <xf numFmtId="0" fontId="40" fillId="19" borderId="0" applyNumberFormat="0" applyBorder="0" applyAlignment="0" applyProtection="0"/>
    <xf numFmtId="0" fontId="42" fillId="50" borderId="0" applyNumberFormat="0" applyBorder="0" applyAlignment="0" applyProtection="0"/>
    <xf numFmtId="0" fontId="40" fillId="23" borderId="0" applyNumberFormat="0" applyBorder="0" applyAlignment="0" applyProtection="0"/>
    <xf numFmtId="0" fontId="42" fillId="47" borderId="0" applyNumberFormat="0" applyBorder="0" applyAlignment="0" applyProtection="0"/>
    <xf numFmtId="0" fontId="40" fillId="27" borderId="0" applyNumberFormat="0" applyBorder="0" applyAlignment="0" applyProtection="0"/>
    <xf numFmtId="0" fontId="42" fillId="48" borderId="0" applyNumberFormat="0" applyBorder="0" applyAlignment="0" applyProtection="0"/>
    <xf numFmtId="0" fontId="40" fillId="31" borderId="0" applyNumberFormat="0" applyBorder="0" applyAlignment="0" applyProtection="0"/>
    <xf numFmtId="0" fontId="42" fillId="51" borderId="0" applyNumberFormat="0" applyBorder="0" applyAlignment="0" applyProtection="0"/>
    <xf numFmtId="0" fontId="40" fillId="35" borderId="0" applyNumberFormat="0" applyBorder="0" applyAlignment="0" applyProtection="0"/>
    <xf numFmtId="0" fontId="42" fillId="52" borderId="0" applyNumberFormat="0" applyBorder="0" applyAlignment="0" applyProtection="0"/>
    <xf numFmtId="0" fontId="40" fillId="39" borderId="0" applyNumberFormat="0" applyBorder="0" applyAlignment="0" applyProtection="0"/>
    <xf numFmtId="0" fontId="42" fillId="53" borderId="0" applyNumberFormat="0" applyBorder="0" applyAlignment="0" applyProtection="0"/>
    <xf numFmtId="0" fontId="40" fillId="16" borderId="0" applyNumberFormat="0" applyBorder="0" applyAlignment="0" applyProtection="0"/>
    <xf numFmtId="0" fontId="42" fillId="54" borderId="0" applyNumberFormat="0" applyBorder="0" applyAlignment="0" applyProtection="0"/>
    <xf numFmtId="0" fontId="40" fillId="20" borderId="0" applyNumberFormat="0" applyBorder="0" applyAlignment="0" applyProtection="0"/>
    <xf numFmtId="0" fontId="42" fillId="55" borderId="0" applyNumberFormat="0" applyBorder="0" applyAlignment="0" applyProtection="0"/>
    <xf numFmtId="0" fontId="40" fillId="24" borderId="0" applyNumberFormat="0" applyBorder="0" applyAlignment="0" applyProtection="0"/>
    <xf numFmtId="0" fontId="42" fillId="56" borderId="0" applyNumberFormat="0" applyBorder="0" applyAlignment="0" applyProtection="0"/>
    <xf numFmtId="0" fontId="40" fillId="28" borderId="0" applyNumberFormat="0" applyBorder="0" applyAlignment="0" applyProtection="0"/>
    <xf numFmtId="0" fontId="42" fillId="51" borderId="0" applyNumberFormat="0" applyBorder="0" applyAlignment="0" applyProtection="0"/>
    <xf numFmtId="0" fontId="40" fillId="32" borderId="0" applyNumberFormat="0" applyBorder="0" applyAlignment="0" applyProtection="0"/>
    <xf numFmtId="0" fontId="42" fillId="52" borderId="0" applyNumberFormat="0" applyBorder="0" applyAlignment="0" applyProtection="0"/>
    <xf numFmtId="0" fontId="40" fillId="36" borderId="0" applyNumberFormat="0" applyBorder="0" applyAlignment="0" applyProtection="0"/>
    <xf numFmtId="0" fontId="42" fillId="57" borderId="0" applyNumberFormat="0" applyBorder="0" applyAlignment="0" applyProtection="0"/>
    <xf numFmtId="0" fontId="32" fillId="10" borderId="0" applyNumberFormat="0" applyBorder="0" applyAlignment="0" applyProtection="0"/>
    <xf numFmtId="0" fontId="43" fillId="41" borderId="0" applyNumberFormat="0" applyBorder="0" applyAlignment="0" applyProtection="0"/>
    <xf numFmtId="0" fontId="35" fillId="13" borderId="38" applyNumberFormat="0" applyAlignment="0" applyProtection="0"/>
    <xf numFmtId="0" fontId="44" fillId="58" borderId="44" applyNumberFormat="0" applyAlignment="0" applyProtection="0"/>
    <xf numFmtId="0" fontId="37" fillId="14" borderId="41" applyNumberFormat="0" applyAlignment="0" applyProtection="0"/>
    <xf numFmtId="0" fontId="45" fillId="59" borderId="4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31" fillId="9" borderId="0" applyNumberFormat="0" applyBorder="0" applyAlignment="0" applyProtection="0"/>
    <xf numFmtId="0" fontId="47" fillId="42" borderId="0" applyNumberFormat="0" applyBorder="0" applyAlignment="0" applyProtection="0"/>
    <xf numFmtId="38" fontId="7" fillId="60" borderId="0" applyNumberFormat="0" applyBorder="0" applyAlignment="0" applyProtection="0"/>
    <xf numFmtId="0" fontId="28" fillId="0" borderId="35" applyNumberFormat="0" applyFill="0" applyAlignment="0" applyProtection="0"/>
    <xf numFmtId="0" fontId="48" fillId="0" borderId="46" applyNumberFormat="0" applyFill="0" applyAlignment="0" applyProtection="0"/>
    <xf numFmtId="0" fontId="29" fillId="0" borderId="36" applyNumberFormat="0" applyFill="0" applyAlignment="0" applyProtection="0"/>
    <xf numFmtId="0" fontId="49" fillId="0" borderId="47" applyNumberFormat="0" applyFill="0" applyAlignment="0" applyProtection="0"/>
    <xf numFmtId="0" fontId="30" fillId="0" borderId="37" applyNumberFormat="0" applyFill="0" applyAlignment="0" applyProtection="0"/>
    <xf numFmtId="0" fontId="50" fillId="0" borderId="48" applyNumberFormat="0" applyFill="0" applyAlignment="0" applyProtection="0"/>
    <xf numFmtId="0" fontId="3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0" fontId="7" fillId="61" borderId="17" applyNumberFormat="0" applyBorder="0" applyAlignment="0" applyProtection="0"/>
    <xf numFmtId="0" fontId="33" fillId="12" borderId="38" applyNumberFormat="0" applyAlignment="0" applyProtection="0"/>
    <xf numFmtId="0" fontId="51" fillId="45" borderId="44" applyNumberFormat="0" applyAlignment="0" applyProtection="0"/>
    <xf numFmtId="0" fontId="51" fillId="45" borderId="44" applyNumberFormat="0" applyAlignment="0" applyProtection="0"/>
    <xf numFmtId="0" fontId="51" fillId="45" borderId="44" applyNumberFormat="0" applyAlignment="0" applyProtection="0"/>
    <xf numFmtId="0" fontId="51" fillId="45" borderId="44" applyNumberFormat="0" applyAlignment="0" applyProtection="0"/>
    <xf numFmtId="0" fontId="51" fillId="45" borderId="44" applyNumberFormat="0" applyAlignment="0" applyProtection="0"/>
    <xf numFmtId="0" fontId="36" fillId="0" borderId="40" applyNumberFormat="0" applyFill="0" applyAlignment="0" applyProtection="0"/>
    <xf numFmtId="0" fontId="52" fillId="0" borderId="49" applyNumberFormat="0" applyFill="0" applyAlignment="0" applyProtection="0"/>
    <xf numFmtId="182" fontId="3" fillId="0" borderId="0"/>
    <xf numFmtId="17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0" fontId="53" fillId="11" borderId="0" applyNumberFormat="0" applyBorder="0" applyAlignment="0" applyProtection="0"/>
    <xf numFmtId="0" fontId="54" fillId="62" borderId="0" applyNumberFormat="0" applyBorder="0" applyAlignment="0" applyProtection="0"/>
    <xf numFmtId="183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1" fillId="15" borderId="42" applyNumberFormat="0" applyFont="0" applyAlignment="0" applyProtection="0"/>
    <xf numFmtId="0" fontId="1" fillId="15" borderId="42" applyNumberFormat="0" applyFont="0" applyAlignment="0" applyProtection="0"/>
    <xf numFmtId="0" fontId="3" fillId="63" borderId="50" applyNumberFormat="0" applyFont="0" applyAlignment="0" applyProtection="0"/>
    <xf numFmtId="0" fontId="3" fillId="63" borderId="50" applyNumberFormat="0" applyFont="0" applyAlignment="0" applyProtection="0"/>
    <xf numFmtId="0" fontId="34" fillId="13" borderId="39" applyNumberFormat="0" applyAlignment="0" applyProtection="0"/>
    <xf numFmtId="0" fontId="56" fillId="58" borderId="51" applyNumberFormat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" fillId="0" borderId="43" applyNumberFormat="0" applyFill="0" applyAlignment="0" applyProtection="0"/>
    <xf numFmtId="0" fontId="59" fillId="0" borderId="52" applyNumberFormat="0" applyFill="0" applyAlignment="0" applyProtection="0"/>
    <xf numFmtId="0" fontId="38" fillId="0" borderId="0" applyNumberFormat="0" applyFill="0" applyBorder="0" applyAlignment="0" applyProtection="0"/>
    <xf numFmtId="0" fontId="60" fillId="0" borderId="0" applyNumberFormat="0" applyFill="0" applyBorder="0" applyAlignment="0" applyProtection="0"/>
  </cellStyleXfs>
  <cellXfs count="200">
    <xf numFmtId="0" fontId="0" fillId="0" borderId="0" xfId="0"/>
    <xf numFmtId="0" fontId="1" fillId="0" borderId="0" xfId="2"/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wrapText="1"/>
    </xf>
    <xf numFmtId="0" fontId="6" fillId="0" borderId="0" xfId="2" applyFont="1" applyAlignment="1">
      <alignment horizontal="left"/>
    </xf>
    <xf numFmtId="0" fontId="7" fillId="2" borderId="0" xfId="2" applyFont="1" applyFill="1" applyAlignment="1" applyProtection="1">
      <alignment horizontal="right" vertical="top"/>
      <protection locked="0"/>
    </xf>
    <xf numFmtId="0" fontId="8" fillId="0" borderId="0" xfId="2" applyFont="1" applyAlignment="1">
      <alignment vertical="top"/>
    </xf>
    <xf numFmtId="0" fontId="7" fillId="2" borderId="1" xfId="2" applyFont="1" applyFill="1" applyBorder="1" applyAlignment="1" applyProtection="1">
      <alignment horizontal="right" vertical="top"/>
      <protection locked="0"/>
    </xf>
    <xf numFmtId="0" fontId="1" fillId="0" borderId="0" xfId="2" applyAlignment="1">
      <alignment horizontal="center"/>
    </xf>
    <xf numFmtId="0" fontId="7" fillId="0" borderId="0" xfId="2" applyFont="1" applyAlignment="1">
      <alignment horizontal="right" vertical="top"/>
    </xf>
    <xf numFmtId="0" fontId="9" fillId="0" borderId="2" xfId="2" applyFont="1" applyBorder="1"/>
    <xf numFmtId="0" fontId="10" fillId="0" borderId="2" xfId="2" applyFont="1" applyBorder="1" applyAlignment="1">
      <alignment horizontal="left" indent="1"/>
    </xf>
    <xf numFmtId="0" fontId="10" fillId="0" borderId="2" xfId="2" applyFont="1" applyBorder="1"/>
    <xf numFmtId="10" fontId="10" fillId="0" borderId="2" xfId="3" applyNumberFormat="1" applyFont="1" applyFill="1" applyBorder="1" applyAlignment="1" applyProtection="1">
      <alignment horizontal="right"/>
    </xf>
    <xf numFmtId="10" fontId="10" fillId="0" borderId="0" xfId="3" applyNumberFormat="1" applyFont="1" applyFill="1" applyBorder="1" applyAlignment="1" applyProtection="1">
      <alignment horizontal="right"/>
    </xf>
    <xf numFmtId="0" fontId="9" fillId="0" borderId="0" xfId="2" applyFont="1"/>
    <xf numFmtId="0" fontId="10" fillId="0" borderId="0" xfId="2" applyFont="1" applyAlignment="1">
      <alignment horizontal="left" indent="1"/>
    </xf>
    <xf numFmtId="0" fontId="10" fillId="0" borderId="0" xfId="2" applyFont="1"/>
    <xf numFmtId="0" fontId="12" fillId="0" borderId="0" xfId="2" applyFont="1"/>
    <xf numFmtId="0" fontId="13" fillId="0" borderId="0" xfId="2" applyFont="1"/>
    <xf numFmtId="165" fontId="6" fillId="0" borderId="3" xfId="2" applyNumberFormat="1" applyFont="1" applyBorder="1" applyAlignment="1">
      <alignment horizontal="center"/>
    </xf>
    <xf numFmtId="165" fontId="6" fillId="0" borderId="4" xfId="2" applyNumberFormat="1" applyFont="1" applyBorder="1" applyAlignment="1">
      <alignment horizontal="center"/>
    </xf>
    <xf numFmtId="165" fontId="6" fillId="0" borderId="0" xfId="2" applyNumberFormat="1" applyFont="1" applyAlignment="1">
      <alignment horizontal="center"/>
    </xf>
    <xf numFmtId="0" fontId="14" fillId="0" borderId="0" xfId="2" applyFont="1" applyAlignment="1">
      <alignment horizontal="center" vertical="top"/>
    </xf>
    <xf numFmtId="0" fontId="15" fillId="0" borderId="0" xfId="2" applyFont="1"/>
    <xf numFmtId="0" fontId="16" fillId="0" borderId="5" xfId="2" applyFont="1" applyBorder="1" applyAlignment="1">
      <alignment horizontal="center"/>
    </xf>
    <xf numFmtId="0" fontId="16" fillId="0" borderId="6" xfId="2" applyFont="1" applyBorder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2" applyFont="1"/>
    <xf numFmtId="0" fontId="16" fillId="0" borderId="7" xfId="2" applyFont="1" applyBorder="1" applyAlignment="1">
      <alignment horizontal="center"/>
    </xf>
    <xf numFmtId="0" fontId="16" fillId="0" borderId="8" xfId="2" applyFont="1" applyBorder="1" applyAlignment="1">
      <alignment horizontal="center"/>
    </xf>
    <xf numFmtId="0" fontId="18" fillId="0" borderId="9" xfId="2" applyFont="1" applyBorder="1"/>
    <xf numFmtId="0" fontId="18" fillId="3" borderId="13" xfId="2" applyFont="1" applyFill="1" applyBorder="1" applyAlignment="1">
      <alignment horizontal="center" wrapText="1"/>
    </xf>
    <xf numFmtId="166" fontId="18" fillId="4" borderId="14" xfId="2" applyNumberFormat="1" applyFont="1" applyFill="1" applyBorder="1" applyProtection="1">
      <protection locked="0"/>
    </xf>
    <xf numFmtId="166" fontId="18" fillId="2" borderId="15" xfId="2" applyNumberFormat="1" applyFont="1" applyFill="1" applyBorder="1" applyProtection="1">
      <protection locked="0"/>
    </xf>
    <xf numFmtId="166" fontId="18" fillId="0" borderId="0" xfId="2" applyNumberFormat="1" applyFont="1"/>
    <xf numFmtId="0" fontId="18" fillId="3" borderId="16" xfId="2" applyFont="1" applyFill="1" applyBorder="1" applyAlignment="1">
      <alignment horizontal="center" wrapText="1"/>
    </xf>
    <xf numFmtId="166" fontId="18" fillId="4" borderId="17" xfId="2" applyNumberFormat="1" applyFont="1" applyFill="1" applyBorder="1" applyProtection="1">
      <protection locked="0"/>
    </xf>
    <xf numFmtId="166" fontId="18" fillId="2" borderId="18" xfId="2" applyNumberFormat="1" applyFont="1" applyFill="1" applyBorder="1" applyProtection="1">
      <protection locked="0"/>
    </xf>
    <xf numFmtId="166" fontId="9" fillId="0" borderId="17" xfId="2" applyNumberFormat="1" applyFont="1" applyBorder="1"/>
    <xf numFmtId="166" fontId="9" fillId="0" borderId="0" xfId="2" applyNumberFormat="1" applyFont="1"/>
    <xf numFmtId="0" fontId="19" fillId="0" borderId="9" xfId="2" applyFont="1" applyBorder="1" applyAlignment="1">
      <alignment horizontal="left" indent="1"/>
    </xf>
    <xf numFmtId="166" fontId="19" fillId="0" borderId="17" xfId="2" applyNumberFormat="1" applyFont="1" applyBorder="1"/>
    <xf numFmtId="166" fontId="19" fillId="0" borderId="18" xfId="2" applyNumberFormat="1" applyFont="1" applyBorder="1"/>
    <xf numFmtId="166" fontId="19" fillId="0" borderId="0" xfId="2" applyNumberFormat="1" applyFont="1"/>
    <xf numFmtId="0" fontId="20" fillId="0" borderId="0" xfId="2" applyFont="1"/>
    <xf numFmtId="0" fontId="21" fillId="0" borderId="0" xfId="2" applyFont="1"/>
    <xf numFmtId="0" fontId="1" fillId="0" borderId="19" xfId="2" applyBorder="1"/>
    <xf numFmtId="1" fontId="19" fillId="5" borderId="12" xfId="2" applyNumberFormat="1" applyFont="1" applyFill="1" applyBorder="1" applyAlignment="1">
      <alignment horizontal="center"/>
    </xf>
    <xf numFmtId="0" fontId="19" fillId="0" borderId="20" xfId="2" applyFont="1" applyBorder="1"/>
    <xf numFmtId="0" fontId="19" fillId="0" borderId="20" xfId="2" applyFont="1" applyBorder="1" applyAlignment="1">
      <alignment horizontal="center"/>
    </xf>
    <xf numFmtId="0" fontId="19" fillId="0" borderId="9" xfId="2" applyFont="1" applyBorder="1" applyAlignment="1">
      <alignment horizontal="center"/>
    </xf>
    <xf numFmtId="0" fontId="19" fillId="0" borderId="17" xfId="2" applyFont="1" applyBorder="1" applyAlignment="1">
      <alignment horizontal="center"/>
    </xf>
    <xf numFmtId="0" fontId="1" fillId="0" borderId="20" xfId="2" applyBorder="1"/>
    <xf numFmtId="0" fontId="1" fillId="0" borderId="20" xfId="2" applyBorder="1" applyAlignment="1">
      <alignment horizontal="center"/>
    </xf>
    <xf numFmtId="0" fontId="1" fillId="0" borderId="9" xfId="2" applyBorder="1" applyAlignment="1">
      <alignment horizontal="center"/>
    </xf>
    <xf numFmtId="0" fontId="18" fillId="0" borderId="17" xfId="2" applyFont="1" applyBorder="1" applyAlignment="1">
      <alignment horizontal="center" wrapText="1"/>
    </xf>
    <xf numFmtId="0" fontId="1" fillId="0" borderId="17" xfId="2" applyBorder="1" applyAlignment="1">
      <alignment horizontal="center"/>
    </xf>
    <xf numFmtId="0" fontId="18" fillId="2" borderId="20" xfId="2" applyFont="1" applyFill="1" applyBorder="1" applyAlignment="1" applyProtection="1">
      <alignment vertical="center"/>
      <protection locked="0"/>
    </xf>
    <xf numFmtId="0" fontId="1" fillId="6" borderId="20" xfId="2" applyFill="1" applyBorder="1" applyAlignment="1">
      <alignment horizontal="center"/>
    </xf>
    <xf numFmtId="0" fontId="1" fillId="6" borderId="9" xfId="2" applyFill="1" applyBorder="1" applyAlignment="1">
      <alignment horizontal="center"/>
    </xf>
    <xf numFmtId="167" fontId="18" fillId="2" borderId="20" xfId="4" applyNumberFormat="1" applyFont="1" applyFill="1" applyBorder="1" applyAlignment="1" applyProtection="1">
      <alignment vertical="center"/>
      <protection locked="0"/>
    </xf>
    <xf numFmtId="167" fontId="1" fillId="3" borderId="0" xfId="4" applyNumberFormat="1" applyFont="1" applyFill="1" applyProtection="1"/>
    <xf numFmtId="168" fontId="0" fillId="0" borderId="17" xfId="5" quotePrefix="1" applyNumberFormat="1" applyFont="1" applyFill="1" applyBorder="1" applyAlignment="1" applyProtection="1">
      <alignment horizontal="right"/>
    </xf>
    <xf numFmtId="169" fontId="1" fillId="0" borderId="17" xfId="2" applyNumberFormat="1" applyBorder="1" applyAlignment="1">
      <alignment horizontal="right"/>
    </xf>
    <xf numFmtId="0" fontId="19" fillId="0" borderId="21" xfId="2" applyFont="1" applyBorder="1"/>
    <xf numFmtId="49" fontId="1" fillId="0" borderId="21" xfId="2" applyNumberFormat="1" applyBorder="1" applyAlignment="1">
      <alignment horizontal="center"/>
    </xf>
    <xf numFmtId="0" fontId="19" fillId="0" borderId="21" xfId="2" applyFont="1" applyBorder="1" applyAlignment="1">
      <alignment horizontal="center"/>
    </xf>
    <xf numFmtId="0" fontId="19" fillId="0" borderId="22" xfId="2" applyFont="1" applyBorder="1" applyAlignment="1">
      <alignment horizontal="center"/>
    </xf>
    <xf numFmtId="37" fontId="19" fillId="0" borderId="17" xfId="2" applyNumberFormat="1" applyFont="1" applyBorder="1" applyAlignment="1">
      <alignment horizontal="right"/>
    </xf>
    <xf numFmtId="171" fontId="2" fillId="0" borderId="17" xfId="6" applyNumberFormat="1" applyFont="1" applyBorder="1" applyProtection="1"/>
    <xf numFmtId="37" fontId="19" fillId="0" borderId="12" xfId="2" applyNumberFormat="1" applyFont="1" applyBorder="1" applyAlignment="1">
      <alignment horizontal="right"/>
    </xf>
    <xf numFmtId="169" fontId="19" fillId="0" borderId="17" xfId="2" applyNumberFormat="1" applyFont="1" applyBorder="1" applyAlignment="1">
      <alignment horizontal="right"/>
    </xf>
    <xf numFmtId="172" fontId="9" fillId="0" borderId="0" xfId="2" applyNumberFormat="1" applyFont="1"/>
    <xf numFmtId="1" fontId="19" fillId="5" borderId="23" xfId="2" applyNumberFormat="1" applyFont="1" applyFill="1" applyBorder="1" applyAlignment="1">
      <alignment horizontal="center"/>
    </xf>
    <xf numFmtId="0" fontId="23" fillId="3" borderId="0" xfId="2" applyFont="1" applyFill="1" applyAlignment="1">
      <alignment horizontal="center"/>
    </xf>
    <xf numFmtId="0" fontId="19" fillId="0" borderId="24" xfId="2" applyFont="1" applyBorder="1" applyAlignment="1">
      <alignment horizontal="center"/>
    </xf>
    <xf numFmtId="0" fontId="1" fillId="3" borderId="0" xfId="2" applyFill="1"/>
    <xf numFmtId="0" fontId="19" fillId="3" borderId="0" xfId="2" applyFont="1" applyFill="1" applyAlignment="1">
      <alignment horizontal="center"/>
    </xf>
    <xf numFmtId="0" fontId="19" fillId="0" borderId="24" xfId="2" applyFont="1" applyBorder="1" applyAlignment="1">
      <alignment horizontal="center" wrapText="1"/>
    </xf>
    <xf numFmtId="0" fontId="19" fillId="0" borderId="25" xfId="2" applyFont="1" applyBorder="1" applyAlignment="1">
      <alignment horizontal="center"/>
    </xf>
    <xf numFmtId="0" fontId="24" fillId="3" borderId="0" xfId="2" applyFont="1" applyFill="1" applyAlignment="1" applyProtection="1">
      <alignment vertical="center"/>
      <protection locked="0"/>
    </xf>
    <xf numFmtId="167" fontId="18" fillId="2" borderId="26" xfId="4" applyNumberFormat="1" applyFont="1" applyFill="1" applyBorder="1" applyAlignment="1" applyProtection="1">
      <alignment vertical="center"/>
      <protection locked="0"/>
    </xf>
    <xf numFmtId="171" fontId="0" fillId="3" borderId="0" xfId="6" applyNumberFormat="1" applyFont="1" applyFill="1" applyBorder="1" applyAlignment="1" applyProtection="1">
      <alignment horizontal="center"/>
    </xf>
    <xf numFmtId="173" fontId="18" fillId="2" borderId="20" xfId="2" applyNumberFormat="1" applyFont="1" applyFill="1" applyBorder="1" applyAlignment="1" applyProtection="1">
      <alignment vertical="center"/>
      <protection locked="0"/>
    </xf>
    <xf numFmtId="169" fontId="1" fillId="0" borderId="20" xfId="2" applyNumberFormat="1" applyBorder="1" applyAlignment="1">
      <alignment horizontal="right"/>
    </xf>
    <xf numFmtId="170" fontId="0" fillId="3" borderId="0" xfId="6" applyFont="1" applyFill="1" applyBorder="1" applyAlignment="1" applyProtection="1">
      <alignment horizontal="center"/>
    </xf>
    <xf numFmtId="171" fontId="25" fillId="3" borderId="0" xfId="2" applyNumberFormat="1" applyFont="1" applyFill="1" applyAlignment="1">
      <alignment horizontal="center"/>
    </xf>
    <xf numFmtId="174" fontId="1" fillId="6" borderId="26" xfId="2" applyNumberFormat="1" applyFill="1" applyBorder="1" applyAlignment="1">
      <alignment horizontal="center"/>
    </xf>
    <xf numFmtId="174" fontId="1" fillId="3" borderId="0" xfId="2" applyNumberFormat="1" applyFill="1" applyAlignment="1">
      <alignment horizontal="center"/>
    </xf>
    <xf numFmtId="0" fontId="1" fillId="6" borderId="26" xfId="2" applyFill="1" applyBorder="1" applyAlignment="1">
      <alignment horizontal="center"/>
    </xf>
    <xf numFmtId="169" fontId="2" fillId="0" borderId="20" xfId="2" applyNumberFormat="1" applyFont="1" applyBorder="1" applyAlignment="1">
      <alignment horizontal="right"/>
    </xf>
    <xf numFmtId="0" fontId="19" fillId="0" borderId="0" xfId="2" applyFont="1"/>
    <xf numFmtId="0" fontId="18" fillId="0" borderId="17" xfId="2" applyFont="1" applyBorder="1" applyAlignment="1">
      <alignment horizontal="center"/>
    </xf>
    <xf numFmtId="0" fontId="18" fillId="0" borderId="13" xfId="2" applyFont="1" applyBorder="1" applyAlignment="1">
      <alignment horizontal="center"/>
    </xf>
    <xf numFmtId="0" fontId="18" fillId="0" borderId="20" xfId="2" applyFont="1" applyBorder="1" applyAlignment="1">
      <alignment vertical="center"/>
    </xf>
    <xf numFmtId="37" fontId="1" fillId="3" borderId="0" xfId="2" quotePrefix="1" applyNumberFormat="1" applyFill="1" applyAlignment="1">
      <alignment horizontal="right"/>
    </xf>
    <xf numFmtId="37" fontId="1" fillId="7" borderId="11" xfId="2" quotePrefix="1" applyNumberFormat="1" applyFill="1" applyBorder="1" applyAlignment="1">
      <alignment horizontal="right"/>
    </xf>
    <xf numFmtId="168" fontId="0" fillId="7" borderId="12" xfId="5" quotePrefix="1" applyNumberFormat="1" applyFont="1" applyFill="1" applyBorder="1" applyAlignment="1" applyProtection="1">
      <alignment horizontal="right"/>
    </xf>
    <xf numFmtId="37" fontId="1" fillId="0" borderId="17" xfId="2" quotePrefix="1" applyNumberFormat="1" applyBorder="1" applyAlignment="1">
      <alignment horizontal="right"/>
    </xf>
    <xf numFmtId="37" fontId="2" fillId="7" borderId="17" xfId="2" quotePrefix="1" applyNumberFormat="1" applyFont="1" applyFill="1" applyBorder="1" applyAlignment="1">
      <alignment horizontal="right"/>
    </xf>
    <xf numFmtId="37" fontId="1" fillId="7" borderId="12" xfId="2" quotePrefix="1" applyNumberFormat="1" applyFill="1" applyBorder="1" applyAlignment="1">
      <alignment horizontal="right"/>
    </xf>
    <xf numFmtId="0" fontId="1" fillId="0" borderId="0" xfId="2" quotePrefix="1"/>
    <xf numFmtId="49" fontId="1" fillId="0" borderId="20" xfId="2" applyNumberFormat="1" applyBorder="1" applyAlignment="1">
      <alignment horizontal="center"/>
    </xf>
    <xf numFmtId="37" fontId="19" fillId="0" borderId="14" xfId="2" applyNumberFormat="1" applyFont="1" applyBorder="1" applyAlignment="1">
      <alignment horizontal="right"/>
    </xf>
    <xf numFmtId="169" fontId="2" fillId="0" borderId="17" xfId="2" applyNumberFormat="1" applyFont="1" applyBorder="1" applyAlignment="1">
      <alignment horizontal="right"/>
    </xf>
    <xf numFmtId="49" fontId="1" fillId="0" borderId="0" xfId="2" applyNumberFormat="1" applyAlignment="1">
      <alignment horizontal="center"/>
    </xf>
    <xf numFmtId="0" fontId="19" fillId="0" borderId="0" xfId="2" applyFont="1" applyAlignment="1">
      <alignment horizontal="center"/>
    </xf>
    <xf numFmtId="37" fontId="19" fillId="0" borderId="0" xfId="2" applyNumberFormat="1" applyFont="1" applyAlignment="1">
      <alignment horizontal="right"/>
    </xf>
    <xf numFmtId="169" fontId="1" fillId="0" borderId="0" xfId="2" applyNumberFormat="1"/>
    <xf numFmtId="174" fontId="11" fillId="0" borderId="0" xfId="7" applyNumberFormat="1" applyProtection="1"/>
    <xf numFmtId="170" fontId="1" fillId="0" borderId="0" xfId="2" applyNumberFormat="1"/>
    <xf numFmtId="0" fontId="2" fillId="0" borderId="0" xfId="2" applyFont="1" applyAlignment="1">
      <alignment horizontal="center"/>
    </xf>
    <xf numFmtId="0" fontId="1" fillId="0" borderId="0" xfId="2" applyAlignment="1">
      <alignment wrapText="1"/>
    </xf>
    <xf numFmtId="0" fontId="2" fillId="0" borderId="0" xfId="2" applyFont="1" applyAlignment="1">
      <alignment wrapText="1"/>
    </xf>
    <xf numFmtId="0" fontId="2" fillId="0" borderId="17" xfId="2" applyFont="1" applyBorder="1" applyAlignment="1">
      <alignment horizontal="center"/>
    </xf>
    <xf numFmtId="0" fontId="2" fillId="0" borderId="0" xfId="2" applyFont="1"/>
    <xf numFmtId="0" fontId="2" fillId="0" borderId="12" xfId="2" applyFont="1" applyBorder="1" applyAlignment="1">
      <alignment horizontal="center" vertical="center"/>
    </xf>
    <xf numFmtId="0" fontId="27" fillId="0" borderId="17" xfId="2" applyFont="1" applyBorder="1"/>
    <xf numFmtId="0" fontId="1" fillId="0" borderId="16" xfId="2" applyBorder="1" applyAlignment="1">
      <alignment horizontal="center"/>
    </xf>
    <xf numFmtId="0" fontId="1" fillId="0" borderId="17" xfId="2" applyBorder="1" applyAlignment="1">
      <alignment horizontal="center" wrapText="1"/>
    </xf>
    <xf numFmtId="0" fontId="1" fillId="0" borderId="12" xfId="2" applyBorder="1" applyAlignment="1">
      <alignment horizontal="center"/>
    </xf>
    <xf numFmtId="0" fontId="2" fillId="0" borderId="17" xfId="2" applyFont="1" applyBorder="1"/>
    <xf numFmtId="0" fontId="1" fillId="0" borderId="16" xfId="2" applyBorder="1"/>
    <xf numFmtId="37" fontId="1" fillId="0" borderId="17" xfId="2" applyNumberFormat="1" applyBorder="1"/>
    <xf numFmtId="0" fontId="1" fillId="0" borderId="13" xfId="2" applyBorder="1"/>
    <xf numFmtId="171" fontId="0" fillId="0" borderId="12" xfId="6" applyNumberFormat="1" applyFont="1" applyFill="1" applyBorder="1" applyProtection="1"/>
    <xf numFmtId="0" fontId="1" fillId="0" borderId="17" xfId="2" applyBorder="1"/>
    <xf numFmtId="0" fontId="1" fillId="2" borderId="17" xfId="2" applyFill="1" applyBorder="1" applyProtection="1">
      <protection locked="0"/>
    </xf>
    <xf numFmtId="171" fontId="0" fillId="0" borderId="12" xfId="6" applyNumberFormat="1" applyFont="1" applyBorder="1" applyProtection="1"/>
    <xf numFmtId="0" fontId="1" fillId="3" borderId="16" xfId="2" applyFill="1" applyBorder="1"/>
    <xf numFmtId="0" fontId="1" fillId="0" borderId="27" xfId="2" applyBorder="1"/>
    <xf numFmtId="0" fontId="1" fillId="2" borderId="13" xfId="2" applyFill="1" applyBorder="1" applyProtection="1">
      <protection locked="0"/>
    </xf>
    <xf numFmtId="0" fontId="1" fillId="0" borderId="14" xfId="2" applyBorder="1"/>
    <xf numFmtId="0" fontId="1" fillId="0" borderId="28" xfId="2" applyBorder="1"/>
    <xf numFmtId="171" fontId="1" fillId="0" borderId="17" xfId="2" applyNumberFormat="1" applyBorder="1"/>
    <xf numFmtId="176" fontId="0" fillId="0" borderId="17" xfId="5" applyNumberFormat="1" applyFont="1" applyBorder="1" applyProtection="1"/>
    <xf numFmtId="0" fontId="1" fillId="0" borderId="29" xfId="2" applyBorder="1"/>
    <xf numFmtId="0" fontId="1" fillId="0" borderId="30" xfId="2" applyBorder="1" applyAlignment="1">
      <alignment horizontal="center"/>
    </xf>
    <xf numFmtId="0" fontId="1" fillId="0" borderId="27" xfId="2" applyBorder="1" applyAlignment="1">
      <alignment horizontal="center"/>
    </xf>
    <xf numFmtId="0" fontId="1" fillId="0" borderId="31" xfId="2" applyBorder="1" applyAlignment="1">
      <alignment horizontal="center"/>
    </xf>
    <xf numFmtId="0" fontId="1" fillId="0" borderId="12" xfId="2" applyBorder="1"/>
    <xf numFmtId="37" fontId="1" fillId="3" borderId="0" xfId="2" applyNumberFormat="1" applyFill="1"/>
    <xf numFmtId="0" fontId="1" fillId="0" borderId="10" xfId="2" applyBorder="1" applyAlignment="1">
      <alignment horizontal="center"/>
    </xf>
    <xf numFmtId="171" fontId="0" fillId="0" borderId="17" xfId="6" applyNumberFormat="1" applyFont="1" applyFill="1" applyBorder="1" applyProtection="1"/>
    <xf numFmtId="176" fontId="1" fillId="0" borderId="0" xfId="2" applyNumberFormat="1"/>
    <xf numFmtId="171" fontId="0" fillId="2" borderId="17" xfId="8" applyNumberFormat="1" applyFont="1" applyFill="1" applyBorder="1" applyProtection="1">
      <protection locked="0"/>
    </xf>
    <xf numFmtId="172" fontId="0" fillId="2" borderId="17" xfId="8" applyNumberFormat="1" applyFont="1" applyFill="1" applyBorder="1" applyProtection="1">
      <protection locked="0"/>
    </xf>
    <xf numFmtId="171" fontId="0" fillId="0" borderId="17" xfId="6" applyNumberFormat="1" applyFont="1" applyBorder="1" applyProtection="1"/>
    <xf numFmtId="172" fontId="0" fillId="2" borderId="17" xfId="6" applyNumberFormat="1" applyFont="1" applyFill="1" applyBorder="1" applyProtection="1">
      <protection locked="0"/>
    </xf>
    <xf numFmtId="171" fontId="0" fillId="2" borderId="17" xfId="6" applyNumberFormat="1" applyFont="1" applyFill="1" applyBorder="1" applyProtection="1">
      <protection locked="0"/>
    </xf>
    <xf numFmtId="172" fontId="1" fillId="0" borderId="17" xfId="2" applyNumberFormat="1" applyBorder="1"/>
    <xf numFmtId="0" fontId="1" fillId="0" borderId="10" xfId="2" applyBorder="1"/>
    <xf numFmtId="0" fontId="1" fillId="0" borderId="31" xfId="2" applyBorder="1"/>
    <xf numFmtId="171" fontId="0" fillId="0" borderId="23" xfId="6" applyNumberFormat="1" applyFont="1" applyFill="1" applyBorder="1" applyProtection="1"/>
    <xf numFmtId="171" fontId="0" fillId="0" borderId="13" xfId="6" applyNumberFormat="1" applyFont="1" applyBorder="1" applyProtection="1"/>
    <xf numFmtId="0" fontId="1" fillId="0" borderId="30" xfId="2" applyBorder="1"/>
    <xf numFmtId="0" fontId="1" fillId="2" borderId="17" xfId="2" applyFill="1" applyBorder="1"/>
    <xf numFmtId="43" fontId="0" fillId="2" borderId="17" xfId="4" applyFont="1" applyFill="1" applyBorder="1" applyProtection="1">
      <protection locked="0"/>
    </xf>
    <xf numFmtId="170" fontId="0" fillId="2" borderId="17" xfId="6" applyFont="1" applyFill="1" applyBorder="1" applyProtection="1">
      <protection locked="0"/>
    </xf>
    <xf numFmtId="0" fontId="1" fillId="2" borderId="13" xfId="2" applyFill="1" applyBorder="1"/>
    <xf numFmtId="0" fontId="1" fillId="0" borderId="29" xfId="2" applyBorder="1" applyAlignment="1">
      <alignment horizontal="center"/>
    </xf>
    <xf numFmtId="164" fontId="1" fillId="2" borderId="10" xfId="2" applyNumberFormat="1" applyFill="1" applyBorder="1" applyAlignment="1">
      <alignment horizontal="center"/>
    </xf>
    <xf numFmtId="171" fontId="0" fillId="0" borderId="33" xfId="6" applyNumberFormat="1" applyFont="1" applyBorder="1" applyProtection="1"/>
    <xf numFmtId="10" fontId="2" fillId="0" borderId="17" xfId="2" applyNumberFormat="1" applyFont="1" applyBorder="1"/>
    <xf numFmtId="0" fontId="2" fillId="0" borderId="16" xfId="2" applyFont="1" applyBorder="1"/>
    <xf numFmtId="171" fontId="2" fillId="0" borderId="34" xfId="6" applyNumberFormat="1" applyFont="1" applyBorder="1" applyProtection="1"/>
    <xf numFmtId="10" fontId="2" fillId="0" borderId="0" xfId="2" applyNumberFormat="1" applyFont="1"/>
    <xf numFmtId="171" fontId="2" fillId="0" borderId="0" xfId="6" applyNumberFormat="1" applyFont="1" applyBorder="1" applyProtection="1"/>
    <xf numFmtId="176" fontId="1" fillId="0" borderId="17" xfId="2" applyNumberFormat="1" applyBorder="1"/>
    <xf numFmtId="176" fontId="2" fillId="0" borderId="17" xfId="2" applyNumberFormat="1" applyFont="1" applyBorder="1"/>
    <xf numFmtId="0" fontId="0" fillId="3" borderId="16" xfId="0" applyFill="1" applyBorder="1"/>
    <xf numFmtId="177" fontId="18" fillId="2" borderId="20" xfId="2" applyNumberFormat="1" applyFont="1" applyFill="1" applyBorder="1" applyAlignment="1" applyProtection="1">
      <alignment vertical="center"/>
      <protection locked="0"/>
    </xf>
    <xf numFmtId="1" fontId="19" fillId="5" borderId="17" xfId="2" applyNumberFormat="1" applyFont="1" applyFill="1" applyBorder="1" applyAlignment="1">
      <alignment horizontal="center"/>
    </xf>
    <xf numFmtId="0" fontId="8" fillId="0" borderId="0" xfId="2" applyFont="1" applyAlignment="1">
      <alignment horizontal="center" vertical="top"/>
    </xf>
    <xf numFmtId="0" fontId="18" fillId="0" borderId="10" xfId="2" applyFont="1" applyBorder="1" applyAlignment="1">
      <alignment horizontal="center" vertical="center" wrapText="1"/>
    </xf>
    <xf numFmtId="0" fontId="18" fillId="0" borderId="11" xfId="2" applyFont="1" applyBorder="1" applyAlignment="1">
      <alignment horizontal="center" vertical="center" wrapText="1"/>
    </xf>
    <xf numFmtId="0" fontId="18" fillId="0" borderId="12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26" fillId="0" borderId="0" xfId="2" applyFont="1" applyAlignment="1">
      <alignment horizontal="center"/>
    </xf>
    <xf numFmtId="0" fontId="1" fillId="0" borderId="0" xfId="2" applyAlignment="1">
      <alignment horizontal="center"/>
    </xf>
    <xf numFmtId="0" fontId="2" fillId="0" borderId="17" xfId="2" applyFont="1" applyBorder="1" applyAlignment="1">
      <alignment horizontal="center"/>
    </xf>
    <xf numFmtId="0" fontId="1" fillId="0" borderId="17" xfId="2" applyBorder="1" applyAlignment="1">
      <alignment horizontal="center"/>
    </xf>
    <xf numFmtId="0" fontId="1" fillId="0" borderId="30" xfId="2" applyBorder="1" applyAlignment="1">
      <alignment horizontal="center"/>
    </xf>
    <xf numFmtId="0" fontId="1" fillId="0" borderId="27" xfId="2" applyBorder="1" applyAlignment="1">
      <alignment horizontal="center"/>
    </xf>
    <xf numFmtId="0" fontId="2" fillId="0" borderId="13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0" fontId="1" fillId="0" borderId="13" xfId="2" applyBorder="1" applyAlignment="1">
      <alignment horizontal="center"/>
    </xf>
    <xf numFmtId="0" fontId="1" fillId="0" borderId="31" xfId="2" applyBorder="1" applyAlignment="1">
      <alignment horizontal="center"/>
    </xf>
    <xf numFmtId="0" fontId="1" fillId="0" borderId="23" xfId="2" applyBorder="1" applyAlignment="1">
      <alignment horizontal="center"/>
    </xf>
    <xf numFmtId="0" fontId="1" fillId="0" borderId="28" xfId="2" applyBorder="1" applyAlignment="1">
      <alignment horizontal="center"/>
    </xf>
    <xf numFmtId="0" fontId="1" fillId="0" borderId="13" xfId="2" applyBorder="1" applyAlignment="1">
      <alignment horizontal="center" wrapText="1"/>
    </xf>
    <xf numFmtId="0" fontId="1" fillId="0" borderId="16" xfId="2" applyBorder="1" applyAlignment="1">
      <alignment horizontal="center" wrapText="1"/>
    </xf>
    <xf numFmtId="0" fontId="1" fillId="0" borderId="14" xfId="2" applyBorder="1" applyAlignment="1">
      <alignment horizontal="center"/>
    </xf>
    <xf numFmtId="0" fontId="1" fillId="0" borderId="32" xfId="2" applyBorder="1" applyAlignment="1">
      <alignment horizontal="center"/>
    </xf>
    <xf numFmtId="0" fontId="1" fillId="0" borderId="14" xfId="2" applyBorder="1" applyAlignment="1">
      <alignment horizontal="center" wrapText="1"/>
    </xf>
    <xf numFmtId="0" fontId="1" fillId="8" borderId="17" xfId="2" applyFill="1" applyBorder="1" applyAlignment="1">
      <alignment horizontal="center"/>
    </xf>
    <xf numFmtId="14" fontId="7" fillId="2" borderId="0" xfId="2" applyNumberFormat="1" applyFont="1" applyFill="1" applyAlignment="1" applyProtection="1">
      <alignment horizontal="right" vertical="top"/>
      <protection locked="0"/>
    </xf>
  </cellXfs>
  <cellStyles count="214">
    <cellStyle name="$" xfId="12" xr:uid="{EEADA629-1513-4792-94FB-4652C95DAB6D}"/>
    <cellStyle name="$.00" xfId="13" xr:uid="{D4BF7B99-CBE8-449F-BAD0-532BB44ED1EC}"/>
    <cellStyle name="$_9. Rev2Cost_GDPIPI" xfId="14" xr:uid="{557D282F-BDED-4D98-9029-8FC7E6EC40FB}"/>
    <cellStyle name="$_lists" xfId="15" xr:uid="{9389C52F-5C66-4CCF-B145-3B69564BC712}"/>
    <cellStyle name="$_lists_4. Current Monthly Fixed Charge" xfId="16" xr:uid="{2D961646-988D-4BE4-9CBB-2AA1ACAF9BB9}"/>
    <cellStyle name="$_Sheet4" xfId="17" xr:uid="{99857B0D-DDF9-4463-BFB9-A9FAD65F57FF}"/>
    <cellStyle name="$M" xfId="18" xr:uid="{E83B599C-55BF-4DFB-9AA4-AC11D9C40D23}"/>
    <cellStyle name="$M.00" xfId="19" xr:uid="{ACD6A9F1-BA57-451F-9CC4-7EDE38BBF4FD}"/>
    <cellStyle name="$M_9. Rev2Cost_GDPIPI" xfId="20" xr:uid="{93264EAF-F70B-48E4-A10D-92F578B70965}"/>
    <cellStyle name="20% - Accent1 2" xfId="21" xr:uid="{D9689EDF-4966-493C-AA71-56B6F56A13DF}"/>
    <cellStyle name="20% - Accent1 2 2" xfId="22" xr:uid="{82416BAE-7497-4017-85A7-1C326E021F2F}"/>
    <cellStyle name="20% - Accent1 3" xfId="23" xr:uid="{8C9B7CB8-35E9-4DE5-B715-9F0A9BD7CEA5}"/>
    <cellStyle name="20% - Accent2 2" xfId="24" xr:uid="{21765FF6-EC4F-4E13-8766-811982376048}"/>
    <cellStyle name="20% - Accent2 2 2" xfId="25" xr:uid="{A16E40D3-4276-4B8F-B644-4409EA017136}"/>
    <cellStyle name="20% - Accent2 3" xfId="26" xr:uid="{3025D023-2D8F-4A2A-888A-106A8289A1E9}"/>
    <cellStyle name="20% - Accent3 2" xfId="27" xr:uid="{7E3E74F6-0531-4F1F-9814-6584B1523344}"/>
    <cellStyle name="20% - Accent3 2 2" xfId="28" xr:uid="{0EDE0D1C-AEF8-4E57-B9A0-A7DB28E42B1A}"/>
    <cellStyle name="20% - Accent3 3" xfId="29" xr:uid="{7B48D645-8227-43B8-B7E3-416685D090C8}"/>
    <cellStyle name="20% - Accent4 2" xfId="30" xr:uid="{EFD2961E-0581-4D01-A78E-0163FD289190}"/>
    <cellStyle name="20% - Accent4 2 2" xfId="31" xr:uid="{9C50F1C0-A517-4526-9F32-0EE16EAAA055}"/>
    <cellStyle name="20% - Accent4 3" xfId="32" xr:uid="{D731D929-C3B4-4F81-A294-7A9375066E0E}"/>
    <cellStyle name="20% - Accent5 2" xfId="33" xr:uid="{B3001F47-0CAD-41E2-8A5E-49DFE75FE37B}"/>
    <cellStyle name="20% - Accent5 2 2" xfId="34" xr:uid="{E44F8941-686B-41B0-88A0-2E4A69F5D1A4}"/>
    <cellStyle name="20% - Accent5 3" xfId="35" xr:uid="{E4CE23ED-1904-4054-8E54-DC46A370D0F2}"/>
    <cellStyle name="20% - Accent6 2" xfId="36" xr:uid="{0AFDF38C-8921-44E5-9D0E-7FC584859323}"/>
    <cellStyle name="20% - Accent6 2 2" xfId="37" xr:uid="{BCF1E3A4-92A0-4E08-AD7C-5CEEB7F5972D}"/>
    <cellStyle name="20% - Accent6 3" xfId="38" xr:uid="{65736B86-B409-4CD3-B059-8FFB9F44864C}"/>
    <cellStyle name="40% - Accent1 2" xfId="39" xr:uid="{0937DB34-ED82-47FF-8A03-BE72D3B05538}"/>
    <cellStyle name="40% - Accent1 2 2" xfId="40" xr:uid="{34F50C34-A7B7-4A16-A192-B4FC514DC087}"/>
    <cellStyle name="40% - Accent1 3" xfId="41" xr:uid="{CD684ACC-446C-44C9-972C-49D3DF6DC44B}"/>
    <cellStyle name="40% - Accent2 2" xfId="42" xr:uid="{38A76B60-EF8B-4137-A86B-0C067869D311}"/>
    <cellStyle name="40% - Accent2 2 2" xfId="43" xr:uid="{D62CAFBB-3F44-4073-97E4-6025F6AB3539}"/>
    <cellStyle name="40% - Accent2 3" xfId="44" xr:uid="{0E6407C9-772C-42CB-91B8-BF82A403177D}"/>
    <cellStyle name="40% - Accent3 2" xfId="45" xr:uid="{4279F612-1AA3-4034-9049-1DF0B46C8782}"/>
    <cellStyle name="40% - Accent3 2 2" xfId="46" xr:uid="{2571AA04-48F1-4A48-821B-37B022FB2174}"/>
    <cellStyle name="40% - Accent3 3" xfId="47" xr:uid="{B9CC0FDB-E9B5-4BDE-AC5C-0BFB3F6C837F}"/>
    <cellStyle name="40% - Accent4 2" xfId="48" xr:uid="{A6F15705-10B7-4236-A3EC-923FD544B42F}"/>
    <cellStyle name="40% - Accent4 2 2" xfId="49" xr:uid="{E42F1928-A953-4112-BD51-0894793E2533}"/>
    <cellStyle name="40% - Accent4 3" xfId="50" xr:uid="{EEA52E78-D4FA-46C7-A5C2-A3416BCF32FE}"/>
    <cellStyle name="40% - Accent5 2" xfId="51" xr:uid="{62D6F691-F765-47DC-BC0D-8621EB1705CA}"/>
    <cellStyle name="40% - Accent5 2 2" xfId="52" xr:uid="{0851DB6B-901E-43CB-A777-80236EEE2227}"/>
    <cellStyle name="40% - Accent5 3" xfId="53" xr:uid="{59C4A8EF-8D62-4B12-B2E2-FC11561C7F88}"/>
    <cellStyle name="40% - Accent6 2" xfId="54" xr:uid="{01379D6F-3A06-4986-B1F7-23BE9B5CAF81}"/>
    <cellStyle name="40% - Accent6 2 2" xfId="55" xr:uid="{BC507E81-E1EB-4A7D-A11A-37428ECCF271}"/>
    <cellStyle name="40% - Accent6 3" xfId="56" xr:uid="{2B8C4068-7CB3-4768-BD8D-C75881E05EE9}"/>
    <cellStyle name="60% - Accent1 2" xfId="57" xr:uid="{03F3F30B-A2EB-485F-92B7-BDDC0344D567}"/>
    <cellStyle name="60% - Accent1 3" xfId="58" xr:uid="{BD87502B-5842-49CA-B6EB-7E882F059E25}"/>
    <cellStyle name="60% - Accent2 2" xfId="59" xr:uid="{C14CC0F4-EC59-4C36-B6BF-9A082DDAD9F8}"/>
    <cellStyle name="60% - Accent2 3" xfId="60" xr:uid="{A7A0D4A3-A4B8-4F41-B4F3-00EFD70A8713}"/>
    <cellStyle name="60% - Accent3 2" xfId="61" xr:uid="{463D832A-532D-4BE0-B7C7-9FBF3925D1E3}"/>
    <cellStyle name="60% - Accent3 3" xfId="62" xr:uid="{0A63D807-158F-4A1D-B483-F2E1DA37D63E}"/>
    <cellStyle name="60% - Accent4 2" xfId="63" xr:uid="{B5F8D34E-87B1-4802-B518-00398760D430}"/>
    <cellStyle name="60% - Accent4 3" xfId="64" xr:uid="{5B069D6C-BDEF-48A4-A767-CC25C02D6CC0}"/>
    <cellStyle name="60% - Accent5 2" xfId="65" xr:uid="{8BDA2E98-76DA-429A-A972-7B241C79D138}"/>
    <cellStyle name="60% - Accent5 3" xfId="66" xr:uid="{BB5895CB-7588-4ECB-9DC5-4876FF0F0DDE}"/>
    <cellStyle name="60% - Accent6 2" xfId="67" xr:uid="{300697BA-1E13-4467-9489-3865ACB2A0FF}"/>
    <cellStyle name="60% - Accent6 3" xfId="68" xr:uid="{4CB5F2AB-A47D-4E51-B1B9-18BE7F2D8488}"/>
    <cellStyle name="Accent1 2" xfId="69" xr:uid="{1C8D5128-81C3-47C1-966A-B0B4879F0E70}"/>
    <cellStyle name="Accent1 3" xfId="70" xr:uid="{AB2FDBF0-18EA-47C4-86F6-30C571571DEC}"/>
    <cellStyle name="Accent2 2" xfId="71" xr:uid="{0305B1AC-DE42-465C-8457-E176E73494F3}"/>
    <cellStyle name="Accent2 3" xfId="72" xr:uid="{35648A35-B38C-459C-993C-388DBA717E88}"/>
    <cellStyle name="Accent3 2" xfId="73" xr:uid="{3DA293C6-2F2A-417A-8096-2E2AE1B35E3A}"/>
    <cellStyle name="Accent3 3" xfId="74" xr:uid="{D38F1E85-25A5-4865-A45B-BA31F75BA673}"/>
    <cellStyle name="Accent4 2" xfId="75" xr:uid="{C4D8C745-3496-4663-919D-03C71787C9F2}"/>
    <cellStyle name="Accent4 3" xfId="76" xr:uid="{1277C485-8918-4F41-8214-0A820B2D46EE}"/>
    <cellStyle name="Accent5 2" xfId="77" xr:uid="{42C77BA6-8E63-40FE-BB19-6D1388CC7432}"/>
    <cellStyle name="Accent5 3" xfId="78" xr:uid="{53834830-E889-42A5-A37C-AF96169C1B0D}"/>
    <cellStyle name="Accent6 2" xfId="79" xr:uid="{9E56A69E-4B68-444D-B1FF-FA766A3CA553}"/>
    <cellStyle name="Accent6 3" xfId="80" xr:uid="{9D675CF6-66A7-4A4B-A482-B38C40FDD473}"/>
    <cellStyle name="Bad 2" xfId="81" xr:uid="{429E1352-05B8-4D72-89B5-0D452FA263AE}"/>
    <cellStyle name="Bad 3" xfId="82" xr:uid="{A987FDB0-DDC6-4942-9845-162A86FE349D}"/>
    <cellStyle name="Calculation 2" xfId="83" xr:uid="{46D90CD8-02E0-4109-8BE7-0CB7731D68F0}"/>
    <cellStyle name="Calculation 3" xfId="84" xr:uid="{EF5CA26E-E64C-4764-8D1A-7C130A9BAC52}"/>
    <cellStyle name="Check Cell 2" xfId="85" xr:uid="{8E551C7E-EABA-41A5-B517-67C7B4BE5833}"/>
    <cellStyle name="Check Cell 3" xfId="86" xr:uid="{34CA510A-BF97-4B30-8ADA-C95F352D54A2}"/>
    <cellStyle name="Comma 2" xfId="4" xr:uid="{8D917BFA-0F01-41E9-8946-7EC5DD0B9FA7}"/>
    <cellStyle name="Comma 2 2" xfId="87" xr:uid="{F5014523-4A17-4755-BF56-A85ED48C22AC}"/>
    <cellStyle name="Comma 2 3" xfId="88" xr:uid="{EEFA9AA1-14CF-464C-B2E0-FBE4AFA6DF87}"/>
    <cellStyle name="Comma 2 4" xfId="89" xr:uid="{E41956D0-3893-4DA0-B573-30384C35D208}"/>
    <cellStyle name="Comma 3" xfId="10" xr:uid="{700F45FD-5884-4B75-A2CC-20AC3E105FB0}"/>
    <cellStyle name="Comma 3 2" xfId="90" xr:uid="{D1F52BE9-3E21-44BC-AFAB-AD5B1FC0FBF6}"/>
    <cellStyle name="Comma 3 2 2" xfId="91" xr:uid="{FB34E180-9BEA-4BF2-A8DB-6544F2679EFF}"/>
    <cellStyle name="Comma 3 2 2 2" xfId="92" xr:uid="{A308B1EF-DB1E-4381-8E3E-05453CFF1B7F}"/>
    <cellStyle name="Comma 3 2 3" xfId="93" xr:uid="{FD8E5A0F-28D4-4A71-B342-3CF492108C43}"/>
    <cellStyle name="Comma 3 3" xfId="94" xr:uid="{A4DC1115-5E56-4564-BBD7-5034D01E3A13}"/>
    <cellStyle name="Comma 3 4" xfId="95" xr:uid="{0ABF6A01-1C29-4F23-AA08-23666BBE470A}"/>
    <cellStyle name="Comma 3 5" xfId="96" xr:uid="{AD992F25-AE5A-4F3A-AC1E-E82DC5A5019E}"/>
    <cellStyle name="Comma 4" xfId="97" xr:uid="{EC374B5C-B409-459E-84AF-DC80522922C7}"/>
    <cellStyle name="Comma 4 2" xfId="98" xr:uid="{D603AF60-8384-428D-98DB-9C02506AF506}"/>
    <cellStyle name="Comma 5" xfId="99" xr:uid="{42BB8E28-5A2E-4B9D-80E3-8211FCF900E6}"/>
    <cellStyle name="Comma 5 2" xfId="100" xr:uid="{0775384E-71CA-46C4-9053-BA571F6FA266}"/>
    <cellStyle name="Comma 6" xfId="7" xr:uid="{F6DD5433-FEEC-4EB5-B2D0-133ABD804F3A}"/>
    <cellStyle name="Comma 7" xfId="6" xr:uid="{FC447C9B-C4E8-46A3-A3D6-9147CBC3B95A}"/>
    <cellStyle name="Comma 7 2" xfId="8" xr:uid="{418C9807-6125-43ED-8505-10CAC429B702}"/>
    <cellStyle name="Comma 7 2 2" xfId="101" xr:uid="{2C83DC29-D059-4AE3-8B88-D325E43A30DE}"/>
    <cellStyle name="Comma 7 2 3" xfId="102" xr:uid="{4AC36F5E-A755-4B0F-B41C-2FF1D47E9DE1}"/>
    <cellStyle name="Comma 7 2 4" xfId="103" xr:uid="{81AD1352-2CD6-4BFE-9154-22739C7CBB6A}"/>
    <cellStyle name="Comma 7 3" xfId="104" xr:uid="{60DA912B-4E1B-4A35-A27F-FB08BEC5F0A5}"/>
    <cellStyle name="Comma 7 4" xfId="105" xr:uid="{27649EB8-84BC-404B-9262-A857F58A22BF}"/>
    <cellStyle name="Comma 7 5" xfId="106" xr:uid="{C190C999-3B4B-4D27-B064-E1A4CF7C889F}"/>
    <cellStyle name="Comma 8" xfId="107" xr:uid="{912924D6-0AB5-467B-B839-A540864C3A73}"/>
    <cellStyle name="Comma 8 2" xfId="108" xr:uid="{C79C840F-DA4E-43C4-9F8A-CF731C52B5E7}"/>
    <cellStyle name="Comma 9" xfId="109" xr:uid="{3DB8436F-08B8-45F5-A411-B74917F6E715}"/>
    <cellStyle name="Comma0" xfId="110" xr:uid="{DFFA03F6-C619-4EA8-9235-6FE08BF04BF7}"/>
    <cellStyle name="Currency 2" xfId="111" xr:uid="{373F5318-E763-4E33-A19A-A94AA70AFE16}"/>
    <cellStyle name="Currency 2 2" xfId="112" xr:uid="{C80FF1FC-EFBB-449A-B01C-0B133E0347EC}"/>
    <cellStyle name="Currency 2 3" xfId="113" xr:uid="{8086453F-9528-4E3E-B7B9-DC1DB5349B1D}"/>
    <cellStyle name="Currency 3" xfId="114" xr:uid="{75ED6BC5-79A0-4199-8961-DA7A85112CBE}"/>
    <cellStyle name="Currency 4" xfId="115" xr:uid="{EFECF1A3-B46B-473D-B5AB-582B814427B9}"/>
    <cellStyle name="Currency 4 2" xfId="116" xr:uid="{29BC684F-AB2B-4EFB-85F1-2A0897272695}"/>
    <cellStyle name="Currency 5" xfId="5" xr:uid="{2A0FBE19-5AAC-4603-AD75-88089195CAD7}"/>
    <cellStyle name="Currency 5 2" xfId="117" xr:uid="{E1978C5F-3AA7-4E38-A8EB-9953EB238513}"/>
    <cellStyle name="Currency 5 3" xfId="118" xr:uid="{4E5033F7-8593-4A1E-8E12-8974EB41657C}"/>
    <cellStyle name="Currency 5 4" xfId="119" xr:uid="{B7230370-620B-42C3-BD21-0259B5193761}"/>
    <cellStyle name="Currency 6" xfId="120" xr:uid="{9C85B44D-181E-47EF-9238-B7B7E0051805}"/>
    <cellStyle name="Currency0" xfId="121" xr:uid="{145653A5-F874-4BEF-BFD0-F27695C4CBC1}"/>
    <cellStyle name="Date" xfId="122" xr:uid="{9903E342-197E-4F45-974B-C00AE8A0D793}"/>
    <cellStyle name="Explanatory Text 2" xfId="123" xr:uid="{9349796A-38E2-4B94-968E-2ECA342C95A4}"/>
    <cellStyle name="Explanatory Text 3" xfId="124" xr:uid="{26756452-DD97-4CA9-9E20-DFDEB9C95526}"/>
    <cellStyle name="Fixed" xfId="125" xr:uid="{CE80465D-76DA-4BEC-BDFC-9300113580F6}"/>
    <cellStyle name="Good 2" xfId="126" xr:uid="{15B36248-FF67-486B-9627-88AF971EEB3B}"/>
    <cellStyle name="Good 3" xfId="127" xr:uid="{D3257CDD-20BF-4A31-BE0E-62168F24272A}"/>
    <cellStyle name="Grey" xfId="128" xr:uid="{32ECD59B-1372-4882-BC2D-7724E20F3175}"/>
    <cellStyle name="Heading 1 2" xfId="129" xr:uid="{8A16DBF1-4A32-497A-93DA-1FC71B2D4349}"/>
    <cellStyle name="Heading 1 3" xfId="130" xr:uid="{06FD24F6-7B58-4487-A2E5-823AAA55BE73}"/>
    <cellStyle name="Heading 2 2" xfId="131" xr:uid="{D00F7C4C-250D-4EE7-A139-C32D70B98786}"/>
    <cellStyle name="Heading 2 3" xfId="132" xr:uid="{66FB2DB4-6CF6-4BB1-B4C7-D6E60D7F0EF9}"/>
    <cellStyle name="Heading 3 2" xfId="133" xr:uid="{220F7F83-AD2A-43C4-8F76-75688BE2691B}"/>
    <cellStyle name="Heading 3 3" xfId="134" xr:uid="{A5AF293E-829C-49EC-ADF6-FDB1017DFDB2}"/>
    <cellStyle name="Heading 4 2" xfId="135" xr:uid="{FDE26D85-5713-4E9B-A35C-960A8D013B44}"/>
    <cellStyle name="Heading 4 3" xfId="136" xr:uid="{45CAA279-7901-4722-A6E4-50C8BD21F530}"/>
    <cellStyle name="Input [yellow]" xfId="137" xr:uid="{0C77E258-7F65-4BFB-90B5-D649C252F302}"/>
    <cellStyle name="Input 2" xfId="138" xr:uid="{780F7B97-B005-4BA6-94D8-BF05B42452B6}"/>
    <cellStyle name="Input 3" xfId="139" xr:uid="{2667E3D3-E0E1-4E21-AB79-61B5D06BA1AF}"/>
    <cellStyle name="Input 4" xfId="140" xr:uid="{3B01F40D-17B5-44DE-95F6-CDB15CDCBE25}"/>
    <cellStyle name="Input 5" xfId="141" xr:uid="{E9389C71-A14A-4130-952D-6C2CCFB94033}"/>
    <cellStyle name="Input 6" xfId="142" xr:uid="{5A3BC2ED-74BA-4F5D-82FD-378B829D91D7}"/>
    <cellStyle name="Input 7" xfId="143" xr:uid="{9D1F3E85-92C7-46A5-A874-218675AD42B8}"/>
    <cellStyle name="Linked Cell 2" xfId="144" xr:uid="{DFCC166C-DAAF-4884-B980-6C0D26465EC0}"/>
    <cellStyle name="Linked Cell 3" xfId="145" xr:uid="{8204FB43-62A1-41BC-8D02-93F29BA00F7B}"/>
    <cellStyle name="M" xfId="146" xr:uid="{1E24870B-F82A-46CC-9F32-5E1A3CC76D24}"/>
    <cellStyle name="M.00" xfId="147" xr:uid="{A7142EB6-4F3B-4B5A-A467-36D37813C327}"/>
    <cellStyle name="M_9. Rev2Cost_GDPIPI" xfId="148" xr:uid="{2D463822-A3F9-43A1-8534-E01E3CFEF9AC}"/>
    <cellStyle name="M_lists" xfId="149" xr:uid="{470EEC73-FF75-473D-895E-5FEE5E3D6D77}"/>
    <cellStyle name="M_lists_4. Current Monthly Fixed Charge" xfId="150" xr:uid="{3EA2B652-18A3-42DF-AAB7-B6F87ECF806E}"/>
    <cellStyle name="M_Sheet4" xfId="151" xr:uid="{A2A6DB44-E742-4E4A-9062-974FA7E02CF5}"/>
    <cellStyle name="Neutral 2" xfId="152" xr:uid="{CD86D0DB-CEC2-462A-AA0E-D10BB7FF6184}"/>
    <cellStyle name="Neutral 3" xfId="153" xr:uid="{190A8DEB-3F83-41C4-890A-19F68FB92401}"/>
    <cellStyle name="Normal" xfId="0" builtinId="0"/>
    <cellStyle name="Normal - Style1" xfId="154" xr:uid="{2D06ADCE-D7B8-47AD-9983-CBC9A084E813}"/>
    <cellStyle name="Normal 10" xfId="155" xr:uid="{23DC72B6-5CF2-464B-A685-BD5E95FF9188}"/>
    <cellStyle name="Normal 10 2" xfId="156" xr:uid="{2102E7D6-308D-4353-9456-DEF06F0D5BEC}"/>
    <cellStyle name="Normal 11" xfId="157" xr:uid="{5FB9270C-9522-4C10-8B5A-253ECD94EBBE}"/>
    <cellStyle name="Normal 11 2" xfId="158" xr:uid="{D9BC1155-D159-44EB-A519-3E9B07DC296F}"/>
    <cellStyle name="Normal 12" xfId="159" xr:uid="{3EF29D7B-BFE1-4137-B25F-F3C63B127EEC}"/>
    <cellStyle name="Normal 13" xfId="160" xr:uid="{CE7CD146-E0A0-40E9-A7A8-E3F6FAEE479F}"/>
    <cellStyle name="Normal 14" xfId="161" xr:uid="{A3FBE8FD-2117-4FD9-BD68-656CCE174E7D}"/>
    <cellStyle name="Normal 15" xfId="162" xr:uid="{11057306-E4A8-4AA0-B84C-AB2D63C03D21}"/>
    <cellStyle name="Normal 2" xfId="1" xr:uid="{034EA50B-B5B1-4206-ACCB-A9AFB39C69E3}"/>
    <cellStyle name="Normal 2 2 2 2 2" xfId="9" xr:uid="{D97AC47F-30AA-42EC-904F-93271FFC5C7A}"/>
    <cellStyle name="Normal 2 2 2 2 2 2" xfId="163" xr:uid="{C0273355-D60D-464A-8DD9-3D3D7090E56C}"/>
    <cellStyle name="Normal 2 4" xfId="164" xr:uid="{D48934F7-724B-498D-B863-79CD5C16DB69}"/>
    <cellStyle name="Normal 3" xfId="165" xr:uid="{0FE97039-029B-42F6-BEBA-A4DDD63F97C4}"/>
    <cellStyle name="Normal 3 2" xfId="166" xr:uid="{6CC52032-8843-446E-A5F4-EA7DEBF7B806}"/>
    <cellStyle name="Normal 4" xfId="167" xr:uid="{0FBC1C25-5272-4DBB-8526-B21367E42CDF}"/>
    <cellStyle name="Normal 4 2" xfId="2" xr:uid="{39F53BB8-E559-48F1-A5B8-3D9EE69012D4}"/>
    <cellStyle name="Normal 4 2 2" xfId="168" xr:uid="{36655862-E7B7-4C02-BBB3-4CE133F37AB0}"/>
    <cellStyle name="Normal 4 3" xfId="169" xr:uid="{B189F3C0-AE67-472B-9A3F-4F083B8F6B2F}"/>
    <cellStyle name="Normal 5" xfId="170" xr:uid="{512D3D2A-AD45-40FA-830D-D2E4A30B952C}"/>
    <cellStyle name="Normal 5 2" xfId="171" xr:uid="{350D7D26-4F8D-4C61-985B-0305430FF011}"/>
    <cellStyle name="Normal 5 2 2" xfId="172" xr:uid="{7CC3B07B-7465-428C-AC4B-F6C5E7F8DCA5}"/>
    <cellStyle name="Normal 5 2 2 2" xfId="173" xr:uid="{827A74B4-9FE9-4B58-A989-851D301BFA07}"/>
    <cellStyle name="Normal 5 2 3" xfId="174" xr:uid="{8A309518-EA94-42D3-A75E-85156FB99118}"/>
    <cellStyle name="Normal 5 3" xfId="175" xr:uid="{6F79F244-CC54-40DD-A26F-79397ECA42E2}"/>
    <cellStyle name="Normal 6" xfId="176" xr:uid="{24DD77CD-2FF3-4312-ABE7-343153A86E24}"/>
    <cellStyle name="Normal 6 2" xfId="177" xr:uid="{9AF81325-33BE-4BCB-BA27-6A89FAB3E5D7}"/>
    <cellStyle name="Normal 7" xfId="178" xr:uid="{0DF87BAF-3678-485A-828C-2D5DE0B6252C}"/>
    <cellStyle name="Normal 7 2" xfId="179" xr:uid="{8334024D-E480-489A-A20D-2AA752073860}"/>
    <cellStyle name="Normal 8" xfId="180" xr:uid="{A54AD42F-41B4-4D4D-8A58-7AE7A98811FC}"/>
    <cellStyle name="Normal 9" xfId="181" xr:uid="{2806A370-F202-4444-A29D-EF75581FC81E}"/>
    <cellStyle name="Normal 9 2" xfId="182" xr:uid="{A596DCF0-AC78-48E9-9EFC-75B578378FB5}"/>
    <cellStyle name="Note 2" xfId="183" xr:uid="{877FF7EA-8876-4A47-8B65-07337DF9BC75}"/>
    <cellStyle name="Note 2 2" xfId="184" xr:uid="{05D2CD18-712A-43B1-A145-96FD212CF56E}"/>
    <cellStyle name="Note 3" xfId="185" xr:uid="{24E233B1-B037-4107-B6F2-3E47B4334A93}"/>
    <cellStyle name="Note 4" xfId="186" xr:uid="{F90F3FF3-A18F-41D7-93F1-72E3F78A09DB}"/>
    <cellStyle name="Output 2" xfId="187" xr:uid="{6A1CFD23-E89D-4648-A0F0-B825B8DC9109}"/>
    <cellStyle name="Output 3" xfId="188" xr:uid="{035B14C9-C816-42BE-8CD4-D852D8BB8291}"/>
    <cellStyle name="Percent [2]" xfId="189" xr:uid="{BFAB9208-F5FF-4DE8-98C3-A637EDADEA1F}"/>
    <cellStyle name="Percent 10" xfId="190" xr:uid="{51ED4E91-9D5F-408E-ACD1-1F0C3B6E57C9}"/>
    <cellStyle name="Percent 11" xfId="191" xr:uid="{616425D2-738C-495D-AA88-03D32C716B30}"/>
    <cellStyle name="Percent 2" xfId="11" xr:uid="{195E55E1-AA74-4488-93F6-A5A8DA8ED898}"/>
    <cellStyle name="Percent 2 2" xfId="192" xr:uid="{E698A783-4E55-4988-B2D5-F918446F01CA}"/>
    <cellStyle name="Percent 2 3" xfId="193" xr:uid="{3ACE00A6-A816-4D80-B526-0D62527AF6E9}"/>
    <cellStyle name="Percent 2 4" xfId="194" xr:uid="{E3F1A33E-82D5-498C-A314-A49819450369}"/>
    <cellStyle name="Percent 3" xfId="195" xr:uid="{769A2EE3-35E7-4268-B3E6-4398FAAFD153}"/>
    <cellStyle name="Percent 3 2" xfId="196" xr:uid="{3C040C5D-48D1-4339-8228-97EE0152CE38}"/>
    <cellStyle name="Percent 3 2 2" xfId="197" xr:uid="{AEB63A24-165E-4608-8F9D-5DAF91A90307}"/>
    <cellStyle name="Percent 3 2 2 2" xfId="198" xr:uid="{CFAFCD15-86EF-456B-B6A4-22ECD34125DE}"/>
    <cellStyle name="Percent 3 2 3" xfId="199" xr:uid="{99B4C756-CB5A-4420-9C0C-E72A2F364EE4}"/>
    <cellStyle name="Percent 3 3" xfId="200" xr:uid="{B445A1BC-6BBA-444A-8F09-C2041B73CAA3}"/>
    <cellStyle name="Percent 4" xfId="201" xr:uid="{89F20895-8618-4778-B98D-63556E9A75DA}"/>
    <cellStyle name="Percent 4 2" xfId="202" xr:uid="{8ADD21CE-2BCE-447B-B999-B249771488FF}"/>
    <cellStyle name="Percent 5" xfId="203" xr:uid="{7640A308-306D-41AA-910D-3EE0267B8BD8}"/>
    <cellStyle name="Percent 5 2" xfId="204" xr:uid="{BFE3682D-CCAA-4D7D-B6EE-F0566CCD9F44}"/>
    <cellStyle name="Percent 6" xfId="3" xr:uid="{4FE06531-8588-42C6-8CBD-081D2BE96529}"/>
    <cellStyle name="Percent 7" xfId="205" xr:uid="{AFF2ED75-D4CB-41F0-9CE8-F73953B30CA2}"/>
    <cellStyle name="Percent 8" xfId="206" xr:uid="{A6F23C9F-1CEC-4512-BD59-6A18ACD5D9B0}"/>
    <cellStyle name="Percent 9" xfId="207" xr:uid="{6260DC1F-9D72-4BA9-841B-C0A2AC075777}"/>
    <cellStyle name="Title 2" xfId="208" xr:uid="{B11F6409-D9F7-4A0B-BF1C-CA28F28E442F}"/>
    <cellStyle name="Title 3" xfId="209" xr:uid="{22FB0157-43A8-4271-9E79-29BE4EE1E90B}"/>
    <cellStyle name="Total 2" xfId="210" xr:uid="{4DC56A47-CE5D-4FAD-B188-1C6773988C78}"/>
    <cellStyle name="Total 3" xfId="211" xr:uid="{15A5B628-501B-461B-AC4D-3F82100383DC}"/>
    <cellStyle name="Warning Text 2" xfId="212" xr:uid="{1AC5A167-31EE-4063-B19D-424ACF10AF24}"/>
    <cellStyle name="Warning Text 3" xfId="213" xr:uid="{5A067F77-8702-4DE8-98A6-30E5C17E60F3}"/>
  </cellStyles>
  <dxfs count="5"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F1287-BE53-448F-9BDA-24192880F55C}">
  <sheetPr codeName="Sheet2"/>
  <dimension ref="A1:AA72"/>
  <sheetViews>
    <sheetView tabSelected="1" workbookViewId="0">
      <selection activeCell="B28" sqref="B28"/>
    </sheetView>
  </sheetViews>
  <sheetFormatPr defaultColWidth="9.28515625" defaultRowHeight="15" outlineLevelRow="1" x14ac:dyDescent="0.25"/>
  <cols>
    <col min="1" max="1" width="9.28515625" style="1"/>
    <col min="2" max="2" width="43.28515625" style="1" customWidth="1"/>
    <col min="3" max="3" width="7.28515625" style="1" customWidth="1"/>
    <col min="4" max="4" width="10.28515625" style="1" customWidth="1"/>
    <col min="5" max="5" width="7.5703125" style="1" customWidth="1"/>
    <col min="6" max="6" width="20.28515625" style="1" customWidth="1"/>
    <col min="7" max="7" width="14.5703125" style="1" customWidth="1"/>
    <col min="8" max="10" width="17.42578125" style="1" customWidth="1"/>
    <col min="11" max="11" width="21.28515625" style="1" customWidth="1"/>
    <col min="12" max="12" width="16.5703125" style="1" customWidth="1"/>
    <col min="13" max="13" width="12.42578125" style="1" bestFit="1" customWidth="1"/>
    <col min="14" max="14" width="12" style="1" bestFit="1" customWidth="1"/>
    <col min="15" max="16384" width="9.28515625" style="1"/>
  </cols>
  <sheetData>
    <row r="1" spans="1:27" x14ac:dyDescent="0.25">
      <c r="B1" s="2"/>
    </row>
    <row r="2" spans="1:27" x14ac:dyDescent="0.25">
      <c r="A2" s="3"/>
      <c r="B2" s="3"/>
      <c r="C2" s="3"/>
      <c r="D2" s="3"/>
      <c r="E2" s="3"/>
      <c r="K2" s="4" t="s">
        <v>1</v>
      </c>
      <c r="L2" s="5" t="s">
        <v>96</v>
      </c>
    </row>
    <row r="3" spans="1:27" ht="18" x14ac:dyDescent="0.25">
      <c r="A3" s="3"/>
      <c r="C3" s="6"/>
      <c r="D3" s="6"/>
      <c r="E3" s="6"/>
      <c r="F3" s="6"/>
      <c r="G3" s="6"/>
      <c r="H3" s="6"/>
      <c r="I3" s="6"/>
      <c r="J3" s="6"/>
      <c r="K3" s="4" t="s">
        <v>2</v>
      </c>
      <c r="L3" s="7" t="s">
        <v>98</v>
      </c>
    </row>
    <row r="4" spans="1:27" x14ac:dyDescent="0.25">
      <c r="B4" s="174" t="s">
        <v>3</v>
      </c>
      <c r="C4" s="174"/>
      <c r="D4" s="174"/>
      <c r="E4" s="174"/>
      <c r="F4" s="174"/>
      <c r="G4" s="174"/>
      <c r="H4" s="174"/>
      <c r="I4" s="174"/>
      <c r="K4" s="4" t="s">
        <v>4</v>
      </c>
      <c r="L4" s="7">
        <v>3</v>
      </c>
    </row>
    <row r="5" spans="1:27" ht="18" customHeight="1" x14ac:dyDescent="0.25">
      <c r="B5" s="174"/>
      <c r="C5" s="174"/>
      <c r="D5" s="174"/>
      <c r="E5" s="174"/>
      <c r="F5" s="174"/>
      <c r="G5" s="174"/>
      <c r="H5" s="174"/>
      <c r="I5" s="174"/>
      <c r="J5" s="6"/>
      <c r="K5" s="4" t="s">
        <v>5</v>
      </c>
      <c r="L5" s="7">
        <v>1</v>
      </c>
    </row>
    <row r="6" spans="1:27" ht="15" customHeight="1" x14ac:dyDescent="0.25">
      <c r="B6" s="174"/>
      <c r="C6" s="174"/>
      <c r="D6" s="174"/>
      <c r="E6" s="174"/>
      <c r="F6" s="174"/>
      <c r="G6" s="174"/>
      <c r="H6" s="174"/>
      <c r="I6" s="174"/>
      <c r="J6" s="6"/>
      <c r="K6" s="4" t="s">
        <v>6</v>
      </c>
      <c r="L6" s="5"/>
    </row>
    <row r="7" spans="1:27" x14ac:dyDescent="0.25">
      <c r="B7" s="8"/>
      <c r="K7" s="4"/>
      <c r="L7" s="9" t="s">
        <v>97</v>
      </c>
    </row>
    <row r="8" spans="1:27" x14ac:dyDescent="0.25">
      <c r="B8" s="8"/>
      <c r="K8" s="4" t="s">
        <v>7</v>
      </c>
      <c r="L8" s="199">
        <v>46283</v>
      </c>
    </row>
    <row r="9" spans="1:27" x14ac:dyDescent="0.25">
      <c r="B9" s="8"/>
    </row>
    <row r="10" spans="1:27" ht="15.75" thickBot="1" x14ac:dyDescent="0.3">
      <c r="A10" s="10"/>
      <c r="B10" s="11"/>
      <c r="C10" s="12"/>
      <c r="D10" s="13"/>
      <c r="E10" s="13"/>
      <c r="F10" s="13"/>
      <c r="G10" s="10"/>
      <c r="H10" s="10"/>
      <c r="I10" s="10"/>
      <c r="J10" s="10"/>
      <c r="K10" s="10"/>
      <c r="L10" s="13"/>
      <c r="Q10" s="14"/>
      <c r="R10" s="14"/>
      <c r="S10" s="14"/>
      <c r="T10" s="14"/>
      <c r="U10" s="14"/>
      <c r="V10" s="14"/>
      <c r="Y10" s="15"/>
      <c r="Z10" s="15"/>
      <c r="AA10" s="15"/>
    </row>
    <row r="11" spans="1:27" ht="15.75" x14ac:dyDescent="0.25">
      <c r="A11" s="16"/>
      <c r="B11" s="17"/>
      <c r="C11" s="14"/>
      <c r="D11" s="14"/>
      <c r="E11" s="14"/>
      <c r="F11" s="14"/>
      <c r="G11" s="15"/>
      <c r="H11" s="14"/>
      <c r="I11" s="14"/>
      <c r="J11" s="14"/>
      <c r="K11" s="14"/>
      <c r="L11" s="18"/>
      <c r="M11" s="19"/>
      <c r="N11" s="17"/>
      <c r="O11" s="14"/>
      <c r="P11" s="14"/>
      <c r="Q11" s="14"/>
      <c r="R11" s="14"/>
      <c r="S11" s="14"/>
      <c r="T11" s="14"/>
      <c r="U11" s="14"/>
      <c r="V11" s="14"/>
      <c r="Y11" s="15"/>
      <c r="Z11" s="15"/>
      <c r="AA11" s="15"/>
    </row>
    <row r="12" spans="1:27" ht="15.75" x14ac:dyDescent="0.25">
      <c r="A12" s="18" t="s">
        <v>8</v>
      </c>
      <c r="B12" s="19" t="s">
        <v>9</v>
      </c>
      <c r="C12" s="17"/>
      <c r="D12" s="14"/>
      <c r="E12" s="14"/>
      <c r="F12" s="14"/>
      <c r="G12" s="15"/>
      <c r="H12" s="14"/>
      <c r="I12" s="14"/>
      <c r="J12" s="14"/>
      <c r="K12" s="14"/>
      <c r="L12" s="18"/>
      <c r="M12" s="19"/>
      <c r="N12" s="17"/>
      <c r="O12" s="14"/>
      <c r="P12" s="14"/>
      <c r="Q12" s="14"/>
      <c r="R12" s="14"/>
      <c r="S12" s="14"/>
      <c r="T12" s="14"/>
      <c r="U12" s="14"/>
      <c r="V12" s="14"/>
      <c r="Y12" s="15"/>
      <c r="Z12" s="15"/>
      <c r="AA12" s="15"/>
    </row>
    <row r="13" spans="1:27" ht="16.5" thickBot="1" x14ac:dyDescent="0.3">
      <c r="A13" s="16"/>
      <c r="B13" s="17"/>
      <c r="C13" s="14"/>
      <c r="D13" s="14"/>
      <c r="E13" s="14"/>
      <c r="F13" s="14"/>
      <c r="G13" s="15"/>
      <c r="H13" s="14"/>
      <c r="I13" s="14"/>
      <c r="J13" s="14"/>
      <c r="K13" s="14"/>
      <c r="L13" s="18"/>
      <c r="M13" s="19"/>
      <c r="N13" s="17"/>
      <c r="O13" s="14"/>
      <c r="P13" s="14"/>
      <c r="Q13" s="14"/>
      <c r="R13" s="14"/>
      <c r="S13" s="14"/>
      <c r="T13" s="14"/>
      <c r="U13" s="14"/>
      <c r="V13" s="14"/>
      <c r="Y13" s="15"/>
      <c r="Z13" s="15"/>
      <c r="AA13" s="15"/>
    </row>
    <row r="14" spans="1:27" ht="15.75" thickBot="1" x14ac:dyDescent="0.3">
      <c r="A14" s="15"/>
      <c r="B14" s="15" t="s">
        <v>10</v>
      </c>
      <c r="C14" s="15"/>
      <c r="D14" s="15"/>
      <c r="E14" s="15"/>
      <c r="F14" s="15"/>
      <c r="G14" s="20"/>
      <c r="H14" s="21"/>
      <c r="J14" s="22"/>
      <c r="K14" s="22"/>
      <c r="N14" s="23"/>
      <c r="O14" s="23"/>
      <c r="P14" s="15"/>
    </row>
    <row r="15" spans="1:27" x14ac:dyDescent="0.25">
      <c r="A15" s="18"/>
      <c r="B15" s="24" t="s">
        <v>11</v>
      </c>
      <c r="C15" s="15" t="s">
        <v>12</v>
      </c>
      <c r="D15" s="15"/>
      <c r="E15" s="15"/>
      <c r="F15" s="15"/>
      <c r="G15" s="25" t="s">
        <v>13</v>
      </c>
      <c r="H15" s="26" t="s">
        <v>14</v>
      </c>
      <c r="J15" s="27"/>
      <c r="K15" s="27"/>
      <c r="N15" s="23"/>
      <c r="O15" s="23"/>
      <c r="P15" s="15"/>
    </row>
    <row r="16" spans="1:27" ht="15.75" thickBot="1" x14ac:dyDescent="0.3">
      <c r="A16" s="15"/>
      <c r="B16" s="28"/>
      <c r="C16" s="15"/>
      <c r="D16" s="15"/>
      <c r="E16" s="15"/>
      <c r="F16" s="15"/>
      <c r="G16" s="29"/>
      <c r="H16" s="30"/>
      <c r="J16" s="27"/>
      <c r="K16" s="27"/>
      <c r="N16" s="23"/>
      <c r="O16" s="23"/>
      <c r="P16" s="15"/>
    </row>
    <row r="17" spans="1:16" ht="29.25" customHeight="1" x14ac:dyDescent="0.25">
      <c r="A17" s="15"/>
      <c r="B17" s="31" t="s">
        <v>15</v>
      </c>
      <c r="C17" s="175" t="s">
        <v>16</v>
      </c>
      <c r="D17" s="176"/>
      <c r="E17" s="177"/>
      <c r="F17" s="32"/>
      <c r="G17" s="33">
        <v>54.754799999999996</v>
      </c>
      <c r="H17" s="34">
        <f>G17</f>
        <v>54.754799999999996</v>
      </c>
      <c r="J17" s="35"/>
      <c r="K17" s="35"/>
      <c r="N17" s="15"/>
      <c r="O17" s="15"/>
      <c r="P17" s="15"/>
    </row>
    <row r="18" spans="1:16" ht="32.25" customHeight="1" x14ac:dyDescent="0.25">
      <c r="A18" s="15"/>
      <c r="B18" s="31" t="s">
        <v>17</v>
      </c>
      <c r="C18" s="175" t="s">
        <v>18</v>
      </c>
      <c r="D18" s="176"/>
      <c r="E18" s="177"/>
      <c r="F18" s="36"/>
      <c r="G18" s="37">
        <v>61.604300000000002</v>
      </c>
      <c r="H18" s="38">
        <f>G18</f>
        <v>61.604300000000002</v>
      </c>
      <c r="J18" s="35"/>
      <c r="K18" s="35"/>
      <c r="N18" s="15"/>
      <c r="O18" s="15"/>
      <c r="P18" s="15"/>
    </row>
    <row r="19" spans="1:16" x14ac:dyDescent="0.25">
      <c r="A19" s="15"/>
      <c r="B19" s="31" t="s">
        <v>19</v>
      </c>
      <c r="C19" s="178"/>
      <c r="D19" s="179"/>
      <c r="E19" s="180"/>
      <c r="F19" s="36"/>
      <c r="G19" s="39"/>
      <c r="H19" s="38">
        <v>10.59</v>
      </c>
      <c r="J19" s="40"/>
      <c r="K19" s="35"/>
      <c r="N19" s="15"/>
      <c r="O19" s="15"/>
      <c r="P19" s="15"/>
    </row>
    <row r="20" spans="1:16" ht="40.9" customHeight="1" x14ac:dyDescent="0.25">
      <c r="A20" s="15"/>
      <c r="B20" s="41" t="s">
        <v>20</v>
      </c>
      <c r="C20" s="175" t="s">
        <v>21</v>
      </c>
      <c r="D20" s="176"/>
      <c r="E20" s="177"/>
      <c r="F20" s="36"/>
      <c r="G20" s="42"/>
      <c r="H20" s="43">
        <f>SUM(H17:H19)</f>
        <v>126.9491</v>
      </c>
      <c r="J20" s="44"/>
      <c r="K20" s="44"/>
      <c r="N20" s="15"/>
      <c r="O20" s="15"/>
      <c r="P20" s="15"/>
    </row>
    <row r="21" spans="1:16" ht="15.75" thickBo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5"/>
      <c r="N21" s="15"/>
      <c r="O21" s="15"/>
      <c r="P21" s="15"/>
    </row>
    <row r="22" spans="1:16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5.75" customHeight="1" outlineLevel="1" x14ac:dyDescent="0.25">
      <c r="A23" s="18" t="s">
        <v>22</v>
      </c>
      <c r="B23" s="19" t="s">
        <v>23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5" customHeight="1" outlineLevel="1" x14ac:dyDescent="0.25">
      <c r="A24" s="15"/>
      <c r="B24" s="45" t="s">
        <v>24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5" customHeight="1" outlineLevel="1" x14ac:dyDescent="0.25">
      <c r="A25" s="15"/>
      <c r="B25" s="4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5" customHeight="1" outlineLevel="1" x14ac:dyDescent="0.25">
      <c r="A26" s="15"/>
      <c r="B26" s="46" t="s">
        <v>0</v>
      </c>
      <c r="E26" s="47"/>
      <c r="F26" s="48"/>
      <c r="G26" s="173" t="str">
        <f>2027&amp; " Test Year"</f>
        <v>2027 Test Year</v>
      </c>
      <c r="H26" s="173"/>
      <c r="I26" s="173"/>
      <c r="J26" s="173"/>
      <c r="K26" s="173"/>
      <c r="L26" s="173"/>
      <c r="M26" s="15"/>
      <c r="N26" s="15"/>
      <c r="O26" s="15"/>
      <c r="P26" s="15"/>
    </row>
    <row r="27" spans="1:16" ht="15" customHeight="1" outlineLevel="1" x14ac:dyDescent="0.25">
      <c r="A27" s="15"/>
      <c r="B27" s="49" t="s">
        <v>25</v>
      </c>
      <c r="C27" s="50"/>
      <c r="D27" s="50" t="s">
        <v>26</v>
      </c>
      <c r="E27" s="51" t="s">
        <v>27</v>
      </c>
      <c r="F27" s="52"/>
      <c r="G27" s="52"/>
      <c r="H27" s="52"/>
      <c r="I27" s="52"/>
      <c r="J27" s="52"/>
      <c r="K27" s="52"/>
      <c r="L27" s="52"/>
      <c r="M27" s="15"/>
      <c r="N27" s="15"/>
      <c r="O27" s="15"/>
      <c r="P27" s="15"/>
    </row>
    <row r="28" spans="1:16" ht="42.75" customHeight="1" outlineLevel="1" x14ac:dyDescent="0.25">
      <c r="A28" s="15"/>
      <c r="B28" s="53" t="s">
        <v>28</v>
      </c>
      <c r="C28" s="54" t="s">
        <v>29</v>
      </c>
      <c r="D28" s="54" t="s">
        <v>30</v>
      </c>
      <c r="E28" s="55" t="s">
        <v>30</v>
      </c>
      <c r="F28" s="56" t="s">
        <v>31</v>
      </c>
      <c r="G28" s="56"/>
      <c r="H28" s="56" t="s">
        <v>32</v>
      </c>
      <c r="I28" s="56" t="s">
        <v>33</v>
      </c>
      <c r="J28" s="56" t="s">
        <v>34</v>
      </c>
      <c r="K28" s="56" t="s">
        <v>35</v>
      </c>
      <c r="L28" s="57" t="s">
        <v>36</v>
      </c>
      <c r="M28" s="15"/>
      <c r="N28" s="15"/>
      <c r="O28" s="15"/>
      <c r="P28" s="15"/>
    </row>
    <row r="29" spans="1:16" ht="15" customHeight="1" outlineLevel="1" x14ac:dyDescent="0.25">
      <c r="A29" s="15"/>
      <c r="B29" s="58" t="s">
        <v>85</v>
      </c>
      <c r="C29" s="59" t="s">
        <v>37</v>
      </c>
      <c r="D29" s="59">
        <v>4006</v>
      </c>
      <c r="E29" s="60">
        <v>4705</v>
      </c>
      <c r="F29" s="61">
        <v>0</v>
      </c>
      <c r="G29" s="62"/>
      <c r="H29" s="61">
        <v>19088638.643028274</v>
      </c>
      <c r="I29" s="61">
        <v>1539171416.2571933</v>
      </c>
      <c r="J29" s="63">
        <f t="shared" ref="J29:J39" si="0">+$G$17/1000</f>
        <v>5.4754799999999999E-2</v>
      </c>
      <c r="K29" s="63">
        <f t="shared" ref="K29:K39" si="1">+$H$20/1000</f>
        <v>0.12694910000000001</v>
      </c>
      <c r="L29" s="64">
        <f t="shared" ref="L29:L39" si="2">(+F29+H29)*J29+(I29*K29)</f>
        <v>196441620.63074738</v>
      </c>
      <c r="M29" s="15"/>
      <c r="N29" s="15"/>
      <c r="O29" s="15"/>
      <c r="P29" s="15"/>
    </row>
    <row r="30" spans="1:16" ht="15" customHeight="1" outlineLevel="1" x14ac:dyDescent="0.25">
      <c r="A30" s="15"/>
      <c r="B30" s="58" t="s">
        <v>86</v>
      </c>
      <c r="C30" s="59" t="s">
        <v>37</v>
      </c>
      <c r="D30" s="59">
        <v>4010</v>
      </c>
      <c r="E30" s="60">
        <v>4705</v>
      </c>
      <c r="F30" s="61">
        <v>0</v>
      </c>
      <c r="G30" s="62"/>
      <c r="H30" s="61">
        <v>167600.46760620063</v>
      </c>
      <c r="I30" s="61">
        <v>13514104.065510208</v>
      </c>
      <c r="J30" s="63">
        <f t="shared" si="0"/>
        <v>5.4754799999999999E-2</v>
      </c>
      <c r="K30" s="63">
        <f t="shared" si="1"/>
        <v>0.12694910000000001</v>
      </c>
      <c r="L30" s="64">
        <f t="shared" si="2"/>
        <v>1724780.278506546</v>
      </c>
      <c r="M30" s="15"/>
      <c r="N30" s="15"/>
      <c r="O30" s="15"/>
      <c r="P30" s="15"/>
    </row>
    <row r="31" spans="1:16" ht="15" customHeight="1" outlineLevel="1" x14ac:dyDescent="0.25">
      <c r="A31" s="15"/>
      <c r="B31" s="58" t="s">
        <v>87</v>
      </c>
      <c r="C31" s="59" t="s">
        <v>37</v>
      </c>
      <c r="D31" s="59">
        <v>4035</v>
      </c>
      <c r="E31" s="60">
        <v>4705</v>
      </c>
      <c r="F31" s="61">
        <v>47756.804158986917</v>
      </c>
      <c r="G31" s="62"/>
      <c r="H31" s="61">
        <v>49836360.080431797</v>
      </c>
      <c r="I31" s="61">
        <v>319616638.86927801</v>
      </c>
      <c r="J31" s="63">
        <f t="shared" si="0"/>
        <v>5.4754799999999999E-2</v>
      </c>
      <c r="K31" s="63">
        <f t="shared" si="1"/>
        <v>0.12694910000000001</v>
      </c>
      <c r="L31" s="64">
        <f t="shared" si="2"/>
        <v>43306439.492672257</v>
      </c>
      <c r="M31" s="15"/>
      <c r="N31" s="15"/>
      <c r="O31" s="15"/>
      <c r="P31" s="15"/>
    </row>
    <row r="32" spans="1:16" ht="15" customHeight="1" outlineLevel="1" x14ac:dyDescent="0.25">
      <c r="A32" s="15"/>
      <c r="B32" s="58" t="s">
        <v>88</v>
      </c>
      <c r="C32" s="59" t="s">
        <v>37</v>
      </c>
      <c r="D32" s="59">
        <v>4010</v>
      </c>
      <c r="E32" s="60">
        <v>4705</v>
      </c>
      <c r="F32" s="61">
        <v>100401964.8425637</v>
      </c>
      <c r="G32" s="62"/>
      <c r="H32" s="61">
        <v>810786370.96007514</v>
      </c>
      <c r="I32" s="61">
        <v>472815991.90154064</v>
      </c>
      <c r="J32" s="63">
        <f t="shared" si="0"/>
        <v>5.4754799999999999E-2</v>
      </c>
      <c r="K32" s="63">
        <f t="shared" si="1"/>
        <v>0.12694910000000001</v>
      </c>
      <c r="L32" s="64">
        <f t="shared" si="2"/>
        <v>109915499.72671421</v>
      </c>
      <c r="M32" s="15"/>
      <c r="N32" s="15"/>
      <c r="O32" s="15"/>
      <c r="P32" s="15"/>
    </row>
    <row r="33" spans="1:16" ht="15" customHeight="1" outlineLevel="1" x14ac:dyDescent="0.25">
      <c r="A33" s="15"/>
      <c r="B33" s="58" t="s">
        <v>89</v>
      </c>
      <c r="C33" s="59" t="s">
        <v>37</v>
      </c>
      <c r="D33" s="59">
        <v>4025</v>
      </c>
      <c r="E33" s="60">
        <v>4705</v>
      </c>
      <c r="F33" s="61">
        <v>236769703.94237798</v>
      </c>
      <c r="G33" s="62"/>
      <c r="H33" s="61">
        <v>47031024.073718026</v>
      </c>
      <c r="I33" s="61">
        <v>7732626.9183598598</v>
      </c>
      <c r="J33" s="63">
        <f t="shared" si="0"/>
        <v>5.4754799999999999E-2</v>
      </c>
      <c r="K33" s="63">
        <f t="shared" si="1"/>
        <v>0.12694910000000001</v>
      </c>
      <c r="L33" s="64">
        <f t="shared" si="2"/>
        <v>16521102.13029729</v>
      </c>
      <c r="M33" s="15"/>
      <c r="N33" s="15"/>
      <c r="O33" s="15"/>
      <c r="P33" s="15"/>
    </row>
    <row r="34" spans="1:16" ht="15" customHeight="1" outlineLevel="1" x14ac:dyDescent="0.25">
      <c r="A34" s="15"/>
      <c r="B34" s="58" t="s">
        <v>90</v>
      </c>
      <c r="C34" s="59" t="s">
        <v>37</v>
      </c>
      <c r="D34" s="59">
        <v>4025</v>
      </c>
      <c r="E34" s="60">
        <v>4705</v>
      </c>
      <c r="F34" s="61">
        <v>386151810.56173307</v>
      </c>
      <c r="G34" s="62"/>
      <c r="H34" s="61">
        <v>51715119.452752814</v>
      </c>
      <c r="I34" s="61">
        <v>0</v>
      </c>
      <c r="J34" s="63">
        <f t="shared" si="0"/>
        <v>5.4754799999999999E-2</v>
      </c>
      <c r="K34" s="63">
        <f t="shared" si="1"/>
        <v>0.12694910000000001</v>
      </c>
      <c r="L34" s="64">
        <f t="shared" si="2"/>
        <v>23975316.179557171</v>
      </c>
      <c r="M34" s="15"/>
      <c r="N34" s="15"/>
      <c r="O34" s="15"/>
      <c r="P34" s="15"/>
    </row>
    <row r="35" spans="1:16" ht="15" customHeight="1" outlineLevel="1" x14ac:dyDescent="0.25">
      <c r="A35" s="15"/>
      <c r="B35" s="58" t="s">
        <v>91</v>
      </c>
      <c r="C35" s="59" t="s">
        <v>37</v>
      </c>
      <c r="D35" s="59">
        <v>4025</v>
      </c>
      <c r="E35" s="60">
        <v>4705</v>
      </c>
      <c r="F35" s="61">
        <v>0</v>
      </c>
      <c r="G35" s="62"/>
      <c r="H35" s="61">
        <v>16273488.111354187</v>
      </c>
      <c r="I35" s="61">
        <v>0</v>
      </c>
      <c r="J35" s="63">
        <f t="shared" si="0"/>
        <v>5.4754799999999999E-2</v>
      </c>
      <c r="K35" s="63">
        <f t="shared" si="1"/>
        <v>0.12694910000000001</v>
      </c>
      <c r="L35" s="64">
        <f t="shared" si="2"/>
        <v>891051.58683957625</v>
      </c>
      <c r="M35" s="15"/>
      <c r="N35" s="15"/>
      <c r="O35" s="15"/>
      <c r="P35" s="15"/>
    </row>
    <row r="36" spans="1:16" ht="15" customHeight="1" outlineLevel="1" x14ac:dyDescent="0.25">
      <c r="A36" s="15"/>
      <c r="B36" s="58" t="s">
        <v>92</v>
      </c>
      <c r="C36" s="59" t="s">
        <v>37</v>
      </c>
      <c r="D36" s="59">
        <v>4025</v>
      </c>
      <c r="E36" s="60">
        <v>4705</v>
      </c>
      <c r="F36" s="61">
        <v>0</v>
      </c>
      <c r="G36" s="62"/>
      <c r="H36" s="61">
        <v>0</v>
      </c>
      <c r="I36" s="61">
        <v>91087.249324986842</v>
      </c>
      <c r="J36" s="63">
        <f t="shared" si="0"/>
        <v>5.4754799999999999E-2</v>
      </c>
      <c r="K36" s="63">
        <f t="shared" si="1"/>
        <v>0.12694910000000001</v>
      </c>
      <c r="L36" s="64">
        <f t="shared" si="2"/>
        <v>11563.444323282689</v>
      </c>
      <c r="M36" s="15"/>
      <c r="N36" s="15"/>
      <c r="O36" s="15"/>
      <c r="P36" s="15"/>
    </row>
    <row r="37" spans="1:16" ht="15" customHeight="1" outlineLevel="1" x14ac:dyDescent="0.25">
      <c r="A37" s="15"/>
      <c r="B37" s="58" t="s">
        <v>93</v>
      </c>
      <c r="C37" s="59" t="s">
        <v>37</v>
      </c>
      <c r="D37" s="59">
        <v>4025</v>
      </c>
      <c r="E37" s="60">
        <v>4705</v>
      </c>
      <c r="F37" s="61">
        <v>0</v>
      </c>
      <c r="G37" s="62"/>
      <c r="H37" s="61">
        <v>4280.034540994121</v>
      </c>
      <c r="I37" s="61">
        <v>6744404.510519959</v>
      </c>
      <c r="J37" s="63">
        <f t="shared" si="0"/>
        <v>5.4754799999999999E-2</v>
      </c>
      <c r="K37" s="63">
        <f t="shared" si="1"/>
        <v>0.12694910000000001</v>
      </c>
      <c r="L37" s="64">
        <f t="shared" si="2"/>
        <v>856430.43508173467</v>
      </c>
      <c r="M37" s="15"/>
      <c r="N37" s="15"/>
      <c r="O37" s="15"/>
      <c r="P37" s="15"/>
    </row>
    <row r="38" spans="1:16" ht="15" customHeight="1" outlineLevel="1" x14ac:dyDescent="0.25">
      <c r="A38" s="15"/>
      <c r="B38" s="58"/>
      <c r="C38" s="59" t="s">
        <v>37</v>
      </c>
      <c r="D38" s="59">
        <v>4025</v>
      </c>
      <c r="E38" s="60">
        <v>4705</v>
      </c>
      <c r="F38" s="61"/>
      <c r="G38" s="62"/>
      <c r="H38" s="61"/>
      <c r="I38" s="61"/>
      <c r="J38" s="63">
        <f t="shared" si="0"/>
        <v>5.4754799999999999E-2</v>
      </c>
      <c r="K38" s="63">
        <f t="shared" si="1"/>
        <v>0.12694910000000001</v>
      </c>
      <c r="L38" s="64">
        <f t="shared" si="2"/>
        <v>0</v>
      </c>
      <c r="M38" s="15"/>
      <c r="N38" s="15"/>
      <c r="O38" s="15"/>
      <c r="P38" s="15"/>
    </row>
    <row r="39" spans="1:16" ht="15" customHeight="1" outlineLevel="1" x14ac:dyDescent="0.25">
      <c r="A39" s="15"/>
      <c r="B39" s="58"/>
      <c r="C39" s="59" t="s">
        <v>37</v>
      </c>
      <c r="D39" s="59">
        <v>4025</v>
      </c>
      <c r="E39" s="60">
        <v>4705</v>
      </c>
      <c r="F39" s="61"/>
      <c r="G39" s="62"/>
      <c r="H39" s="61"/>
      <c r="I39" s="61"/>
      <c r="J39" s="63">
        <f t="shared" si="0"/>
        <v>5.4754799999999999E-2</v>
      </c>
      <c r="K39" s="63">
        <f t="shared" si="1"/>
        <v>0.12694910000000001</v>
      </c>
      <c r="L39" s="64">
        <f t="shared" si="2"/>
        <v>0</v>
      </c>
      <c r="M39" s="15"/>
      <c r="N39" s="15"/>
      <c r="O39" s="15"/>
      <c r="P39" s="15"/>
    </row>
    <row r="40" spans="1:16" ht="15" customHeight="1" outlineLevel="1" x14ac:dyDescent="0.25">
      <c r="A40" s="15"/>
      <c r="B40" s="65" t="s">
        <v>38</v>
      </c>
      <c r="C40" s="66"/>
      <c r="D40" s="67"/>
      <c r="E40" s="68"/>
      <c r="F40" s="69"/>
      <c r="G40" s="70"/>
      <c r="H40" s="69"/>
      <c r="I40" s="71"/>
      <c r="J40" s="71"/>
      <c r="K40" s="69"/>
      <c r="L40" s="72">
        <f>SUM(L29:L39)</f>
        <v>393643803.90473944</v>
      </c>
      <c r="M40" s="15"/>
      <c r="N40" s="15"/>
      <c r="O40" s="15"/>
      <c r="P40" s="15"/>
    </row>
    <row r="41" spans="1:16" ht="15" customHeight="1" outlineLevel="1" x14ac:dyDescent="0.25">
      <c r="A41" s="15"/>
      <c r="B41" s="4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5" customHeight="1" outlineLevel="1" x14ac:dyDescent="0.25">
      <c r="A42" s="15"/>
      <c r="B42" s="28"/>
      <c r="C42" s="15"/>
      <c r="D42" s="15"/>
      <c r="E42" s="15"/>
      <c r="F42" s="73"/>
      <c r="G42" s="73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5.75" customHeight="1" outlineLevel="1" x14ac:dyDescent="0.25">
      <c r="A43" s="15"/>
      <c r="B43" s="46" t="s">
        <v>39</v>
      </c>
      <c r="E43" s="47"/>
      <c r="F43" s="74"/>
      <c r="G43" s="173" t="str">
        <f>2027&amp; " Test Year"</f>
        <v>2027 Test Year</v>
      </c>
      <c r="H43" s="173"/>
      <c r="I43" s="173"/>
      <c r="J43" s="173"/>
      <c r="K43" s="173"/>
      <c r="L43" s="173"/>
      <c r="M43" s="15"/>
      <c r="N43" s="15"/>
      <c r="O43" s="15"/>
      <c r="P43" s="15"/>
    </row>
    <row r="44" spans="1:16" ht="15" customHeight="1" outlineLevel="1" x14ac:dyDescent="0.25">
      <c r="A44" s="15"/>
      <c r="B44" s="49" t="s">
        <v>25</v>
      </c>
      <c r="C44" s="54"/>
      <c r="D44" s="50" t="s">
        <v>26</v>
      </c>
      <c r="E44" s="51" t="s">
        <v>27</v>
      </c>
      <c r="F44" s="75"/>
      <c r="G44" s="76" t="s">
        <v>40</v>
      </c>
      <c r="H44" s="77"/>
      <c r="I44" s="77"/>
      <c r="J44" s="78"/>
      <c r="K44" s="79" t="s">
        <v>41</v>
      </c>
      <c r="L44" s="80" t="s">
        <v>36</v>
      </c>
      <c r="M44" s="15"/>
      <c r="N44" s="15"/>
      <c r="O44" s="15"/>
      <c r="P44" s="15"/>
    </row>
    <row r="45" spans="1:16" ht="15" customHeight="1" outlineLevel="1" x14ac:dyDescent="0.25">
      <c r="A45" s="15"/>
      <c r="B45" s="58"/>
      <c r="C45" s="59"/>
      <c r="D45" s="59">
        <v>4035</v>
      </c>
      <c r="E45" s="60">
        <v>4707</v>
      </c>
      <c r="F45" s="81"/>
      <c r="G45" s="82">
        <f>F31</f>
        <v>47756.804158986917</v>
      </c>
      <c r="H45" s="77"/>
      <c r="I45" s="77"/>
      <c r="J45" s="83"/>
      <c r="K45" s="172">
        <v>3.0610504450927455E-2</v>
      </c>
      <c r="L45" s="85">
        <f>+K45*G45</f>
        <v>1461.8598662707398</v>
      </c>
      <c r="M45" s="15"/>
      <c r="N45" s="15"/>
      <c r="O45" s="15"/>
      <c r="P45" s="15"/>
    </row>
    <row r="46" spans="1:16" ht="15" customHeight="1" outlineLevel="1" x14ac:dyDescent="0.25">
      <c r="A46" s="15"/>
      <c r="B46" s="58"/>
      <c r="C46" s="59"/>
      <c r="D46" s="59">
        <v>4010</v>
      </c>
      <c r="E46" s="60">
        <v>4707</v>
      </c>
      <c r="F46" s="81"/>
      <c r="G46" s="82">
        <f t="shared" ref="G46:G48" si="3">F32</f>
        <v>100401964.8425637</v>
      </c>
      <c r="H46" s="77"/>
      <c r="I46" s="77"/>
      <c r="J46" s="83"/>
      <c r="K46" s="172">
        <f>K45</f>
        <v>3.0610504450927455E-2</v>
      </c>
      <c r="L46" s="85">
        <f>+K46*G46</f>
        <v>3073354.791695158</v>
      </c>
      <c r="M46" s="15"/>
      <c r="N46" s="15"/>
      <c r="O46" s="15"/>
      <c r="P46" s="15"/>
    </row>
    <row r="47" spans="1:16" ht="15" customHeight="1" outlineLevel="1" x14ac:dyDescent="0.25">
      <c r="A47" s="15"/>
      <c r="B47" s="58"/>
      <c r="C47" s="59"/>
      <c r="D47" s="59">
        <v>4010</v>
      </c>
      <c r="E47" s="60">
        <v>4707</v>
      </c>
      <c r="F47" s="81"/>
      <c r="G47" s="82">
        <f t="shared" si="3"/>
        <v>236769703.94237798</v>
      </c>
      <c r="H47" s="77"/>
      <c r="I47" s="77"/>
      <c r="J47" s="83"/>
      <c r="K47" s="172">
        <f t="shared" ref="K47:K48" si="4">K46</f>
        <v>3.0610504450927455E-2</v>
      </c>
      <c r="L47" s="85">
        <f>+K47*G47</f>
        <v>7247640.0763729373</v>
      </c>
      <c r="M47" s="15"/>
      <c r="N47" s="15"/>
      <c r="O47" s="15"/>
      <c r="P47" s="15"/>
    </row>
    <row r="48" spans="1:16" ht="15" customHeight="1" outlineLevel="1" x14ac:dyDescent="0.25">
      <c r="A48" s="15"/>
      <c r="B48" s="58"/>
      <c r="C48" s="59"/>
      <c r="D48" s="59">
        <v>4010</v>
      </c>
      <c r="E48" s="60">
        <v>4707</v>
      </c>
      <c r="F48" s="81"/>
      <c r="G48" s="82">
        <f t="shared" si="3"/>
        <v>386151810.56173307</v>
      </c>
      <c r="H48" s="77"/>
      <c r="I48" s="77"/>
      <c r="J48" s="83"/>
      <c r="K48" s="172">
        <f t="shared" si="4"/>
        <v>3.0610504450927455E-2</v>
      </c>
      <c r="L48" s="85">
        <f>+K48*G48</f>
        <v>11820301.715933625</v>
      </c>
      <c r="M48" s="15"/>
      <c r="N48" s="15"/>
      <c r="O48" s="15"/>
      <c r="P48" s="15"/>
    </row>
    <row r="49" spans="1:16" ht="15" customHeight="1" outlineLevel="1" x14ac:dyDescent="0.25">
      <c r="A49" s="15"/>
      <c r="B49" s="58"/>
      <c r="C49" s="59"/>
      <c r="D49" s="59">
        <v>4010</v>
      </c>
      <c r="E49" s="60">
        <v>4707</v>
      </c>
      <c r="F49" s="81"/>
      <c r="G49" s="82"/>
      <c r="H49" s="77"/>
      <c r="I49" s="77"/>
      <c r="J49" s="86"/>
      <c r="K49" s="58"/>
      <c r="L49" s="85">
        <f>+K49*G49</f>
        <v>0</v>
      </c>
      <c r="M49" s="15"/>
      <c r="N49" s="15"/>
      <c r="O49" s="15"/>
      <c r="P49" s="15"/>
    </row>
    <row r="50" spans="1:16" ht="15" customHeight="1" outlineLevel="1" x14ac:dyDescent="0.25">
      <c r="A50" s="15"/>
      <c r="F50" s="87">
        <f>+F45+F46</f>
        <v>0</v>
      </c>
      <c r="G50" s="88">
        <f>SUM(G45:G49)</f>
        <v>723371236.15083373</v>
      </c>
      <c r="H50" s="77"/>
      <c r="I50" s="77"/>
      <c r="J50" s="89"/>
      <c r="K50" s="90"/>
      <c r="L50" s="91">
        <f>SUM(L45:L49)</f>
        <v>22142758.443867989</v>
      </c>
      <c r="M50" s="15"/>
      <c r="N50" s="15"/>
      <c r="O50" s="15"/>
      <c r="P50" s="15"/>
    </row>
    <row r="51" spans="1:16" ht="15" customHeight="1" outlineLevel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5.75" customHeight="1" outlineLevel="1" x14ac:dyDescent="0.25">
      <c r="B52" s="46" t="s">
        <v>42</v>
      </c>
      <c r="E52" s="47"/>
      <c r="F52" s="48"/>
      <c r="G52" s="173" t="str">
        <f>2027&amp; " Test Year"</f>
        <v>2027 Test Year</v>
      </c>
      <c r="H52" s="173"/>
      <c r="I52" s="173"/>
      <c r="J52" s="173"/>
      <c r="K52" s="173"/>
      <c r="L52" s="173"/>
    </row>
    <row r="53" spans="1:16" ht="15" customHeight="1" outlineLevel="1" x14ac:dyDescent="0.25">
      <c r="A53" s="92"/>
      <c r="B53" s="49" t="s">
        <v>25</v>
      </c>
      <c r="C53" s="50"/>
      <c r="D53" s="50" t="s">
        <v>26</v>
      </c>
      <c r="E53" s="51" t="s">
        <v>27</v>
      </c>
      <c r="F53" s="52"/>
      <c r="G53" s="52"/>
      <c r="H53" s="52"/>
      <c r="I53" s="52"/>
      <c r="J53" s="52"/>
      <c r="K53" s="52"/>
      <c r="L53" s="57" t="s">
        <v>36</v>
      </c>
      <c r="M53" s="92"/>
      <c r="N53" s="92"/>
      <c r="O53" s="92"/>
      <c r="P53" s="92"/>
    </row>
    <row r="54" spans="1:16" ht="30.75" customHeight="1" outlineLevel="1" x14ac:dyDescent="0.25">
      <c r="B54" s="53" t="s">
        <v>28</v>
      </c>
      <c r="C54" s="54" t="s">
        <v>29</v>
      </c>
      <c r="D54" s="54" t="s">
        <v>30</v>
      </c>
      <c r="E54" s="54" t="s">
        <v>30</v>
      </c>
      <c r="F54" s="93"/>
      <c r="G54" s="93"/>
      <c r="H54" s="56" t="s">
        <v>43</v>
      </c>
      <c r="I54" s="94"/>
      <c r="J54" s="94"/>
      <c r="K54" s="93" t="s">
        <v>44</v>
      </c>
    </row>
    <row r="55" spans="1:16" ht="15" customHeight="1" outlineLevel="1" x14ac:dyDescent="0.25">
      <c r="B55" s="95" t="str">
        <f>IF(B29=0,"",B29)</f>
        <v>Residential</v>
      </c>
      <c r="C55" s="59" t="s">
        <v>37</v>
      </c>
      <c r="D55" s="59">
        <v>4006</v>
      </c>
      <c r="E55" s="59">
        <v>4707</v>
      </c>
      <c r="F55" s="96"/>
      <c r="G55" s="96"/>
      <c r="H55" s="97">
        <f>+H29</f>
        <v>19088638.643028274</v>
      </c>
      <c r="I55" s="96"/>
      <c r="J55" s="96"/>
      <c r="K55" s="98">
        <f>+$G$18/1000</f>
        <v>6.1604300000000001E-2</v>
      </c>
      <c r="L55" s="64">
        <f t="shared" ref="L55:L65" si="5">+K55*H55</f>
        <v>1175942.2215567068</v>
      </c>
    </row>
    <row r="56" spans="1:16" ht="15" customHeight="1" outlineLevel="1" x14ac:dyDescent="0.25">
      <c r="B56" s="95" t="str">
        <f t="shared" ref="B56:B65" si="6">IF(B30=0,"",B30)</f>
        <v>Residential Seasonal</v>
      </c>
      <c r="C56" s="59" t="s">
        <v>37</v>
      </c>
      <c r="D56" s="59">
        <v>4010</v>
      </c>
      <c r="E56" s="59">
        <v>4707</v>
      </c>
      <c r="F56" s="96"/>
      <c r="G56" s="96"/>
      <c r="H56" s="97">
        <f t="shared" ref="H56:H63" si="7">+H30</f>
        <v>167600.46760620063</v>
      </c>
      <c r="I56" s="96"/>
      <c r="J56" s="96"/>
      <c r="K56" s="98">
        <f>+$G$18/1000</f>
        <v>6.1604300000000001E-2</v>
      </c>
      <c r="L56" s="64">
        <f t="shared" si="5"/>
        <v>10324.909486552666</v>
      </c>
    </row>
    <row r="57" spans="1:16" ht="15" customHeight="1" outlineLevel="1" x14ac:dyDescent="0.25">
      <c r="B57" s="95" t="str">
        <f t="shared" si="6"/>
        <v>GS&lt;50</v>
      </c>
      <c r="C57" s="59" t="s">
        <v>37</v>
      </c>
      <c r="D57" s="59">
        <v>4035</v>
      </c>
      <c r="E57" s="59">
        <v>4707</v>
      </c>
      <c r="F57" s="96"/>
      <c r="G57" s="96"/>
      <c r="H57" s="97">
        <f>+H31</f>
        <v>49836360.080431797</v>
      </c>
      <c r="I57" s="96"/>
      <c r="J57" s="96"/>
      <c r="K57" s="98">
        <f>+$G$18/1000</f>
        <v>6.1604300000000001E-2</v>
      </c>
      <c r="L57" s="64">
        <f>+K57*H57</f>
        <v>3070134.0773029444</v>
      </c>
    </row>
    <row r="58" spans="1:16" ht="15" customHeight="1" outlineLevel="1" x14ac:dyDescent="0.25">
      <c r="B58" s="95" t="str">
        <f>IF(B32=0,"",B32)</f>
        <v>GS 50 - 2,999</v>
      </c>
      <c r="C58" s="59" t="s">
        <v>37</v>
      </c>
      <c r="D58" s="59">
        <v>4010</v>
      </c>
      <c r="E58" s="59">
        <v>4707</v>
      </c>
      <c r="F58" s="96"/>
      <c r="G58" s="96"/>
      <c r="H58" s="97">
        <f t="shared" si="7"/>
        <v>810786370.96007514</v>
      </c>
      <c r="I58" s="96"/>
      <c r="J58" s="96"/>
      <c r="K58" s="98">
        <f t="shared" ref="K58:K65" si="8">+$G$18/1000</f>
        <v>6.1604300000000001E-2</v>
      </c>
      <c r="L58" s="64">
        <f t="shared" si="5"/>
        <v>49947926.832535759</v>
      </c>
    </row>
    <row r="59" spans="1:16" ht="15" customHeight="1" outlineLevel="1" x14ac:dyDescent="0.25">
      <c r="B59" s="95" t="str">
        <f>IF(B33=0,"",B33)</f>
        <v>GS 3,000 - 4,999</v>
      </c>
      <c r="C59" s="59" t="s">
        <v>37</v>
      </c>
      <c r="D59" s="59">
        <v>4025</v>
      </c>
      <c r="E59" s="59">
        <v>4707</v>
      </c>
      <c r="F59" s="96"/>
      <c r="G59" s="96"/>
      <c r="H59" s="97">
        <f>+H33</f>
        <v>47031024.073718026</v>
      </c>
      <c r="I59" s="96"/>
      <c r="J59" s="96"/>
      <c r="K59" s="98">
        <f>+$G$18/1000</f>
        <v>6.1604300000000001E-2</v>
      </c>
      <c r="L59" s="64">
        <f t="shared" si="5"/>
        <v>2897313.3163445476</v>
      </c>
    </row>
    <row r="60" spans="1:16" ht="15" customHeight="1" outlineLevel="1" x14ac:dyDescent="0.25">
      <c r="B60" s="95" t="str">
        <f t="shared" si="6"/>
        <v>Large Use</v>
      </c>
      <c r="C60" s="59" t="s">
        <v>37</v>
      </c>
      <c r="D60" s="59">
        <v>4025</v>
      </c>
      <c r="E60" s="59">
        <v>4707</v>
      </c>
      <c r="F60" s="96"/>
      <c r="G60" s="96"/>
      <c r="H60" s="97">
        <f t="shared" si="7"/>
        <v>51715119.452752814</v>
      </c>
      <c r="I60" s="96"/>
      <c r="J60" s="96"/>
      <c r="K60" s="98">
        <f t="shared" si="8"/>
        <v>6.1604300000000001E-2</v>
      </c>
      <c r="L60" s="64">
        <f t="shared" si="5"/>
        <v>3185873.73330322</v>
      </c>
    </row>
    <row r="61" spans="1:16" ht="15" customHeight="1" outlineLevel="1" x14ac:dyDescent="0.25">
      <c r="B61" s="95" t="str">
        <f t="shared" si="6"/>
        <v>Street Light</v>
      </c>
      <c r="C61" s="59" t="s">
        <v>37</v>
      </c>
      <c r="D61" s="59">
        <v>4025</v>
      </c>
      <c r="E61" s="59">
        <v>4707</v>
      </c>
      <c r="F61" s="96"/>
      <c r="G61" s="96"/>
      <c r="H61" s="97">
        <f t="shared" si="7"/>
        <v>16273488.111354187</v>
      </c>
      <c r="I61" s="96"/>
      <c r="J61" s="96"/>
      <c r="K61" s="98">
        <f t="shared" si="8"/>
        <v>6.1604300000000001E-2</v>
      </c>
      <c r="L61" s="64">
        <f t="shared" si="5"/>
        <v>1002516.8436582967</v>
      </c>
    </row>
    <row r="62" spans="1:16" ht="15" customHeight="1" outlineLevel="1" x14ac:dyDescent="0.25">
      <c r="B62" s="95" t="str">
        <f>IF(B36=0,"",B36)</f>
        <v>Sentinel Light</v>
      </c>
      <c r="C62" s="59" t="s">
        <v>37</v>
      </c>
      <c r="D62" s="59">
        <v>4025</v>
      </c>
      <c r="E62" s="59">
        <v>4707</v>
      </c>
      <c r="F62" s="96"/>
      <c r="G62" s="96"/>
      <c r="H62" s="97">
        <f>+H36</f>
        <v>0</v>
      </c>
      <c r="I62" s="96"/>
      <c r="J62" s="96"/>
      <c r="K62" s="98">
        <f t="shared" si="8"/>
        <v>6.1604300000000001E-2</v>
      </c>
      <c r="L62" s="64">
        <f t="shared" si="5"/>
        <v>0</v>
      </c>
    </row>
    <row r="63" spans="1:16" ht="15" customHeight="1" outlineLevel="1" x14ac:dyDescent="0.25">
      <c r="B63" s="95" t="str">
        <f t="shared" si="6"/>
        <v>USL</v>
      </c>
      <c r="C63" s="59" t="s">
        <v>37</v>
      </c>
      <c r="D63" s="59">
        <v>4025</v>
      </c>
      <c r="E63" s="59">
        <v>4707</v>
      </c>
      <c r="F63" s="96"/>
      <c r="G63" s="96"/>
      <c r="H63" s="97">
        <f t="shared" si="7"/>
        <v>4280.034540994121</v>
      </c>
      <c r="I63" s="96"/>
      <c r="J63" s="96"/>
      <c r="K63" s="98">
        <f t="shared" si="8"/>
        <v>6.1604300000000001E-2</v>
      </c>
      <c r="L63" s="64">
        <f t="shared" si="5"/>
        <v>263.66853187376415</v>
      </c>
    </row>
    <row r="64" spans="1:16" ht="15" customHeight="1" outlineLevel="1" x14ac:dyDescent="0.25">
      <c r="B64" s="95" t="str">
        <f t="shared" si="6"/>
        <v/>
      </c>
      <c r="C64" s="59" t="s">
        <v>37</v>
      </c>
      <c r="D64" s="59">
        <v>4025</v>
      </c>
      <c r="E64" s="59">
        <v>4707</v>
      </c>
      <c r="F64" s="96"/>
      <c r="G64" s="96"/>
      <c r="H64" s="97">
        <f>+H38</f>
        <v>0</v>
      </c>
      <c r="I64" s="96"/>
      <c r="J64" s="96"/>
      <c r="K64" s="98">
        <f t="shared" si="8"/>
        <v>6.1604300000000001E-2</v>
      </c>
      <c r="L64" s="64">
        <f>+K64*H64</f>
        <v>0</v>
      </c>
    </row>
    <row r="65" spans="1:16" ht="15" customHeight="1" outlineLevel="1" x14ac:dyDescent="0.25">
      <c r="B65" s="95" t="str">
        <f t="shared" si="6"/>
        <v/>
      </c>
      <c r="C65" s="59" t="s">
        <v>37</v>
      </c>
      <c r="D65" s="59">
        <v>4025</v>
      </c>
      <c r="E65" s="59">
        <v>4707</v>
      </c>
      <c r="F65" s="96"/>
      <c r="G65" s="96"/>
      <c r="H65" s="97">
        <f>+H39</f>
        <v>0</v>
      </c>
      <c r="I65" s="96"/>
      <c r="J65" s="96"/>
      <c r="K65" s="98">
        <f t="shared" si="8"/>
        <v>6.1604300000000001E-2</v>
      </c>
      <c r="L65" s="64">
        <f t="shared" si="5"/>
        <v>0</v>
      </c>
    </row>
    <row r="66" spans="1:16" ht="15" customHeight="1" outlineLevel="1" x14ac:dyDescent="0.25">
      <c r="B66" s="95" t="s">
        <v>45</v>
      </c>
      <c r="C66" s="54"/>
      <c r="D66" s="54"/>
      <c r="E66" s="55"/>
      <c r="F66" s="99"/>
      <c r="G66" s="99"/>
      <c r="H66" s="100">
        <f>SUM(H55:H65)</f>
        <v>994902881.82350755</v>
      </c>
      <c r="I66" s="99"/>
      <c r="J66" s="99"/>
      <c r="K66" s="101"/>
      <c r="L66" s="72"/>
      <c r="P66" s="102"/>
    </row>
    <row r="67" spans="1:16" ht="15" customHeight="1" outlineLevel="1" x14ac:dyDescent="0.25">
      <c r="B67" s="49" t="s">
        <v>38</v>
      </c>
      <c r="C67" s="103"/>
      <c r="D67" s="50"/>
      <c r="E67" s="51"/>
      <c r="F67" s="104"/>
      <c r="G67" s="104"/>
      <c r="H67" s="104"/>
      <c r="I67" s="104"/>
      <c r="J67" s="104"/>
      <c r="K67" s="69"/>
      <c r="L67" s="105">
        <f>SUM(L55:L65)</f>
        <v>61290295.602719896</v>
      </c>
    </row>
    <row r="68" spans="1:16" ht="15" customHeight="1" outlineLevel="1" x14ac:dyDescent="0.25">
      <c r="B68" s="92"/>
      <c r="C68" s="106"/>
      <c r="D68" s="107"/>
      <c r="E68" s="107"/>
      <c r="F68" s="108"/>
      <c r="G68" s="108"/>
      <c r="H68" s="108"/>
      <c r="I68" s="108"/>
      <c r="J68" s="108"/>
      <c r="K68" s="108"/>
      <c r="L68" s="8"/>
    </row>
    <row r="69" spans="1:16" ht="15" customHeight="1" outlineLevel="1" x14ac:dyDescent="0.25">
      <c r="L69" s="109"/>
    </row>
    <row r="70" spans="1:16" ht="21" x14ac:dyDescent="0.55000000000000004">
      <c r="A70" s="1" t="s">
        <v>46</v>
      </c>
      <c r="F70" s="110"/>
      <c r="G70" s="110"/>
      <c r="H70" s="110"/>
      <c r="I70" s="110"/>
      <c r="J70" s="110"/>
      <c r="K70" s="110"/>
    </row>
    <row r="71" spans="1:16" x14ac:dyDescent="0.25">
      <c r="A71" s="1" t="s">
        <v>47</v>
      </c>
      <c r="G71" s="111"/>
      <c r="H71" s="111"/>
      <c r="I71" s="111"/>
      <c r="J71" s="111"/>
      <c r="K71" s="111"/>
    </row>
    <row r="72" spans="1:16" x14ac:dyDescent="0.25">
      <c r="A72" s="1" t="s">
        <v>48</v>
      </c>
    </row>
  </sheetData>
  <mergeCells count="8">
    <mergeCell ref="G43:L43"/>
    <mergeCell ref="G52:L52"/>
    <mergeCell ref="B4:I6"/>
    <mergeCell ref="C17:E17"/>
    <mergeCell ref="C18:E18"/>
    <mergeCell ref="C19:E19"/>
    <mergeCell ref="C20:E20"/>
    <mergeCell ref="G26:L26"/>
  </mergeCells>
  <conditionalFormatting sqref="B1">
    <cfRule type="expression" dxfId="4" priority="1" stopIfTrue="1">
      <formula>LEFT($C1,6)="Macros"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DEC80-85C0-4701-A4C7-6D94402CF7E7}">
  <sheetPr codeName="Sheet3"/>
  <dimension ref="A1:L184"/>
  <sheetViews>
    <sheetView zoomScale="130" zoomScaleNormal="130" workbookViewId="0">
      <selection activeCell="K8" sqref="K8"/>
    </sheetView>
  </sheetViews>
  <sheetFormatPr defaultColWidth="9.28515625" defaultRowHeight="15" x14ac:dyDescent="0.25"/>
  <cols>
    <col min="1" max="1" width="37" style="1" customWidth="1"/>
    <col min="2" max="2" width="8" style="1" bestFit="1" customWidth="1"/>
    <col min="3" max="3" width="1.5703125" style="1" customWidth="1"/>
    <col min="4" max="4" width="23.28515625" style="1" bestFit="1" customWidth="1"/>
    <col min="5" max="5" width="15.28515625" style="1" bestFit="1" customWidth="1"/>
    <col min="6" max="6" width="15.28515625" style="1" customWidth="1"/>
    <col min="7" max="7" width="2.28515625" style="1" customWidth="1"/>
    <col min="8" max="8" width="19.28515625" style="1" customWidth="1"/>
    <col min="9" max="9" width="16.5703125" style="1" customWidth="1"/>
    <col min="10" max="10" width="14.42578125" style="1" customWidth="1"/>
    <col min="11" max="11" width="16.28515625" style="1" bestFit="1" customWidth="1"/>
    <col min="12" max="12" width="12" style="1" bestFit="1" customWidth="1"/>
    <col min="13" max="16384" width="9.28515625" style="1"/>
  </cols>
  <sheetData>
    <row r="1" spans="1:11" ht="21" x14ac:dyDescent="0.35">
      <c r="A1" s="181" t="s">
        <v>49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1" x14ac:dyDescent="0.25">
      <c r="A2" s="112"/>
      <c r="B2" s="112"/>
      <c r="C2" s="112"/>
      <c r="D2" s="112"/>
      <c r="E2" s="112"/>
      <c r="F2" s="112"/>
      <c r="G2" s="112"/>
      <c r="H2" s="112"/>
      <c r="I2" s="112"/>
      <c r="J2" s="4" t="s">
        <v>1</v>
      </c>
      <c r="K2" s="5" t="s">
        <v>96</v>
      </c>
    </row>
    <row r="3" spans="1:11" x14ac:dyDescent="0.25">
      <c r="A3" s="112"/>
      <c r="B3" s="112"/>
      <c r="C3" s="112"/>
      <c r="D3" s="112"/>
      <c r="E3" s="112"/>
      <c r="F3" s="112"/>
      <c r="G3" s="112"/>
      <c r="H3" s="112"/>
      <c r="I3" s="112"/>
      <c r="J3" s="4" t="s">
        <v>2</v>
      </c>
      <c r="K3" s="7" t="s">
        <v>98</v>
      </c>
    </row>
    <row r="4" spans="1:1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4" t="s">
        <v>4</v>
      </c>
      <c r="K4" s="7">
        <v>3</v>
      </c>
    </row>
    <row r="5" spans="1:1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4" t="s">
        <v>5</v>
      </c>
      <c r="K5" s="7">
        <v>1</v>
      </c>
    </row>
    <row r="6" spans="1:11" x14ac:dyDescent="0.25">
      <c r="A6" s="112"/>
      <c r="B6" s="112"/>
      <c r="C6" s="112"/>
      <c r="D6" s="112"/>
      <c r="E6" s="112"/>
      <c r="F6" s="112"/>
      <c r="G6" s="112"/>
      <c r="H6" s="112"/>
      <c r="I6" s="112"/>
      <c r="J6" s="4" t="s">
        <v>6</v>
      </c>
      <c r="K6" s="5"/>
    </row>
    <row r="7" spans="1:11" x14ac:dyDescent="0.25">
      <c r="A7" s="1" t="s">
        <v>50</v>
      </c>
      <c r="J7" s="4"/>
      <c r="K7" s="9" t="s">
        <v>97</v>
      </c>
    </row>
    <row r="8" spans="1:11" x14ac:dyDescent="0.25">
      <c r="A8" s="1" t="s">
        <v>51</v>
      </c>
      <c r="J8" s="4" t="s">
        <v>7</v>
      </c>
      <c r="K8" s="199">
        <v>46283</v>
      </c>
    </row>
    <row r="9" spans="1:11" x14ac:dyDescent="0.25">
      <c r="A9" s="1" t="s">
        <v>52</v>
      </c>
      <c r="E9" s="182"/>
      <c r="F9" s="182"/>
      <c r="G9" s="8"/>
      <c r="H9" s="8"/>
      <c r="I9" s="182"/>
      <c r="J9" s="182"/>
    </row>
    <row r="10" spans="1:11" x14ac:dyDescent="0.25">
      <c r="B10" s="113"/>
      <c r="C10" s="114"/>
      <c r="D10" s="115" t="str">
        <f>2027&amp; " Test Year"</f>
        <v>2027 Test Year</v>
      </c>
      <c r="E10" s="183" t="s">
        <v>14</v>
      </c>
      <c r="F10" s="183"/>
      <c r="G10" s="116"/>
      <c r="H10" s="115" t="str">
        <f>D10</f>
        <v>2027 Test Year</v>
      </c>
      <c r="I10" s="183" t="s">
        <v>13</v>
      </c>
      <c r="J10" s="183"/>
      <c r="K10" s="117" t="s">
        <v>53</v>
      </c>
    </row>
    <row r="11" spans="1:11" x14ac:dyDescent="0.25">
      <c r="A11" s="118" t="s">
        <v>54</v>
      </c>
      <c r="B11" s="187" t="s">
        <v>55</v>
      </c>
      <c r="C11" s="119"/>
      <c r="D11" s="120" t="s">
        <v>56</v>
      </c>
      <c r="E11" s="120" t="s">
        <v>57</v>
      </c>
      <c r="F11" s="57" t="s">
        <v>58</v>
      </c>
      <c r="G11" s="8"/>
      <c r="H11" s="120" t="s">
        <v>56</v>
      </c>
      <c r="I11" s="120" t="s">
        <v>57</v>
      </c>
      <c r="J11" s="57" t="s">
        <v>58</v>
      </c>
      <c r="K11" s="121" t="s">
        <v>59</v>
      </c>
    </row>
    <row r="12" spans="1:11" x14ac:dyDescent="0.25">
      <c r="A12" s="122" t="s">
        <v>60</v>
      </c>
      <c r="B12" s="188"/>
      <c r="C12" s="123"/>
      <c r="D12" s="124"/>
      <c r="E12" s="125"/>
      <c r="F12" s="126"/>
      <c r="H12" s="124"/>
      <c r="I12" s="125"/>
      <c r="J12" s="126"/>
      <c r="K12" s="184"/>
    </row>
    <row r="13" spans="1:11" x14ac:dyDescent="0.25">
      <c r="A13" s="127" t="s">
        <v>85</v>
      </c>
      <c r="B13" s="128"/>
      <c r="C13" s="123"/>
      <c r="D13" s="124">
        <f>'App.2-ZA_Com. Exp. (2027)'!I29</f>
        <v>1539171416.2571933</v>
      </c>
      <c r="E13" s="171"/>
      <c r="F13" s="129">
        <f>D13*'App.2-ZA_Com. Exp. (2027)'!K29</f>
        <v>195396426.03957608</v>
      </c>
      <c r="H13" s="124">
        <f>'App.2-ZA_Com. Exp. (2027)'!H29</f>
        <v>19088638.643028274</v>
      </c>
      <c r="I13" s="130"/>
      <c r="J13" s="126">
        <f>H13*'App.2-ZA_Com. Exp. (2027)'!J29</f>
        <v>1045194.5911712846</v>
      </c>
      <c r="K13" s="184"/>
    </row>
    <row r="14" spans="1:11" x14ac:dyDescent="0.25">
      <c r="A14" s="127" t="s">
        <v>86</v>
      </c>
      <c r="B14" s="128"/>
      <c r="C14" s="123"/>
      <c r="D14" s="124">
        <f>'App.2-ZA_Com. Exp. (2027)'!I30</f>
        <v>13514104.065510208</v>
      </c>
      <c r="E14" s="171"/>
      <c r="F14" s="129">
        <f>D14*'App.2-ZA_Com. Exp. (2027)'!K30</f>
        <v>1715603.3484228621</v>
      </c>
      <c r="H14" s="124">
        <f>'App.2-ZA_Com. Exp. (2027)'!H30</f>
        <v>167600.46760620063</v>
      </c>
      <c r="I14" s="130"/>
      <c r="J14" s="126">
        <f>H14*'App.2-ZA_Com. Exp. (2027)'!J30</f>
        <v>9176.9300836839939</v>
      </c>
      <c r="K14" s="184"/>
    </row>
    <row r="15" spans="1:11" x14ac:dyDescent="0.25">
      <c r="A15" s="127" t="s">
        <v>87</v>
      </c>
      <c r="B15" s="128"/>
      <c r="C15" s="123"/>
      <c r="D15" s="124">
        <f>'App.2-ZA_Com. Exp. (2027)'!I31</f>
        <v>319616638.86927801</v>
      </c>
      <c r="E15" s="171"/>
      <c r="F15" s="129">
        <f>D15*'App.2-ZA_Com. Exp. (2027)'!K31</f>
        <v>40575044.649479866</v>
      </c>
      <c r="H15" s="124">
        <f>'App.2-ZA_Com. Exp. (2027)'!H31</f>
        <v>49836360.080431797</v>
      </c>
      <c r="I15" s="130"/>
      <c r="J15" s="126">
        <f>H15*'App.2-ZA_Com. Exp. (2027)'!J31</f>
        <v>2728779.928932027</v>
      </c>
      <c r="K15" s="184"/>
    </row>
    <row r="16" spans="1:11" x14ac:dyDescent="0.25">
      <c r="A16" s="127" t="s">
        <v>88</v>
      </c>
      <c r="B16" s="128"/>
      <c r="C16" s="123"/>
      <c r="D16" s="124">
        <f>'App.2-ZA_Com. Exp. (2027)'!I32</f>
        <v>472815991.90154064</v>
      </c>
      <c r="E16" s="171"/>
      <c r="F16" s="129">
        <f>D16*'App.2-ZA_Com. Exp. (2027)'!K32</f>
        <v>60023564.637507878</v>
      </c>
      <c r="H16" s="124">
        <f>'App.2-ZA_Com. Exp. (2027)'!H32</f>
        <v>810786370.96007514</v>
      </c>
      <c r="I16" s="130"/>
      <c r="J16" s="126">
        <f>H16*'App.2-ZA_Com. Exp. (2027)'!J32</f>
        <v>44394445.58464472</v>
      </c>
      <c r="K16" s="184"/>
    </row>
    <row r="17" spans="1:11" x14ac:dyDescent="0.25">
      <c r="A17" s="127" t="s">
        <v>89</v>
      </c>
      <c r="B17" s="128"/>
      <c r="C17" s="123"/>
      <c r="D17" s="124">
        <f>'App.2-ZA_Com. Exp. (2027)'!I33</f>
        <v>7732626.9183598598</v>
      </c>
      <c r="E17" s="171"/>
      <c r="F17" s="129">
        <f>D17*'App.2-ZA_Com. Exp. (2027)'!K33</f>
        <v>981650.02792155778</v>
      </c>
      <c r="H17" s="124">
        <f>'App.2-ZA_Com. Exp. (2027)'!H33</f>
        <v>47031024.073718026</v>
      </c>
      <c r="I17" s="130"/>
      <c r="J17" s="126">
        <f>H17*'App.2-ZA_Com. Exp. (2027)'!J33</f>
        <v>2575174.3169516157</v>
      </c>
      <c r="K17" s="184"/>
    </row>
    <row r="18" spans="1:11" x14ac:dyDescent="0.25">
      <c r="A18" s="127" t="s">
        <v>90</v>
      </c>
      <c r="B18" s="128"/>
      <c r="C18" s="123"/>
      <c r="D18" s="124">
        <f>'App.2-ZA_Com. Exp. (2027)'!I34</f>
        <v>0</v>
      </c>
      <c r="E18" s="171"/>
      <c r="F18" s="129">
        <f>D18*'App.2-ZA_Com. Exp. (2027)'!K34</f>
        <v>0</v>
      </c>
      <c r="H18" s="124">
        <f>'App.2-ZA_Com. Exp. (2027)'!H34</f>
        <v>51715119.452752814</v>
      </c>
      <c r="I18" s="130"/>
      <c r="J18" s="126">
        <f>H18*'App.2-ZA_Com. Exp. (2027)'!J34</f>
        <v>2831651.0226115896</v>
      </c>
      <c r="K18" s="184"/>
    </row>
    <row r="19" spans="1:11" x14ac:dyDescent="0.25">
      <c r="A19" s="127" t="s">
        <v>91</v>
      </c>
      <c r="B19" s="128"/>
      <c r="C19" s="123"/>
      <c r="D19" s="124">
        <f>'App.2-ZA_Com. Exp. (2027)'!I35</f>
        <v>0</v>
      </c>
      <c r="E19" s="171"/>
      <c r="F19" s="129">
        <f>D19*'App.2-ZA_Com. Exp. (2027)'!K35</f>
        <v>0</v>
      </c>
      <c r="H19" s="124">
        <f>'App.2-ZA_Com. Exp. (2027)'!H35</f>
        <v>16273488.111354187</v>
      </c>
      <c r="I19" s="130"/>
      <c r="J19" s="126">
        <f>H19*'App.2-ZA_Com. Exp. (2027)'!J35</f>
        <v>891051.58683957625</v>
      </c>
      <c r="K19" s="184"/>
    </row>
    <row r="20" spans="1:11" x14ac:dyDescent="0.25">
      <c r="A20" s="127" t="s">
        <v>92</v>
      </c>
      <c r="B20" s="128"/>
      <c r="C20" s="123"/>
      <c r="D20" s="124">
        <f>'App.2-ZA_Com. Exp. (2027)'!I36</f>
        <v>91087.249324986842</v>
      </c>
      <c r="E20" s="171"/>
      <c r="F20" s="129">
        <f>D20*'App.2-ZA_Com. Exp. (2027)'!K36</f>
        <v>11563.444323282689</v>
      </c>
      <c r="H20" s="124">
        <f>'App.2-ZA_Com. Exp. (2027)'!H36</f>
        <v>0</v>
      </c>
      <c r="I20" s="130"/>
      <c r="J20" s="126">
        <f>H20*'App.2-ZA_Com. Exp. (2027)'!J36</f>
        <v>0</v>
      </c>
      <c r="K20" s="184"/>
    </row>
    <row r="21" spans="1:11" x14ac:dyDescent="0.25">
      <c r="A21" s="127" t="s">
        <v>93</v>
      </c>
      <c r="B21" s="128"/>
      <c r="C21" s="123"/>
      <c r="D21" s="124">
        <f>'App.2-ZA_Com. Exp. (2027)'!I37</f>
        <v>6744404.510519959</v>
      </c>
      <c r="E21" s="171"/>
      <c r="F21" s="129">
        <f>D21*'App.2-ZA_Com. Exp. (2027)'!K37</f>
        <v>856196.08264644945</v>
      </c>
      <c r="H21" s="124">
        <f>'App.2-ZA_Com. Exp. (2027)'!H37</f>
        <v>4280.034540994121</v>
      </c>
      <c r="I21" s="130"/>
      <c r="J21" s="126">
        <f>H21*'App.2-ZA_Com. Exp. (2027)'!J37</f>
        <v>234.35243528522489</v>
      </c>
      <c r="K21" s="184"/>
    </row>
    <row r="22" spans="1:11" x14ac:dyDescent="0.25">
      <c r="A22" s="127" t="s">
        <v>94</v>
      </c>
      <c r="B22" s="128"/>
      <c r="C22" s="131"/>
      <c r="D22" s="124">
        <v>0</v>
      </c>
      <c r="E22" s="171"/>
      <c r="F22" s="129">
        <v>0</v>
      </c>
      <c r="H22" s="124">
        <f>'App.2-ZA_Com. Exp. (2027)'!H38</f>
        <v>0</v>
      </c>
      <c r="I22" s="130"/>
      <c r="J22" s="126">
        <v>0</v>
      </c>
      <c r="K22" s="184"/>
    </row>
    <row r="23" spans="1:11" x14ac:dyDescent="0.25">
      <c r="A23" s="127" t="s">
        <v>94</v>
      </c>
      <c r="B23" s="132"/>
      <c r="C23" s="123"/>
      <c r="D23" s="124">
        <v>0</v>
      </c>
      <c r="E23" s="171"/>
      <c r="F23" s="129">
        <v>0</v>
      </c>
      <c r="H23" s="124">
        <f>'App.2-ZA_Com. Exp. (2027)'!H39</f>
        <v>0</v>
      </c>
      <c r="I23" s="130"/>
      <c r="J23" s="126">
        <v>0</v>
      </c>
      <c r="K23" s="184"/>
    </row>
    <row r="24" spans="1:11" x14ac:dyDescent="0.25">
      <c r="A24" s="122" t="s">
        <v>61</v>
      </c>
      <c r="B24" s="127"/>
      <c r="C24" s="123"/>
      <c r="D24" s="124"/>
      <c r="E24" s="133"/>
      <c r="F24" s="129">
        <f>SUM(F13:F23)</f>
        <v>299560048.22987795</v>
      </c>
      <c r="G24" s="127"/>
      <c r="H24" s="124"/>
      <c r="I24" s="134"/>
      <c r="J24" s="135">
        <f>SUM(J13:J23)</f>
        <v>54475708.313669786</v>
      </c>
      <c r="K24" s="136">
        <f>F24+J24</f>
        <v>354035756.54354775</v>
      </c>
    </row>
    <row r="25" spans="1:11" ht="7.5" customHeight="1" x14ac:dyDescent="0.25">
      <c r="D25" s="137"/>
      <c r="I25" s="185"/>
      <c r="J25" s="186"/>
    </row>
    <row r="26" spans="1:11" x14ac:dyDescent="0.25">
      <c r="A26" s="118" t="s">
        <v>62</v>
      </c>
      <c r="B26" s="187" t="s">
        <v>55</v>
      </c>
      <c r="C26" s="119"/>
      <c r="D26" s="189" t="s">
        <v>56</v>
      </c>
      <c r="E26" s="190" t="s">
        <v>57</v>
      </c>
      <c r="F26" s="191" t="s">
        <v>58</v>
      </c>
      <c r="G26" s="8"/>
      <c r="H26" s="193" t="s">
        <v>56</v>
      </c>
      <c r="I26" s="190" t="s">
        <v>57</v>
      </c>
      <c r="J26" s="191" t="s">
        <v>58</v>
      </c>
      <c r="K26" s="189" t="s">
        <v>53</v>
      </c>
    </row>
    <row r="27" spans="1:11" x14ac:dyDescent="0.25">
      <c r="A27" s="122" t="s">
        <v>63</v>
      </c>
      <c r="B27" s="188"/>
      <c r="C27" s="119"/>
      <c r="D27" s="185"/>
      <c r="E27" s="186"/>
      <c r="F27" s="192"/>
      <c r="G27" s="8"/>
      <c r="H27" s="194"/>
      <c r="I27" s="186"/>
      <c r="J27" s="192"/>
      <c r="K27" s="195"/>
    </row>
    <row r="28" spans="1:11" x14ac:dyDescent="0.25">
      <c r="A28" s="127" t="str">
        <f>IF(A13="","",A13 &amp; " - Class B")</f>
        <v>Residential - Class B</v>
      </c>
      <c r="B28" s="128"/>
      <c r="C28" s="123"/>
      <c r="D28" s="77"/>
      <c r="E28" s="77"/>
      <c r="F28" s="141">
        <f>D28*E28</f>
        <v>0</v>
      </c>
      <c r="H28" s="142"/>
      <c r="I28" s="77"/>
      <c r="J28" s="126">
        <f>'App.2-ZA_Com. Exp. (2027)'!L55</f>
        <v>1175942.2215567068</v>
      </c>
      <c r="K28" s="184"/>
    </row>
    <row r="29" spans="1:11" x14ac:dyDescent="0.25">
      <c r="A29" s="127" t="str">
        <f t="shared" ref="A29:A38" si="0">IF(A14="","",A14 &amp; " - Class B")</f>
        <v>Residential Seasonal - Class B</v>
      </c>
      <c r="B29" s="128"/>
      <c r="C29" s="123"/>
      <c r="D29" s="77"/>
      <c r="E29" s="77"/>
      <c r="F29" s="141">
        <f t="shared" ref="F29:F38" si="1">D29*E29</f>
        <v>0</v>
      </c>
      <c r="H29" s="142"/>
      <c r="I29" s="77"/>
      <c r="J29" s="126">
        <f>'App.2-ZA_Com. Exp. (2027)'!L56</f>
        <v>10324.909486552666</v>
      </c>
      <c r="K29" s="184"/>
    </row>
    <row r="30" spans="1:11" x14ac:dyDescent="0.25">
      <c r="A30" s="127" t="str">
        <f t="shared" si="0"/>
        <v>GS&lt;50 - Class B</v>
      </c>
      <c r="B30" s="128"/>
      <c r="C30" s="123"/>
      <c r="D30" s="77"/>
      <c r="E30" s="77"/>
      <c r="F30" s="141">
        <f t="shared" si="1"/>
        <v>0</v>
      </c>
      <c r="H30" s="142"/>
      <c r="I30" s="77"/>
      <c r="J30" s="126">
        <f>'App.2-ZA_Com. Exp. (2027)'!L57</f>
        <v>3070134.0773029444</v>
      </c>
      <c r="K30" s="184"/>
    </row>
    <row r="31" spans="1:11" x14ac:dyDescent="0.25">
      <c r="A31" s="127" t="str">
        <f t="shared" si="0"/>
        <v>GS 50 - 2,999 - Class B</v>
      </c>
      <c r="B31" s="128"/>
      <c r="C31" s="123"/>
      <c r="D31" s="77"/>
      <c r="E31" s="77"/>
      <c r="F31" s="141">
        <f t="shared" si="1"/>
        <v>0</v>
      </c>
      <c r="H31" s="142"/>
      <c r="I31" s="77"/>
      <c r="J31" s="126">
        <f>'App.2-ZA_Com. Exp. (2027)'!L58</f>
        <v>49947926.832535759</v>
      </c>
      <c r="K31" s="184"/>
    </row>
    <row r="32" spans="1:11" x14ac:dyDescent="0.25">
      <c r="A32" s="127" t="str">
        <f t="shared" si="0"/>
        <v>GS 3,000 - 4,999 - Class B</v>
      </c>
      <c r="B32" s="128"/>
      <c r="C32" s="123"/>
      <c r="D32" s="77"/>
      <c r="E32" s="77"/>
      <c r="F32" s="141">
        <f t="shared" si="1"/>
        <v>0</v>
      </c>
      <c r="H32" s="142"/>
      <c r="I32" s="77"/>
      <c r="J32" s="126">
        <f>'App.2-ZA_Com. Exp. (2027)'!L59</f>
        <v>2897313.3163445476</v>
      </c>
      <c r="K32" s="184"/>
    </row>
    <row r="33" spans="1:12" x14ac:dyDescent="0.25">
      <c r="A33" s="127" t="str">
        <f t="shared" si="0"/>
        <v>Large Use - Class B</v>
      </c>
      <c r="B33" s="128"/>
      <c r="C33" s="123"/>
      <c r="D33" s="77"/>
      <c r="E33" s="77"/>
      <c r="F33" s="141">
        <f t="shared" si="1"/>
        <v>0</v>
      </c>
      <c r="H33" s="142"/>
      <c r="I33" s="77"/>
      <c r="J33" s="126">
        <f>'App.2-ZA_Com. Exp. (2027)'!L60</f>
        <v>3185873.73330322</v>
      </c>
      <c r="K33" s="184"/>
    </row>
    <row r="34" spans="1:12" x14ac:dyDescent="0.25">
      <c r="A34" s="127" t="str">
        <f t="shared" si="0"/>
        <v>Street Light - Class B</v>
      </c>
      <c r="B34" s="128"/>
      <c r="C34" s="123"/>
      <c r="D34" s="77"/>
      <c r="E34" s="77"/>
      <c r="F34" s="141">
        <f t="shared" si="1"/>
        <v>0</v>
      </c>
      <c r="H34" s="142"/>
      <c r="I34" s="77"/>
      <c r="J34" s="126">
        <f>'App.2-ZA_Com. Exp. (2027)'!L61</f>
        <v>1002516.8436582967</v>
      </c>
      <c r="K34" s="184"/>
    </row>
    <row r="35" spans="1:12" x14ac:dyDescent="0.25">
      <c r="A35" s="127" t="str">
        <f t="shared" si="0"/>
        <v>Sentinel Light - Class B</v>
      </c>
      <c r="B35" s="128"/>
      <c r="C35" s="123"/>
      <c r="D35" s="77"/>
      <c r="E35" s="77"/>
      <c r="F35" s="141">
        <f t="shared" si="1"/>
        <v>0</v>
      </c>
      <c r="H35" s="142"/>
      <c r="I35" s="77"/>
      <c r="J35" s="126">
        <f>'App.2-ZA_Com. Exp. (2027)'!L62</f>
        <v>0</v>
      </c>
      <c r="K35" s="184"/>
    </row>
    <row r="36" spans="1:12" x14ac:dyDescent="0.25">
      <c r="A36" s="127" t="str">
        <f t="shared" si="0"/>
        <v>USL - Class B</v>
      </c>
      <c r="B36" s="128"/>
      <c r="C36" s="123"/>
      <c r="D36" s="77"/>
      <c r="E36" s="77"/>
      <c r="F36" s="141">
        <f t="shared" si="1"/>
        <v>0</v>
      </c>
      <c r="H36" s="142"/>
      <c r="I36" s="77"/>
      <c r="J36" s="126">
        <f>'App.2-ZA_Com. Exp. (2027)'!L63</f>
        <v>263.66853187376415</v>
      </c>
      <c r="K36" s="184"/>
    </row>
    <row r="37" spans="1:12" x14ac:dyDescent="0.25">
      <c r="A37" s="127" t="str">
        <f t="shared" si="0"/>
        <v/>
      </c>
      <c r="B37" s="128"/>
      <c r="C37" s="123"/>
      <c r="D37" s="77"/>
      <c r="E37" s="77"/>
      <c r="F37" s="141">
        <f t="shared" si="1"/>
        <v>0</v>
      </c>
      <c r="H37" s="142"/>
      <c r="I37" s="77"/>
      <c r="J37" s="126">
        <v>0</v>
      </c>
      <c r="K37" s="184"/>
    </row>
    <row r="38" spans="1:12" x14ac:dyDescent="0.25">
      <c r="A38" s="127" t="str">
        <f t="shared" si="0"/>
        <v/>
      </c>
      <c r="B38" s="128"/>
      <c r="C38" s="123"/>
      <c r="D38" s="77"/>
      <c r="E38" s="77"/>
      <c r="F38" s="141">
        <f t="shared" si="1"/>
        <v>0</v>
      </c>
      <c r="H38" s="142"/>
      <c r="I38" s="77"/>
      <c r="J38" s="126">
        <v>0</v>
      </c>
      <c r="K38" s="184"/>
    </row>
    <row r="39" spans="1:12" x14ac:dyDescent="0.25">
      <c r="A39" s="127" t="s">
        <v>94</v>
      </c>
      <c r="B39" s="128"/>
      <c r="C39" s="123"/>
      <c r="D39" s="77"/>
      <c r="E39" s="77"/>
      <c r="F39" s="141">
        <f>D39*E39</f>
        <v>0</v>
      </c>
      <c r="H39" s="142"/>
      <c r="I39" s="77"/>
      <c r="J39" s="126">
        <f>'App.2-ZA_Com. Exp. (2027)'!L45</f>
        <v>1461.8598662707398</v>
      </c>
      <c r="K39" s="184"/>
    </row>
    <row r="40" spans="1:12" x14ac:dyDescent="0.25">
      <c r="A40" s="127" t="s">
        <v>94</v>
      </c>
      <c r="B40" s="128"/>
      <c r="C40" s="123"/>
      <c r="D40" s="77"/>
      <c r="E40" s="77"/>
      <c r="F40" s="141">
        <f>D40*E40</f>
        <v>0</v>
      </c>
      <c r="H40" s="142"/>
      <c r="I40" s="77"/>
      <c r="J40" s="126">
        <f>'App.2-ZA_Com. Exp. (2027)'!L46</f>
        <v>3073354.791695158</v>
      </c>
      <c r="K40" s="184"/>
    </row>
    <row r="41" spans="1:12" x14ac:dyDescent="0.25">
      <c r="A41" s="127" t="s">
        <v>94</v>
      </c>
      <c r="B41" s="128"/>
      <c r="C41" s="123"/>
      <c r="D41" s="77"/>
      <c r="E41" s="77"/>
      <c r="F41" s="141">
        <f>D41*E41</f>
        <v>0</v>
      </c>
      <c r="H41" s="142"/>
      <c r="I41" s="77"/>
      <c r="J41" s="126">
        <f>'App.2-ZA_Com. Exp. (2027)'!L47</f>
        <v>7247640.0763729373</v>
      </c>
      <c r="K41" s="184"/>
      <c r="L41" s="8"/>
    </row>
    <row r="42" spans="1:12" x14ac:dyDescent="0.25">
      <c r="A42" s="127" t="s">
        <v>94</v>
      </c>
      <c r="B42" s="128"/>
      <c r="C42" s="123"/>
      <c r="D42" s="77"/>
      <c r="E42" s="77"/>
      <c r="F42" s="141">
        <f>D42*E42</f>
        <v>0</v>
      </c>
      <c r="H42" s="142"/>
      <c r="I42" s="77"/>
      <c r="J42" s="126">
        <f>'App.2-ZA_Com. Exp. (2027)'!L48</f>
        <v>11820301.715933625</v>
      </c>
      <c r="K42" s="184"/>
    </row>
    <row r="43" spans="1:12" x14ac:dyDescent="0.25">
      <c r="A43" s="127" t="s">
        <v>94</v>
      </c>
      <c r="B43" s="128"/>
      <c r="C43" s="123"/>
      <c r="D43" s="77"/>
      <c r="E43" s="77"/>
      <c r="F43" s="141">
        <f>D43*E43</f>
        <v>0</v>
      </c>
      <c r="H43" s="142"/>
      <c r="I43" s="77"/>
      <c r="J43" s="126">
        <v>0</v>
      </c>
      <c r="K43" s="184"/>
    </row>
    <row r="44" spans="1:12" x14ac:dyDescent="0.25">
      <c r="A44" s="122" t="s">
        <v>61</v>
      </c>
      <c r="B44" s="143"/>
      <c r="C44" s="123"/>
      <c r="D44" s="134"/>
      <c r="E44" s="133"/>
      <c r="F44" s="127">
        <f>SUM(F28:F43)</f>
        <v>0</v>
      </c>
      <c r="G44" s="127"/>
      <c r="H44" s="133"/>
      <c r="I44" s="133"/>
      <c r="J44" s="144">
        <f>SUM(J28:J43)</f>
        <v>83433054.046587884</v>
      </c>
      <c r="K44" s="136">
        <f>F44+J44</f>
        <v>83433054.046587884</v>
      </c>
      <c r="L44" s="145"/>
    </row>
    <row r="45" spans="1:12" ht="8.25" customHeight="1" x14ac:dyDescent="0.25">
      <c r="B45" s="137"/>
      <c r="D45" s="137"/>
    </row>
    <row r="46" spans="1:12" x14ac:dyDescent="0.25">
      <c r="A46" s="118" t="s">
        <v>64</v>
      </c>
      <c r="B46" s="186"/>
      <c r="C46" s="119"/>
      <c r="D46" s="185" t="s">
        <v>65</v>
      </c>
      <c r="E46" s="184" t="s">
        <v>57</v>
      </c>
      <c r="F46" s="191" t="s">
        <v>58</v>
      </c>
      <c r="G46" s="8"/>
      <c r="H46" s="193" t="s">
        <v>56</v>
      </c>
      <c r="I46" s="184" t="s">
        <v>57</v>
      </c>
      <c r="J46" s="191" t="s">
        <v>58</v>
      </c>
      <c r="K46" s="189" t="s">
        <v>53</v>
      </c>
    </row>
    <row r="47" spans="1:12" x14ac:dyDescent="0.25">
      <c r="A47" s="122" t="s">
        <v>63</v>
      </c>
      <c r="B47" s="196"/>
      <c r="C47" s="139"/>
      <c r="D47" s="195"/>
      <c r="E47" s="184"/>
      <c r="F47" s="192"/>
      <c r="G47" s="8"/>
      <c r="H47" s="197"/>
      <c r="I47" s="184"/>
      <c r="J47" s="192"/>
      <c r="K47" s="195"/>
    </row>
    <row r="48" spans="1:12" x14ac:dyDescent="0.25">
      <c r="A48" s="127" t="str">
        <f>IF(A13="","",A13)</f>
        <v>Residential</v>
      </c>
      <c r="B48" s="128"/>
      <c r="C48" s="123"/>
      <c r="D48" s="146">
        <v>1539171416.2571933</v>
      </c>
      <c r="E48" s="147">
        <v>1.29E-2</v>
      </c>
      <c r="F48" s="148">
        <f>D48*E48</f>
        <v>19855311.269717794</v>
      </c>
      <c r="H48" s="146">
        <v>19088638.643028274</v>
      </c>
      <c r="I48" s="147">
        <f>E48</f>
        <v>1.29E-2</v>
      </c>
      <c r="J48" s="148">
        <f>H48*I48</f>
        <v>246243.43849506474</v>
      </c>
      <c r="K48" s="184"/>
    </row>
    <row r="49" spans="1:11" x14ac:dyDescent="0.25">
      <c r="A49" s="127" t="str">
        <f t="shared" ref="A49:A51" si="2">IF(A14="","",A14)</f>
        <v>Residential Seasonal</v>
      </c>
      <c r="B49" s="128"/>
      <c r="C49" s="131"/>
      <c r="D49" s="146">
        <v>13514104.065510208</v>
      </c>
      <c r="E49" s="147">
        <v>1.2999999999999999E-2</v>
      </c>
      <c r="F49" s="148">
        <f t="shared" ref="F49:F60" si="3">D49*E49</f>
        <v>175683.35285163269</v>
      </c>
      <c r="H49" s="146">
        <v>167600.46760620063</v>
      </c>
      <c r="I49" s="147">
        <f t="shared" ref="I49:I58" si="4">E49</f>
        <v>1.2999999999999999E-2</v>
      </c>
      <c r="J49" s="148">
        <f t="shared" ref="J49:J59" si="5">H49*I49</f>
        <v>2178.8060788806083</v>
      </c>
      <c r="K49" s="184"/>
    </row>
    <row r="50" spans="1:11" x14ac:dyDescent="0.25">
      <c r="A50" s="127" t="str">
        <f t="shared" si="2"/>
        <v>GS&lt;50</v>
      </c>
      <c r="B50" s="128"/>
      <c r="C50" s="131"/>
      <c r="D50" s="146">
        <v>319616638.86927801</v>
      </c>
      <c r="E50" s="147">
        <v>1.18E-2</v>
      </c>
      <c r="F50" s="148">
        <f t="shared" si="3"/>
        <v>3771476.3386574807</v>
      </c>
      <c r="H50" s="146">
        <v>49884116.884590782</v>
      </c>
      <c r="I50" s="147">
        <f t="shared" si="4"/>
        <v>1.18E-2</v>
      </c>
      <c r="J50" s="148">
        <f t="shared" si="5"/>
        <v>588632.57923817122</v>
      </c>
      <c r="K50" s="184"/>
    </row>
    <row r="51" spans="1:11" x14ac:dyDescent="0.25">
      <c r="A51" s="127" t="str">
        <f t="shared" si="2"/>
        <v>GS 50 - 2,999</v>
      </c>
      <c r="B51" s="128"/>
      <c r="C51" s="131"/>
      <c r="D51" s="146">
        <v>2143830.3889941829</v>
      </c>
      <c r="E51" s="147">
        <v>5.4260000000000002</v>
      </c>
      <c r="F51" s="148">
        <f t="shared" si="3"/>
        <v>11632423.690682437</v>
      </c>
      <c r="H51" s="146">
        <v>1092127.7505426167</v>
      </c>
      <c r="I51" s="147">
        <f t="shared" si="4"/>
        <v>5.4260000000000002</v>
      </c>
      <c r="J51" s="148">
        <f t="shared" si="5"/>
        <v>5925885.1744442387</v>
      </c>
      <c r="K51" s="184"/>
    </row>
    <row r="52" spans="1:11" x14ac:dyDescent="0.25">
      <c r="A52" s="127" t="str">
        <f>A51&amp;" EV"</f>
        <v>GS 50 - 2,999 EV</v>
      </c>
      <c r="B52" s="128"/>
      <c r="C52" s="131"/>
      <c r="D52" s="146"/>
      <c r="E52" s="147">
        <v>0.92569999999999997</v>
      </c>
      <c r="F52" s="148"/>
      <c r="H52" s="146">
        <v>20306.695787369717</v>
      </c>
      <c r="I52" s="147">
        <f t="shared" si="4"/>
        <v>0.92569999999999997</v>
      </c>
      <c r="J52" s="148">
        <f t="shared" si="5"/>
        <v>18797.908290368148</v>
      </c>
      <c r="K52" s="184"/>
    </row>
    <row r="53" spans="1:11" x14ac:dyDescent="0.25">
      <c r="A53" s="127" t="str">
        <f>IF(A17="","",A17)</f>
        <v>GS 3,000 - 4,999</v>
      </c>
      <c r="B53" s="128"/>
      <c r="C53" s="131"/>
      <c r="D53" s="146">
        <v>588265.17234617576</v>
      </c>
      <c r="E53" s="147">
        <v>5.7504999999999997</v>
      </c>
      <c r="F53" s="148">
        <f t="shared" si="3"/>
        <v>3382818.8735766835</v>
      </c>
      <c r="H53" s="146">
        <v>16028.271451649167</v>
      </c>
      <c r="I53" s="147">
        <f t="shared" si="4"/>
        <v>5.7504999999999997</v>
      </c>
      <c r="J53" s="148">
        <f t="shared" si="5"/>
        <v>92170.574982708524</v>
      </c>
      <c r="K53" s="184"/>
    </row>
    <row r="54" spans="1:11" x14ac:dyDescent="0.25">
      <c r="A54" s="127" t="str">
        <f>A53&amp;" EV"</f>
        <v>GS 3,000 - 4,999 EV</v>
      </c>
      <c r="B54" s="128"/>
      <c r="C54" s="131"/>
      <c r="D54" s="146"/>
      <c r="E54" s="147">
        <v>0.97758500000000004</v>
      </c>
      <c r="F54" s="148"/>
      <c r="H54" s="146"/>
      <c r="I54" s="147">
        <f t="shared" si="4"/>
        <v>0.97758500000000004</v>
      </c>
      <c r="J54" s="148">
        <f t="shared" si="5"/>
        <v>0</v>
      </c>
      <c r="K54" s="184"/>
    </row>
    <row r="55" spans="1:11" x14ac:dyDescent="0.25">
      <c r="A55" s="127" t="str">
        <f t="shared" ref="A55:A60" si="6">IF(A18="","",A18)</f>
        <v>Large Use</v>
      </c>
      <c r="B55" s="128"/>
      <c r="C55" s="131"/>
      <c r="D55" s="146">
        <v>742951.90772589529</v>
      </c>
      <c r="E55" s="147">
        <v>6.1279000000000003</v>
      </c>
      <c r="F55" s="148">
        <f t="shared" si="3"/>
        <v>4552734.9953535143</v>
      </c>
      <c r="H55" s="146">
        <v>0</v>
      </c>
      <c r="I55" s="147">
        <f t="shared" si="4"/>
        <v>6.1279000000000003</v>
      </c>
      <c r="J55" s="148">
        <f t="shared" si="5"/>
        <v>0</v>
      </c>
      <c r="K55" s="184"/>
    </row>
    <row r="56" spans="1:11" x14ac:dyDescent="0.25">
      <c r="A56" s="127" t="str">
        <f t="shared" si="6"/>
        <v>Street Light</v>
      </c>
      <c r="B56" s="128"/>
      <c r="C56" s="123"/>
      <c r="D56" s="146">
        <v>43544.269818658286</v>
      </c>
      <c r="E56" s="147">
        <v>3.6911999999999998</v>
      </c>
      <c r="F56" s="148">
        <f t="shared" si="3"/>
        <v>160730.60875463145</v>
      </c>
      <c r="H56" s="146">
        <v>0</v>
      </c>
      <c r="I56" s="147">
        <f t="shared" si="4"/>
        <v>3.6911999999999998</v>
      </c>
      <c r="J56" s="148">
        <f t="shared" si="5"/>
        <v>0</v>
      </c>
      <c r="K56" s="184"/>
    </row>
    <row r="57" spans="1:11" x14ac:dyDescent="0.25">
      <c r="A57" s="127" t="str">
        <f t="shared" si="6"/>
        <v>Sentinel Light</v>
      </c>
      <c r="B57" s="128"/>
      <c r="C57" s="123"/>
      <c r="D57" s="146">
        <v>0</v>
      </c>
      <c r="E57" s="147">
        <v>3.5167000000000002</v>
      </c>
      <c r="F57" s="148">
        <f t="shared" si="3"/>
        <v>0</v>
      </c>
      <c r="H57" s="146">
        <v>654.39888952205615</v>
      </c>
      <c r="I57" s="147">
        <f t="shared" si="4"/>
        <v>3.5167000000000002</v>
      </c>
      <c r="J57" s="148">
        <f t="shared" si="5"/>
        <v>2301.3245747822148</v>
      </c>
      <c r="K57" s="184"/>
    </row>
    <row r="58" spans="1:11" x14ac:dyDescent="0.25">
      <c r="A58" s="127" t="str">
        <f t="shared" si="6"/>
        <v>USL</v>
      </c>
      <c r="B58" s="128"/>
      <c r="C58" s="123"/>
      <c r="D58" s="146">
        <v>6744404.510519959</v>
      </c>
      <c r="E58" s="147">
        <v>1.18E-2</v>
      </c>
      <c r="F58" s="148">
        <f t="shared" si="3"/>
        <v>79583.973224135509</v>
      </c>
      <c r="H58" s="146">
        <v>4280.034540994121</v>
      </c>
      <c r="I58" s="147">
        <f t="shared" si="4"/>
        <v>1.18E-2</v>
      </c>
      <c r="J58" s="148">
        <f t="shared" si="5"/>
        <v>50.504407583730625</v>
      </c>
      <c r="K58" s="184"/>
    </row>
    <row r="59" spans="1:11" x14ac:dyDescent="0.25">
      <c r="A59" s="127" t="str">
        <f t="shared" si="6"/>
        <v/>
      </c>
      <c r="B59" s="128"/>
      <c r="C59" s="123"/>
      <c r="D59" s="150"/>
      <c r="E59" s="149"/>
      <c r="F59" s="148">
        <f t="shared" si="3"/>
        <v>0</v>
      </c>
      <c r="H59" s="150"/>
      <c r="I59" s="150"/>
      <c r="J59" s="148">
        <f t="shared" si="5"/>
        <v>0</v>
      </c>
      <c r="K59" s="184"/>
    </row>
    <row r="60" spans="1:11" x14ac:dyDescent="0.25">
      <c r="A60" s="127" t="str">
        <f t="shared" si="6"/>
        <v/>
      </c>
      <c r="B60" s="128"/>
      <c r="C60" s="123"/>
      <c r="D60" s="150"/>
      <c r="E60" s="149"/>
      <c r="F60" s="148">
        <f t="shared" si="3"/>
        <v>0</v>
      </c>
      <c r="H60" s="150"/>
      <c r="I60" s="150"/>
      <c r="J60" s="148">
        <f>H60*I60</f>
        <v>0</v>
      </c>
      <c r="K60" s="184"/>
    </row>
    <row r="61" spans="1:11" x14ac:dyDescent="0.25">
      <c r="A61" s="122" t="s">
        <v>61</v>
      </c>
      <c r="B61" s="143"/>
      <c r="C61" s="123"/>
      <c r="D61" s="144"/>
      <c r="E61" s="151"/>
      <c r="F61" s="144">
        <f>SUM(F48:F60)</f>
        <v>43610763.10281831</v>
      </c>
      <c r="G61" s="127"/>
      <c r="H61" s="124"/>
      <c r="I61" s="127"/>
      <c r="J61" s="144">
        <f>SUM(J48:J60)</f>
        <v>6876260.3105117986</v>
      </c>
      <c r="K61" s="148">
        <f>F61+J61</f>
        <v>50487023.413330108</v>
      </c>
    </row>
    <row r="62" spans="1:11" ht="5.25" customHeight="1" x14ac:dyDescent="0.25"/>
    <row r="63" spans="1:11" x14ac:dyDescent="0.25">
      <c r="A63" s="118" t="s">
        <v>66</v>
      </c>
      <c r="B63" s="190"/>
      <c r="C63" s="119"/>
      <c r="D63" s="189"/>
      <c r="E63" s="184"/>
      <c r="F63" s="191"/>
      <c r="G63" s="8"/>
      <c r="H63" s="193"/>
      <c r="I63" s="184"/>
      <c r="J63" s="191" t="s">
        <v>58</v>
      </c>
      <c r="K63" s="189" t="s">
        <v>53</v>
      </c>
    </row>
    <row r="64" spans="1:11" x14ac:dyDescent="0.25">
      <c r="A64" s="122" t="s">
        <v>63</v>
      </c>
      <c r="B64" s="196"/>
      <c r="C64" s="139"/>
      <c r="D64" s="195"/>
      <c r="E64" s="184"/>
      <c r="F64" s="192"/>
      <c r="G64" s="8"/>
      <c r="H64" s="197"/>
      <c r="I64" s="184"/>
      <c r="J64" s="192"/>
      <c r="K64" s="195"/>
    </row>
    <row r="65" spans="1:11" x14ac:dyDescent="0.25">
      <c r="A65" s="127" t="str">
        <f>IF(A48="","",A48)</f>
        <v>Residential</v>
      </c>
      <c r="B65" s="128"/>
      <c r="C65" s="123"/>
      <c r="D65" s="146">
        <f>D48</f>
        <v>1539171416.2571933</v>
      </c>
      <c r="E65" s="147">
        <v>9.2999999999999992E-3</v>
      </c>
      <c r="F65" s="148">
        <f>D65*E65</f>
        <v>14314294.171191897</v>
      </c>
      <c r="H65" s="146">
        <f t="shared" ref="H65:H70" si="7">H48</f>
        <v>19088638.643028274</v>
      </c>
      <c r="I65" s="147">
        <f>E65</f>
        <v>9.2999999999999992E-3</v>
      </c>
      <c r="J65" s="148">
        <f>H65*I65</f>
        <v>177524.33938016294</v>
      </c>
      <c r="K65" s="184"/>
    </row>
    <row r="66" spans="1:11" x14ac:dyDescent="0.25">
      <c r="A66" s="127" t="str">
        <f>IF(A49="","",A49)</f>
        <v>Residential Seasonal</v>
      </c>
      <c r="B66" s="128"/>
      <c r="C66" s="123"/>
      <c r="D66" s="146">
        <f>D49</f>
        <v>13514104.065510208</v>
      </c>
      <c r="E66" s="147">
        <v>1.1299999999999999E-2</v>
      </c>
      <c r="F66" s="148">
        <f>D66*E66</f>
        <v>152709.37594026534</v>
      </c>
      <c r="H66" s="146">
        <f t="shared" si="7"/>
        <v>167600.46760620063</v>
      </c>
      <c r="I66" s="147">
        <f t="shared" ref="I66:I75" si="8">E66</f>
        <v>1.1299999999999999E-2</v>
      </c>
      <c r="J66" s="148">
        <f t="shared" ref="J66:J74" si="9">H66*I66</f>
        <v>1893.8852839500671</v>
      </c>
      <c r="K66" s="184"/>
    </row>
    <row r="67" spans="1:11" x14ac:dyDescent="0.25">
      <c r="A67" s="127" t="str">
        <f>IF(A50="","",A50)</f>
        <v>GS&lt;50</v>
      </c>
      <c r="B67" s="128"/>
      <c r="C67" s="123"/>
      <c r="D67" s="146">
        <f>D50</f>
        <v>319616638.86927801</v>
      </c>
      <c r="E67" s="147">
        <v>8.6999999999999994E-3</v>
      </c>
      <c r="F67" s="148">
        <f t="shared" ref="F67:F75" si="10">D67*E67</f>
        <v>2780664.7581627187</v>
      </c>
      <c r="H67" s="146">
        <f t="shared" si="7"/>
        <v>49884116.884590782</v>
      </c>
      <c r="I67" s="147">
        <f t="shared" si="8"/>
        <v>8.6999999999999994E-3</v>
      </c>
      <c r="J67" s="148">
        <f t="shared" si="9"/>
        <v>433991.81689593976</v>
      </c>
      <c r="K67" s="184"/>
    </row>
    <row r="68" spans="1:11" x14ac:dyDescent="0.25">
      <c r="A68" s="127" t="str">
        <f>IF(A51="","",A51)</f>
        <v>GS 50 - 2,999</v>
      </c>
      <c r="B68" s="128"/>
      <c r="C68" s="123"/>
      <c r="D68" s="146">
        <f>D51</f>
        <v>2143830.3889941829</v>
      </c>
      <c r="E68" s="147">
        <v>3.8275999999999999</v>
      </c>
      <c r="F68" s="148">
        <f t="shared" si="10"/>
        <v>8205725.1969141345</v>
      </c>
      <c r="H68" s="146">
        <f t="shared" si="7"/>
        <v>1092127.7505426167</v>
      </c>
      <c r="I68" s="147">
        <f t="shared" si="8"/>
        <v>3.8275999999999999</v>
      </c>
      <c r="J68" s="148">
        <f t="shared" si="9"/>
        <v>4180228.1779769198</v>
      </c>
      <c r="K68" s="184"/>
    </row>
    <row r="69" spans="1:11" x14ac:dyDescent="0.25">
      <c r="A69" s="127" t="str">
        <f>A68&amp;" EV"</f>
        <v>GS 50 - 2,999 EV</v>
      </c>
      <c r="B69" s="128"/>
      <c r="C69" s="123"/>
      <c r="D69" s="146"/>
      <c r="E69" s="147">
        <v>0.65010000000000001</v>
      </c>
      <c r="F69" s="148"/>
      <c r="H69" s="146">
        <f t="shared" si="7"/>
        <v>20306.695787369717</v>
      </c>
      <c r="I69" s="147">
        <f t="shared" si="8"/>
        <v>0.65010000000000001</v>
      </c>
      <c r="J69" s="148">
        <f>H69*I69</f>
        <v>13201.382931369053</v>
      </c>
      <c r="K69" s="184"/>
    </row>
    <row r="70" spans="1:11" x14ac:dyDescent="0.25">
      <c r="A70" s="127" t="str">
        <f>IF(A53="","",A53)</f>
        <v>GS 3,000 - 4,999</v>
      </c>
      <c r="B70" s="128"/>
      <c r="C70" s="123"/>
      <c r="D70" s="146">
        <f>D53</f>
        <v>588265.17234617576</v>
      </c>
      <c r="E70" s="147">
        <v>2.7044000000000001</v>
      </c>
      <c r="F70" s="148">
        <f t="shared" si="10"/>
        <v>1590904.3320929979</v>
      </c>
      <c r="H70" s="146">
        <f t="shared" si="7"/>
        <v>16028.271451649167</v>
      </c>
      <c r="I70" s="147">
        <f t="shared" si="8"/>
        <v>2.7044000000000001</v>
      </c>
      <c r="J70" s="148">
        <f t="shared" si="9"/>
        <v>43346.85731384001</v>
      </c>
      <c r="K70" s="184"/>
    </row>
    <row r="71" spans="1:11" x14ac:dyDescent="0.25">
      <c r="A71" s="127" t="str">
        <f>A70&amp;" EV"</f>
        <v>GS 3,000 - 4,999 EV</v>
      </c>
      <c r="B71" s="128"/>
      <c r="C71" s="123"/>
      <c r="D71" s="146"/>
      <c r="E71" s="147">
        <v>0.45974800000000005</v>
      </c>
      <c r="F71" s="148"/>
      <c r="H71" s="146"/>
      <c r="I71" s="147">
        <f t="shared" si="8"/>
        <v>0.45974800000000005</v>
      </c>
      <c r="J71" s="148">
        <f t="shared" si="9"/>
        <v>0</v>
      </c>
      <c r="K71" s="184"/>
    </row>
    <row r="72" spans="1:11" x14ac:dyDescent="0.25">
      <c r="A72" s="127" t="str">
        <f t="shared" ref="A72:A77" si="11">IF(A55="","",A55)</f>
        <v>Large Use</v>
      </c>
      <c r="B72" s="128"/>
      <c r="C72" s="133"/>
      <c r="D72" s="146">
        <f>D55</f>
        <v>742951.90772589529</v>
      </c>
      <c r="E72" s="147">
        <v>4.1784999999999997</v>
      </c>
      <c r="F72" s="148">
        <f t="shared" si="10"/>
        <v>3104424.5464326534</v>
      </c>
      <c r="H72" s="146">
        <f>H55</f>
        <v>0</v>
      </c>
      <c r="I72" s="147">
        <f t="shared" si="8"/>
        <v>4.1784999999999997</v>
      </c>
      <c r="J72" s="148">
        <f t="shared" si="9"/>
        <v>0</v>
      </c>
      <c r="K72" s="184"/>
    </row>
    <row r="73" spans="1:11" x14ac:dyDescent="0.25">
      <c r="A73" s="127" t="str">
        <f t="shared" si="11"/>
        <v>Street Light</v>
      </c>
      <c r="B73" s="128"/>
      <c r="C73" s="152"/>
      <c r="D73" s="146">
        <f>D56</f>
        <v>43544.269818658286</v>
      </c>
      <c r="E73" s="147">
        <v>2.6196999999999999</v>
      </c>
      <c r="F73" s="148">
        <f t="shared" si="10"/>
        <v>114072.92364393911</v>
      </c>
      <c r="H73" s="146">
        <f>H56</f>
        <v>0</v>
      </c>
      <c r="I73" s="147">
        <f t="shared" si="8"/>
        <v>2.6196999999999999</v>
      </c>
      <c r="J73" s="148">
        <f t="shared" si="9"/>
        <v>0</v>
      </c>
      <c r="K73" s="184"/>
    </row>
    <row r="74" spans="1:11" x14ac:dyDescent="0.25">
      <c r="A74" s="127" t="str">
        <f t="shared" si="11"/>
        <v>Sentinel Light</v>
      </c>
      <c r="B74" s="128"/>
      <c r="C74" s="152"/>
      <c r="D74" s="146">
        <f>D57</f>
        <v>0</v>
      </c>
      <c r="E74" s="147">
        <v>2.4803000000000002</v>
      </c>
      <c r="F74" s="148">
        <f t="shared" si="10"/>
        <v>0</v>
      </c>
      <c r="H74" s="146">
        <f>H57</f>
        <v>654.39888952205615</v>
      </c>
      <c r="I74" s="147">
        <f t="shared" si="8"/>
        <v>2.4803000000000002</v>
      </c>
      <c r="J74" s="148">
        <f t="shared" si="9"/>
        <v>1623.1055656815561</v>
      </c>
      <c r="K74" s="184"/>
    </row>
    <row r="75" spans="1:11" x14ac:dyDescent="0.25">
      <c r="A75" s="127" t="str">
        <f t="shared" si="11"/>
        <v>USL</v>
      </c>
      <c r="B75" s="128"/>
      <c r="C75" s="152"/>
      <c r="D75" s="146">
        <f>D58</f>
        <v>6744404.510519959</v>
      </c>
      <c r="E75" s="147">
        <v>8.8000000000000005E-3</v>
      </c>
      <c r="F75" s="148">
        <f t="shared" si="10"/>
        <v>59350.759692575644</v>
      </c>
      <c r="H75" s="146">
        <f>H58</f>
        <v>4280.034540994121</v>
      </c>
      <c r="I75" s="147">
        <f t="shared" si="8"/>
        <v>8.8000000000000005E-3</v>
      </c>
      <c r="J75" s="148">
        <f>H75*I75</f>
        <v>37.664303960748271</v>
      </c>
      <c r="K75" s="184"/>
    </row>
    <row r="76" spans="1:11" x14ac:dyDescent="0.25">
      <c r="A76" s="127" t="str">
        <f t="shared" si="11"/>
        <v/>
      </c>
      <c r="B76" s="128"/>
      <c r="C76" s="152"/>
      <c r="D76" s="150"/>
      <c r="E76" s="150"/>
      <c r="F76" s="148">
        <f>D76*E76</f>
        <v>0</v>
      </c>
      <c r="H76" s="150"/>
      <c r="I76" s="150"/>
      <c r="J76" s="148">
        <f>H76*I76</f>
        <v>0</v>
      </c>
      <c r="K76" s="184"/>
    </row>
    <row r="77" spans="1:11" x14ac:dyDescent="0.25">
      <c r="A77" s="127" t="str">
        <f t="shared" si="11"/>
        <v/>
      </c>
      <c r="B77" s="128"/>
      <c r="C77" s="152"/>
      <c r="D77" s="150"/>
      <c r="E77" s="150"/>
      <c r="F77" s="148">
        <f t="shared" ref="F77" si="12">D77*E77</f>
        <v>0</v>
      </c>
      <c r="H77" s="150"/>
      <c r="I77" s="150"/>
      <c r="J77" s="148">
        <f>H77*I77</f>
        <v>0</v>
      </c>
      <c r="K77" s="184"/>
    </row>
    <row r="78" spans="1:11" x14ac:dyDescent="0.25">
      <c r="A78" s="122" t="s">
        <v>61</v>
      </c>
      <c r="B78" s="143"/>
      <c r="C78" s="153"/>
      <c r="D78" s="144"/>
      <c r="E78" s="127"/>
      <c r="F78" s="144">
        <f>SUM(F65:F77)</f>
        <v>30322146.064071182</v>
      </c>
      <c r="G78" s="127"/>
      <c r="H78" s="127"/>
      <c r="I78" s="127"/>
      <c r="J78" s="144">
        <f>SUM(J65:J77)</f>
        <v>4851847.2296518236</v>
      </c>
      <c r="K78" s="148">
        <f>F78+J78</f>
        <v>35173993.293723002</v>
      </c>
    </row>
    <row r="79" spans="1:11" ht="7.5" customHeight="1" x14ac:dyDescent="0.25"/>
    <row r="80" spans="1:11" x14ac:dyDescent="0.25">
      <c r="A80" s="118" t="s">
        <v>67</v>
      </c>
      <c r="B80" s="189"/>
      <c r="C80" s="138"/>
      <c r="D80" s="189"/>
      <c r="E80" s="184"/>
      <c r="F80" s="191"/>
      <c r="G80" s="8"/>
      <c r="H80" s="193"/>
      <c r="I80" s="184"/>
      <c r="J80" s="184" t="s">
        <v>58</v>
      </c>
      <c r="K80" s="189" t="s">
        <v>53</v>
      </c>
    </row>
    <row r="81" spans="1:11" x14ac:dyDescent="0.25">
      <c r="A81" s="122" t="s">
        <v>63</v>
      </c>
      <c r="B81" s="195"/>
      <c r="C81" s="8"/>
      <c r="D81" s="195"/>
      <c r="E81" s="184"/>
      <c r="F81" s="192"/>
      <c r="G81" s="8"/>
      <c r="H81" s="197"/>
      <c r="I81" s="184"/>
      <c r="J81" s="184"/>
      <c r="K81" s="195"/>
    </row>
    <row r="82" spans="1:11" x14ac:dyDescent="0.25">
      <c r="A82" s="127" t="str">
        <f>IF(A65="","",A65)</f>
        <v>Residential</v>
      </c>
      <c r="B82" s="128"/>
      <c r="C82" s="123"/>
      <c r="D82" s="146">
        <v>1539171416.2571933</v>
      </c>
      <c r="E82" s="147">
        <f>0.0041*1.036^2</f>
        <v>4.4005136000000002E-3</v>
      </c>
      <c r="F82" s="148">
        <f>D82*E82</f>
        <v>6773144.7499710405</v>
      </c>
      <c r="H82" s="146">
        <v>19088638.643028274</v>
      </c>
      <c r="I82" s="147">
        <f>E82</f>
        <v>4.4005136000000002E-3</v>
      </c>
      <c r="J82" s="148">
        <f>H82*I82</f>
        <v>83999.813954131474</v>
      </c>
      <c r="K82" s="184"/>
    </row>
    <row r="83" spans="1:11" x14ac:dyDescent="0.25">
      <c r="A83" s="127" t="str">
        <f>IF(A66="","",A66)</f>
        <v>Residential Seasonal</v>
      </c>
      <c r="B83" s="128"/>
      <c r="C83" s="123"/>
      <c r="D83" s="146">
        <v>13514104.065510208</v>
      </c>
      <c r="E83" s="147">
        <f>E82</f>
        <v>4.4005136000000002E-3</v>
      </c>
      <c r="F83" s="148">
        <f t="shared" ref="F83:F90" si="13">D83*E83</f>
        <v>59468.998732092965</v>
      </c>
      <c r="H83" s="146">
        <v>167600.46760620063</v>
      </c>
      <c r="I83" s="147">
        <f t="shared" ref="I83:I90" si="14">E83</f>
        <v>4.4005136000000002E-3</v>
      </c>
      <c r="J83" s="148">
        <f t="shared" ref="J83:J90" si="15">H83*I83</f>
        <v>737.52813706744541</v>
      </c>
      <c r="K83" s="184"/>
    </row>
    <row r="84" spans="1:11" x14ac:dyDescent="0.25">
      <c r="A84" s="127" t="str">
        <f>IF(A67="","",A67)</f>
        <v>GS&lt;50</v>
      </c>
      <c r="B84" s="128"/>
      <c r="C84" s="123"/>
      <c r="D84" s="146">
        <v>319616638.86927801</v>
      </c>
      <c r="E84" s="147">
        <f t="shared" ref="E84:E90" si="16">E83</f>
        <v>4.4005136000000002E-3</v>
      </c>
      <c r="F84" s="148">
        <f t="shared" si="13"/>
        <v>1406477.3661305467</v>
      </c>
      <c r="H84" s="146">
        <v>49884116.884590782</v>
      </c>
      <c r="I84" s="147">
        <f t="shared" si="14"/>
        <v>4.4005136000000002E-3</v>
      </c>
      <c r="J84" s="148">
        <f t="shared" si="15"/>
        <v>219515.73477463139</v>
      </c>
      <c r="K84" s="184"/>
    </row>
    <row r="85" spans="1:11" x14ac:dyDescent="0.25">
      <c r="A85" s="127" t="str">
        <f>IF(A68="","",A68)</f>
        <v>GS 50 - 2,999</v>
      </c>
      <c r="B85" s="128"/>
      <c r="C85" s="123"/>
      <c r="D85" s="146">
        <v>472815991.90154064</v>
      </c>
      <c r="E85" s="147">
        <f t="shared" si="16"/>
        <v>4.4005136000000002E-3</v>
      </c>
      <c r="F85" s="148">
        <f>D85*E85</f>
        <v>2080633.2026602195</v>
      </c>
      <c r="H85" s="146">
        <v>911188335.80263889</v>
      </c>
      <c r="I85" s="147">
        <f t="shared" si="14"/>
        <v>4.4005136000000002E-3</v>
      </c>
      <c r="J85" s="148">
        <f t="shared" si="15"/>
        <v>4009696.6638608794</v>
      </c>
      <c r="K85" s="184"/>
    </row>
    <row r="86" spans="1:11" x14ac:dyDescent="0.25">
      <c r="A86" s="127" t="str">
        <f>IF(A70="","",A70)</f>
        <v>GS 3,000 - 4,999</v>
      </c>
      <c r="B86" s="128"/>
      <c r="C86" s="123"/>
      <c r="D86" s="146">
        <v>7732626.9183598598</v>
      </c>
      <c r="E86" s="147">
        <f t="shared" si="16"/>
        <v>4.4005136000000002E-3</v>
      </c>
      <c r="F86" s="148">
        <f t="shared" si="13"/>
        <v>34027.529917968655</v>
      </c>
      <c r="H86" s="146">
        <v>283800728.016096</v>
      </c>
      <c r="I86" s="147">
        <f t="shared" si="14"/>
        <v>4.4005136000000002E-3</v>
      </c>
      <c r="J86" s="148">
        <f t="shared" si="15"/>
        <v>1248868.9633247314</v>
      </c>
      <c r="K86" s="184"/>
    </row>
    <row r="87" spans="1:11" x14ac:dyDescent="0.25">
      <c r="A87" s="127" t="str">
        <f t="shared" ref="A87" si="17">IF(A72="","",A72)</f>
        <v>Large Use</v>
      </c>
      <c r="B87" s="128"/>
      <c r="C87" s="123"/>
      <c r="D87" s="146">
        <v>0</v>
      </c>
      <c r="E87" s="147">
        <f t="shared" si="16"/>
        <v>4.4005136000000002E-3</v>
      </c>
      <c r="F87" s="148">
        <f t="shared" si="13"/>
        <v>0</v>
      </c>
      <c r="H87" s="146">
        <v>437866930.0144859</v>
      </c>
      <c r="I87" s="147">
        <f t="shared" si="14"/>
        <v>4.4005136000000002E-3</v>
      </c>
      <c r="J87" s="148">
        <f t="shared" si="15"/>
        <v>1926839.3805189934</v>
      </c>
      <c r="K87" s="184"/>
    </row>
    <row r="88" spans="1:11" x14ac:dyDescent="0.25">
      <c r="A88" s="127" t="str">
        <f>IF(A73="","",A73)</f>
        <v>Street Light</v>
      </c>
      <c r="B88" s="128"/>
      <c r="C88" s="123"/>
      <c r="D88" s="146">
        <v>0</v>
      </c>
      <c r="E88" s="147">
        <f t="shared" si="16"/>
        <v>4.4005136000000002E-3</v>
      </c>
      <c r="F88" s="148">
        <f t="shared" si="13"/>
        <v>0</v>
      </c>
      <c r="H88" s="146">
        <v>16273488.111354187</v>
      </c>
      <c r="I88" s="147">
        <f t="shared" si="14"/>
        <v>4.4005136000000002E-3</v>
      </c>
      <c r="J88" s="148">
        <f t="shared" si="15"/>
        <v>71611.705753452421</v>
      </c>
      <c r="K88" s="184"/>
    </row>
    <row r="89" spans="1:11" x14ac:dyDescent="0.25">
      <c r="A89" s="127" t="str">
        <f>IF(A74="","",A74)</f>
        <v>Sentinel Light</v>
      </c>
      <c r="B89" s="128"/>
      <c r="C89" s="123"/>
      <c r="D89" s="146">
        <v>91087.249324986842</v>
      </c>
      <c r="E89" s="147">
        <f t="shared" si="16"/>
        <v>4.4005136000000002E-3</v>
      </c>
      <c r="F89" s="148">
        <f t="shared" si="13"/>
        <v>400.83067944119546</v>
      </c>
      <c r="H89" s="146">
        <v>0</v>
      </c>
      <c r="I89" s="147">
        <f t="shared" si="14"/>
        <v>4.4005136000000002E-3</v>
      </c>
      <c r="J89" s="148">
        <f t="shared" si="15"/>
        <v>0</v>
      </c>
      <c r="K89" s="184"/>
    </row>
    <row r="90" spans="1:11" x14ac:dyDescent="0.25">
      <c r="A90" s="127" t="str">
        <f>IF(A75="","",A75)</f>
        <v>USL</v>
      </c>
      <c r="B90" s="128"/>
      <c r="C90" s="123"/>
      <c r="D90" s="146">
        <v>6744404.510519959</v>
      </c>
      <c r="E90" s="147">
        <f t="shared" si="16"/>
        <v>4.4005136000000002E-3</v>
      </c>
      <c r="F90" s="148">
        <f t="shared" si="13"/>
        <v>29678.843772444423</v>
      </c>
      <c r="H90" s="146">
        <v>4280.034540994121</v>
      </c>
      <c r="I90" s="147">
        <f t="shared" si="14"/>
        <v>4.4005136000000002E-3</v>
      </c>
      <c r="J90" s="148">
        <f t="shared" si="15"/>
        <v>18.834350206114387</v>
      </c>
      <c r="K90" s="184"/>
    </row>
    <row r="91" spans="1:11" x14ac:dyDescent="0.25">
      <c r="A91" s="127" t="str">
        <f>IF(A76="","",A76)</f>
        <v/>
      </c>
      <c r="B91" s="128"/>
      <c r="C91" s="123"/>
      <c r="D91" s="150"/>
      <c r="E91" s="150"/>
      <c r="F91" s="148">
        <f>D91*E91</f>
        <v>0</v>
      </c>
      <c r="H91" s="150"/>
      <c r="I91" s="150"/>
      <c r="J91" s="148">
        <f>H91*I91</f>
        <v>0</v>
      </c>
      <c r="K91" s="184"/>
    </row>
    <row r="92" spans="1:11" x14ac:dyDescent="0.25">
      <c r="A92" s="127" t="str">
        <f>IF(A77="","",A77)</f>
        <v/>
      </c>
      <c r="B92" s="128"/>
      <c r="C92" s="123"/>
      <c r="D92" s="150"/>
      <c r="E92" s="150"/>
      <c r="F92" s="148">
        <f t="shared" ref="F92" si="18">D92*E92</f>
        <v>0</v>
      </c>
      <c r="H92" s="150"/>
      <c r="I92" s="150"/>
      <c r="J92" s="148">
        <f>H92*I92</f>
        <v>0</v>
      </c>
      <c r="K92" s="184"/>
    </row>
    <row r="93" spans="1:11" x14ac:dyDescent="0.25">
      <c r="A93" s="122" t="s">
        <v>61</v>
      </c>
      <c r="B93" s="143"/>
      <c r="C93" s="123"/>
      <c r="D93" s="144"/>
      <c r="E93" s="127"/>
      <c r="F93" s="144">
        <f>SUM(F82:F92)</f>
        <v>10383831.521863753</v>
      </c>
      <c r="G93" s="127"/>
      <c r="H93" s="127"/>
      <c r="I93" s="127"/>
      <c r="J93" s="144">
        <f>SUM(J82:J92)</f>
        <v>7561288.624674092</v>
      </c>
      <c r="K93" s="148">
        <f>F93+J93</f>
        <v>17945120.146537844</v>
      </c>
    </row>
    <row r="94" spans="1:11" ht="6.75" customHeight="1" x14ac:dyDescent="0.25"/>
    <row r="95" spans="1:11" x14ac:dyDescent="0.25">
      <c r="A95" s="118" t="s">
        <v>68</v>
      </c>
      <c r="B95" s="189"/>
      <c r="C95" s="138"/>
      <c r="D95" s="189"/>
      <c r="E95" s="184"/>
      <c r="F95" s="191"/>
      <c r="G95" s="8"/>
      <c r="H95" s="193"/>
      <c r="I95" s="184"/>
      <c r="J95" s="184" t="s">
        <v>58</v>
      </c>
      <c r="K95" s="189" t="s">
        <v>53</v>
      </c>
    </row>
    <row r="96" spans="1:11" x14ac:dyDescent="0.25">
      <c r="A96" s="122" t="s">
        <v>63</v>
      </c>
      <c r="B96" s="195"/>
      <c r="C96" s="8"/>
      <c r="D96" s="195"/>
      <c r="E96" s="184"/>
      <c r="F96" s="192"/>
      <c r="G96" s="8"/>
      <c r="H96" s="197"/>
      <c r="I96" s="184"/>
      <c r="J96" s="184"/>
      <c r="K96" s="195"/>
    </row>
    <row r="97" spans="1:11" x14ac:dyDescent="0.25">
      <c r="A97" s="127" t="str">
        <f t="shared" ref="A97:A102" si="19">IF(A82="","",A82)</f>
        <v>Residential</v>
      </c>
      <c r="B97" s="128"/>
      <c r="C97" s="123"/>
      <c r="D97" s="150"/>
      <c r="E97" s="150"/>
      <c r="F97" s="148">
        <f>D97*E97</f>
        <v>0</v>
      </c>
      <c r="H97" s="150"/>
      <c r="I97" s="149">
        <v>4.0000000000000002E-4</v>
      </c>
      <c r="J97" s="148">
        <f>H97*I97</f>
        <v>0</v>
      </c>
      <c r="K97" s="184"/>
    </row>
    <row r="98" spans="1:11" x14ac:dyDescent="0.25">
      <c r="A98" s="127" t="str">
        <f t="shared" si="19"/>
        <v>Residential Seasonal</v>
      </c>
      <c r="B98" s="128"/>
      <c r="C98" s="123"/>
      <c r="D98" s="150"/>
      <c r="E98" s="150"/>
      <c r="F98" s="148">
        <f t="shared" ref="F98:F107" si="20">D98*E98</f>
        <v>0</v>
      </c>
      <c r="H98" s="150"/>
      <c r="I98" s="149">
        <f>I97</f>
        <v>4.0000000000000002E-4</v>
      </c>
      <c r="J98" s="148">
        <f t="shared" ref="J98:J105" si="21">H98*I98</f>
        <v>0</v>
      </c>
      <c r="K98" s="184"/>
    </row>
    <row r="99" spans="1:11" x14ac:dyDescent="0.25">
      <c r="A99" s="127" t="str">
        <f t="shared" si="19"/>
        <v>GS&lt;50</v>
      </c>
      <c r="B99" s="128"/>
      <c r="C99" s="123"/>
      <c r="D99" s="150"/>
      <c r="E99" s="150"/>
      <c r="F99" s="148">
        <f t="shared" si="20"/>
        <v>0</v>
      </c>
      <c r="H99" s="146"/>
      <c r="I99" s="149">
        <f t="shared" ref="I99:I105" si="22">I98</f>
        <v>4.0000000000000002E-4</v>
      </c>
      <c r="J99" s="148">
        <f t="shared" si="21"/>
        <v>0</v>
      </c>
      <c r="K99" s="184"/>
    </row>
    <row r="100" spans="1:11" x14ac:dyDescent="0.25">
      <c r="A100" s="127" t="str">
        <f t="shared" si="19"/>
        <v>GS 50 - 2,999</v>
      </c>
      <c r="B100" s="128"/>
      <c r="C100" s="123"/>
      <c r="D100" s="150"/>
      <c r="E100" s="150"/>
      <c r="F100" s="148">
        <f t="shared" si="20"/>
        <v>0</v>
      </c>
      <c r="H100" s="150">
        <v>47756.804158986917</v>
      </c>
      <c r="I100" s="149">
        <f t="shared" si="22"/>
        <v>4.0000000000000002E-4</v>
      </c>
      <c r="J100" s="148">
        <f t="shared" si="21"/>
        <v>19.102721663594767</v>
      </c>
      <c r="K100" s="184"/>
    </row>
    <row r="101" spans="1:11" x14ac:dyDescent="0.25">
      <c r="A101" s="127" t="str">
        <f t="shared" si="19"/>
        <v>GS 3,000 - 4,999</v>
      </c>
      <c r="B101" s="128"/>
      <c r="C101" s="123"/>
      <c r="D101" s="150"/>
      <c r="E101" s="150"/>
      <c r="F101" s="148">
        <f t="shared" si="20"/>
        <v>0</v>
      </c>
      <c r="H101" s="150">
        <v>100401964.8425637</v>
      </c>
      <c r="I101" s="149">
        <f t="shared" si="22"/>
        <v>4.0000000000000002E-4</v>
      </c>
      <c r="J101" s="148">
        <f t="shared" si="21"/>
        <v>40160.785937025481</v>
      </c>
      <c r="K101" s="184"/>
    </row>
    <row r="102" spans="1:11" x14ac:dyDescent="0.25">
      <c r="A102" s="127" t="str">
        <f t="shared" si="19"/>
        <v>Large Use</v>
      </c>
      <c r="B102" s="128"/>
      <c r="C102" s="123"/>
      <c r="D102" s="150"/>
      <c r="E102" s="150"/>
      <c r="F102" s="148">
        <f t="shared" si="20"/>
        <v>0</v>
      </c>
      <c r="H102" s="150">
        <v>236769703.94237798</v>
      </c>
      <c r="I102" s="149">
        <f t="shared" si="22"/>
        <v>4.0000000000000002E-4</v>
      </c>
      <c r="J102" s="148">
        <f t="shared" si="21"/>
        <v>94707.8815769512</v>
      </c>
      <c r="K102" s="184"/>
    </row>
    <row r="103" spans="1:11" x14ac:dyDescent="0.25">
      <c r="A103" s="127" t="str">
        <f>IF(A88="","",A88)</f>
        <v>Street Light</v>
      </c>
      <c r="B103" s="128"/>
      <c r="C103" s="123"/>
      <c r="D103" s="150"/>
      <c r="E103" s="150"/>
      <c r="F103" s="148">
        <f t="shared" si="20"/>
        <v>0</v>
      </c>
      <c r="H103" s="150">
        <v>386151810.56173307</v>
      </c>
      <c r="I103" s="149">
        <f t="shared" si="22"/>
        <v>4.0000000000000002E-4</v>
      </c>
      <c r="J103" s="148">
        <f t="shared" si="21"/>
        <v>154460.72422469323</v>
      </c>
      <c r="K103" s="184"/>
    </row>
    <row r="104" spans="1:11" x14ac:dyDescent="0.25">
      <c r="A104" s="127" t="str">
        <f>IF(A89="","",A89)</f>
        <v>Sentinel Light</v>
      </c>
      <c r="B104" s="128"/>
      <c r="C104" s="123"/>
      <c r="D104" s="150"/>
      <c r="E104" s="150"/>
      <c r="F104" s="148">
        <f t="shared" si="20"/>
        <v>0</v>
      </c>
      <c r="H104" s="150"/>
      <c r="I104" s="149">
        <f t="shared" si="22"/>
        <v>4.0000000000000002E-4</v>
      </c>
      <c r="J104" s="148">
        <f t="shared" si="21"/>
        <v>0</v>
      </c>
      <c r="K104" s="184"/>
    </row>
    <row r="105" spans="1:11" x14ac:dyDescent="0.25">
      <c r="A105" s="127" t="str">
        <f>IF(A90="","",A90)</f>
        <v>USL</v>
      </c>
      <c r="B105" s="128"/>
      <c r="C105" s="123"/>
      <c r="D105" s="150"/>
      <c r="E105" s="150"/>
      <c r="F105" s="148">
        <f t="shared" si="20"/>
        <v>0</v>
      </c>
      <c r="H105" s="150"/>
      <c r="I105" s="149">
        <f t="shared" si="22"/>
        <v>4.0000000000000002E-4</v>
      </c>
      <c r="J105" s="148">
        <f t="shared" si="21"/>
        <v>0</v>
      </c>
      <c r="K105" s="184"/>
    </row>
    <row r="106" spans="1:11" x14ac:dyDescent="0.25">
      <c r="A106" s="127" t="str">
        <f>IF(A91="","",A91)</f>
        <v/>
      </c>
      <c r="B106" s="128"/>
      <c r="C106" s="123"/>
      <c r="D106" s="150"/>
      <c r="E106" s="150"/>
      <c r="F106" s="148">
        <f t="shared" si="20"/>
        <v>0</v>
      </c>
      <c r="H106" s="150"/>
      <c r="I106" s="150"/>
      <c r="J106" s="148">
        <f>H106*I106</f>
        <v>0</v>
      </c>
      <c r="K106" s="184"/>
    </row>
    <row r="107" spans="1:11" x14ac:dyDescent="0.25">
      <c r="A107" s="127" t="str">
        <f>IF(A92="","",A92)</f>
        <v/>
      </c>
      <c r="B107" s="128"/>
      <c r="C107" s="123"/>
      <c r="D107" s="150"/>
      <c r="E107" s="150"/>
      <c r="F107" s="148">
        <f t="shared" si="20"/>
        <v>0</v>
      </c>
      <c r="H107" s="150"/>
      <c r="I107" s="150"/>
      <c r="J107" s="148">
        <f>H107*I107</f>
        <v>0</v>
      </c>
      <c r="K107" s="184"/>
    </row>
    <row r="108" spans="1:11" x14ac:dyDescent="0.25">
      <c r="A108" s="122" t="s">
        <v>61</v>
      </c>
      <c r="B108" s="143"/>
      <c r="C108" s="123"/>
      <c r="D108" s="144"/>
      <c r="E108" s="127"/>
      <c r="F108" s="144">
        <f>SUM(F97:F107)</f>
        <v>0</v>
      </c>
      <c r="G108" s="127"/>
      <c r="H108" s="127"/>
      <c r="I108" s="127"/>
      <c r="J108" s="144">
        <f>SUM(J97:J107)</f>
        <v>289348.49446033349</v>
      </c>
      <c r="K108" s="148">
        <f>F108+J108</f>
        <v>289348.49446033349</v>
      </c>
    </row>
    <row r="109" spans="1:11" ht="6.75" customHeight="1" x14ac:dyDescent="0.25">
      <c r="A109" s="122"/>
      <c r="B109" s="140"/>
      <c r="C109" s="123"/>
      <c r="D109" s="154"/>
      <c r="E109" s="153"/>
      <c r="F109" s="144"/>
      <c r="H109" s="125"/>
      <c r="I109" s="153"/>
      <c r="J109" s="144"/>
      <c r="K109" s="155"/>
    </row>
    <row r="110" spans="1:11" x14ac:dyDescent="0.25">
      <c r="A110" s="118" t="s">
        <v>69</v>
      </c>
      <c r="B110" s="189"/>
      <c r="C110" s="138"/>
      <c r="D110" s="189"/>
      <c r="E110" s="184"/>
      <c r="F110" s="191"/>
      <c r="G110" s="8"/>
      <c r="H110" s="193"/>
      <c r="I110" s="184"/>
      <c r="J110" s="184" t="s">
        <v>58</v>
      </c>
      <c r="K110" s="189" t="s">
        <v>53</v>
      </c>
    </row>
    <row r="111" spans="1:11" x14ac:dyDescent="0.25">
      <c r="A111" s="122" t="s">
        <v>63</v>
      </c>
      <c r="B111" s="195"/>
      <c r="C111" s="8"/>
      <c r="D111" s="195"/>
      <c r="E111" s="184"/>
      <c r="F111" s="192"/>
      <c r="G111" s="8"/>
      <c r="H111" s="197"/>
      <c r="I111" s="184"/>
      <c r="J111" s="184"/>
      <c r="K111" s="195"/>
    </row>
    <row r="112" spans="1:11" x14ac:dyDescent="0.25">
      <c r="A112" s="127" t="str">
        <f t="shared" ref="A112:A117" si="23">IF(A97="","",A97)</f>
        <v>Residential</v>
      </c>
      <c r="B112" s="128"/>
      <c r="C112" s="123"/>
      <c r="D112" s="146">
        <v>1539171416.2571933</v>
      </c>
      <c r="E112" s="147">
        <f>I112</f>
        <v>4.0000000000000002E-4</v>
      </c>
      <c r="F112" s="148">
        <f>D112*E112</f>
        <v>615668.56650287739</v>
      </c>
      <c r="H112" s="146">
        <v>19088638.643028274</v>
      </c>
      <c r="I112" s="147">
        <f>I97</f>
        <v>4.0000000000000002E-4</v>
      </c>
      <c r="J112" s="148">
        <f>H112*I112</f>
        <v>7635.4554572113102</v>
      </c>
      <c r="K112" s="184"/>
    </row>
    <row r="113" spans="1:11" x14ac:dyDescent="0.25">
      <c r="A113" s="127" t="str">
        <f t="shared" si="23"/>
        <v>Residential Seasonal</v>
      </c>
      <c r="B113" s="128"/>
      <c r="C113" s="123"/>
      <c r="D113" s="146">
        <v>13514104.065510208</v>
      </c>
      <c r="E113" s="147">
        <f t="shared" ref="E113:E120" si="24">I113</f>
        <v>4.0000000000000002E-4</v>
      </c>
      <c r="F113" s="148">
        <f t="shared" ref="F113:F122" si="25">D113*E113</f>
        <v>5405.641626204083</v>
      </c>
      <c r="H113" s="146">
        <v>167600.46760620063</v>
      </c>
      <c r="I113" s="147">
        <f t="shared" ref="I113:I120" si="26">I98</f>
        <v>4.0000000000000002E-4</v>
      </c>
      <c r="J113" s="148">
        <f t="shared" ref="J113:J120" si="27">H113*I113</f>
        <v>67.040187042480255</v>
      </c>
      <c r="K113" s="184"/>
    </row>
    <row r="114" spans="1:11" x14ac:dyDescent="0.25">
      <c r="A114" s="127" t="str">
        <f t="shared" si="23"/>
        <v>GS&lt;50</v>
      </c>
      <c r="B114" s="128"/>
      <c r="C114" s="123"/>
      <c r="D114" s="146">
        <v>319616638.86927801</v>
      </c>
      <c r="E114" s="147">
        <f t="shared" si="24"/>
        <v>4.0000000000000002E-4</v>
      </c>
      <c r="F114" s="148">
        <f t="shared" si="25"/>
        <v>127846.65554771121</v>
      </c>
      <c r="H114" s="146">
        <v>49836360.080431797</v>
      </c>
      <c r="I114" s="147">
        <f t="shared" si="26"/>
        <v>4.0000000000000002E-4</v>
      </c>
      <c r="J114" s="148">
        <f t="shared" si="27"/>
        <v>19934.544032172718</v>
      </c>
      <c r="K114" s="184"/>
    </row>
    <row r="115" spans="1:11" x14ac:dyDescent="0.25">
      <c r="A115" s="127" t="str">
        <f t="shared" si="23"/>
        <v>GS 50 - 2,999</v>
      </c>
      <c r="B115" s="128"/>
      <c r="C115" s="123"/>
      <c r="D115" s="146">
        <v>472815991.90154064</v>
      </c>
      <c r="E115" s="147">
        <f t="shared" si="24"/>
        <v>4.0000000000000002E-4</v>
      </c>
      <c r="F115" s="148">
        <f t="shared" si="25"/>
        <v>189126.39676061628</v>
      </c>
      <c r="H115" s="146">
        <v>810786370.96007514</v>
      </c>
      <c r="I115" s="147">
        <f t="shared" si="26"/>
        <v>4.0000000000000002E-4</v>
      </c>
      <c r="J115" s="148">
        <f t="shared" si="27"/>
        <v>324314.54838403006</v>
      </c>
      <c r="K115" s="184"/>
    </row>
    <row r="116" spans="1:11" x14ac:dyDescent="0.25">
      <c r="A116" s="127" t="str">
        <f t="shared" si="23"/>
        <v>GS 3,000 - 4,999</v>
      </c>
      <c r="B116" s="128"/>
      <c r="C116" s="123"/>
      <c r="D116" s="146">
        <v>7732626.9183598598</v>
      </c>
      <c r="E116" s="147">
        <f t="shared" si="24"/>
        <v>4.0000000000000002E-4</v>
      </c>
      <c r="F116" s="148">
        <f t="shared" si="25"/>
        <v>3093.0507673439442</v>
      </c>
      <c r="H116" s="146">
        <v>47031024.073718026</v>
      </c>
      <c r="I116" s="147">
        <f t="shared" si="26"/>
        <v>4.0000000000000002E-4</v>
      </c>
      <c r="J116" s="148">
        <f t="shared" si="27"/>
        <v>18812.409629487211</v>
      </c>
      <c r="K116" s="184"/>
    </row>
    <row r="117" spans="1:11" x14ac:dyDescent="0.25">
      <c r="A117" s="127" t="str">
        <f t="shared" si="23"/>
        <v>Large Use</v>
      </c>
      <c r="B117" s="128"/>
      <c r="C117" s="123"/>
      <c r="D117" s="146">
        <v>0</v>
      </c>
      <c r="E117" s="147">
        <f t="shared" si="24"/>
        <v>4.0000000000000002E-4</v>
      </c>
      <c r="F117" s="148">
        <f t="shared" si="25"/>
        <v>0</v>
      </c>
      <c r="H117" s="146">
        <v>51715119.452752814</v>
      </c>
      <c r="I117" s="147">
        <f t="shared" si="26"/>
        <v>4.0000000000000002E-4</v>
      </c>
      <c r="J117" s="148">
        <f t="shared" si="27"/>
        <v>20686.047781101126</v>
      </c>
      <c r="K117" s="184"/>
    </row>
    <row r="118" spans="1:11" x14ac:dyDescent="0.25">
      <c r="A118" s="127" t="str">
        <f>IF(A103="","",A103)</f>
        <v>Street Light</v>
      </c>
      <c r="B118" s="128"/>
      <c r="C118" s="123"/>
      <c r="D118" s="146">
        <v>0</v>
      </c>
      <c r="E118" s="147">
        <f t="shared" si="24"/>
        <v>4.0000000000000002E-4</v>
      </c>
      <c r="F118" s="148">
        <f t="shared" si="25"/>
        <v>0</v>
      </c>
      <c r="H118" s="146">
        <v>16273488.111354187</v>
      </c>
      <c r="I118" s="147">
        <f t="shared" si="26"/>
        <v>4.0000000000000002E-4</v>
      </c>
      <c r="J118" s="148">
        <f t="shared" si="27"/>
        <v>6509.3952445416753</v>
      </c>
      <c r="K118" s="184"/>
    </row>
    <row r="119" spans="1:11" x14ac:dyDescent="0.25">
      <c r="A119" s="127" t="str">
        <f>IF(A104="","",A104)</f>
        <v>Sentinel Light</v>
      </c>
      <c r="B119" s="128"/>
      <c r="C119" s="123"/>
      <c r="D119" s="146">
        <v>91087.249324986842</v>
      </c>
      <c r="E119" s="147">
        <f t="shared" si="24"/>
        <v>4.0000000000000002E-4</v>
      </c>
      <c r="F119" s="148">
        <f t="shared" si="25"/>
        <v>36.43489972999474</v>
      </c>
      <c r="H119" s="146">
        <v>0</v>
      </c>
      <c r="I119" s="147">
        <f t="shared" si="26"/>
        <v>4.0000000000000002E-4</v>
      </c>
      <c r="J119" s="148">
        <f t="shared" si="27"/>
        <v>0</v>
      </c>
      <c r="K119" s="184"/>
    </row>
    <row r="120" spans="1:11" x14ac:dyDescent="0.25">
      <c r="A120" s="127" t="str">
        <f>IF(A105="","",A105)</f>
        <v>USL</v>
      </c>
      <c r="B120" s="128"/>
      <c r="C120" s="123"/>
      <c r="D120" s="146">
        <v>6744404.510519959</v>
      </c>
      <c r="E120" s="147">
        <f t="shared" si="24"/>
        <v>4.0000000000000002E-4</v>
      </c>
      <c r="F120" s="148">
        <f t="shared" si="25"/>
        <v>2697.7618042079839</v>
      </c>
      <c r="H120" s="146">
        <v>4280.034540994121</v>
      </c>
      <c r="I120" s="147">
        <f t="shared" si="26"/>
        <v>4.0000000000000002E-4</v>
      </c>
      <c r="J120" s="148">
        <f t="shared" si="27"/>
        <v>1.7120138163976484</v>
      </c>
      <c r="K120" s="184"/>
    </row>
    <row r="121" spans="1:11" x14ac:dyDescent="0.25">
      <c r="A121" s="127" t="str">
        <f>IF(A106="","",A106)</f>
        <v/>
      </c>
      <c r="B121" s="128"/>
      <c r="C121" s="123"/>
      <c r="D121" s="150"/>
      <c r="E121" s="150"/>
      <c r="F121" s="148">
        <f>D121*E121</f>
        <v>0</v>
      </c>
      <c r="H121" s="150"/>
      <c r="I121" s="150"/>
      <c r="J121" s="148">
        <f>H121*I121</f>
        <v>0</v>
      </c>
      <c r="K121" s="184"/>
    </row>
    <row r="122" spans="1:11" x14ac:dyDescent="0.25">
      <c r="A122" s="127" t="str">
        <f>IF(A107="","",A107)</f>
        <v/>
      </c>
      <c r="B122" s="128"/>
      <c r="C122" s="123"/>
      <c r="D122" s="150"/>
      <c r="E122" s="150"/>
      <c r="F122" s="148">
        <f t="shared" si="25"/>
        <v>0</v>
      </c>
      <c r="H122" s="150"/>
      <c r="I122" s="150"/>
      <c r="J122" s="148">
        <f>H122*I122</f>
        <v>0</v>
      </c>
      <c r="K122" s="184"/>
    </row>
    <row r="123" spans="1:11" x14ac:dyDescent="0.25">
      <c r="A123" s="122" t="s">
        <v>61</v>
      </c>
      <c r="B123" s="143"/>
      <c r="C123" s="123"/>
      <c r="D123" s="144"/>
      <c r="E123" s="127"/>
      <c r="F123" s="144">
        <f>SUM(F112:F122)</f>
        <v>943874.50790869084</v>
      </c>
      <c r="G123" s="127"/>
      <c r="H123" s="127"/>
      <c r="I123" s="127"/>
      <c r="J123" s="144">
        <f>SUM(J112:J122)</f>
        <v>397961.15272940299</v>
      </c>
      <c r="K123" s="148">
        <f>F123+J123</f>
        <v>1341835.6606380939</v>
      </c>
    </row>
    <row r="124" spans="1:11" ht="6.75" customHeight="1" x14ac:dyDescent="0.25">
      <c r="A124" s="122"/>
      <c r="B124" s="140"/>
      <c r="C124" s="123"/>
      <c r="D124" s="154"/>
      <c r="E124" s="153"/>
      <c r="F124" s="144"/>
      <c r="H124" s="125"/>
      <c r="I124" s="153"/>
      <c r="J124" s="144"/>
      <c r="K124" s="155"/>
    </row>
    <row r="125" spans="1:11" ht="15" customHeight="1" x14ac:dyDescent="0.25">
      <c r="A125" s="118" t="s">
        <v>70</v>
      </c>
      <c r="B125" s="189"/>
      <c r="C125" s="119"/>
      <c r="D125" s="191"/>
      <c r="E125" s="190"/>
      <c r="F125" s="184"/>
      <c r="G125" s="8"/>
      <c r="H125" s="193"/>
      <c r="I125" s="190"/>
      <c r="J125" s="184" t="s">
        <v>58</v>
      </c>
      <c r="K125" s="189" t="s">
        <v>53</v>
      </c>
    </row>
    <row r="126" spans="1:11" x14ac:dyDescent="0.25">
      <c r="A126" s="122" t="s">
        <v>63</v>
      </c>
      <c r="B126" s="195"/>
      <c r="C126" s="119"/>
      <c r="D126" s="192"/>
      <c r="E126" s="196"/>
      <c r="F126" s="184"/>
      <c r="G126" s="8"/>
      <c r="H126" s="197"/>
      <c r="I126" s="196"/>
      <c r="J126" s="184"/>
      <c r="K126" s="195"/>
    </row>
    <row r="127" spans="1:11" x14ac:dyDescent="0.25">
      <c r="A127" s="127" t="str">
        <f t="shared" ref="A127:A132" si="28">IF(A112="","",A112)</f>
        <v>Residential</v>
      </c>
      <c r="B127" s="128"/>
      <c r="C127" s="123"/>
      <c r="D127" s="146">
        <f>D112</f>
        <v>1539171416.2571933</v>
      </c>
      <c r="E127" s="147">
        <v>1.5E-3</v>
      </c>
      <c r="F127" s="148">
        <f>D127*E127</f>
        <v>2308757.12438579</v>
      </c>
      <c r="H127" s="146">
        <f>H82</f>
        <v>19088638.643028274</v>
      </c>
      <c r="I127" s="147">
        <f>E127</f>
        <v>1.5E-3</v>
      </c>
      <c r="J127" s="148">
        <f>H127*I127</f>
        <v>28632.957964542413</v>
      </c>
      <c r="K127" s="184"/>
    </row>
    <row r="128" spans="1:11" x14ac:dyDescent="0.25">
      <c r="A128" s="127" t="str">
        <f t="shared" si="28"/>
        <v>Residential Seasonal</v>
      </c>
      <c r="B128" s="128"/>
      <c r="C128" s="123"/>
      <c r="D128" s="146">
        <f t="shared" ref="D128:D135" si="29">D113</f>
        <v>13514104.065510208</v>
      </c>
      <c r="E128" s="147">
        <f>E127</f>
        <v>1.5E-3</v>
      </c>
      <c r="F128" s="148">
        <f t="shared" ref="F128:F136" si="30">D128*E128</f>
        <v>20271.156098265314</v>
      </c>
      <c r="H128" s="146">
        <f t="shared" ref="H128:H135" si="31">H83</f>
        <v>167600.46760620063</v>
      </c>
      <c r="I128" s="147">
        <f t="shared" ref="I128:I135" si="32">E128</f>
        <v>1.5E-3</v>
      </c>
      <c r="J128" s="148">
        <f t="shared" ref="J128:J135" si="33">H128*I128</f>
        <v>251.40070140930095</v>
      </c>
      <c r="K128" s="184"/>
    </row>
    <row r="129" spans="1:11" x14ac:dyDescent="0.25">
      <c r="A129" s="127" t="str">
        <f t="shared" si="28"/>
        <v>GS&lt;50</v>
      </c>
      <c r="B129" s="128"/>
      <c r="C129" s="123"/>
      <c r="D129" s="146">
        <f t="shared" si="29"/>
        <v>319616638.86927801</v>
      </c>
      <c r="E129" s="147">
        <f t="shared" ref="E129:E135" si="34">E128</f>
        <v>1.5E-3</v>
      </c>
      <c r="F129" s="148">
        <f t="shared" si="30"/>
        <v>479424.95830391702</v>
      </c>
      <c r="H129" s="146">
        <f t="shared" si="31"/>
        <v>49884116.884590782</v>
      </c>
      <c r="I129" s="147">
        <f t="shared" si="32"/>
        <v>1.5E-3</v>
      </c>
      <c r="J129" s="148">
        <f t="shared" si="33"/>
        <v>74826.175326886179</v>
      </c>
      <c r="K129" s="184"/>
    </row>
    <row r="130" spans="1:11" x14ac:dyDescent="0.25">
      <c r="A130" s="127" t="str">
        <f t="shared" si="28"/>
        <v>GS 50 - 2,999</v>
      </c>
      <c r="B130" s="128"/>
      <c r="C130" s="123"/>
      <c r="D130" s="146">
        <f t="shared" si="29"/>
        <v>472815991.90154064</v>
      </c>
      <c r="E130" s="147">
        <f t="shared" si="34"/>
        <v>1.5E-3</v>
      </c>
      <c r="F130" s="148">
        <f t="shared" si="30"/>
        <v>709223.98785231099</v>
      </c>
      <c r="H130" s="146">
        <f t="shared" si="31"/>
        <v>911188335.80263889</v>
      </c>
      <c r="I130" s="147">
        <f t="shared" si="32"/>
        <v>1.5E-3</v>
      </c>
      <c r="J130" s="148">
        <f t="shared" si="33"/>
        <v>1366782.5037039584</v>
      </c>
      <c r="K130" s="184"/>
    </row>
    <row r="131" spans="1:11" x14ac:dyDescent="0.25">
      <c r="A131" s="127" t="str">
        <f t="shared" si="28"/>
        <v>GS 3,000 - 4,999</v>
      </c>
      <c r="B131" s="128"/>
      <c r="C131" s="123"/>
      <c r="D131" s="146">
        <f t="shared" si="29"/>
        <v>7732626.9183598598</v>
      </c>
      <c r="E131" s="147">
        <f t="shared" si="34"/>
        <v>1.5E-3</v>
      </c>
      <c r="F131" s="148">
        <f t="shared" si="30"/>
        <v>11598.94037753979</v>
      </c>
      <c r="H131" s="146">
        <f t="shared" si="31"/>
        <v>283800728.016096</v>
      </c>
      <c r="I131" s="147">
        <f t="shared" si="32"/>
        <v>1.5E-3</v>
      </c>
      <c r="J131" s="148">
        <f t="shared" si="33"/>
        <v>425701.09202414402</v>
      </c>
      <c r="K131" s="184"/>
    </row>
    <row r="132" spans="1:11" x14ac:dyDescent="0.25">
      <c r="A132" s="127" t="str">
        <f t="shared" si="28"/>
        <v>Large Use</v>
      </c>
      <c r="B132" s="128"/>
      <c r="C132" s="123"/>
      <c r="D132" s="146">
        <f t="shared" si="29"/>
        <v>0</v>
      </c>
      <c r="E132" s="147">
        <f t="shared" si="34"/>
        <v>1.5E-3</v>
      </c>
      <c r="F132" s="148">
        <f>D132*E132</f>
        <v>0</v>
      </c>
      <c r="H132" s="146">
        <f t="shared" si="31"/>
        <v>437866930.0144859</v>
      </c>
      <c r="I132" s="147">
        <f t="shared" si="32"/>
        <v>1.5E-3</v>
      </c>
      <c r="J132" s="148">
        <f t="shared" si="33"/>
        <v>656800.39502172882</v>
      </c>
      <c r="K132" s="184"/>
    </row>
    <row r="133" spans="1:11" x14ac:dyDescent="0.25">
      <c r="A133" s="127" t="str">
        <f>IF(A118="","",A118)</f>
        <v>Street Light</v>
      </c>
      <c r="B133" s="128"/>
      <c r="C133" s="123"/>
      <c r="D133" s="146">
        <f t="shared" si="29"/>
        <v>0</v>
      </c>
      <c r="E133" s="147">
        <f t="shared" si="34"/>
        <v>1.5E-3</v>
      </c>
      <c r="F133" s="148">
        <f t="shared" si="30"/>
        <v>0</v>
      </c>
      <c r="H133" s="146">
        <f t="shared" si="31"/>
        <v>16273488.111354187</v>
      </c>
      <c r="I133" s="147">
        <f t="shared" si="32"/>
        <v>1.5E-3</v>
      </c>
      <c r="J133" s="148">
        <f t="shared" si="33"/>
        <v>24410.232167031281</v>
      </c>
      <c r="K133" s="184"/>
    </row>
    <row r="134" spans="1:11" x14ac:dyDescent="0.25">
      <c r="A134" s="127" t="str">
        <f>IF(A119="","",A119)</f>
        <v>Sentinel Light</v>
      </c>
      <c r="B134" s="128"/>
      <c r="C134" s="123"/>
      <c r="D134" s="146">
        <f t="shared" si="29"/>
        <v>91087.249324986842</v>
      </c>
      <c r="E134" s="147">
        <f t="shared" si="34"/>
        <v>1.5E-3</v>
      </c>
      <c r="F134" s="148">
        <f t="shared" si="30"/>
        <v>136.63087398748027</v>
      </c>
      <c r="H134" s="146">
        <f t="shared" si="31"/>
        <v>0</v>
      </c>
      <c r="I134" s="147">
        <f t="shared" si="32"/>
        <v>1.5E-3</v>
      </c>
      <c r="J134" s="148">
        <f t="shared" si="33"/>
        <v>0</v>
      </c>
      <c r="K134" s="184"/>
    </row>
    <row r="135" spans="1:11" x14ac:dyDescent="0.25">
      <c r="A135" s="127" t="str">
        <f>IF(A120="","",A120)</f>
        <v>USL</v>
      </c>
      <c r="B135" s="128"/>
      <c r="C135" s="123"/>
      <c r="D135" s="146">
        <f t="shared" si="29"/>
        <v>6744404.510519959</v>
      </c>
      <c r="E135" s="147">
        <f t="shared" si="34"/>
        <v>1.5E-3</v>
      </c>
      <c r="F135" s="148">
        <f t="shared" si="30"/>
        <v>10116.606765779939</v>
      </c>
      <c r="H135" s="146">
        <f t="shared" si="31"/>
        <v>4280.034540994121</v>
      </c>
      <c r="I135" s="147">
        <f t="shared" si="32"/>
        <v>1.5E-3</v>
      </c>
      <c r="J135" s="148">
        <f t="shared" si="33"/>
        <v>6.4200518114911818</v>
      </c>
      <c r="K135" s="184"/>
    </row>
    <row r="136" spans="1:11" x14ac:dyDescent="0.25">
      <c r="A136" s="127" t="str">
        <f>IF(A121="","",A121)</f>
        <v/>
      </c>
      <c r="B136" s="128"/>
      <c r="C136" s="123"/>
      <c r="D136" s="150"/>
      <c r="E136" s="150"/>
      <c r="F136" s="148">
        <f t="shared" si="30"/>
        <v>0</v>
      </c>
      <c r="H136" s="150"/>
      <c r="I136" s="150"/>
      <c r="J136" s="148">
        <f>H136*I136</f>
        <v>0</v>
      </c>
      <c r="K136" s="184"/>
    </row>
    <row r="137" spans="1:11" x14ac:dyDescent="0.25">
      <c r="A137" s="127" t="str">
        <f>IF(A122="","",A122)</f>
        <v/>
      </c>
      <c r="B137" s="128"/>
      <c r="C137" s="123"/>
      <c r="D137" s="150"/>
      <c r="E137" s="150"/>
      <c r="F137" s="148">
        <f>D137*E137</f>
        <v>0</v>
      </c>
      <c r="H137" s="150"/>
      <c r="I137" s="150"/>
      <c r="J137" s="148">
        <f>H137*I137</f>
        <v>0</v>
      </c>
      <c r="K137" s="184"/>
    </row>
    <row r="138" spans="1:11" x14ac:dyDescent="0.25">
      <c r="A138" s="122" t="s">
        <v>61</v>
      </c>
      <c r="B138" s="143"/>
      <c r="C138" s="131"/>
      <c r="D138" s="144"/>
      <c r="E138" s="127"/>
      <c r="F138" s="144">
        <f>SUM(F127:F137)</f>
        <v>3539529.4046575907</v>
      </c>
      <c r="G138" s="127"/>
      <c r="H138" s="127"/>
      <c r="I138" s="127"/>
      <c r="J138" s="144">
        <f>SUM(J127:J137)</f>
        <v>2577411.1769615114</v>
      </c>
      <c r="K138" s="148">
        <f>F138+J138</f>
        <v>6116940.5816191025</v>
      </c>
    </row>
    <row r="139" spans="1:11" ht="6.75" customHeight="1" x14ac:dyDescent="0.25"/>
    <row r="140" spans="1:11" ht="15.75" customHeight="1" x14ac:dyDescent="0.25">
      <c r="A140" s="118" t="s">
        <v>71</v>
      </c>
      <c r="B140" s="189"/>
      <c r="C140" s="119"/>
      <c r="D140" s="191"/>
      <c r="E140" s="190"/>
      <c r="F140" s="184"/>
      <c r="G140" s="8"/>
      <c r="H140" s="193"/>
      <c r="I140" s="190"/>
      <c r="J140" s="184" t="s">
        <v>58</v>
      </c>
      <c r="K140" s="189" t="s">
        <v>53</v>
      </c>
    </row>
    <row r="141" spans="1:11" x14ac:dyDescent="0.25">
      <c r="A141" s="122" t="s">
        <v>63</v>
      </c>
      <c r="B141" s="195"/>
      <c r="C141" s="119"/>
      <c r="D141" s="192"/>
      <c r="E141" s="196"/>
      <c r="F141" s="184"/>
      <c r="G141" s="8"/>
      <c r="H141" s="197"/>
      <c r="I141" s="196"/>
      <c r="J141" s="184"/>
      <c r="K141" s="195"/>
    </row>
    <row r="142" spans="1:11" x14ac:dyDescent="0.25">
      <c r="A142" s="127" t="str">
        <f t="shared" ref="A142:A147" si="35">IF(A127="","",A127)</f>
        <v>Residential</v>
      </c>
      <c r="B142" s="128"/>
      <c r="C142" s="123"/>
      <c r="D142" s="146">
        <v>1477841014.1691725</v>
      </c>
      <c r="E142" s="147">
        <v>1.5E-3</v>
      </c>
      <c r="F142" s="148">
        <f>D142*E142</f>
        <v>2216761.521253759</v>
      </c>
      <c r="H142" s="146">
        <v>18328025.581400167</v>
      </c>
      <c r="I142" s="147">
        <f>E142</f>
        <v>1.5E-3</v>
      </c>
      <c r="J142" s="148">
        <f>H142*I142</f>
        <v>27492.038372100251</v>
      </c>
      <c r="K142" s="184"/>
    </row>
    <row r="143" spans="1:11" x14ac:dyDescent="0.25">
      <c r="A143" s="127" t="str">
        <f t="shared" si="35"/>
        <v>Residential Seasonal</v>
      </c>
      <c r="B143" s="128"/>
      <c r="C143" s="123"/>
      <c r="D143" s="146">
        <v>12975616.001450032</v>
      </c>
      <c r="E143" s="147">
        <v>1.8E-3</v>
      </c>
      <c r="F143" s="148">
        <f t="shared" ref="F143:F152" si="36">D143*E143</f>
        <v>23356.108802610055</v>
      </c>
      <c r="H143" s="146">
        <v>160922.19645338514</v>
      </c>
      <c r="I143" s="147">
        <f t="shared" ref="I143:I150" si="37">E143</f>
        <v>1.8E-3</v>
      </c>
      <c r="J143" s="148">
        <f t="shared" ref="J143:J150" si="38">H143*I143</f>
        <v>289.65995361609328</v>
      </c>
      <c r="K143" s="184"/>
    </row>
    <row r="144" spans="1:11" x14ac:dyDescent="0.25">
      <c r="A144" s="127" t="str">
        <f t="shared" si="35"/>
        <v>GS&lt;50</v>
      </c>
      <c r="B144" s="128"/>
      <c r="C144" s="123"/>
      <c r="D144" s="146">
        <v>306881074.28639269</v>
      </c>
      <c r="E144" s="147">
        <v>1.4E-3</v>
      </c>
      <c r="F144" s="148">
        <f t="shared" si="36"/>
        <v>429633.50400094973</v>
      </c>
      <c r="H144" s="146">
        <v>47896415.635708854</v>
      </c>
      <c r="I144" s="147">
        <f t="shared" si="37"/>
        <v>1.4E-3</v>
      </c>
      <c r="J144" s="148">
        <f t="shared" si="38"/>
        <v>67054.981889992399</v>
      </c>
      <c r="K144" s="184"/>
    </row>
    <row r="145" spans="1:12" x14ac:dyDescent="0.25">
      <c r="A145" s="127" t="str">
        <f t="shared" si="35"/>
        <v>GS 50 - 2,999</v>
      </c>
      <c r="B145" s="128"/>
      <c r="C145" s="123"/>
      <c r="D145" s="146">
        <v>1112434.4463299864</v>
      </c>
      <c r="E145" s="147">
        <v>0.57389999999999997</v>
      </c>
      <c r="F145" s="148">
        <f t="shared" si="36"/>
        <v>638426.12874877919</v>
      </c>
      <c r="H145" s="146">
        <v>2143830.3889941829</v>
      </c>
      <c r="I145" s="147">
        <f t="shared" si="37"/>
        <v>0.57389999999999997</v>
      </c>
      <c r="J145" s="148">
        <f t="shared" si="38"/>
        <v>1230344.2602437616</v>
      </c>
      <c r="K145" s="184"/>
    </row>
    <row r="146" spans="1:12" x14ac:dyDescent="0.25">
      <c r="A146" s="127" t="str">
        <f t="shared" si="35"/>
        <v>GS 3,000 - 4,999</v>
      </c>
      <c r="B146" s="128"/>
      <c r="C146" s="123"/>
      <c r="D146" s="146">
        <v>16028.271451649167</v>
      </c>
      <c r="E146" s="147">
        <v>0.40760000000000002</v>
      </c>
      <c r="F146" s="148">
        <f t="shared" si="36"/>
        <v>6533.1234436922005</v>
      </c>
      <c r="H146" s="146">
        <v>588265.17234617576</v>
      </c>
      <c r="I146" s="147">
        <f t="shared" si="37"/>
        <v>0.40760000000000002</v>
      </c>
      <c r="J146" s="148">
        <f t="shared" si="38"/>
        <v>239776.88424830124</v>
      </c>
      <c r="K146" s="184"/>
    </row>
    <row r="147" spans="1:12" x14ac:dyDescent="0.25">
      <c r="A147" s="127" t="str">
        <f t="shared" si="35"/>
        <v>Large Use</v>
      </c>
      <c r="B147" s="128"/>
      <c r="C147" s="123"/>
      <c r="D147" s="146">
        <v>0</v>
      </c>
      <c r="E147" s="147">
        <v>0.62980000000000003</v>
      </c>
      <c r="F147" s="148">
        <f t="shared" si="36"/>
        <v>0</v>
      </c>
      <c r="H147" s="146">
        <v>742951.90772589529</v>
      </c>
      <c r="I147" s="147">
        <f t="shared" si="37"/>
        <v>0.62980000000000003</v>
      </c>
      <c r="J147" s="148">
        <f t="shared" si="38"/>
        <v>467911.11148576887</v>
      </c>
      <c r="K147" s="184"/>
    </row>
    <row r="148" spans="1:12" x14ac:dyDescent="0.25">
      <c r="A148" s="127" t="str">
        <f>IF(A133="","",A133)</f>
        <v>Street Light</v>
      </c>
      <c r="B148" s="128"/>
      <c r="C148" s="156"/>
      <c r="D148" s="146">
        <v>0</v>
      </c>
      <c r="E148" s="147">
        <v>0.39479999999999998</v>
      </c>
      <c r="F148" s="148">
        <f t="shared" si="36"/>
        <v>0</v>
      </c>
      <c r="H148" s="146">
        <v>43544.269818658286</v>
      </c>
      <c r="I148" s="147">
        <f t="shared" si="37"/>
        <v>0.39479999999999998</v>
      </c>
      <c r="J148" s="148">
        <f t="shared" si="38"/>
        <v>17191.277724406289</v>
      </c>
      <c r="K148" s="184"/>
    </row>
    <row r="149" spans="1:12" x14ac:dyDescent="0.25">
      <c r="A149" s="127" t="str">
        <f>IF(A134="","",A134)</f>
        <v>Sentinel Light</v>
      </c>
      <c r="B149" s="128"/>
      <c r="C149" s="156"/>
      <c r="D149" s="146">
        <v>654.39888952205615</v>
      </c>
      <c r="E149" s="147">
        <v>0.37380000000000002</v>
      </c>
      <c r="F149" s="148">
        <f t="shared" si="36"/>
        <v>244.61430490334462</v>
      </c>
      <c r="H149" s="146">
        <v>0</v>
      </c>
      <c r="I149" s="147">
        <f t="shared" si="37"/>
        <v>0.37380000000000002</v>
      </c>
      <c r="J149" s="148">
        <f t="shared" si="38"/>
        <v>0</v>
      </c>
      <c r="K149" s="184"/>
    </row>
    <row r="150" spans="1:12" x14ac:dyDescent="0.25">
      <c r="A150" s="127" t="str">
        <f>IF(A135="","",A135)</f>
        <v>USL</v>
      </c>
      <c r="B150" s="128"/>
      <c r="C150" s="156"/>
      <c r="D150" s="146">
        <v>6475664.4364089863</v>
      </c>
      <c r="E150" s="147">
        <v>1.4E-3</v>
      </c>
      <c r="F150" s="148">
        <f t="shared" si="36"/>
        <v>9065.9302109725813</v>
      </c>
      <c r="H150" s="146">
        <v>4109.4906778628147</v>
      </c>
      <c r="I150" s="147">
        <f t="shared" si="37"/>
        <v>1.4E-3</v>
      </c>
      <c r="J150" s="148">
        <f t="shared" si="38"/>
        <v>5.7532869490079408</v>
      </c>
      <c r="K150" s="184"/>
    </row>
    <row r="151" spans="1:12" ht="14.25" customHeight="1" x14ac:dyDescent="0.25">
      <c r="A151" s="127" t="str">
        <f>IF(A136="","",A136)</f>
        <v/>
      </c>
      <c r="B151" s="128"/>
      <c r="C151" s="123"/>
      <c r="D151" s="150"/>
      <c r="E151" s="150"/>
      <c r="F151" s="148">
        <f>D151*E151</f>
        <v>0</v>
      </c>
      <c r="H151" s="150"/>
      <c r="I151" s="150"/>
      <c r="J151" s="148">
        <f>H151*I151</f>
        <v>0</v>
      </c>
      <c r="K151" s="184"/>
    </row>
    <row r="152" spans="1:12" x14ac:dyDescent="0.25">
      <c r="A152" s="127" t="str">
        <f>IF(A137="","",A137)</f>
        <v/>
      </c>
      <c r="B152" s="128"/>
      <c r="C152" s="123"/>
      <c r="D152" s="150"/>
      <c r="E152" s="150"/>
      <c r="F152" s="148">
        <f t="shared" si="36"/>
        <v>0</v>
      </c>
      <c r="H152" s="150"/>
      <c r="I152" s="150"/>
      <c r="J152" s="148">
        <f>H152*I152</f>
        <v>0</v>
      </c>
      <c r="K152" s="184"/>
    </row>
    <row r="153" spans="1:12" x14ac:dyDescent="0.25">
      <c r="A153" s="122" t="s">
        <v>61</v>
      </c>
      <c r="B153" s="143"/>
      <c r="C153" s="123"/>
      <c r="D153" s="141"/>
      <c r="E153" s="127"/>
      <c r="F153" s="148">
        <f>SUM(F142:F152)</f>
        <v>3324020.9307656661</v>
      </c>
      <c r="G153" s="127"/>
      <c r="H153" s="127"/>
      <c r="I153" s="127"/>
      <c r="J153" s="148">
        <f>SUM(J142:J152)</f>
        <v>2050065.9672048953</v>
      </c>
      <c r="K153" s="135">
        <f>F153+J153</f>
        <v>5374086.8979705609</v>
      </c>
    </row>
    <row r="155" spans="1:12" x14ac:dyDescent="0.25">
      <c r="A155" s="118" t="s">
        <v>72</v>
      </c>
      <c r="B155" s="190"/>
      <c r="C155" s="119"/>
      <c r="D155" s="191"/>
      <c r="E155" s="190"/>
      <c r="F155" s="184"/>
      <c r="G155" s="8"/>
      <c r="H155" s="189"/>
      <c r="I155" s="190"/>
      <c r="J155" s="184" t="s">
        <v>58</v>
      </c>
      <c r="K155" s="191" t="s">
        <v>53</v>
      </c>
    </row>
    <row r="156" spans="1:12" x14ac:dyDescent="0.25">
      <c r="A156" s="122" t="s">
        <v>63</v>
      </c>
      <c r="B156" s="196"/>
      <c r="C156" s="119"/>
      <c r="D156" s="192"/>
      <c r="E156" s="196"/>
      <c r="F156" s="184"/>
      <c r="G156" s="8"/>
      <c r="H156" s="195"/>
      <c r="I156" s="196"/>
      <c r="J156" s="184"/>
      <c r="K156" s="182"/>
      <c r="L156" s="131"/>
    </row>
    <row r="157" spans="1:12" x14ac:dyDescent="0.25">
      <c r="A157" s="157" t="str">
        <f>A142</f>
        <v>Residential</v>
      </c>
      <c r="B157" s="143"/>
      <c r="C157" s="123"/>
      <c r="D157" s="146">
        <v>167350.2046882649</v>
      </c>
      <c r="E157" s="158">
        <v>0.43</v>
      </c>
      <c r="F157" s="148">
        <f>D157*E157*12</f>
        <v>863527.05619144696</v>
      </c>
      <c r="H157" s="150">
        <v>2075.4592700916628</v>
      </c>
      <c r="I157" s="159">
        <f>E157</f>
        <v>0.43</v>
      </c>
      <c r="J157" s="148">
        <f>H157*I157*12</f>
        <v>10709.369833672979</v>
      </c>
      <c r="K157" s="182"/>
      <c r="L157" s="131"/>
    </row>
    <row r="158" spans="1:12" x14ac:dyDescent="0.25">
      <c r="A158" s="157" t="str">
        <f t="shared" ref="A158:A159" si="39">A143</f>
        <v>Residential Seasonal</v>
      </c>
      <c r="B158" s="143"/>
      <c r="C158" s="123"/>
      <c r="D158" s="146">
        <v>1527.4824486669802</v>
      </c>
      <c r="E158" s="158">
        <f>E157</f>
        <v>0.43</v>
      </c>
      <c r="F158" s="148">
        <f t="shared" ref="F158:F164" si="40">D158*E158*12</f>
        <v>7881.8094351216178</v>
      </c>
      <c r="H158" s="150">
        <v>18.943673322023145</v>
      </c>
      <c r="I158" s="159">
        <f>E158</f>
        <v>0.43</v>
      </c>
      <c r="J158" s="148">
        <f t="shared" ref="J158:J163" si="41">H158*I158*12</f>
        <v>97.749354341639417</v>
      </c>
      <c r="K158" s="182"/>
      <c r="L158" s="131"/>
    </row>
    <row r="159" spans="1:12" x14ac:dyDescent="0.25">
      <c r="A159" s="157" t="str">
        <f t="shared" si="39"/>
        <v>GS&lt;50</v>
      </c>
      <c r="B159" s="143"/>
      <c r="C159" s="123"/>
      <c r="D159" s="146">
        <v>10556.399823337453</v>
      </c>
      <c r="E159" s="158">
        <f>E158</f>
        <v>0.43</v>
      </c>
      <c r="F159" s="148">
        <f t="shared" si="40"/>
        <v>54471.023088421258</v>
      </c>
      <c r="H159" s="150">
        <v>1647.5884501220071</v>
      </c>
      <c r="I159" s="159">
        <f>E159</f>
        <v>0.43</v>
      </c>
      <c r="J159" s="148">
        <f t="shared" si="41"/>
        <v>8501.556402629556</v>
      </c>
      <c r="K159" s="182"/>
      <c r="L159" s="131"/>
    </row>
    <row r="160" spans="1:12" x14ac:dyDescent="0.25">
      <c r="A160" s="160"/>
      <c r="B160" s="143"/>
      <c r="C160" s="123"/>
      <c r="D160" s="150"/>
      <c r="E160" s="150"/>
      <c r="F160" s="148">
        <f t="shared" si="40"/>
        <v>0</v>
      </c>
      <c r="H160" s="150"/>
      <c r="I160" s="150"/>
      <c r="J160" s="148">
        <f t="shared" si="41"/>
        <v>0</v>
      </c>
      <c r="K160" s="182"/>
      <c r="L160" s="131"/>
    </row>
    <row r="161" spans="1:12" x14ac:dyDescent="0.25">
      <c r="A161" s="160"/>
      <c r="B161" s="143"/>
      <c r="C161" s="123"/>
      <c r="D161" s="150"/>
      <c r="E161" s="150"/>
      <c r="F161" s="148">
        <f t="shared" si="40"/>
        <v>0</v>
      </c>
      <c r="H161" s="150"/>
      <c r="I161" s="150"/>
      <c r="J161" s="148">
        <f t="shared" si="41"/>
        <v>0</v>
      </c>
      <c r="K161" s="182"/>
      <c r="L161" s="131"/>
    </row>
    <row r="162" spans="1:12" x14ac:dyDescent="0.25">
      <c r="A162" s="160"/>
      <c r="B162" s="143"/>
      <c r="C162" s="123"/>
      <c r="D162" s="150"/>
      <c r="E162" s="150"/>
      <c r="F162" s="148">
        <f t="shared" si="40"/>
        <v>0</v>
      </c>
      <c r="H162" s="150"/>
      <c r="I162" s="150"/>
      <c r="J162" s="148">
        <f t="shared" si="41"/>
        <v>0</v>
      </c>
      <c r="K162" s="182"/>
      <c r="L162" s="131"/>
    </row>
    <row r="163" spans="1:12" x14ac:dyDescent="0.25">
      <c r="A163" s="160"/>
      <c r="B163" s="143"/>
      <c r="C163" s="123"/>
      <c r="D163" s="150"/>
      <c r="E163" s="150"/>
      <c r="F163" s="148">
        <f t="shared" si="40"/>
        <v>0</v>
      </c>
      <c r="H163" s="150"/>
      <c r="I163" s="150"/>
      <c r="J163" s="148">
        <f t="shared" si="41"/>
        <v>0</v>
      </c>
      <c r="K163" s="182"/>
      <c r="L163" s="131"/>
    </row>
    <row r="164" spans="1:12" x14ac:dyDescent="0.25">
      <c r="A164" s="160"/>
      <c r="B164" s="143"/>
      <c r="C164" s="123"/>
      <c r="D164" s="150"/>
      <c r="E164" s="150"/>
      <c r="F164" s="148">
        <f t="shared" si="40"/>
        <v>0</v>
      </c>
      <c r="H164" s="150"/>
      <c r="I164" s="150"/>
      <c r="J164" s="148">
        <f>H164*I164*12</f>
        <v>0</v>
      </c>
      <c r="K164" s="161"/>
      <c r="L164" s="131"/>
    </row>
    <row r="165" spans="1:12" x14ac:dyDescent="0.25">
      <c r="A165" s="122" t="s">
        <v>61</v>
      </c>
      <c r="B165" s="143"/>
      <c r="C165" s="123"/>
      <c r="D165" s="127"/>
      <c r="E165" s="127"/>
      <c r="F165" s="148">
        <f>SUM(F157:F164)</f>
        <v>925879.88871498976</v>
      </c>
      <c r="G165" s="127"/>
      <c r="H165" s="127"/>
      <c r="I165" s="127"/>
      <c r="J165" s="148">
        <f>SUM(J157:J164)</f>
        <v>19308.675590644176</v>
      </c>
      <c r="K165" s="148">
        <f>F165+J165</f>
        <v>945188.56430563389</v>
      </c>
    </row>
    <row r="166" spans="1:12" x14ac:dyDescent="0.25">
      <c r="A166" s="127"/>
      <c r="B166" s="127"/>
      <c r="C166" s="123"/>
      <c r="D166" s="127"/>
      <c r="E166" s="127"/>
      <c r="F166" s="127"/>
      <c r="G166" s="127"/>
      <c r="H166" s="127"/>
      <c r="I166" s="127"/>
      <c r="J166" s="127"/>
    </row>
    <row r="167" spans="1:12" x14ac:dyDescent="0.25">
      <c r="A167" s="122" t="s">
        <v>73</v>
      </c>
      <c r="B167" s="127"/>
      <c r="C167" s="123"/>
      <c r="D167" s="127"/>
      <c r="E167" s="127"/>
      <c r="F167" s="148">
        <f>SUM(F24+F61+F78+F93+F138+F153+F165+F123)</f>
        <v>392610093.65067816</v>
      </c>
      <c r="G167" s="127"/>
      <c r="H167" s="127"/>
      <c r="I167" s="127"/>
      <c r="J167" s="148">
        <f>J24+J44+J61+J78+J93+J108+J123+J138+J153+J165</f>
        <v>162532253.99204218</v>
      </c>
      <c r="K167" s="135">
        <f>+F167+J167</f>
        <v>555142347.64272034</v>
      </c>
    </row>
    <row r="168" spans="1:12" ht="15.75" thickBot="1" x14ac:dyDescent="0.3">
      <c r="A168" s="122" t="s">
        <v>74</v>
      </c>
      <c r="B168" s="162">
        <v>0.23499999999999999</v>
      </c>
      <c r="C168" s="123"/>
      <c r="D168" s="150"/>
      <c r="E168" s="150"/>
      <c r="F168" s="163">
        <f>-F167*B168</f>
        <v>-92263372.007909358</v>
      </c>
      <c r="G168" s="127"/>
      <c r="H168" s="150"/>
      <c r="I168" s="150"/>
      <c r="J168" s="127">
        <v>0</v>
      </c>
      <c r="K168" s="135">
        <f>+F168+J168</f>
        <v>-92263372.007909358</v>
      </c>
    </row>
    <row r="169" spans="1:12" ht="15.75" thickBot="1" x14ac:dyDescent="0.3">
      <c r="A169" s="122" t="s">
        <v>38</v>
      </c>
      <c r="B169" s="164"/>
      <c r="C169" s="165"/>
      <c r="D169" s="122"/>
      <c r="E169" s="122"/>
      <c r="F169" s="166">
        <f>+F167+F168</f>
        <v>300346721.6427688</v>
      </c>
      <c r="G169" s="122"/>
      <c r="H169" s="122"/>
      <c r="I169" s="122"/>
      <c r="J169" s="166">
        <f>+J167+J168</f>
        <v>162532253.99204218</v>
      </c>
      <c r="K169" s="166">
        <f>+K167+K168</f>
        <v>462878975.63481098</v>
      </c>
    </row>
    <row r="170" spans="1:12" ht="15.75" thickTop="1" x14ac:dyDescent="0.25">
      <c r="A170" s="165"/>
      <c r="B170" s="167"/>
      <c r="C170" s="116"/>
      <c r="D170" s="116"/>
      <c r="E170" s="116"/>
      <c r="F170" s="168"/>
      <c r="G170" s="116"/>
      <c r="H170" s="116"/>
      <c r="I170" s="116"/>
      <c r="J170" s="168"/>
      <c r="K170" s="168"/>
    </row>
    <row r="171" spans="1:12" x14ac:dyDescent="0.25">
      <c r="A171" s="123" t="s">
        <v>75</v>
      </c>
    </row>
    <row r="172" spans="1:12" x14ac:dyDescent="0.25">
      <c r="A172" s="123" t="s">
        <v>76</v>
      </c>
    </row>
    <row r="173" spans="1:12" x14ac:dyDescent="0.25">
      <c r="A173" s="116"/>
    </row>
    <row r="174" spans="1:12" x14ac:dyDescent="0.25">
      <c r="D174" s="198" t="str">
        <f>D10 &amp; " - Cop"</f>
        <v>2027 Test Year - Cop</v>
      </c>
      <c r="E174" s="198"/>
    </row>
    <row r="175" spans="1:12" x14ac:dyDescent="0.25">
      <c r="B175" s="1" t="str">
        <f>LEFT(D175,4)</f>
        <v>4705</v>
      </c>
      <c r="D175" s="127" t="s">
        <v>77</v>
      </c>
      <c r="E175" s="169">
        <f>K24</f>
        <v>354035756.54354775</v>
      </c>
    </row>
    <row r="176" spans="1:12" x14ac:dyDescent="0.25">
      <c r="B176" s="1" t="str">
        <f t="shared" ref="B176:B181" si="42">LEFT(D176,4)</f>
        <v>4707</v>
      </c>
      <c r="D176" s="127" t="s">
        <v>78</v>
      </c>
      <c r="E176" s="136">
        <f>K44</f>
        <v>83433054.046587884</v>
      </c>
    </row>
    <row r="177" spans="2:5" x14ac:dyDescent="0.25">
      <c r="B177" s="1" t="str">
        <f t="shared" si="42"/>
        <v>4708</v>
      </c>
      <c r="D177" s="127" t="s">
        <v>79</v>
      </c>
      <c r="E177" s="136">
        <f>(K93+K108+K123+K138)</f>
        <v>25693244.883255374</v>
      </c>
    </row>
    <row r="178" spans="2:5" x14ac:dyDescent="0.25">
      <c r="B178" s="1" t="str">
        <f t="shared" si="42"/>
        <v>4714</v>
      </c>
      <c r="D178" s="127" t="s">
        <v>80</v>
      </c>
      <c r="E178" s="136">
        <f>K61</f>
        <v>50487023.413330108</v>
      </c>
    </row>
    <row r="179" spans="2:5" x14ac:dyDescent="0.25">
      <c r="B179" s="1" t="str">
        <f t="shared" si="42"/>
        <v>4716</v>
      </c>
      <c r="D179" s="127" t="s">
        <v>81</v>
      </c>
      <c r="E179" s="136">
        <f>K78</f>
        <v>35173993.293723002</v>
      </c>
    </row>
    <row r="180" spans="2:5" x14ac:dyDescent="0.25">
      <c r="B180" s="1" t="str">
        <f t="shared" si="42"/>
        <v>4750</v>
      </c>
      <c r="D180" s="127" t="s">
        <v>82</v>
      </c>
      <c r="E180" s="136">
        <f>K153</f>
        <v>5374086.8979705609</v>
      </c>
    </row>
    <row r="181" spans="2:5" x14ac:dyDescent="0.25">
      <c r="B181" s="1" t="str">
        <f t="shared" si="42"/>
        <v>4751</v>
      </c>
      <c r="D181" s="127" t="s">
        <v>83</v>
      </c>
      <c r="E181" s="136">
        <f>K165</f>
        <v>945188.56430563389</v>
      </c>
    </row>
    <row r="182" spans="2:5" x14ac:dyDescent="0.25">
      <c r="D182" s="127" t="s">
        <v>84</v>
      </c>
      <c r="E182" s="136">
        <f>+K168</f>
        <v>-92263372.007909358</v>
      </c>
    </row>
    <row r="183" spans="2:5" x14ac:dyDescent="0.25">
      <c r="D183" s="122" t="s">
        <v>38</v>
      </c>
      <c r="E183" s="170">
        <f>SUM(E175:E182)</f>
        <v>462878975.63481098</v>
      </c>
    </row>
    <row r="184" spans="2:5" x14ac:dyDescent="0.25">
      <c r="E184" s="111">
        <f>+E183-K169</f>
        <v>0</v>
      </c>
    </row>
  </sheetData>
  <mergeCells count="90">
    <mergeCell ref="K157:K163"/>
    <mergeCell ref="D174:E174"/>
    <mergeCell ref="K142:K152"/>
    <mergeCell ref="B155:B156"/>
    <mergeCell ref="D155:D156"/>
    <mergeCell ref="E155:E156"/>
    <mergeCell ref="F155:F156"/>
    <mergeCell ref="H155:H156"/>
    <mergeCell ref="I155:I156"/>
    <mergeCell ref="J155:J156"/>
    <mergeCell ref="K155:K156"/>
    <mergeCell ref="K127:K137"/>
    <mergeCell ref="B140:B141"/>
    <mergeCell ref="D140:D141"/>
    <mergeCell ref="E140:E141"/>
    <mergeCell ref="F140:F141"/>
    <mergeCell ref="H140:H141"/>
    <mergeCell ref="I140:I141"/>
    <mergeCell ref="J140:J141"/>
    <mergeCell ref="K140:K141"/>
    <mergeCell ref="K112:K122"/>
    <mergeCell ref="B125:B126"/>
    <mergeCell ref="D125:D126"/>
    <mergeCell ref="E125:E126"/>
    <mergeCell ref="F125:F126"/>
    <mergeCell ref="H125:H126"/>
    <mergeCell ref="I125:I126"/>
    <mergeCell ref="J125:J126"/>
    <mergeCell ref="K125:K126"/>
    <mergeCell ref="K97:K107"/>
    <mergeCell ref="B110:B111"/>
    <mergeCell ref="D110:D111"/>
    <mergeCell ref="E110:E111"/>
    <mergeCell ref="F110:F111"/>
    <mergeCell ref="H110:H111"/>
    <mergeCell ref="I110:I111"/>
    <mergeCell ref="J110:J111"/>
    <mergeCell ref="K110:K111"/>
    <mergeCell ref="K82:K92"/>
    <mergeCell ref="B95:B96"/>
    <mergeCell ref="D95:D96"/>
    <mergeCell ref="E95:E96"/>
    <mergeCell ref="F95:F96"/>
    <mergeCell ref="H95:H96"/>
    <mergeCell ref="I95:I96"/>
    <mergeCell ref="J95:J96"/>
    <mergeCell ref="K95:K96"/>
    <mergeCell ref="K65:K77"/>
    <mergeCell ref="B80:B81"/>
    <mergeCell ref="D80:D81"/>
    <mergeCell ref="E80:E81"/>
    <mergeCell ref="F80:F81"/>
    <mergeCell ref="H80:H81"/>
    <mergeCell ref="I80:I81"/>
    <mergeCell ref="J80:J81"/>
    <mergeCell ref="K80:K81"/>
    <mergeCell ref="K48:K60"/>
    <mergeCell ref="B63:B64"/>
    <mergeCell ref="D63:D64"/>
    <mergeCell ref="E63:E64"/>
    <mergeCell ref="F63:F64"/>
    <mergeCell ref="H63:H64"/>
    <mergeCell ref="I63:I64"/>
    <mergeCell ref="J63:J64"/>
    <mergeCell ref="K63:K64"/>
    <mergeCell ref="K28:K43"/>
    <mergeCell ref="B46:B47"/>
    <mergeCell ref="D46:D47"/>
    <mergeCell ref="E46:E47"/>
    <mergeCell ref="F46:F47"/>
    <mergeCell ref="H46:H47"/>
    <mergeCell ref="I46:I47"/>
    <mergeCell ref="J46:J47"/>
    <mergeCell ref="K46:K47"/>
    <mergeCell ref="K12:K23"/>
    <mergeCell ref="I25:J25"/>
    <mergeCell ref="B26:B27"/>
    <mergeCell ref="D26:D27"/>
    <mergeCell ref="E26:E27"/>
    <mergeCell ref="F26:F27"/>
    <mergeCell ref="H26:H27"/>
    <mergeCell ref="I26:I27"/>
    <mergeCell ref="J26:J27"/>
    <mergeCell ref="K26:K27"/>
    <mergeCell ref="B11:B12"/>
    <mergeCell ref="A1:J1"/>
    <mergeCell ref="E9:F9"/>
    <mergeCell ref="I9:J9"/>
    <mergeCell ref="E10:F10"/>
    <mergeCell ref="I10:J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9C30F-3DB2-4B9A-BC25-6B972361C532}">
  <sheetPr codeName="Sheet4"/>
  <dimension ref="A1:AA72"/>
  <sheetViews>
    <sheetView topLeftCell="B1" workbookViewId="0">
      <selection activeCell="L8" sqref="L8"/>
    </sheetView>
  </sheetViews>
  <sheetFormatPr defaultColWidth="9.28515625" defaultRowHeight="15" outlineLevelRow="1" x14ac:dyDescent="0.25"/>
  <cols>
    <col min="1" max="1" width="9.28515625" style="1"/>
    <col min="2" max="2" width="43.28515625" style="1" customWidth="1"/>
    <col min="3" max="3" width="7.28515625" style="1" customWidth="1"/>
    <col min="4" max="4" width="10.28515625" style="1" customWidth="1"/>
    <col min="5" max="5" width="7.5703125" style="1" customWidth="1"/>
    <col min="6" max="6" width="20.28515625" style="1" customWidth="1"/>
    <col min="7" max="7" width="14.5703125" style="1" customWidth="1"/>
    <col min="8" max="10" width="17.42578125" style="1" customWidth="1"/>
    <col min="11" max="11" width="21.28515625" style="1" customWidth="1"/>
    <col min="12" max="12" width="16.5703125" style="1" customWidth="1"/>
    <col min="13" max="13" width="12.42578125" style="1" bestFit="1" customWidth="1"/>
    <col min="14" max="14" width="12" style="1" bestFit="1" customWidth="1"/>
    <col min="15" max="16384" width="9.28515625" style="1"/>
  </cols>
  <sheetData>
    <row r="1" spans="1:27" x14ac:dyDescent="0.25">
      <c r="B1" s="2"/>
    </row>
    <row r="2" spans="1:27" x14ac:dyDescent="0.25">
      <c r="A2" s="3"/>
      <c r="B2" s="3"/>
      <c r="C2" s="3"/>
      <c r="D2" s="3"/>
      <c r="E2" s="3"/>
      <c r="K2" s="4" t="s">
        <v>1</v>
      </c>
      <c r="L2" s="5" t="s">
        <v>96</v>
      </c>
    </row>
    <row r="3" spans="1:27" ht="18" x14ac:dyDescent="0.25">
      <c r="A3" s="3"/>
      <c r="C3" s="6"/>
      <c r="D3" s="6"/>
      <c r="E3" s="6"/>
      <c r="F3" s="6"/>
      <c r="G3" s="6"/>
      <c r="H3" s="6"/>
      <c r="I3" s="6"/>
      <c r="J3" s="6"/>
      <c r="K3" s="4" t="s">
        <v>2</v>
      </c>
      <c r="L3" s="7" t="s">
        <v>98</v>
      </c>
    </row>
    <row r="4" spans="1:27" x14ac:dyDescent="0.25">
      <c r="B4" s="174" t="s">
        <v>3</v>
      </c>
      <c r="C4" s="174"/>
      <c r="D4" s="174"/>
      <c r="E4" s="174"/>
      <c r="F4" s="174"/>
      <c r="G4" s="174"/>
      <c r="H4" s="174"/>
      <c r="I4" s="174"/>
      <c r="K4" s="4" t="s">
        <v>4</v>
      </c>
      <c r="L4" s="7">
        <v>3</v>
      </c>
    </row>
    <row r="5" spans="1:27" ht="18" customHeight="1" x14ac:dyDescent="0.25">
      <c r="B5" s="174"/>
      <c r="C5" s="174"/>
      <c r="D5" s="174"/>
      <c r="E5" s="174"/>
      <c r="F5" s="174"/>
      <c r="G5" s="174"/>
      <c r="H5" s="174"/>
      <c r="I5" s="174"/>
      <c r="J5" s="6"/>
      <c r="K5" s="4" t="s">
        <v>5</v>
      </c>
      <c r="L5" s="7">
        <v>1</v>
      </c>
    </row>
    <row r="6" spans="1:27" ht="15" customHeight="1" x14ac:dyDescent="0.25">
      <c r="B6" s="174"/>
      <c r="C6" s="174"/>
      <c r="D6" s="174"/>
      <c r="E6" s="174"/>
      <c r="F6" s="174"/>
      <c r="G6" s="174"/>
      <c r="H6" s="174"/>
      <c r="I6" s="174"/>
      <c r="J6" s="6"/>
      <c r="K6" s="4" t="s">
        <v>6</v>
      </c>
      <c r="L6" s="5"/>
    </row>
    <row r="7" spans="1:27" x14ac:dyDescent="0.25">
      <c r="B7" s="8"/>
      <c r="K7" s="4"/>
      <c r="L7" s="9" t="s">
        <v>97</v>
      </c>
    </row>
    <row r="8" spans="1:27" x14ac:dyDescent="0.25">
      <c r="B8" s="8"/>
      <c r="K8" s="4" t="s">
        <v>7</v>
      </c>
      <c r="L8" s="199">
        <v>46283</v>
      </c>
    </row>
    <row r="9" spans="1:27" x14ac:dyDescent="0.25">
      <c r="B9" s="8"/>
    </row>
    <row r="10" spans="1:27" ht="15.75" thickBot="1" x14ac:dyDescent="0.3">
      <c r="A10" s="10"/>
      <c r="B10" s="11"/>
      <c r="C10" s="12"/>
      <c r="D10" s="13"/>
      <c r="E10" s="13"/>
      <c r="F10" s="13"/>
      <c r="G10" s="10"/>
      <c r="H10" s="10"/>
      <c r="I10" s="10"/>
      <c r="J10" s="10"/>
      <c r="K10" s="10"/>
      <c r="L10" s="13"/>
      <c r="Q10" s="14"/>
      <c r="R10" s="14"/>
      <c r="S10" s="14"/>
      <c r="T10" s="14"/>
      <c r="U10" s="14"/>
      <c r="V10" s="14"/>
      <c r="Y10" s="15"/>
      <c r="Z10" s="15"/>
      <c r="AA10" s="15"/>
    </row>
    <row r="11" spans="1:27" ht="15.75" x14ac:dyDescent="0.25">
      <c r="A11" s="16"/>
      <c r="B11" s="17"/>
      <c r="C11" s="14"/>
      <c r="D11" s="14"/>
      <c r="E11" s="14"/>
      <c r="F11" s="14"/>
      <c r="G11" s="15"/>
      <c r="H11" s="14"/>
      <c r="I11" s="14"/>
      <c r="J11" s="14"/>
      <c r="K11" s="14"/>
      <c r="L11" s="18"/>
      <c r="M11" s="19"/>
      <c r="N11" s="17"/>
      <c r="O11" s="14"/>
      <c r="P11" s="14"/>
      <c r="Q11" s="14"/>
      <c r="R11" s="14"/>
      <c r="S11" s="14"/>
      <c r="T11" s="14"/>
      <c r="U11" s="14"/>
      <c r="V11" s="14"/>
      <c r="Y11" s="15"/>
      <c r="Z11" s="15"/>
      <c r="AA11" s="15"/>
    </row>
    <row r="12" spans="1:27" ht="15.75" x14ac:dyDescent="0.25">
      <c r="A12" s="18" t="s">
        <v>8</v>
      </c>
      <c r="B12" s="19" t="s">
        <v>9</v>
      </c>
      <c r="C12" s="17"/>
      <c r="D12" s="14"/>
      <c r="E12" s="14"/>
      <c r="F12" s="14"/>
      <c r="G12" s="15"/>
      <c r="H12" s="14"/>
      <c r="I12" s="14"/>
      <c r="J12" s="14"/>
      <c r="K12" s="14"/>
      <c r="L12" s="18"/>
      <c r="M12" s="19"/>
      <c r="N12" s="17"/>
      <c r="O12" s="14"/>
      <c r="P12" s="14"/>
      <c r="Q12" s="14"/>
      <c r="R12" s="14"/>
      <c r="S12" s="14"/>
      <c r="T12" s="14"/>
      <c r="U12" s="14"/>
      <c r="V12" s="14"/>
      <c r="Y12" s="15"/>
      <c r="Z12" s="15"/>
      <c r="AA12" s="15"/>
    </row>
    <row r="13" spans="1:27" ht="16.5" thickBot="1" x14ac:dyDescent="0.3">
      <c r="A13" s="16"/>
      <c r="B13" s="17"/>
      <c r="C13" s="14"/>
      <c r="D13" s="14"/>
      <c r="E13" s="14"/>
      <c r="F13" s="14"/>
      <c r="G13" s="15"/>
      <c r="H13" s="14"/>
      <c r="I13" s="14"/>
      <c r="J13" s="14"/>
      <c r="K13" s="14"/>
      <c r="L13" s="18"/>
      <c r="M13" s="19"/>
      <c r="N13" s="17"/>
      <c r="O13" s="14"/>
      <c r="P13" s="14"/>
      <c r="Q13" s="14"/>
      <c r="R13" s="14"/>
      <c r="S13" s="14"/>
      <c r="T13" s="14"/>
      <c r="U13" s="14"/>
      <c r="V13" s="14"/>
      <c r="Y13" s="15"/>
      <c r="Z13" s="15"/>
      <c r="AA13" s="15"/>
    </row>
    <row r="14" spans="1:27" ht="15.75" thickBot="1" x14ac:dyDescent="0.3">
      <c r="A14" s="15"/>
      <c r="B14" s="15" t="s">
        <v>10</v>
      </c>
      <c r="C14" s="15"/>
      <c r="D14" s="15"/>
      <c r="E14" s="15"/>
      <c r="F14" s="15"/>
      <c r="G14" s="20"/>
      <c r="H14" s="21"/>
      <c r="J14" s="22"/>
      <c r="K14" s="22"/>
      <c r="N14" s="23"/>
      <c r="O14" s="23"/>
      <c r="P14" s="15"/>
    </row>
    <row r="15" spans="1:27" x14ac:dyDescent="0.25">
      <c r="A15" s="18"/>
      <c r="B15" s="24" t="s">
        <v>11</v>
      </c>
      <c r="C15" s="15" t="s">
        <v>12</v>
      </c>
      <c r="D15" s="15"/>
      <c r="E15" s="15"/>
      <c r="F15" s="15"/>
      <c r="G15" s="25" t="s">
        <v>13</v>
      </c>
      <c r="H15" s="26" t="s">
        <v>14</v>
      </c>
      <c r="J15" s="27"/>
      <c r="K15" s="27"/>
      <c r="N15" s="23"/>
      <c r="O15" s="23"/>
      <c r="P15" s="15"/>
    </row>
    <row r="16" spans="1:27" ht="15.75" thickBot="1" x14ac:dyDescent="0.3">
      <c r="A16" s="15"/>
      <c r="B16" s="28"/>
      <c r="C16" s="15"/>
      <c r="D16" s="15"/>
      <c r="E16" s="15"/>
      <c r="F16" s="15"/>
      <c r="G16" s="29"/>
      <c r="H16" s="30"/>
      <c r="J16" s="27"/>
      <c r="K16" s="27"/>
      <c r="N16" s="23"/>
      <c r="O16" s="23"/>
      <c r="P16" s="15"/>
    </row>
    <row r="17" spans="1:16" ht="29.25" customHeight="1" x14ac:dyDescent="0.25">
      <c r="A17" s="15"/>
      <c r="B17" s="31" t="s">
        <v>15</v>
      </c>
      <c r="C17" s="175" t="s">
        <v>16</v>
      </c>
      <c r="D17" s="176"/>
      <c r="E17" s="177"/>
      <c r="F17" s="32"/>
      <c r="G17" s="33">
        <v>56.397443999999993</v>
      </c>
      <c r="H17" s="34">
        <f>G17</f>
        <v>56.397443999999993</v>
      </c>
      <c r="J17" s="35"/>
      <c r="K17" s="35"/>
      <c r="N17" s="15"/>
      <c r="O17" s="15"/>
      <c r="P17" s="15"/>
    </row>
    <row r="18" spans="1:16" ht="32.25" customHeight="1" x14ac:dyDescent="0.25">
      <c r="A18" s="15"/>
      <c r="B18" s="31" t="s">
        <v>17</v>
      </c>
      <c r="C18" s="175" t="s">
        <v>18</v>
      </c>
      <c r="D18" s="176"/>
      <c r="E18" s="177"/>
      <c r="F18" s="36"/>
      <c r="G18" s="37">
        <v>63.452429000000002</v>
      </c>
      <c r="H18" s="38">
        <f>G18</f>
        <v>63.452429000000002</v>
      </c>
      <c r="J18" s="35"/>
      <c r="K18" s="35"/>
      <c r="N18" s="15"/>
      <c r="O18" s="15"/>
      <c r="P18" s="15"/>
    </row>
    <row r="19" spans="1:16" x14ac:dyDescent="0.25">
      <c r="A19" s="15"/>
      <c r="B19" s="31" t="s">
        <v>19</v>
      </c>
      <c r="C19" s="178"/>
      <c r="D19" s="179"/>
      <c r="E19" s="180"/>
      <c r="F19" s="36"/>
      <c r="G19" s="39"/>
      <c r="H19" s="38">
        <v>10.59</v>
      </c>
      <c r="J19" s="40"/>
      <c r="K19" s="35"/>
      <c r="N19" s="15"/>
      <c r="O19" s="15"/>
      <c r="P19" s="15"/>
    </row>
    <row r="20" spans="1:16" ht="40.9" customHeight="1" x14ac:dyDescent="0.25">
      <c r="A20" s="15"/>
      <c r="B20" s="41" t="s">
        <v>20</v>
      </c>
      <c r="C20" s="175" t="s">
        <v>21</v>
      </c>
      <c r="D20" s="176"/>
      <c r="E20" s="177"/>
      <c r="F20" s="36"/>
      <c r="G20" s="42"/>
      <c r="H20" s="43">
        <f>SUM(H17:H19)</f>
        <v>130.43987300000001</v>
      </c>
      <c r="J20" s="44"/>
      <c r="K20" s="44"/>
      <c r="N20" s="15"/>
      <c r="O20" s="15"/>
      <c r="P20" s="15"/>
    </row>
    <row r="21" spans="1:16" ht="15.75" thickBo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5"/>
      <c r="N21" s="15"/>
      <c r="O21" s="15"/>
      <c r="P21" s="15"/>
    </row>
    <row r="22" spans="1:16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5.75" customHeight="1" outlineLevel="1" x14ac:dyDescent="0.25">
      <c r="A23" s="18" t="s">
        <v>22</v>
      </c>
      <c r="B23" s="19" t="s">
        <v>23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5" customHeight="1" outlineLevel="1" x14ac:dyDescent="0.25">
      <c r="A24" s="15"/>
      <c r="B24" s="45" t="s">
        <v>24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5" customHeight="1" outlineLevel="1" x14ac:dyDescent="0.25">
      <c r="A25" s="15"/>
      <c r="B25" s="4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5" customHeight="1" outlineLevel="1" x14ac:dyDescent="0.25">
      <c r="A26" s="15"/>
      <c r="B26" s="46" t="s">
        <v>0</v>
      </c>
      <c r="E26" s="47"/>
      <c r="F26" s="48"/>
      <c r="G26" s="173" t="str">
        <f>2028&amp; " Test Year"</f>
        <v>2028 Test Year</v>
      </c>
      <c r="H26" s="173"/>
      <c r="I26" s="173"/>
      <c r="J26" s="173"/>
      <c r="K26" s="173"/>
      <c r="L26" s="173"/>
      <c r="M26" s="15"/>
      <c r="N26" s="15"/>
      <c r="O26" s="15"/>
      <c r="P26" s="15"/>
    </row>
    <row r="27" spans="1:16" ht="15" customHeight="1" outlineLevel="1" x14ac:dyDescent="0.25">
      <c r="A27" s="15"/>
      <c r="B27" s="49" t="s">
        <v>25</v>
      </c>
      <c r="C27" s="50"/>
      <c r="D27" s="50" t="s">
        <v>26</v>
      </c>
      <c r="E27" s="51" t="s">
        <v>27</v>
      </c>
      <c r="F27" s="52"/>
      <c r="G27" s="52"/>
      <c r="H27" s="52"/>
      <c r="I27" s="52"/>
      <c r="J27" s="52"/>
      <c r="K27" s="52"/>
      <c r="L27" s="52"/>
      <c r="M27" s="15"/>
      <c r="N27" s="15"/>
      <c r="O27" s="15"/>
      <c r="P27" s="15"/>
    </row>
    <row r="28" spans="1:16" ht="42.75" customHeight="1" outlineLevel="1" x14ac:dyDescent="0.25">
      <c r="A28" s="15"/>
      <c r="B28" s="53" t="s">
        <v>28</v>
      </c>
      <c r="C28" s="54" t="s">
        <v>29</v>
      </c>
      <c r="D28" s="54" t="s">
        <v>30</v>
      </c>
      <c r="E28" s="55" t="s">
        <v>30</v>
      </c>
      <c r="F28" s="56" t="s">
        <v>31</v>
      </c>
      <c r="G28" s="56"/>
      <c r="H28" s="56" t="s">
        <v>32</v>
      </c>
      <c r="I28" s="56" t="s">
        <v>33</v>
      </c>
      <c r="J28" s="56" t="s">
        <v>34</v>
      </c>
      <c r="K28" s="56" t="s">
        <v>35</v>
      </c>
      <c r="L28" s="57" t="s">
        <v>36</v>
      </c>
      <c r="M28" s="15"/>
      <c r="N28" s="15"/>
      <c r="O28" s="15"/>
      <c r="P28" s="15"/>
    </row>
    <row r="29" spans="1:16" ht="15" customHeight="1" outlineLevel="1" x14ac:dyDescent="0.25">
      <c r="A29" s="15"/>
      <c r="B29" s="58" t="s">
        <v>85</v>
      </c>
      <c r="C29" s="59" t="s">
        <v>37</v>
      </c>
      <c r="D29" s="59">
        <v>4006</v>
      </c>
      <c r="E29" s="60">
        <v>4705</v>
      </c>
      <c r="F29" s="61">
        <v>0</v>
      </c>
      <c r="G29" s="62"/>
      <c r="H29" s="61">
        <v>19425988.936747134</v>
      </c>
      <c r="I29" s="61">
        <v>1566372933.299252</v>
      </c>
      <c r="J29" s="63">
        <f t="shared" ref="J29:J39" si="0">+$G$17/1000</f>
        <v>5.6397443999999991E-2</v>
      </c>
      <c r="K29" s="63">
        <f t="shared" ref="K29:K39" si="1">+$H$20/1000</f>
        <v>0.13043987300000001</v>
      </c>
      <c r="L29" s="64">
        <f t="shared" ref="L29:L39" si="2">(+F29+H29)*J29+(I29*K29)</f>
        <v>205413062.61339676</v>
      </c>
      <c r="M29" s="15"/>
      <c r="N29" s="15"/>
      <c r="O29" s="15"/>
      <c r="P29" s="15"/>
    </row>
    <row r="30" spans="1:16" ht="15" customHeight="1" outlineLevel="1" x14ac:dyDescent="0.25">
      <c r="A30" s="15"/>
      <c r="B30" s="58" t="s">
        <v>86</v>
      </c>
      <c r="C30" s="59" t="s">
        <v>37</v>
      </c>
      <c r="D30" s="59">
        <v>4010</v>
      </c>
      <c r="E30" s="60">
        <v>4705</v>
      </c>
      <c r="F30" s="61">
        <v>0</v>
      </c>
      <c r="G30" s="62"/>
      <c r="H30" s="61">
        <v>173045.52271645045</v>
      </c>
      <c r="I30" s="61">
        <v>13953154.400233926</v>
      </c>
      <c r="J30" s="63">
        <f t="shared" si="0"/>
        <v>5.6397443999999991E-2</v>
      </c>
      <c r="K30" s="63">
        <f t="shared" si="1"/>
        <v>0.13043987300000001</v>
      </c>
      <c r="L30" s="64">
        <f t="shared" si="2"/>
        <v>1829807.0130927565</v>
      </c>
      <c r="M30" s="15"/>
      <c r="N30" s="15"/>
      <c r="O30" s="15"/>
      <c r="P30" s="15"/>
    </row>
    <row r="31" spans="1:16" ht="15" customHeight="1" outlineLevel="1" x14ac:dyDescent="0.25">
      <c r="A31" s="15"/>
      <c r="B31" s="58" t="s">
        <v>87</v>
      </c>
      <c r="C31" s="59" t="s">
        <v>37</v>
      </c>
      <c r="D31" s="59">
        <v>4035</v>
      </c>
      <c r="E31" s="60">
        <v>4705</v>
      </c>
      <c r="F31" s="61">
        <v>47764.144413551505</v>
      </c>
      <c r="G31" s="62"/>
      <c r="H31" s="61">
        <v>49844019.964211807</v>
      </c>
      <c r="I31" s="61">
        <v>319665764.1726498</v>
      </c>
      <c r="J31" s="63">
        <f t="shared" si="0"/>
        <v>5.6397443999999991E-2</v>
      </c>
      <c r="K31" s="63">
        <f t="shared" si="1"/>
        <v>0.13043987300000001</v>
      </c>
      <c r="L31" s="64">
        <f t="shared" si="2"/>
        <v>44510930.781454675</v>
      </c>
      <c r="M31" s="15"/>
      <c r="N31" s="15"/>
      <c r="O31" s="15"/>
      <c r="P31" s="15"/>
    </row>
    <row r="32" spans="1:16" ht="15" customHeight="1" outlineLevel="1" x14ac:dyDescent="0.25">
      <c r="A32" s="15"/>
      <c r="B32" s="58" t="s">
        <v>88</v>
      </c>
      <c r="C32" s="59" t="s">
        <v>37</v>
      </c>
      <c r="D32" s="59">
        <v>4010</v>
      </c>
      <c r="E32" s="60">
        <v>4705</v>
      </c>
      <c r="F32" s="61">
        <v>101149973.87937345</v>
      </c>
      <c r="G32" s="62"/>
      <c r="H32" s="61">
        <v>816826845.69930279</v>
      </c>
      <c r="I32" s="61">
        <v>476338538.84815764</v>
      </c>
      <c r="J32" s="63">
        <f t="shared" si="0"/>
        <v>5.6397443999999991E-2</v>
      </c>
      <c r="K32" s="63">
        <f t="shared" si="1"/>
        <v>0.13043987300000001</v>
      </c>
      <c r="L32" s="64">
        <f t="shared" si="2"/>
        <v>113905084.78784573</v>
      </c>
      <c r="M32" s="15"/>
      <c r="N32" s="15"/>
      <c r="O32" s="15"/>
      <c r="P32" s="15"/>
    </row>
    <row r="33" spans="1:16" ht="15" customHeight="1" outlineLevel="1" x14ac:dyDescent="0.25">
      <c r="A33" s="15"/>
      <c r="B33" s="58" t="s">
        <v>89</v>
      </c>
      <c r="C33" s="59" t="s">
        <v>37</v>
      </c>
      <c r="D33" s="59">
        <v>4025</v>
      </c>
      <c r="E33" s="60">
        <v>4705</v>
      </c>
      <c r="F33" s="61">
        <v>259049233.78184861</v>
      </c>
      <c r="G33" s="62"/>
      <c r="H33" s="61">
        <v>51456544.259722352</v>
      </c>
      <c r="I33" s="61">
        <v>8460250.8047630768</v>
      </c>
      <c r="J33" s="63">
        <f t="shared" si="0"/>
        <v>5.6397443999999991E-2</v>
      </c>
      <c r="K33" s="63">
        <f t="shared" si="1"/>
        <v>0.13043987300000001</v>
      </c>
      <c r="L33" s="64">
        <f t="shared" si="2"/>
        <v>18615286.269297369</v>
      </c>
      <c r="M33" s="15"/>
      <c r="N33" s="15"/>
      <c r="O33" s="15"/>
      <c r="P33" s="15"/>
    </row>
    <row r="34" spans="1:16" ht="15" customHeight="1" outlineLevel="1" x14ac:dyDescent="0.25">
      <c r="A34" s="15"/>
      <c r="B34" s="58" t="s">
        <v>90</v>
      </c>
      <c r="C34" s="59" t="s">
        <v>37</v>
      </c>
      <c r="D34" s="59">
        <v>4025</v>
      </c>
      <c r="E34" s="60">
        <v>4705</v>
      </c>
      <c r="F34" s="61">
        <v>461729507.74517137</v>
      </c>
      <c r="G34" s="62"/>
      <c r="H34" s="61">
        <v>61836811.313059777</v>
      </c>
      <c r="I34" s="61">
        <v>0</v>
      </c>
      <c r="J34" s="63">
        <f t="shared" si="0"/>
        <v>5.6397443999999991E-2</v>
      </c>
      <c r="K34" s="63">
        <f t="shared" si="1"/>
        <v>0.13043987300000001</v>
      </c>
      <c r="L34" s="64">
        <f t="shared" si="2"/>
        <v>29527802.159372717</v>
      </c>
      <c r="M34" s="15"/>
      <c r="N34" s="15"/>
      <c r="O34" s="15"/>
      <c r="P34" s="15"/>
    </row>
    <row r="35" spans="1:16" ht="15" customHeight="1" outlineLevel="1" x14ac:dyDescent="0.25">
      <c r="A35" s="15"/>
      <c r="B35" s="58" t="s">
        <v>91</v>
      </c>
      <c r="C35" s="59" t="s">
        <v>37</v>
      </c>
      <c r="D35" s="59">
        <v>4025</v>
      </c>
      <c r="E35" s="60">
        <v>4705</v>
      </c>
      <c r="F35" s="61">
        <v>0</v>
      </c>
      <c r="G35" s="62"/>
      <c r="H35" s="61">
        <v>16477848.906282865</v>
      </c>
      <c r="I35" s="61">
        <v>0</v>
      </c>
      <c r="J35" s="63">
        <f t="shared" si="0"/>
        <v>5.6397443999999991E-2</v>
      </c>
      <c r="K35" s="63">
        <f t="shared" si="1"/>
        <v>0.13043987300000001</v>
      </c>
      <c r="L35" s="64">
        <f t="shared" si="2"/>
        <v>929308.56093254895</v>
      </c>
      <c r="M35" s="15"/>
      <c r="N35" s="15"/>
      <c r="O35" s="15"/>
      <c r="P35" s="15"/>
    </row>
    <row r="36" spans="1:16" ht="15" customHeight="1" outlineLevel="1" x14ac:dyDescent="0.25">
      <c r="A36" s="15"/>
      <c r="B36" s="58" t="s">
        <v>92</v>
      </c>
      <c r="C36" s="59" t="s">
        <v>37</v>
      </c>
      <c r="D36" s="59">
        <v>4025</v>
      </c>
      <c r="E36" s="60">
        <v>4705</v>
      </c>
      <c r="F36" s="61">
        <v>0</v>
      </c>
      <c r="G36" s="62"/>
      <c r="H36" s="61">
        <v>0</v>
      </c>
      <c r="I36" s="61">
        <v>89526.142437141534</v>
      </c>
      <c r="J36" s="63">
        <f t="shared" si="0"/>
        <v>5.6397443999999991E-2</v>
      </c>
      <c r="K36" s="63">
        <f t="shared" si="1"/>
        <v>0.13043987300000001</v>
      </c>
      <c r="L36" s="64">
        <f t="shared" si="2"/>
        <v>11677.778649680653</v>
      </c>
      <c r="M36" s="15"/>
      <c r="N36" s="15"/>
      <c r="O36" s="15"/>
      <c r="P36" s="15"/>
    </row>
    <row r="37" spans="1:16" ht="15" customHeight="1" outlineLevel="1" x14ac:dyDescent="0.25">
      <c r="A37" s="15"/>
      <c r="B37" s="58" t="s">
        <v>93</v>
      </c>
      <c r="C37" s="59" t="s">
        <v>37</v>
      </c>
      <c r="D37" s="59">
        <v>4025</v>
      </c>
      <c r="E37" s="60">
        <v>4705</v>
      </c>
      <c r="F37" s="61">
        <v>0</v>
      </c>
      <c r="G37" s="62"/>
      <c r="H37" s="61">
        <v>4260.6876408116568</v>
      </c>
      <c r="I37" s="61">
        <v>6713917.9993468774</v>
      </c>
      <c r="J37" s="63">
        <f t="shared" si="0"/>
        <v>5.6397443999999991E-2</v>
      </c>
      <c r="K37" s="63">
        <f t="shared" si="1"/>
        <v>0.13043987300000001</v>
      </c>
      <c r="L37" s="64">
        <f t="shared" si="2"/>
        <v>876002.90305984498</v>
      </c>
      <c r="M37" s="15"/>
      <c r="N37" s="15"/>
      <c r="O37" s="15"/>
      <c r="P37" s="15"/>
    </row>
    <row r="38" spans="1:16" ht="15" customHeight="1" outlineLevel="1" x14ac:dyDescent="0.25">
      <c r="A38" s="15"/>
      <c r="B38" s="58"/>
      <c r="C38" s="59" t="s">
        <v>37</v>
      </c>
      <c r="D38" s="59">
        <v>4025</v>
      </c>
      <c r="E38" s="60">
        <v>4705</v>
      </c>
      <c r="F38" s="61"/>
      <c r="G38" s="62"/>
      <c r="H38" s="61"/>
      <c r="I38" s="61"/>
      <c r="J38" s="63">
        <f t="shared" si="0"/>
        <v>5.6397443999999991E-2</v>
      </c>
      <c r="K38" s="63">
        <f t="shared" si="1"/>
        <v>0.13043987300000001</v>
      </c>
      <c r="L38" s="64">
        <f t="shared" si="2"/>
        <v>0</v>
      </c>
      <c r="M38" s="15"/>
      <c r="N38" s="15"/>
      <c r="O38" s="15"/>
      <c r="P38" s="15"/>
    </row>
    <row r="39" spans="1:16" ht="15" customHeight="1" outlineLevel="1" x14ac:dyDescent="0.25">
      <c r="A39" s="15"/>
      <c r="B39" s="58"/>
      <c r="C39" s="59" t="s">
        <v>37</v>
      </c>
      <c r="D39" s="59">
        <v>4025</v>
      </c>
      <c r="E39" s="60">
        <v>4705</v>
      </c>
      <c r="F39" s="61"/>
      <c r="G39" s="62"/>
      <c r="H39" s="61"/>
      <c r="I39" s="61"/>
      <c r="J39" s="63">
        <f t="shared" si="0"/>
        <v>5.6397443999999991E-2</v>
      </c>
      <c r="K39" s="63">
        <f t="shared" si="1"/>
        <v>0.13043987300000001</v>
      </c>
      <c r="L39" s="64">
        <f t="shared" si="2"/>
        <v>0</v>
      </c>
      <c r="M39" s="15"/>
      <c r="N39" s="15"/>
      <c r="O39" s="15"/>
      <c r="P39" s="15"/>
    </row>
    <row r="40" spans="1:16" ht="15" customHeight="1" outlineLevel="1" x14ac:dyDescent="0.25">
      <c r="A40" s="15"/>
      <c r="B40" s="65" t="s">
        <v>38</v>
      </c>
      <c r="C40" s="66"/>
      <c r="D40" s="67"/>
      <c r="E40" s="68"/>
      <c r="F40" s="69"/>
      <c r="G40" s="70"/>
      <c r="H40" s="69"/>
      <c r="I40" s="71"/>
      <c r="J40" s="71"/>
      <c r="K40" s="69"/>
      <c r="L40" s="72">
        <f>SUM(L29:L39)</f>
        <v>415618962.86710209</v>
      </c>
      <c r="M40" s="15"/>
      <c r="N40" s="15"/>
      <c r="O40" s="15"/>
      <c r="P40" s="15"/>
    </row>
    <row r="41" spans="1:16" ht="15" customHeight="1" outlineLevel="1" x14ac:dyDescent="0.25">
      <c r="A41" s="15"/>
      <c r="B41" s="4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5" customHeight="1" outlineLevel="1" x14ac:dyDescent="0.25">
      <c r="A42" s="15"/>
      <c r="B42" s="28"/>
      <c r="C42" s="15"/>
      <c r="D42" s="15"/>
      <c r="E42" s="15"/>
      <c r="F42" s="73"/>
      <c r="G42" s="73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5.75" customHeight="1" outlineLevel="1" x14ac:dyDescent="0.25">
      <c r="A43" s="15"/>
      <c r="B43" s="46" t="s">
        <v>39</v>
      </c>
      <c r="E43" s="47"/>
      <c r="F43" s="74"/>
      <c r="G43" s="173" t="str">
        <f>2028&amp; " Test Year"</f>
        <v>2028 Test Year</v>
      </c>
      <c r="H43" s="173"/>
      <c r="I43" s="173"/>
      <c r="J43" s="173"/>
      <c r="K43" s="173"/>
      <c r="L43" s="173"/>
      <c r="M43" s="15"/>
      <c r="N43" s="15"/>
      <c r="O43" s="15"/>
      <c r="P43" s="15"/>
    </row>
    <row r="44" spans="1:16" ht="15" customHeight="1" outlineLevel="1" x14ac:dyDescent="0.25">
      <c r="A44" s="15"/>
      <c r="B44" s="49" t="s">
        <v>25</v>
      </c>
      <c r="C44" s="54"/>
      <c r="D44" s="50" t="s">
        <v>26</v>
      </c>
      <c r="E44" s="51" t="s">
        <v>27</v>
      </c>
      <c r="F44" s="75"/>
      <c r="G44" s="76" t="s">
        <v>40</v>
      </c>
      <c r="H44" s="77"/>
      <c r="I44" s="77"/>
      <c r="J44" s="78"/>
      <c r="K44" s="79" t="s">
        <v>41</v>
      </c>
      <c r="L44" s="80" t="s">
        <v>36</v>
      </c>
      <c r="M44" s="15"/>
      <c r="N44" s="15"/>
      <c r="O44" s="15"/>
      <c r="P44" s="15"/>
    </row>
    <row r="45" spans="1:16" ht="15" customHeight="1" outlineLevel="1" x14ac:dyDescent="0.25">
      <c r="A45" s="15"/>
      <c r="B45" s="58"/>
      <c r="C45" s="59"/>
      <c r="D45" s="59">
        <v>4035</v>
      </c>
      <c r="E45" s="60">
        <v>4707</v>
      </c>
      <c r="F45" s="81"/>
      <c r="G45" s="82">
        <f>F31</f>
        <v>47764.144413551505</v>
      </c>
      <c r="H45" s="77"/>
      <c r="I45" s="77"/>
      <c r="J45" s="83"/>
      <c r="K45" s="172">
        <v>3.1528819584455282E-2</v>
      </c>
      <c r="L45" s="85">
        <f>+K45*G45</f>
        <v>1505.947091820733</v>
      </c>
      <c r="M45" s="15"/>
      <c r="N45" s="15"/>
      <c r="O45" s="15"/>
      <c r="P45" s="15"/>
    </row>
    <row r="46" spans="1:16" ht="15" customHeight="1" outlineLevel="1" x14ac:dyDescent="0.25">
      <c r="A46" s="15"/>
      <c r="B46" s="58"/>
      <c r="C46" s="59"/>
      <c r="D46" s="59">
        <v>4010</v>
      </c>
      <c r="E46" s="60">
        <v>4707</v>
      </c>
      <c r="F46" s="81"/>
      <c r="G46" s="82">
        <f t="shared" ref="G46:G48" si="3">F32</f>
        <v>101149973.87937345</v>
      </c>
      <c r="H46" s="77"/>
      <c r="I46" s="77"/>
      <c r="J46" s="83"/>
      <c r="K46" s="84">
        <f>K45</f>
        <v>3.1528819584455282E-2</v>
      </c>
      <c r="L46" s="85">
        <f>+K46*G46</f>
        <v>3189139.2774151298</v>
      </c>
      <c r="M46" s="15"/>
      <c r="N46" s="15"/>
      <c r="O46" s="15"/>
      <c r="P46" s="15"/>
    </row>
    <row r="47" spans="1:16" ht="15" customHeight="1" outlineLevel="1" x14ac:dyDescent="0.25">
      <c r="A47" s="15"/>
      <c r="B47" s="58"/>
      <c r="C47" s="59"/>
      <c r="D47" s="59">
        <v>4010</v>
      </c>
      <c r="E47" s="60">
        <v>4707</v>
      </c>
      <c r="F47" s="81"/>
      <c r="G47" s="82">
        <f t="shared" si="3"/>
        <v>259049233.78184861</v>
      </c>
      <c r="H47" s="77"/>
      <c r="I47" s="77"/>
      <c r="J47" s="83"/>
      <c r="K47" s="84">
        <f>K46</f>
        <v>3.1528819584455282E-2</v>
      </c>
      <c r="L47" s="85">
        <f>+K47*G47</f>
        <v>8167516.5553992838</v>
      </c>
      <c r="M47" s="15"/>
      <c r="N47" s="15"/>
      <c r="O47" s="15"/>
      <c r="P47" s="15"/>
    </row>
    <row r="48" spans="1:16" ht="15" customHeight="1" outlineLevel="1" x14ac:dyDescent="0.25">
      <c r="A48" s="15"/>
      <c r="B48" s="58"/>
      <c r="C48" s="59"/>
      <c r="D48" s="59">
        <v>4010</v>
      </c>
      <c r="E48" s="60">
        <v>4707</v>
      </c>
      <c r="F48" s="81"/>
      <c r="G48" s="82">
        <f t="shared" si="3"/>
        <v>461729507.74517137</v>
      </c>
      <c r="H48" s="77"/>
      <c r="I48" s="77"/>
      <c r="J48" s="83"/>
      <c r="K48" s="58">
        <f t="shared" ref="K48" si="4">K47</f>
        <v>3.1528819584455282E-2</v>
      </c>
      <c r="L48" s="85">
        <f>+K48*G48</f>
        <v>14557786.346516857</v>
      </c>
      <c r="M48" s="15"/>
      <c r="N48" s="15"/>
      <c r="O48" s="15"/>
      <c r="P48" s="15"/>
    </row>
    <row r="49" spans="1:16" ht="15" customHeight="1" outlineLevel="1" x14ac:dyDescent="0.25">
      <c r="A49" s="15"/>
      <c r="B49" s="58"/>
      <c r="C49" s="59"/>
      <c r="D49" s="59">
        <v>4010</v>
      </c>
      <c r="E49" s="60">
        <v>4707</v>
      </c>
      <c r="F49" s="81"/>
      <c r="G49" s="82"/>
      <c r="H49" s="77"/>
      <c r="I49" s="77"/>
      <c r="J49" s="86"/>
      <c r="K49" s="58"/>
      <c r="L49" s="85">
        <f>+K49*G49</f>
        <v>0</v>
      </c>
      <c r="M49" s="15"/>
      <c r="N49" s="15"/>
      <c r="O49" s="15"/>
      <c r="P49" s="15"/>
    </row>
    <row r="50" spans="1:16" ht="15" customHeight="1" outlineLevel="1" x14ac:dyDescent="0.25">
      <c r="A50" s="15"/>
      <c r="F50" s="87">
        <f>+F45+F46</f>
        <v>0</v>
      </c>
      <c r="G50" s="88">
        <f>SUM(G45:G49)</f>
        <v>821976479.550807</v>
      </c>
      <c r="H50" s="77"/>
      <c r="I50" s="77"/>
      <c r="J50" s="89"/>
      <c r="K50" s="90"/>
      <c r="L50" s="91">
        <f>SUM(L45:L49)</f>
        <v>25915948.126423091</v>
      </c>
      <c r="M50" s="15"/>
      <c r="N50" s="15"/>
      <c r="O50" s="15"/>
      <c r="P50" s="15"/>
    </row>
    <row r="51" spans="1:16" ht="15" customHeight="1" outlineLevel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5.75" customHeight="1" outlineLevel="1" x14ac:dyDescent="0.25">
      <c r="B52" s="46" t="s">
        <v>42</v>
      </c>
      <c r="E52" s="47"/>
      <c r="F52" s="48"/>
      <c r="G52" s="173" t="str">
        <f>2028&amp; " Test Year"</f>
        <v>2028 Test Year</v>
      </c>
      <c r="H52" s="173"/>
      <c r="I52" s="173"/>
      <c r="J52" s="173"/>
      <c r="K52" s="173"/>
      <c r="L52" s="173"/>
    </row>
    <row r="53" spans="1:16" ht="15" customHeight="1" outlineLevel="1" x14ac:dyDescent="0.25">
      <c r="A53" s="92"/>
      <c r="B53" s="49" t="s">
        <v>25</v>
      </c>
      <c r="C53" s="50"/>
      <c r="D53" s="50" t="s">
        <v>26</v>
      </c>
      <c r="E53" s="51" t="s">
        <v>27</v>
      </c>
      <c r="F53" s="52"/>
      <c r="G53" s="52"/>
      <c r="H53" s="52"/>
      <c r="I53" s="52"/>
      <c r="J53" s="52"/>
      <c r="K53" s="52"/>
      <c r="L53" s="57" t="s">
        <v>36</v>
      </c>
      <c r="M53" s="92"/>
      <c r="N53" s="92"/>
      <c r="O53" s="92"/>
      <c r="P53" s="92"/>
    </row>
    <row r="54" spans="1:16" ht="30.75" customHeight="1" outlineLevel="1" x14ac:dyDescent="0.25">
      <c r="B54" s="53" t="s">
        <v>28</v>
      </c>
      <c r="C54" s="54" t="s">
        <v>29</v>
      </c>
      <c r="D54" s="54" t="s">
        <v>30</v>
      </c>
      <c r="E54" s="54" t="s">
        <v>30</v>
      </c>
      <c r="F54" s="93"/>
      <c r="G54" s="93"/>
      <c r="H54" s="56" t="s">
        <v>43</v>
      </c>
      <c r="I54" s="94"/>
      <c r="J54" s="94"/>
      <c r="K54" s="93" t="s">
        <v>44</v>
      </c>
    </row>
    <row r="55" spans="1:16" ht="15" customHeight="1" outlineLevel="1" x14ac:dyDescent="0.25">
      <c r="B55" s="95" t="str">
        <f>IF(B29=0,"",B29)</f>
        <v>Residential</v>
      </c>
      <c r="C55" s="59" t="s">
        <v>37</v>
      </c>
      <c r="D55" s="59">
        <v>4006</v>
      </c>
      <c r="E55" s="59">
        <v>4707</v>
      </c>
      <c r="F55" s="96"/>
      <c r="G55" s="96"/>
      <c r="H55" s="97">
        <f>+H29</f>
        <v>19425988.936747134</v>
      </c>
      <c r="I55" s="96"/>
      <c r="J55" s="96"/>
      <c r="K55" s="98">
        <f>+$G$18/1000</f>
        <v>6.3452429000000005E-2</v>
      </c>
      <c r="L55" s="64">
        <f t="shared" ref="L55:L65" si="5">+K55*H55</f>
        <v>1232626.1837637331</v>
      </c>
    </row>
    <row r="56" spans="1:16" ht="15" customHeight="1" outlineLevel="1" x14ac:dyDescent="0.25">
      <c r="B56" s="95" t="str">
        <f t="shared" ref="B56:B65" si="6">IF(B30=0,"",B30)</f>
        <v>Residential Seasonal</v>
      </c>
      <c r="C56" s="59" t="s">
        <v>37</v>
      </c>
      <c r="D56" s="59">
        <v>4010</v>
      </c>
      <c r="E56" s="59">
        <v>4707</v>
      </c>
      <c r="F56" s="96"/>
      <c r="G56" s="96"/>
      <c r="H56" s="97">
        <f t="shared" ref="H56:H63" si="7">+H30</f>
        <v>173045.52271645045</v>
      </c>
      <c r="I56" s="96"/>
      <c r="J56" s="96"/>
      <c r="K56" s="98">
        <f>+$G$18/1000</f>
        <v>6.3452429000000005E-2</v>
      </c>
      <c r="L56" s="64">
        <f t="shared" si="5"/>
        <v>10980.15874393346</v>
      </c>
    </row>
    <row r="57" spans="1:16" ht="15" customHeight="1" outlineLevel="1" x14ac:dyDescent="0.25">
      <c r="B57" s="95" t="str">
        <f t="shared" si="6"/>
        <v>GS&lt;50</v>
      </c>
      <c r="C57" s="59" t="s">
        <v>37</v>
      </c>
      <c r="D57" s="59">
        <v>4035</v>
      </c>
      <c r="E57" s="59">
        <v>4707</v>
      </c>
      <c r="F57" s="96"/>
      <c r="G57" s="96"/>
      <c r="H57" s="97">
        <f>+H31</f>
        <v>49844019.964211807</v>
      </c>
      <c r="I57" s="96"/>
      <c r="J57" s="96"/>
      <c r="K57" s="98">
        <f>+$G$18/1000</f>
        <v>6.3452429000000005E-2</v>
      </c>
      <c r="L57" s="64">
        <f>+K57*H57</f>
        <v>3162724.1378537323</v>
      </c>
    </row>
    <row r="58" spans="1:16" ht="15" customHeight="1" outlineLevel="1" x14ac:dyDescent="0.25">
      <c r="B58" s="95" t="str">
        <f>IF(B32=0,"",B32)</f>
        <v>GS 50 - 2,999</v>
      </c>
      <c r="C58" s="59" t="s">
        <v>37</v>
      </c>
      <c r="D58" s="59">
        <v>4010</v>
      </c>
      <c r="E58" s="59">
        <v>4707</v>
      </c>
      <c r="F58" s="96"/>
      <c r="G58" s="96"/>
      <c r="H58" s="97">
        <f t="shared" si="7"/>
        <v>816826845.69930279</v>
      </c>
      <c r="I58" s="96"/>
      <c r="J58" s="96"/>
      <c r="K58" s="98">
        <f t="shared" ref="K58:K65" si="8">+$G$18/1000</f>
        <v>6.3452429000000005E-2</v>
      </c>
      <c r="L58" s="64">
        <f t="shared" si="5"/>
        <v>51829647.432028972</v>
      </c>
    </row>
    <row r="59" spans="1:16" ht="15" customHeight="1" outlineLevel="1" x14ac:dyDescent="0.25">
      <c r="B59" s="95" t="str">
        <f>IF(B33=0,"",B33)</f>
        <v>GS 3,000 - 4,999</v>
      </c>
      <c r="C59" s="59" t="s">
        <v>37</v>
      </c>
      <c r="D59" s="59">
        <v>4025</v>
      </c>
      <c r="E59" s="59">
        <v>4707</v>
      </c>
      <c r="F59" s="96"/>
      <c r="G59" s="96"/>
      <c r="H59" s="97">
        <f>+H33</f>
        <v>51456544.259722352</v>
      </c>
      <c r="I59" s="96"/>
      <c r="J59" s="96"/>
      <c r="K59" s="98">
        <f>+$G$18/1000</f>
        <v>6.3452429000000005E-2</v>
      </c>
      <c r="L59" s="64">
        <f t="shared" si="5"/>
        <v>3265042.7212253902</v>
      </c>
    </row>
    <row r="60" spans="1:16" ht="15" customHeight="1" outlineLevel="1" x14ac:dyDescent="0.25">
      <c r="B60" s="95" t="str">
        <f t="shared" si="6"/>
        <v>Large Use</v>
      </c>
      <c r="C60" s="59" t="s">
        <v>37</v>
      </c>
      <c r="D60" s="59">
        <v>4025</v>
      </c>
      <c r="E60" s="59">
        <v>4707</v>
      </c>
      <c r="F60" s="96"/>
      <c r="G60" s="96"/>
      <c r="H60" s="97">
        <f t="shared" si="7"/>
        <v>61836811.313059777</v>
      </c>
      <c r="I60" s="96"/>
      <c r="J60" s="96"/>
      <c r="K60" s="98">
        <f t="shared" si="8"/>
        <v>6.3452429000000005E-2</v>
      </c>
      <c r="L60" s="64">
        <f t="shared" si="5"/>
        <v>3923695.8794283224</v>
      </c>
    </row>
    <row r="61" spans="1:16" ht="15" customHeight="1" outlineLevel="1" x14ac:dyDescent="0.25">
      <c r="B61" s="95" t="str">
        <f t="shared" si="6"/>
        <v>Street Light</v>
      </c>
      <c r="C61" s="59" t="s">
        <v>37</v>
      </c>
      <c r="D61" s="59">
        <v>4025</v>
      </c>
      <c r="E61" s="59">
        <v>4707</v>
      </c>
      <c r="F61" s="96"/>
      <c r="G61" s="96"/>
      <c r="H61" s="97">
        <f t="shared" si="7"/>
        <v>16477848.906282865</v>
      </c>
      <c r="I61" s="96"/>
      <c r="J61" s="96"/>
      <c r="K61" s="98">
        <f t="shared" si="8"/>
        <v>6.3452429000000005E-2</v>
      </c>
      <c r="L61" s="64">
        <f t="shared" si="5"/>
        <v>1045559.5377986411</v>
      </c>
    </row>
    <row r="62" spans="1:16" ht="15" customHeight="1" outlineLevel="1" x14ac:dyDescent="0.25">
      <c r="B62" s="95" t="str">
        <f>IF(B36=0,"",B36)</f>
        <v>Sentinel Light</v>
      </c>
      <c r="C62" s="59" t="s">
        <v>37</v>
      </c>
      <c r="D62" s="59">
        <v>4025</v>
      </c>
      <c r="E62" s="59">
        <v>4707</v>
      </c>
      <c r="F62" s="96"/>
      <c r="G62" s="96"/>
      <c r="H62" s="97">
        <f>+H36</f>
        <v>0</v>
      </c>
      <c r="I62" s="96"/>
      <c r="J62" s="96"/>
      <c r="K62" s="98">
        <f t="shared" si="8"/>
        <v>6.3452429000000005E-2</v>
      </c>
      <c r="L62" s="64">
        <f t="shared" si="5"/>
        <v>0</v>
      </c>
    </row>
    <row r="63" spans="1:16" ht="15" customHeight="1" outlineLevel="1" x14ac:dyDescent="0.25">
      <c r="B63" s="95" t="str">
        <f t="shared" si="6"/>
        <v>USL</v>
      </c>
      <c r="C63" s="59" t="s">
        <v>37</v>
      </c>
      <c r="D63" s="59">
        <v>4025</v>
      </c>
      <c r="E63" s="59">
        <v>4707</v>
      </c>
      <c r="F63" s="96"/>
      <c r="G63" s="96"/>
      <c r="H63" s="97">
        <f t="shared" si="7"/>
        <v>4260.6876408116568</v>
      </c>
      <c r="I63" s="96"/>
      <c r="J63" s="96"/>
      <c r="K63" s="98">
        <f t="shared" si="8"/>
        <v>6.3452429000000005E-2</v>
      </c>
      <c r="L63" s="64">
        <f t="shared" si="5"/>
        <v>270.35098001977917</v>
      </c>
    </row>
    <row r="64" spans="1:16" ht="15" customHeight="1" outlineLevel="1" x14ac:dyDescent="0.25">
      <c r="B64" s="95" t="str">
        <f t="shared" si="6"/>
        <v/>
      </c>
      <c r="C64" s="59" t="s">
        <v>37</v>
      </c>
      <c r="D64" s="59">
        <v>4025</v>
      </c>
      <c r="E64" s="59">
        <v>4707</v>
      </c>
      <c r="F64" s="96"/>
      <c r="G64" s="96"/>
      <c r="H64" s="97">
        <f>+H38</f>
        <v>0</v>
      </c>
      <c r="I64" s="96"/>
      <c r="J64" s="96"/>
      <c r="K64" s="98">
        <f t="shared" si="8"/>
        <v>6.3452429000000005E-2</v>
      </c>
      <c r="L64" s="64">
        <f>+K64*H64</f>
        <v>0</v>
      </c>
    </row>
    <row r="65" spans="1:16" ht="15" customHeight="1" outlineLevel="1" x14ac:dyDescent="0.25">
      <c r="B65" s="95" t="str">
        <f t="shared" si="6"/>
        <v/>
      </c>
      <c r="C65" s="59" t="s">
        <v>37</v>
      </c>
      <c r="D65" s="59">
        <v>4025</v>
      </c>
      <c r="E65" s="59">
        <v>4707</v>
      </c>
      <c r="F65" s="96"/>
      <c r="G65" s="96"/>
      <c r="H65" s="97">
        <f>+H39</f>
        <v>0</v>
      </c>
      <c r="I65" s="96"/>
      <c r="J65" s="96"/>
      <c r="K65" s="98">
        <f t="shared" si="8"/>
        <v>6.3452429000000005E-2</v>
      </c>
      <c r="L65" s="64">
        <f t="shared" si="5"/>
        <v>0</v>
      </c>
    </row>
    <row r="66" spans="1:16" ht="15" customHeight="1" outlineLevel="1" x14ac:dyDescent="0.25">
      <c r="B66" s="95" t="s">
        <v>45</v>
      </c>
      <c r="C66" s="54"/>
      <c r="D66" s="54"/>
      <c r="E66" s="55"/>
      <c r="F66" s="99"/>
      <c r="G66" s="99"/>
      <c r="H66" s="100">
        <f>SUM(H55:H65)</f>
        <v>1016045365.2896841</v>
      </c>
      <c r="I66" s="99"/>
      <c r="J66" s="99"/>
      <c r="K66" s="101"/>
      <c r="L66" s="72"/>
      <c r="P66" s="102"/>
    </row>
    <row r="67" spans="1:16" ht="15" customHeight="1" outlineLevel="1" x14ac:dyDescent="0.25">
      <c r="B67" s="49" t="s">
        <v>38</v>
      </c>
      <c r="C67" s="103"/>
      <c r="D67" s="50"/>
      <c r="E67" s="51"/>
      <c r="F67" s="104"/>
      <c r="G67" s="104"/>
      <c r="H67" s="104"/>
      <c r="I67" s="104"/>
      <c r="J67" s="104"/>
      <c r="K67" s="69"/>
      <c r="L67" s="105">
        <f>SUM(L55:L65)</f>
        <v>64470546.401822746</v>
      </c>
    </row>
    <row r="68" spans="1:16" ht="15" customHeight="1" outlineLevel="1" x14ac:dyDescent="0.25">
      <c r="B68" s="92"/>
      <c r="C68" s="106"/>
      <c r="D68" s="107"/>
      <c r="E68" s="107"/>
      <c r="F68" s="108"/>
      <c r="G68" s="108"/>
      <c r="H68" s="108"/>
      <c r="I68" s="108"/>
      <c r="J68" s="108"/>
      <c r="K68" s="108"/>
      <c r="L68" s="8"/>
    </row>
    <row r="69" spans="1:16" ht="15" customHeight="1" outlineLevel="1" x14ac:dyDescent="0.25">
      <c r="L69" s="109"/>
    </row>
    <row r="70" spans="1:16" ht="21" x14ac:dyDescent="0.55000000000000004">
      <c r="A70" s="1" t="s">
        <v>46</v>
      </c>
      <c r="F70" s="110"/>
      <c r="G70" s="110"/>
      <c r="H70" s="110"/>
      <c r="I70" s="110"/>
      <c r="J70" s="110"/>
      <c r="K70" s="110"/>
    </row>
    <row r="71" spans="1:16" x14ac:dyDescent="0.25">
      <c r="A71" s="1" t="s">
        <v>47</v>
      </c>
      <c r="G71" s="111"/>
      <c r="H71" s="111"/>
      <c r="I71" s="111"/>
      <c r="J71" s="111"/>
      <c r="K71" s="111"/>
    </row>
    <row r="72" spans="1:16" x14ac:dyDescent="0.25">
      <c r="A72" s="1" t="s">
        <v>48</v>
      </c>
    </row>
  </sheetData>
  <mergeCells count="8">
    <mergeCell ref="G43:L43"/>
    <mergeCell ref="G52:L52"/>
    <mergeCell ref="B4:I6"/>
    <mergeCell ref="C17:E17"/>
    <mergeCell ref="C18:E18"/>
    <mergeCell ref="C19:E19"/>
    <mergeCell ref="C20:E20"/>
    <mergeCell ref="G26:L26"/>
  </mergeCells>
  <conditionalFormatting sqref="B1">
    <cfRule type="expression" dxfId="3" priority="1" stopIfTrue="1">
      <formula>LEFT($C1,6)="Macros"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33919-18D9-4501-9C1C-820E44BBB6CC}">
  <sheetPr codeName="Sheet5"/>
  <dimension ref="A1:L184"/>
  <sheetViews>
    <sheetView workbookViewId="0">
      <selection activeCell="J29" sqref="J29"/>
    </sheetView>
  </sheetViews>
  <sheetFormatPr defaultColWidth="9.28515625" defaultRowHeight="15" x14ac:dyDescent="0.25"/>
  <cols>
    <col min="1" max="1" width="37" style="1" customWidth="1"/>
    <col min="2" max="2" width="8" style="1" bestFit="1" customWidth="1"/>
    <col min="3" max="3" width="1.5703125" style="1" customWidth="1"/>
    <col min="4" max="4" width="23.28515625" style="1" bestFit="1" customWidth="1"/>
    <col min="5" max="5" width="15.28515625" style="1" bestFit="1" customWidth="1"/>
    <col min="6" max="6" width="12.7109375" style="1" bestFit="1" customWidth="1"/>
    <col min="7" max="7" width="2.28515625" style="1" customWidth="1"/>
    <col min="8" max="8" width="19.28515625" style="1" customWidth="1"/>
    <col min="9" max="9" width="11.28515625" style="1" customWidth="1"/>
    <col min="10" max="10" width="13.28515625" style="1" customWidth="1"/>
    <col min="11" max="11" width="16.28515625" style="1" bestFit="1" customWidth="1"/>
    <col min="12" max="12" width="12" style="1" bestFit="1" customWidth="1"/>
    <col min="13" max="16384" width="9.28515625" style="1"/>
  </cols>
  <sheetData>
    <row r="1" spans="1:11" ht="21" x14ac:dyDescent="0.35">
      <c r="A1" s="181" t="s">
        <v>49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1" x14ac:dyDescent="0.25">
      <c r="A2" s="112"/>
      <c r="B2" s="112"/>
      <c r="C2" s="112"/>
      <c r="D2" s="112"/>
      <c r="E2" s="112"/>
      <c r="F2" s="112"/>
      <c r="G2" s="112"/>
      <c r="H2" s="112"/>
      <c r="I2" s="112"/>
      <c r="J2" s="4" t="s">
        <v>1</v>
      </c>
      <c r="K2" s="5" t="s">
        <v>96</v>
      </c>
    </row>
    <row r="3" spans="1:11" x14ac:dyDescent="0.25">
      <c r="A3" s="112"/>
      <c r="B3" s="112"/>
      <c r="C3" s="112"/>
      <c r="D3" s="112"/>
      <c r="E3" s="112"/>
      <c r="F3" s="112"/>
      <c r="G3" s="112"/>
      <c r="H3" s="112"/>
      <c r="I3" s="112"/>
      <c r="J3" s="4" t="s">
        <v>2</v>
      </c>
      <c r="K3" s="7" t="s">
        <v>98</v>
      </c>
    </row>
    <row r="4" spans="1:1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4" t="s">
        <v>4</v>
      </c>
      <c r="K4" s="7">
        <v>3</v>
      </c>
    </row>
    <row r="5" spans="1:1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4" t="s">
        <v>5</v>
      </c>
      <c r="K5" s="7">
        <v>1</v>
      </c>
    </row>
    <row r="6" spans="1:11" x14ac:dyDescent="0.25">
      <c r="A6" s="112"/>
      <c r="B6" s="112"/>
      <c r="C6" s="112"/>
      <c r="D6" s="112"/>
      <c r="E6" s="112"/>
      <c r="F6" s="112"/>
      <c r="G6" s="112"/>
      <c r="H6" s="112"/>
      <c r="I6" s="112"/>
      <c r="J6" s="4" t="s">
        <v>6</v>
      </c>
      <c r="K6" s="5"/>
    </row>
    <row r="7" spans="1:11" x14ac:dyDescent="0.25">
      <c r="A7" s="1" t="s">
        <v>50</v>
      </c>
      <c r="J7" s="4"/>
      <c r="K7" s="9" t="s">
        <v>97</v>
      </c>
    </row>
    <row r="8" spans="1:11" x14ac:dyDescent="0.25">
      <c r="A8" s="1" t="s">
        <v>51</v>
      </c>
      <c r="J8" s="4" t="s">
        <v>7</v>
      </c>
      <c r="K8" s="199">
        <v>46283</v>
      </c>
    </row>
    <row r="9" spans="1:11" x14ac:dyDescent="0.25">
      <c r="A9" s="1" t="s">
        <v>52</v>
      </c>
      <c r="E9" s="182"/>
      <c r="F9" s="182"/>
      <c r="G9" s="8"/>
      <c r="H9" s="8"/>
      <c r="I9" s="182"/>
      <c r="J9" s="182"/>
    </row>
    <row r="10" spans="1:11" x14ac:dyDescent="0.25">
      <c r="B10" s="113"/>
      <c r="C10" s="114"/>
      <c r="D10" s="115" t="str">
        <f>2028&amp; " Test Year"</f>
        <v>2028 Test Year</v>
      </c>
      <c r="E10" s="183" t="s">
        <v>14</v>
      </c>
      <c r="F10" s="183"/>
      <c r="G10" s="116"/>
      <c r="H10" s="115" t="str">
        <f>D10</f>
        <v>2028 Test Year</v>
      </c>
      <c r="I10" s="183" t="s">
        <v>13</v>
      </c>
      <c r="J10" s="183"/>
      <c r="K10" s="117" t="s">
        <v>53</v>
      </c>
    </row>
    <row r="11" spans="1:11" x14ac:dyDescent="0.25">
      <c r="A11" s="118" t="s">
        <v>54</v>
      </c>
      <c r="B11" s="187" t="s">
        <v>55</v>
      </c>
      <c r="C11" s="119"/>
      <c r="D11" s="120" t="s">
        <v>56</v>
      </c>
      <c r="E11" s="120" t="s">
        <v>57</v>
      </c>
      <c r="F11" s="57" t="s">
        <v>58</v>
      </c>
      <c r="G11" s="8"/>
      <c r="H11" s="120" t="s">
        <v>56</v>
      </c>
      <c r="I11" s="120" t="s">
        <v>57</v>
      </c>
      <c r="J11" s="57" t="s">
        <v>58</v>
      </c>
      <c r="K11" s="121" t="s">
        <v>59</v>
      </c>
    </row>
    <row r="12" spans="1:11" x14ac:dyDescent="0.25">
      <c r="A12" s="122" t="s">
        <v>60</v>
      </c>
      <c r="B12" s="188"/>
      <c r="C12" s="123"/>
      <c r="D12" s="124"/>
      <c r="E12" s="125"/>
      <c r="F12" s="126"/>
      <c r="H12" s="124"/>
      <c r="I12" s="125"/>
      <c r="J12" s="126"/>
      <c r="K12" s="184"/>
    </row>
    <row r="13" spans="1:11" x14ac:dyDescent="0.25">
      <c r="A13" s="127" t="s">
        <v>85</v>
      </c>
      <c r="B13" s="128"/>
      <c r="C13" s="123"/>
      <c r="D13" s="124">
        <f>'App.2-ZA_Com. Exp. (2028)'!I29</f>
        <v>1566372933.299252</v>
      </c>
      <c r="E13" s="171"/>
      <c r="F13" s="129">
        <f>D13*'App.2-ZA_Com. Exp. (2028)'!K29</f>
        <v>204317486.49019194</v>
      </c>
      <c r="H13" s="124">
        <f>'App.2-ZA_Com. Exp. (2028)'!H29</f>
        <v>19425988.936747134</v>
      </c>
      <c r="I13" s="130"/>
      <c r="J13" s="126">
        <f>H13*'App.2-ZA_Com. Exp. (2028)'!J29</f>
        <v>1095576.1232048159</v>
      </c>
      <c r="K13" s="184"/>
    </row>
    <row r="14" spans="1:11" x14ac:dyDescent="0.25">
      <c r="A14" s="127" t="s">
        <v>86</v>
      </c>
      <c r="B14" s="128"/>
      <c r="C14" s="123"/>
      <c r="D14" s="124">
        <f>'App.2-ZA_Com. Exp. (2028)'!I30</f>
        <v>13953154.400233926</v>
      </c>
      <c r="E14" s="171"/>
      <c r="F14" s="129">
        <f>D14*'App.2-ZA_Com. Exp. (2028)'!K30</f>
        <v>1820047.6879159047</v>
      </c>
      <c r="H14" s="124">
        <f>'App.2-ZA_Com. Exp. (2028)'!H30</f>
        <v>173045.52271645045</v>
      </c>
      <c r="I14" s="130"/>
      <c r="J14" s="126">
        <f>H14*'App.2-ZA_Com. Exp. (2028)'!J30</f>
        <v>9759.3251768517403</v>
      </c>
      <c r="K14" s="184"/>
    </row>
    <row r="15" spans="1:11" x14ac:dyDescent="0.25">
      <c r="A15" s="127" t="s">
        <v>87</v>
      </c>
      <c r="B15" s="128"/>
      <c r="C15" s="123"/>
      <c r="D15" s="124">
        <f>'App.2-ZA_Com. Exp. (2028)'!I31</f>
        <v>319665764.1726498</v>
      </c>
      <c r="E15" s="171"/>
      <c r="F15" s="129">
        <f>D15*'App.2-ZA_Com. Exp. (2028)'!K31</f>
        <v>41697161.68112839</v>
      </c>
      <c r="H15" s="124">
        <f>'App.2-ZA_Com. Exp. (2028)'!H31</f>
        <v>49844019.964211807</v>
      </c>
      <c r="I15" s="130"/>
      <c r="J15" s="126">
        <f>H15*'App.2-ZA_Com. Exp. (2028)'!J31</f>
        <v>2811075.3246665169</v>
      </c>
      <c r="K15" s="184"/>
    </row>
    <row r="16" spans="1:11" x14ac:dyDescent="0.25">
      <c r="A16" s="127" t="s">
        <v>88</v>
      </c>
      <c r="B16" s="128"/>
      <c r="C16" s="123"/>
      <c r="D16" s="124">
        <f>'App.2-ZA_Com. Exp. (2028)'!I32</f>
        <v>476338538.84815764</v>
      </c>
      <c r="E16" s="171"/>
      <c r="F16" s="129">
        <f>D16*'App.2-ZA_Com. Exp. (2028)'!K32</f>
        <v>62133538.512359254</v>
      </c>
      <c r="H16" s="124">
        <f>'App.2-ZA_Com. Exp. (2028)'!H32</f>
        <v>816826845.69930279</v>
      </c>
      <c r="I16" s="130"/>
      <c r="J16" s="126">
        <f>H16*'App.2-ZA_Com. Exp. (2028)'!J32</f>
        <v>46066946.288023062</v>
      </c>
      <c r="K16" s="184"/>
    </row>
    <row r="17" spans="1:11" x14ac:dyDescent="0.25">
      <c r="A17" s="127" t="s">
        <v>89</v>
      </c>
      <c r="B17" s="128"/>
      <c r="C17" s="123"/>
      <c r="D17" s="124">
        <f>'App.2-ZA_Com. Exp. (2028)'!I33</f>
        <v>8460250.8047630768</v>
      </c>
      <c r="E17" s="171"/>
      <c r="F17" s="129">
        <f>D17*'App.2-ZA_Com. Exp. (2028)'!K33</f>
        <v>1103554.0405214436</v>
      </c>
      <c r="H17" s="124">
        <f>'App.2-ZA_Com. Exp. (2028)'!H33</f>
        <v>51456544.259722352</v>
      </c>
      <c r="I17" s="130"/>
      <c r="J17" s="126">
        <f>H17*'App.2-ZA_Com. Exp. (2028)'!J33</f>
        <v>2902017.5733212125</v>
      </c>
      <c r="K17" s="184"/>
    </row>
    <row r="18" spans="1:11" x14ac:dyDescent="0.25">
      <c r="A18" s="127" t="s">
        <v>90</v>
      </c>
      <c r="B18" s="128"/>
      <c r="C18" s="123"/>
      <c r="D18" s="124">
        <f>'App.2-ZA_Com. Exp. (2028)'!I34</f>
        <v>0</v>
      </c>
      <c r="E18" s="171"/>
      <c r="F18" s="129">
        <f>D18*'App.2-ZA_Com. Exp. (2028)'!K34</f>
        <v>0</v>
      </c>
      <c r="H18" s="124">
        <f>'App.2-ZA_Com. Exp. (2028)'!H34</f>
        <v>61836811.313059777</v>
      </c>
      <c r="I18" s="130"/>
      <c r="J18" s="126">
        <f>H18*'App.2-ZA_Com. Exp. (2028)'!J34</f>
        <v>3487438.1031668545</v>
      </c>
      <c r="K18" s="184"/>
    </row>
    <row r="19" spans="1:11" x14ac:dyDescent="0.25">
      <c r="A19" s="127" t="s">
        <v>91</v>
      </c>
      <c r="B19" s="128"/>
      <c r="C19" s="123"/>
      <c r="D19" s="124">
        <f>'App.2-ZA_Com. Exp. (2028)'!I35</f>
        <v>0</v>
      </c>
      <c r="E19" s="171"/>
      <c r="F19" s="129">
        <f>D19*'App.2-ZA_Com. Exp. (2028)'!K35</f>
        <v>0</v>
      </c>
      <c r="H19" s="124">
        <f>'App.2-ZA_Com. Exp. (2028)'!H35</f>
        <v>16477848.906282865</v>
      </c>
      <c r="I19" s="130"/>
      <c r="J19" s="126">
        <f>H19*'App.2-ZA_Com. Exp. (2028)'!J35</f>
        <v>929308.56093254895</v>
      </c>
      <c r="K19" s="184"/>
    </row>
    <row r="20" spans="1:11" x14ac:dyDescent="0.25">
      <c r="A20" s="127" t="s">
        <v>92</v>
      </c>
      <c r="B20" s="128"/>
      <c r="C20" s="123"/>
      <c r="D20" s="124">
        <f>'App.2-ZA_Com. Exp. (2028)'!I36</f>
        <v>89526.142437141534</v>
      </c>
      <c r="E20" s="171"/>
      <c r="F20" s="129">
        <f>D20*'App.2-ZA_Com. Exp. (2028)'!K36</f>
        <v>11677.778649680653</v>
      </c>
      <c r="H20" s="124">
        <f>'App.2-ZA_Com. Exp. (2028)'!H36</f>
        <v>0</v>
      </c>
      <c r="I20" s="130"/>
      <c r="J20" s="126">
        <f>H20*'App.2-ZA_Com. Exp. (2028)'!J36</f>
        <v>0</v>
      </c>
      <c r="K20" s="184"/>
    </row>
    <row r="21" spans="1:11" x14ac:dyDescent="0.25">
      <c r="A21" s="127" t="s">
        <v>93</v>
      </c>
      <c r="B21" s="128"/>
      <c r="C21" s="123"/>
      <c r="D21" s="124">
        <f>'App.2-ZA_Com. Exp. (2028)'!I37</f>
        <v>6713917.9993468774</v>
      </c>
      <c r="E21" s="171"/>
      <c r="F21" s="129">
        <f>D21*'App.2-ZA_Com. Exp. (2028)'!K37</f>
        <v>875762.61116722086</v>
      </c>
      <c r="H21" s="124">
        <f>'App.2-ZA_Com. Exp. (2028)'!H37</f>
        <v>4260.6876408116568</v>
      </c>
      <c r="I21" s="130"/>
      <c r="J21" s="126">
        <f>H21*'App.2-ZA_Com. Exp. (2028)'!J37</f>
        <v>240.2918926241675</v>
      </c>
      <c r="K21" s="184"/>
    </row>
    <row r="22" spans="1:11" x14ac:dyDescent="0.25">
      <c r="A22" s="127" t="s">
        <v>94</v>
      </c>
      <c r="B22" s="128"/>
      <c r="C22" s="131"/>
      <c r="D22" s="124">
        <v>0</v>
      </c>
      <c r="E22" s="171"/>
      <c r="F22" s="129">
        <v>0</v>
      </c>
      <c r="H22" s="124">
        <f>'App.2-ZA_Com. Exp. (2028)'!H38</f>
        <v>0</v>
      </c>
      <c r="I22" s="130"/>
      <c r="J22" s="126">
        <v>0</v>
      </c>
      <c r="K22" s="184"/>
    </row>
    <row r="23" spans="1:11" x14ac:dyDescent="0.25">
      <c r="A23" s="127" t="s">
        <v>94</v>
      </c>
      <c r="B23" s="132"/>
      <c r="C23" s="123"/>
      <c r="D23" s="124">
        <v>0</v>
      </c>
      <c r="E23" s="171"/>
      <c r="F23" s="129">
        <v>0</v>
      </c>
      <c r="H23" s="124">
        <f>'App.2-ZA_Com. Exp. (2028)'!H39</f>
        <v>0</v>
      </c>
      <c r="I23" s="130"/>
      <c r="J23" s="126">
        <v>0</v>
      </c>
      <c r="K23" s="184"/>
    </row>
    <row r="24" spans="1:11" x14ac:dyDescent="0.25">
      <c r="A24" s="122" t="s">
        <v>61</v>
      </c>
      <c r="B24" s="127"/>
      <c r="C24" s="123"/>
      <c r="D24" s="124"/>
      <c r="E24" s="133"/>
      <c r="F24" s="129">
        <f>SUM(F13:F23)</f>
        <v>311959228.80193377</v>
      </c>
      <c r="G24" s="127"/>
      <c r="H24" s="124"/>
      <c r="I24" s="134"/>
      <c r="J24" s="135">
        <f>SUM(J13:J23)</f>
        <v>57302361.590384491</v>
      </c>
      <c r="K24" s="136">
        <f>F24+J24</f>
        <v>369261590.39231825</v>
      </c>
    </row>
    <row r="25" spans="1:11" ht="7.5" customHeight="1" x14ac:dyDescent="0.25">
      <c r="D25" s="137"/>
      <c r="I25" s="185"/>
      <c r="J25" s="186"/>
    </row>
    <row r="26" spans="1:11" x14ac:dyDescent="0.25">
      <c r="A26" s="118" t="s">
        <v>62</v>
      </c>
      <c r="B26" s="187" t="s">
        <v>55</v>
      </c>
      <c r="C26" s="119"/>
      <c r="D26" s="189" t="s">
        <v>56</v>
      </c>
      <c r="E26" s="190" t="s">
        <v>57</v>
      </c>
      <c r="F26" s="191" t="s">
        <v>58</v>
      </c>
      <c r="G26" s="8"/>
      <c r="H26" s="193" t="s">
        <v>56</v>
      </c>
      <c r="I26" s="190" t="s">
        <v>57</v>
      </c>
      <c r="J26" s="191" t="s">
        <v>58</v>
      </c>
      <c r="K26" s="189" t="s">
        <v>53</v>
      </c>
    </row>
    <row r="27" spans="1:11" x14ac:dyDescent="0.25">
      <c r="A27" s="122" t="s">
        <v>63</v>
      </c>
      <c r="B27" s="188"/>
      <c r="C27" s="119"/>
      <c r="D27" s="185"/>
      <c r="E27" s="186"/>
      <c r="F27" s="192"/>
      <c r="G27" s="8"/>
      <c r="H27" s="194"/>
      <c r="I27" s="186"/>
      <c r="J27" s="192"/>
      <c r="K27" s="195"/>
    </row>
    <row r="28" spans="1:11" x14ac:dyDescent="0.25">
      <c r="A28" s="127" t="str">
        <f>IF(A13="","",A13 &amp; " - Class B")</f>
        <v>Residential - Class B</v>
      </c>
      <c r="B28" s="128"/>
      <c r="C28" s="123"/>
      <c r="D28" s="77"/>
      <c r="E28" s="77"/>
      <c r="F28" s="141">
        <f>D28*E28</f>
        <v>0</v>
      </c>
      <c r="H28" s="142"/>
      <c r="I28" s="77"/>
      <c r="J28" s="126">
        <f>'App.2-ZA_Com. Exp. (2028)'!L55</f>
        <v>1232626.1837637331</v>
      </c>
      <c r="K28" s="184"/>
    </row>
    <row r="29" spans="1:11" x14ac:dyDescent="0.25">
      <c r="A29" s="127" t="str">
        <f t="shared" ref="A29:A38" si="0">IF(A14="","",A14 &amp; " - Class B")</f>
        <v>Residential Seasonal - Class B</v>
      </c>
      <c r="B29" s="128"/>
      <c r="C29" s="123"/>
      <c r="D29" s="77"/>
      <c r="E29" s="77"/>
      <c r="F29" s="141">
        <f t="shared" ref="F29:F38" si="1">D29*E29</f>
        <v>0</v>
      </c>
      <c r="H29" s="142"/>
      <c r="I29" s="77"/>
      <c r="J29" s="126">
        <f>'App.2-ZA_Com. Exp. (2028)'!L56</f>
        <v>10980.15874393346</v>
      </c>
      <c r="K29" s="184"/>
    </row>
    <row r="30" spans="1:11" x14ac:dyDescent="0.25">
      <c r="A30" s="127" t="str">
        <f t="shared" si="0"/>
        <v>GS&lt;50 - Class B</v>
      </c>
      <c r="B30" s="128"/>
      <c r="C30" s="123"/>
      <c r="D30" s="77"/>
      <c r="E30" s="77"/>
      <c r="F30" s="141">
        <f t="shared" si="1"/>
        <v>0</v>
      </c>
      <c r="H30" s="142"/>
      <c r="I30" s="77"/>
      <c r="J30" s="126">
        <f>'App.2-ZA_Com. Exp. (2028)'!L57</f>
        <v>3162724.1378537323</v>
      </c>
      <c r="K30" s="184"/>
    </row>
    <row r="31" spans="1:11" x14ac:dyDescent="0.25">
      <c r="A31" s="127" t="str">
        <f t="shared" si="0"/>
        <v>GS 50 - 2,999 - Class B</v>
      </c>
      <c r="B31" s="128"/>
      <c r="C31" s="123"/>
      <c r="D31" s="77"/>
      <c r="E31" s="77"/>
      <c r="F31" s="141">
        <f t="shared" si="1"/>
        <v>0</v>
      </c>
      <c r="H31" s="142"/>
      <c r="I31" s="77"/>
      <c r="J31" s="126">
        <f>'App.2-ZA_Com. Exp. (2028)'!L58</f>
        <v>51829647.432028972</v>
      </c>
      <c r="K31" s="184"/>
    </row>
    <row r="32" spans="1:11" x14ac:dyDescent="0.25">
      <c r="A32" s="127" t="str">
        <f t="shared" si="0"/>
        <v>GS 3,000 - 4,999 - Class B</v>
      </c>
      <c r="B32" s="128"/>
      <c r="C32" s="123"/>
      <c r="D32" s="77"/>
      <c r="E32" s="77"/>
      <c r="F32" s="141">
        <f t="shared" si="1"/>
        <v>0</v>
      </c>
      <c r="H32" s="142"/>
      <c r="I32" s="77"/>
      <c r="J32" s="126">
        <f>'App.2-ZA_Com. Exp. (2028)'!L59</f>
        <v>3265042.7212253902</v>
      </c>
      <c r="K32" s="184"/>
    </row>
    <row r="33" spans="1:12" x14ac:dyDescent="0.25">
      <c r="A33" s="127" t="str">
        <f t="shared" si="0"/>
        <v>Large Use - Class B</v>
      </c>
      <c r="B33" s="128"/>
      <c r="C33" s="123"/>
      <c r="D33" s="77"/>
      <c r="E33" s="77"/>
      <c r="F33" s="141">
        <f t="shared" si="1"/>
        <v>0</v>
      </c>
      <c r="H33" s="142"/>
      <c r="I33" s="77"/>
      <c r="J33" s="126">
        <f>'App.2-ZA_Com. Exp. (2028)'!L60</f>
        <v>3923695.8794283224</v>
      </c>
      <c r="K33" s="184"/>
    </row>
    <row r="34" spans="1:12" x14ac:dyDescent="0.25">
      <c r="A34" s="127" t="str">
        <f t="shared" si="0"/>
        <v>Street Light - Class B</v>
      </c>
      <c r="B34" s="128"/>
      <c r="C34" s="123"/>
      <c r="D34" s="77"/>
      <c r="E34" s="77"/>
      <c r="F34" s="141">
        <f t="shared" si="1"/>
        <v>0</v>
      </c>
      <c r="H34" s="142"/>
      <c r="I34" s="77"/>
      <c r="J34" s="126">
        <f>'App.2-ZA_Com. Exp. (2028)'!L61</f>
        <v>1045559.5377986411</v>
      </c>
      <c r="K34" s="184"/>
    </row>
    <row r="35" spans="1:12" x14ac:dyDescent="0.25">
      <c r="A35" s="127" t="str">
        <f t="shared" si="0"/>
        <v>Sentinel Light - Class B</v>
      </c>
      <c r="B35" s="128"/>
      <c r="C35" s="123"/>
      <c r="D35" s="77"/>
      <c r="E35" s="77"/>
      <c r="F35" s="141">
        <f t="shared" si="1"/>
        <v>0</v>
      </c>
      <c r="H35" s="142"/>
      <c r="I35" s="77"/>
      <c r="J35" s="126">
        <f>'App.2-ZA_Com. Exp. (2028)'!L62</f>
        <v>0</v>
      </c>
      <c r="K35" s="184"/>
    </row>
    <row r="36" spans="1:12" x14ac:dyDescent="0.25">
      <c r="A36" s="127" t="str">
        <f t="shared" si="0"/>
        <v>USL - Class B</v>
      </c>
      <c r="B36" s="128"/>
      <c r="C36" s="123"/>
      <c r="D36" s="77"/>
      <c r="E36" s="77"/>
      <c r="F36" s="141">
        <f t="shared" si="1"/>
        <v>0</v>
      </c>
      <c r="H36" s="142"/>
      <c r="I36" s="77"/>
      <c r="J36" s="126">
        <f>'App.2-ZA_Com. Exp. (2028)'!L63</f>
        <v>270.35098001977917</v>
      </c>
      <c r="K36" s="184"/>
    </row>
    <row r="37" spans="1:12" x14ac:dyDescent="0.25">
      <c r="A37" s="127" t="str">
        <f t="shared" si="0"/>
        <v/>
      </c>
      <c r="B37" s="128"/>
      <c r="C37" s="123"/>
      <c r="D37" s="77"/>
      <c r="E37" s="77"/>
      <c r="F37" s="141">
        <f t="shared" si="1"/>
        <v>0</v>
      </c>
      <c r="H37" s="142"/>
      <c r="I37" s="77"/>
      <c r="J37" s="126">
        <v>0</v>
      </c>
      <c r="K37" s="184"/>
    </row>
    <row r="38" spans="1:12" x14ac:dyDescent="0.25">
      <c r="A38" s="127" t="str">
        <f t="shared" si="0"/>
        <v/>
      </c>
      <c r="B38" s="128"/>
      <c r="C38" s="123"/>
      <c r="D38" s="77"/>
      <c r="E38" s="77"/>
      <c r="F38" s="141">
        <f t="shared" si="1"/>
        <v>0</v>
      </c>
      <c r="H38" s="142"/>
      <c r="I38" s="77"/>
      <c r="J38" s="126">
        <v>0</v>
      </c>
      <c r="K38" s="184"/>
    </row>
    <row r="39" spans="1:12" x14ac:dyDescent="0.25">
      <c r="A39" s="127" t="s">
        <v>94</v>
      </c>
      <c r="B39" s="128"/>
      <c r="C39" s="123"/>
      <c r="D39" s="77"/>
      <c r="E39" s="77"/>
      <c r="F39" s="141">
        <f>D39*E39</f>
        <v>0</v>
      </c>
      <c r="H39" s="142"/>
      <c r="I39" s="77"/>
      <c r="J39" s="126">
        <f>'App.2-ZA_Com. Exp. (2028)'!L45</f>
        <v>1505.947091820733</v>
      </c>
      <c r="K39" s="184"/>
    </row>
    <row r="40" spans="1:12" x14ac:dyDescent="0.25">
      <c r="A40" s="127" t="s">
        <v>94</v>
      </c>
      <c r="B40" s="128"/>
      <c r="C40" s="123"/>
      <c r="D40" s="77"/>
      <c r="E40" s="77"/>
      <c r="F40" s="141">
        <f>D40*E40</f>
        <v>0</v>
      </c>
      <c r="H40" s="142"/>
      <c r="I40" s="77"/>
      <c r="J40" s="126">
        <f>'App.2-ZA_Com. Exp. (2028)'!L46</f>
        <v>3189139.2774151298</v>
      </c>
      <c r="K40" s="184"/>
    </row>
    <row r="41" spans="1:12" x14ac:dyDescent="0.25">
      <c r="A41" s="127" t="s">
        <v>94</v>
      </c>
      <c r="B41" s="128"/>
      <c r="C41" s="123"/>
      <c r="D41" s="77"/>
      <c r="E41" s="77"/>
      <c r="F41" s="141">
        <f>D41*E41</f>
        <v>0</v>
      </c>
      <c r="H41" s="142"/>
      <c r="I41" s="77"/>
      <c r="J41" s="126">
        <f>'App.2-ZA_Com. Exp. (2028)'!L47</f>
        <v>8167516.5553992838</v>
      </c>
      <c r="K41" s="184"/>
      <c r="L41" s="8"/>
    </row>
    <row r="42" spans="1:12" x14ac:dyDescent="0.25">
      <c r="A42" s="127" t="s">
        <v>94</v>
      </c>
      <c r="B42" s="128"/>
      <c r="C42" s="123"/>
      <c r="D42" s="77"/>
      <c r="E42" s="77"/>
      <c r="F42" s="141">
        <f>D42*E42</f>
        <v>0</v>
      </c>
      <c r="H42" s="142"/>
      <c r="I42" s="77"/>
      <c r="J42" s="126">
        <f>'App.2-ZA_Com. Exp. (2028)'!L48</f>
        <v>14557786.346516857</v>
      </c>
      <c r="K42" s="184"/>
    </row>
    <row r="43" spans="1:12" x14ac:dyDescent="0.25">
      <c r="A43" s="127" t="s">
        <v>94</v>
      </c>
      <c r="B43" s="128"/>
      <c r="C43" s="123"/>
      <c r="D43" s="77"/>
      <c r="E43" s="77"/>
      <c r="F43" s="141">
        <f>D43*E43</f>
        <v>0</v>
      </c>
      <c r="H43" s="142"/>
      <c r="I43" s="77"/>
      <c r="J43" s="126">
        <v>0</v>
      </c>
      <c r="K43" s="184"/>
    </row>
    <row r="44" spans="1:12" x14ac:dyDescent="0.25">
      <c r="A44" s="122" t="s">
        <v>61</v>
      </c>
      <c r="B44" s="143"/>
      <c r="C44" s="123"/>
      <c r="D44" s="134"/>
      <c r="E44" s="133"/>
      <c r="F44" s="127">
        <f>SUM(F28:F43)</f>
        <v>0</v>
      </c>
      <c r="G44" s="127"/>
      <c r="H44" s="133"/>
      <c r="I44" s="133"/>
      <c r="J44" s="144">
        <f>SUM(J28:J43)</f>
        <v>90386494.528245836</v>
      </c>
      <c r="K44" s="136">
        <f>F44+J44</f>
        <v>90386494.528245836</v>
      </c>
      <c r="L44" s="145"/>
    </row>
    <row r="45" spans="1:12" ht="8.25" customHeight="1" x14ac:dyDescent="0.25">
      <c r="B45" s="137"/>
      <c r="D45" s="137"/>
    </row>
    <row r="46" spans="1:12" x14ac:dyDescent="0.25">
      <c r="A46" s="118" t="s">
        <v>64</v>
      </c>
      <c r="B46" s="186"/>
      <c r="C46" s="119"/>
      <c r="D46" s="185" t="s">
        <v>65</v>
      </c>
      <c r="E46" s="184" t="s">
        <v>57</v>
      </c>
      <c r="F46" s="191" t="s">
        <v>58</v>
      </c>
      <c r="G46" s="8"/>
      <c r="H46" s="193" t="s">
        <v>56</v>
      </c>
      <c r="I46" s="184" t="s">
        <v>57</v>
      </c>
      <c r="J46" s="191" t="s">
        <v>58</v>
      </c>
      <c r="K46" s="189" t="s">
        <v>53</v>
      </c>
    </row>
    <row r="47" spans="1:12" x14ac:dyDescent="0.25">
      <c r="A47" s="122" t="s">
        <v>63</v>
      </c>
      <c r="B47" s="196"/>
      <c r="C47" s="139"/>
      <c r="D47" s="195"/>
      <c r="E47" s="184"/>
      <c r="F47" s="192"/>
      <c r="G47" s="8"/>
      <c r="H47" s="197"/>
      <c r="I47" s="184"/>
      <c r="J47" s="192"/>
      <c r="K47" s="195"/>
    </row>
    <row r="48" spans="1:12" x14ac:dyDescent="0.25">
      <c r="A48" s="127" t="str">
        <f>IF(A13="","",A13)</f>
        <v>Residential</v>
      </c>
      <c r="B48" s="128"/>
      <c r="C48" s="123"/>
      <c r="D48" s="146">
        <v>1566372933.299252</v>
      </c>
      <c r="E48" s="147">
        <v>1.37E-2</v>
      </c>
      <c r="F48" s="148">
        <f>D48*E48</f>
        <v>21459309.186199754</v>
      </c>
      <c r="H48" s="146">
        <v>19425988.936747134</v>
      </c>
      <c r="I48" s="147">
        <f>E48</f>
        <v>1.37E-2</v>
      </c>
      <c r="J48" s="148">
        <f>H48*I48</f>
        <v>266136.04843343573</v>
      </c>
      <c r="K48" s="184"/>
    </row>
    <row r="49" spans="1:11" x14ac:dyDescent="0.25">
      <c r="A49" s="127" t="str">
        <f t="shared" ref="A49:A51" si="2">IF(A14="","",A14)</f>
        <v>Residential Seasonal</v>
      </c>
      <c r="B49" s="128"/>
      <c r="C49" s="131"/>
      <c r="D49" s="146">
        <v>13953154.400233926</v>
      </c>
      <c r="E49" s="147">
        <v>1.38E-2</v>
      </c>
      <c r="F49" s="148">
        <f t="shared" ref="F49:F60" si="3">D49*E49</f>
        <v>192553.53072322818</v>
      </c>
      <c r="H49" s="146">
        <v>173045.52271645045</v>
      </c>
      <c r="I49" s="147">
        <f t="shared" ref="I49:I58" si="4">E49</f>
        <v>1.38E-2</v>
      </c>
      <c r="J49" s="148">
        <f t="shared" ref="J49:J59" si="5">H49*I49</f>
        <v>2388.0282134870163</v>
      </c>
      <c r="K49" s="184"/>
    </row>
    <row r="50" spans="1:11" x14ac:dyDescent="0.25">
      <c r="A50" s="127" t="str">
        <f t="shared" si="2"/>
        <v>GS&lt;50</v>
      </c>
      <c r="B50" s="128"/>
      <c r="C50" s="131"/>
      <c r="D50" s="146">
        <v>319665764.1726498</v>
      </c>
      <c r="E50" s="147">
        <v>1.2500000000000001E-2</v>
      </c>
      <c r="F50" s="148">
        <f t="shared" si="3"/>
        <v>3995822.0521581229</v>
      </c>
      <c r="H50" s="146">
        <v>49891784.10862536</v>
      </c>
      <c r="I50" s="147">
        <f t="shared" si="4"/>
        <v>1.2500000000000001E-2</v>
      </c>
      <c r="J50" s="148">
        <f t="shared" si="5"/>
        <v>623647.30135781702</v>
      </c>
      <c r="K50" s="184"/>
    </row>
    <row r="51" spans="1:11" x14ac:dyDescent="0.25">
      <c r="A51" s="127" t="str">
        <f t="shared" si="2"/>
        <v>GS 50 - 2,999</v>
      </c>
      <c r="B51" s="128"/>
      <c r="C51" s="131"/>
      <c r="D51" s="146">
        <v>2168940.9903249145</v>
      </c>
      <c r="E51" s="147">
        <v>5.7565999999999997</v>
      </c>
      <c r="F51" s="148">
        <f t="shared" si="3"/>
        <v>12485725.704904402</v>
      </c>
      <c r="H51" s="146">
        <v>1100306.2938049887</v>
      </c>
      <c r="I51" s="147">
        <f t="shared" si="4"/>
        <v>5.7565999999999997</v>
      </c>
      <c r="J51" s="148">
        <f t="shared" si="5"/>
        <v>6334023.2109177979</v>
      </c>
      <c r="K51" s="184"/>
    </row>
    <row r="52" spans="1:11" x14ac:dyDescent="0.25">
      <c r="A52" s="127" t="str">
        <f>A51&amp;" EV"</f>
        <v>GS 50 - 2,999 EV</v>
      </c>
      <c r="B52" s="128"/>
      <c r="C52" s="131"/>
      <c r="D52" s="146"/>
      <c r="E52" s="147">
        <v>0.98209999999999997</v>
      </c>
      <c r="F52" s="148"/>
      <c r="H52" s="146">
        <v>25158.053599154682</v>
      </c>
      <c r="I52" s="147">
        <f t="shared" si="4"/>
        <v>0.98209999999999997</v>
      </c>
      <c r="J52" s="148">
        <f t="shared" si="5"/>
        <v>24707.724439729813</v>
      </c>
      <c r="K52" s="184"/>
    </row>
    <row r="53" spans="1:11" x14ac:dyDescent="0.25">
      <c r="A53" s="127" t="str">
        <f>IF(A17="","",A17)</f>
        <v>GS 3,000 - 4,999</v>
      </c>
      <c r="B53" s="128"/>
      <c r="C53" s="131"/>
      <c r="D53" s="146">
        <v>648093.35720011126</v>
      </c>
      <c r="E53" s="147">
        <v>6.1009000000000002</v>
      </c>
      <c r="F53" s="148">
        <f t="shared" si="3"/>
        <v>3953952.7629421591</v>
      </c>
      <c r="H53" s="146">
        <v>17658.390711427503</v>
      </c>
      <c r="I53" s="147">
        <f t="shared" si="4"/>
        <v>6.1009000000000002</v>
      </c>
      <c r="J53" s="148">
        <f t="shared" si="5"/>
        <v>107732.07589134805</v>
      </c>
      <c r="K53" s="184"/>
    </row>
    <row r="54" spans="1:11" x14ac:dyDescent="0.25">
      <c r="A54" s="127" t="str">
        <f>A53&amp;" EV"</f>
        <v>GS 3,000 - 4,999 EV</v>
      </c>
      <c r="B54" s="128"/>
      <c r="C54" s="131"/>
      <c r="D54" s="146"/>
      <c r="E54" s="147">
        <v>1.0371530000000002</v>
      </c>
      <c r="F54" s="148"/>
      <c r="H54" s="146"/>
      <c r="I54" s="147">
        <f t="shared" si="4"/>
        <v>1.0371530000000002</v>
      </c>
      <c r="J54" s="148">
        <f t="shared" si="5"/>
        <v>0</v>
      </c>
      <c r="K54" s="184"/>
    </row>
    <row r="55" spans="1:11" x14ac:dyDescent="0.25">
      <c r="A55" s="127" t="str">
        <f t="shared" ref="A55:A60" si="6">IF(A18="","",A18)</f>
        <v>Large Use</v>
      </c>
      <c r="B55" s="128"/>
      <c r="C55" s="131"/>
      <c r="D55" s="146">
        <v>895387.42439179833</v>
      </c>
      <c r="E55" s="147">
        <v>6.5012999999999996</v>
      </c>
      <c r="F55" s="148">
        <f t="shared" si="3"/>
        <v>5821182.2621983979</v>
      </c>
      <c r="H55" s="146">
        <v>0</v>
      </c>
      <c r="I55" s="147">
        <f t="shared" si="4"/>
        <v>6.5012999999999996</v>
      </c>
      <c r="J55" s="148">
        <f t="shared" si="5"/>
        <v>0</v>
      </c>
      <c r="K55" s="184"/>
    </row>
    <row r="56" spans="1:11" x14ac:dyDescent="0.25">
      <c r="A56" s="127" t="str">
        <f t="shared" si="6"/>
        <v>Street Light</v>
      </c>
      <c r="B56" s="128"/>
      <c r="C56" s="123"/>
      <c r="D56" s="146">
        <v>44090.904046101437</v>
      </c>
      <c r="E56" s="147">
        <v>3.9161000000000001</v>
      </c>
      <c r="F56" s="148">
        <f t="shared" si="3"/>
        <v>172664.38933493785</v>
      </c>
      <c r="H56" s="146">
        <v>0</v>
      </c>
      <c r="I56" s="147">
        <f t="shared" si="4"/>
        <v>3.9161000000000001</v>
      </c>
      <c r="J56" s="148">
        <f t="shared" si="5"/>
        <v>0</v>
      </c>
      <c r="K56" s="184"/>
    </row>
    <row r="57" spans="1:11" x14ac:dyDescent="0.25">
      <c r="A57" s="127" t="str">
        <f t="shared" si="6"/>
        <v>Sentinel Light</v>
      </c>
      <c r="B57" s="128"/>
      <c r="C57" s="123"/>
      <c r="D57" s="146">
        <v>0</v>
      </c>
      <c r="E57" s="147">
        <v>3.7309999999999999</v>
      </c>
      <c r="F57" s="148">
        <f t="shared" si="3"/>
        <v>0</v>
      </c>
      <c r="H57" s="146">
        <v>644.51221350638025</v>
      </c>
      <c r="I57" s="147">
        <f t="shared" si="4"/>
        <v>3.7309999999999999</v>
      </c>
      <c r="J57" s="148">
        <f t="shared" si="5"/>
        <v>2404.6750685923048</v>
      </c>
      <c r="K57" s="184"/>
    </row>
    <row r="58" spans="1:11" x14ac:dyDescent="0.25">
      <c r="A58" s="127" t="str">
        <f t="shared" si="6"/>
        <v>USL</v>
      </c>
      <c r="B58" s="128"/>
      <c r="C58" s="123"/>
      <c r="D58" s="146">
        <v>6713917.9993468774</v>
      </c>
      <c r="E58" s="147">
        <v>1.2500000000000001E-2</v>
      </c>
      <c r="F58" s="148">
        <f t="shared" si="3"/>
        <v>83923.974991835974</v>
      </c>
      <c r="H58" s="146">
        <v>4260.6876408116568</v>
      </c>
      <c r="I58" s="147">
        <f t="shared" si="4"/>
        <v>1.2500000000000001E-2</v>
      </c>
      <c r="J58" s="148">
        <f t="shared" si="5"/>
        <v>53.25859551014571</v>
      </c>
      <c r="K58" s="184"/>
    </row>
    <row r="59" spans="1:11" x14ac:dyDescent="0.25">
      <c r="A59" s="127" t="str">
        <f t="shared" si="6"/>
        <v/>
      </c>
      <c r="B59" s="128"/>
      <c r="C59" s="123"/>
      <c r="D59" s="150"/>
      <c r="E59" s="149"/>
      <c r="F59" s="148">
        <f t="shared" si="3"/>
        <v>0</v>
      </c>
      <c r="H59" s="150"/>
      <c r="I59" s="150"/>
      <c r="J59" s="148">
        <f t="shared" si="5"/>
        <v>0</v>
      </c>
      <c r="K59" s="184"/>
    </row>
    <row r="60" spans="1:11" x14ac:dyDescent="0.25">
      <c r="A60" s="127" t="str">
        <f t="shared" si="6"/>
        <v/>
      </c>
      <c r="B60" s="128"/>
      <c r="C60" s="123"/>
      <c r="D60" s="150"/>
      <c r="E60" s="149"/>
      <c r="F60" s="148">
        <f t="shared" si="3"/>
        <v>0</v>
      </c>
      <c r="H60" s="150"/>
      <c r="I60" s="150"/>
      <c r="J60" s="148">
        <f>H60*I60</f>
        <v>0</v>
      </c>
      <c r="K60" s="184"/>
    </row>
    <row r="61" spans="1:11" x14ac:dyDescent="0.25">
      <c r="A61" s="122" t="s">
        <v>61</v>
      </c>
      <c r="B61" s="143"/>
      <c r="C61" s="123"/>
      <c r="D61" s="144"/>
      <c r="E61" s="151"/>
      <c r="F61" s="144">
        <f>SUM(F48:F60)</f>
        <v>48165133.863452837</v>
      </c>
      <c r="G61" s="127"/>
      <c r="H61" s="124"/>
      <c r="I61" s="127"/>
      <c r="J61" s="144">
        <f>SUM(J48:J60)</f>
        <v>7361092.3229177184</v>
      </c>
      <c r="K61" s="148">
        <f>F61+J61</f>
        <v>55526226.186370552</v>
      </c>
    </row>
    <row r="62" spans="1:11" ht="5.25" customHeight="1" x14ac:dyDescent="0.25"/>
    <row r="63" spans="1:11" x14ac:dyDescent="0.25">
      <c r="A63" s="118" t="s">
        <v>66</v>
      </c>
      <c r="B63" s="190"/>
      <c r="C63" s="119"/>
      <c r="D63" s="189"/>
      <c r="E63" s="184"/>
      <c r="F63" s="191"/>
      <c r="G63" s="8"/>
      <c r="H63" s="193"/>
      <c r="I63" s="184"/>
      <c r="J63" s="191" t="s">
        <v>58</v>
      </c>
      <c r="K63" s="189" t="s">
        <v>53</v>
      </c>
    </row>
    <row r="64" spans="1:11" x14ac:dyDescent="0.25">
      <c r="A64" s="122" t="s">
        <v>63</v>
      </c>
      <c r="B64" s="196"/>
      <c r="C64" s="139"/>
      <c r="D64" s="195"/>
      <c r="E64" s="184"/>
      <c r="F64" s="192"/>
      <c r="G64" s="8"/>
      <c r="H64" s="197"/>
      <c r="I64" s="184"/>
      <c r="J64" s="192"/>
      <c r="K64" s="195"/>
    </row>
    <row r="65" spans="1:11" x14ac:dyDescent="0.25">
      <c r="A65" s="127" t="str">
        <f>IF(A48="","",A48)</f>
        <v>Residential</v>
      </c>
      <c r="B65" s="128"/>
      <c r="C65" s="123"/>
      <c r="D65" s="146">
        <f>D48</f>
        <v>1566372933.299252</v>
      </c>
      <c r="E65" s="147">
        <v>9.9000000000000008E-3</v>
      </c>
      <c r="F65" s="148">
        <f>D65*E65</f>
        <v>15507092.039662596</v>
      </c>
      <c r="H65" s="146">
        <f t="shared" ref="H65:H70" si="7">H48</f>
        <v>19425988.936747134</v>
      </c>
      <c r="I65" s="147">
        <f>E65</f>
        <v>9.9000000000000008E-3</v>
      </c>
      <c r="J65" s="148">
        <f>H65*I65</f>
        <v>192317.29047379663</v>
      </c>
      <c r="K65" s="184"/>
    </row>
    <row r="66" spans="1:11" x14ac:dyDescent="0.25">
      <c r="A66" s="127" t="str">
        <f>IF(A49="","",A49)</f>
        <v>Residential Seasonal</v>
      </c>
      <c r="B66" s="128"/>
      <c r="C66" s="123"/>
      <c r="D66" s="146">
        <f>D49</f>
        <v>13953154.400233926</v>
      </c>
      <c r="E66" s="147">
        <v>1.2E-2</v>
      </c>
      <c r="F66" s="148">
        <f>D66*E66</f>
        <v>167437.85280280712</v>
      </c>
      <c r="H66" s="146">
        <f t="shared" si="7"/>
        <v>173045.52271645045</v>
      </c>
      <c r="I66" s="147">
        <f t="shared" ref="I66:I75" si="8">E66</f>
        <v>1.2E-2</v>
      </c>
      <c r="J66" s="148">
        <f t="shared" ref="J66:J74" si="9">H66*I66</f>
        <v>2076.5462725974053</v>
      </c>
      <c r="K66" s="184"/>
    </row>
    <row r="67" spans="1:11" x14ac:dyDescent="0.25">
      <c r="A67" s="127" t="str">
        <f>IF(A50="","",A50)</f>
        <v>GS&lt;50</v>
      </c>
      <c r="B67" s="128"/>
      <c r="C67" s="123"/>
      <c r="D67" s="146">
        <f>D50</f>
        <v>319665764.1726498</v>
      </c>
      <c r="E67" s="147">
        <v>9.2999999999999992E-3</v>
      </c>
      <c r="F67" s="148">
        <f t="shared" ref="F67:F75" si="10">D67*E67</f>
        <v>2972891.6068056431</v>
      </c>
      <c r="H67" s="146">
        <f t="shared" si="7"/>
        <v>49891784.10862536</v>
      </c>
      <c r="I67" s="147">
        <f t="shared" si="8"/>
        <v>9.2999999999999992E-3</v>
      </c>
      <c r="J67" s="148">
        <f t="shared" si="9"/>
        <v>463993.59221021581</v>
      </c>
      <c r="K67" s="184"/>
    </row>
    <row r="68" spans="1:11" x14ac:dyDescent="0.25">
      <c r="A68" s="127" t="str">
        <f>IF(A51="","",A51)</f>
        <v>GS 50 - 2,999</v>
      </c>
      <c r="B68" s="128"/>
      <c r="C68" s="123"/>
      <c r="D68" s="146">
        <f>D51</f>
        <v>2168940.9903249145</v>
      </c>
      <c r="E68" s="147">
        <v>4.0744999999999996</v>
      </c>
      <c r="F68" s="148">
        <f t="shared" si="10"/>
        <v>8837350.0650788639</v>
      </c>
      <c r="H68" s="146">
        <f t="shared" si="7"/>
        <v>1100306.2938049887</v>
      </c>
      <c r="I68" s="147">
        <f t="shared" si="8"/>
        <v>4.0744999999999996</v>
      </c>
      <c r="J68" s="148">
        <f t="shared" si="9"/>
        <v>4483197.9941084264</v>
      </c>
      <c r="K68" s="184"/>
    </row>
    <row r="69" spans="1:11" x14ac:dyDescent="0.25">
      <c r="A69" s="127" t="str">
        <f>A68&amp;" EV"</f>
        <v>GS 50 - 2,999 EV</v>
      </c>
      <c r="B69" s="128"/>
      <c r="C69" s="123"/>
      <c r="D69" s="146"/>
      <c r="E69" s="147">
        <v>0.69199999999999995</v>
      </c>
      <c r="F69" s="148"/>
      <c r="H69" s="146">
        <f t="shared" si="7"/>
        <v>25158.053599154682</v>
      </c>
      <c r="I69" s="147">
        <f t="shared" si="8"/>
        <v>0.69199999999999995</v>
      </c>
      <c r="J69" s="148">
        <f t="shared" si="9"/>
        <v>17409.373090615038</v>
      </c>
      <c r="K69" s="184"/>
    </row>
    <row r="70" spans="1:11" x14ac:dyDescent="0.25">
      <c r="A70" s="127" t="str">
        <f>IF(A53="","",A53)</f>
        <v>GS 3,000 - 4,999</v>
      </c>
      <c r="B70" s="128"/>
      <c r="C70" s="123"/>
      <c r="D70" s="146">
        <f>D53</f>
        <v>648093.35720011126</v>
      </c>
      <c r="E70" s="147">
        <v>2.8788999999999998</v>
      </c>
      <c r="F70" s="148">
        <f t="shared" si="10"/>
        <v>1865795.9660434001</v>
      </c>
      <c r="H70" s="146">
        <f t="shared" si="7"/>
        <v>17658.390711427503</v>
      </c>
      <c r="I70" s="147">
        <f t="shared" si="8"/>
        <v>2.8788999999999998</v>
      </c>
      <c r="J70" s="148">
        <f t="shared" si="9"/>
        <v>50836.741019128633</v>
      </c>
      <c r="K70" s="184"/>
    </row>
    <row r="71" spans="1:11" x14ac:dyDescent="0.25">
      <c r="A71" s="127" t="str">
        <f>A70&amp;" EV"</f>
        <v>GS 3,000 - 4,999 EV</v>
      </c>
      <c r="B71" s="128"/>
      <c r="C71" s="123"/>
      <c r="D71" s="146"/>
      <c r="E71" s="147">
        <v>0.48941299999999999</v>
      </c>
      <c r="F71" s="148"/>
      <c r="H71" s="146"/>
      <c r="I71" s="147">
        <f t="shared" si="8"/>
        <v>0.48941299999999999</v>
      </c>
      <c r="J71" s="148">
        <f t="shared" si="9"/>
        <v>0</v>
      </c>
      <c r="K71" s="184"/>
    </row>
    <row r="72" spans="1:11" x14ac:dyDescent="0.25">
      <c r="A72" s="127" t="str">
        <f t="shared" ref="A72:A77" si="11">IF(A55="","",A55)</f>
        <v>Large Use</v>
      </c>
      <c r="B72" s="128"/>
      <c r="C72" s="133"/>
      <c r="D72" s="146">
        <f>D55</f>
        <v>895387.42439179833</v>
      </c>
      <c r="E72" s="147">
        <v>4.4480000000000004</v>
      </c>
      <c r="F72" s="148">
        <f t="shared" si="10"/>
        <v>3982683.2636947194</v>
      </c>
      <c r="H72" s="146">
        <f>H55</f>
        <v>0</v>
      </c>
      <c r="I72" s="147">
        <f t="shared" si="8"/>
        <v>4.4480000000000004</v>
      </c>
      <c r="J72" s="148">
        <f t="shared" si="9"/>
        <v>0</v>
      </c>
      <c r="K72" s="184"/>
    </row>
    <row r="73" spans="1:11" x14ac:dyDescent="0.25">
      <c r="A73" s="127" t="str">
        <f t="shared" si="11"/>
        <v>Street Light</v>
      </c>
      <c r="B73" s="128"/>
      <c r="C73" s="152"/>
      <c r="D73" s="146">
        <f>D56</f>
        <v>44090.904046101437</v>
      </c>
      <c r="E73" s="147">
        <v>2.7887</v>
      </c>
      <c r="F73" s="148">
        <f t="shared" si="10"/>
        <v>122956.30411336308</v>
      </c>
      <c r="H73" s="146">
        <f>H56</f>
        <v>0</v>
      </c>
      <c r="I73" s="147">
        <f t="shared" si="8"/>
        <v>2.7887</v>
      </c>
      <c r="J73" s="148">
        <f t="shared" si="9"/>
        <v>0</v>
      </c>
      <c r="K73" s="184"/>
    </row>
    <row r="74" spans="1:11" x14ac:dyDescent="0.25">
      <c r="A74" s="127" t="str">
        <f t="shared" si="11"/>
        <v>Sentinel Light</v>
      </c>
      <c r="B74" s="128"/>
      <c r="C74" s="152"/>
      <c r="D74" s="146">
        <f>D57</f>
        <v>0</v>
      </c>
      <c r="E74" s="147">
        <v>2.6402999999999999</v>
      </c>
      <c r="F74" s="148">
        <f t="shared" si="10"/>
        <v>0</v>
      </c>
      <c r="H74" s="146">
        <f>H57</f>
        <v>644.51221350638025</v>
      </c>
      <c r="I74" s="147">
        <f t="shared" si="8"/>
        <v>2.6402999999999999</v>
      </c>
      <c r="J74" s="148">
        <f t="shared" si="9"/>
        <v>1701.7055973208958</v>
      </c>
      <c r="K74" s="184"/>
    </row>
    <row r="75" spans="1:11" x14ac:dyDescent="0.25">
      <c r="A75" s="127" t="str">
        <f t="shared" si="11"/>
        <v>USL</v>
      </c>
      <c r="B75" s="128"/>
      <c r="C75" s="152"/>
      <c r="D75" s="146">
        <f>D58</f>
        <v>6713917.9993468774</v>
      </c>
      <c r="E75" s="147">
        <v>9.4000000000000004E-3</v>
      </c>
      <c r="F75" s="148">
        <f t="shared" si="10"/>
        <v>63110.829193860649</v>
      </c>
      <c r="H75" s="146">
        <f>H58</f>
        <v>4260.6876408116568</v>
      </c>
      <c r="I75" s="147">
        <f t="shared" si="8"/>
        <v>9.4000000000000004E-3</v>
      </c>
      <c r="J75" s="148">
        <f>H75*I75</f>
        <v>40.050463823629578</v>
      </c>
      <c r="K75" s="184"/>
    </row>
    <row r="76" spans="1:11" x14ac:dyDescent="0.25">
      <c r="A76" s="127" t="str">
        <f t="shared" si="11"/>
        <v/>
      </c>
      <c r="B76" s="128"/>
      <c r="C76" s="152"/>
      <c r="D76" s="150"/>
      <c r="E76" s="150"/>
      <c r="F76" s="148">
        <f>D76*E76</f>
        <v>0</v>
      </c>
      <c r="H76" s="150"/>
      <c r="I76" s="150"/>
      <c r="J76" s="148">
        <f>H76*I76</f>
        <v>0</v>
      </c>
      <c r="K76" s="184"/>
    </row>
    <row r="77" spans="1:11" x14ac:dyDescent="0.25">
      <c r="A77" s="127" t="str">
        <f t="shared" si="11"/>
        <v/>
      </c>
      <c r="B77" s="128"/>
      <c r="C77" s="152"/>
      <c r="D77" s="150"/>
      <c r="E77" s="150"/>
      <c r="F77" s="148">
        <f t="shared" ref="F77" si="12">D77*E77</f>
        <v>0</v>
      </c>
      <c r="H77" s="150"/>
      <c r="I77" s="150"/>
      <c r="J77" s="148">
        <f>H77*I77</f>
        <v>0</v>
      </c>
      <c r="K77" s="184"/>
    </row>
    <row r="78" spans="1:11" x14ac:dyDescent="0.25">
      <c r="A78" s="122" t="s">
        <v>61</v>
      </c>
      <c r="B78" s="143"/>
      <c r="C78" s="153"/>
      <c r="D78" s="144"/>
      <c r="E78" s="127"/>
      <c r="F78" s="144">
        <f>SUM(F65:F77)</f>
        <v>33519317.927395254</v>
      </c>
      <c r="G78" s="127"/>
      <c r="H78" s="127"/>
      <c r="I78" s="127"/>
      <c r="J78" s="144">
        <f>SUM(J65:J77)</f>
        <v>5211573.293235925</v>
      </c>
      <c r="K78" s="148">
        <f>F78+J78</f>
        <v>38730891.220631182</v>
      </c>
    </row>
    <row r="79" spans="1:11" ht="7.5" customHeight="1" x14ac:dyDescent="0.25"/>
    <row r="80" spans="1:11" x14ac:dyDescent="0.25">
      <c r="A80" s="118" t="s">
        <v>67</v>
      </c>
      <c r="B80" s="189"/>
      <c r="C80" s="138"/>
      <c r="D80" s="189"/>
      <c r="E80" s="184"/>
      <c r="F80" s="191"/>
      <c r="G80" s="8"/>
      <c r="H80" s="193"/>
      <c r="I80" s="184"/>
      <c r="J80" s="184" t="s">
        <v>58</v>
      </c>
      <c r="K80" s="189" t="s">
        <v>53</v>
      </c>
    </row>
    <row r="81" spans="1:11" x14ac:dyDescent="0.25">
      <c r="A81" s="122" t="s">
        <v>63</v>
      </c>
      <c r="B81" s="195"/>
      <c r="C81" s="8"/>
      <c r="D81" s="195"/>
      <c r="E81" s="184"/>
      <c r="F81" s="192"/>
      <c r="G81" s="8"/>
      <c r="H81" s="197"/>
      <c r="I81" s="184"/>
      <c r="J81" s="184"/>
      <c r="K81" s="195"/>
    </row>
    <row r="82" spans="1:11" x14ac:dyDescent="0.25">
      <c r="A82" s="127" t="str">
        <f>IF(A65="","",A65)</f>
        <v>Residential</v>
      </c>
      <c r="B82" s="128"/>
      <c r="C82" s="123"/>
      <c r="D82" s="146">
        <v>1566372933.299252</v>
      </c>
      <c r="E82" s="147">
        <f>0.0041*1.03^3</f>
        <v>4.4801807000000001E-3</v>
      </c>
      <c r="F82" s="148">
        <f>D82*E82</f>
        <v>7017633.7847696962</v>
      </c>
      <c r="H82" s="146">
        <v>19425988.936747134</v>
      </c>
      <c r="I82" s="147">
        <f>E82</f>
        <v>4.4801807000000001E-3</v>
      </c>
      <c r="J82" s="148">
        <f>H82*I82</f>
        <v>87031.940712828029</v>
      </c>
      <c r="K82" s="184"/>
    </row>
    <row r="83" spans="1:11" x14ac:dyDescent="0.25">
      <c r="A83" s="127" t="str">
        <f>IF(A66="","",A66)</f>
        <v>Residential Seasonal</v>
      </c>
      <c r="B83" s="128"/>
      <c r="C83" s="123"/>
      <c r="D83" s="146">
        <v>13953154.400233926</v>
      </c>
      <c r="E83" s="147">
        <f>E82</f>
        <v>4.4801807000000001E-3</v>
      </c>
      <c r="F83" s="148">
        <f t="shared" ref="F83:F90" si="13">D83*E83</f>
        <v>62512.653048048116</v>
      </c>
      <c r="H83" s="146">
        <v>173045.52271645045</v>
      </c>
      <c r="I83" s="147">
        <f t="shared" ref="I83:I90" si="14">E83</f>
        <v>4.4801807000000001E-3</v>
      </c>
      <c r="J83" s="148">
        <f t="shared" ref="J83:J90" si="15">H83*I83</f>
        <v>775.27521109565282</v>
      </c>
      <c r="K83" s="184"/>
    </row>
    <row r="84" spans="1:11" x14ac:dyDescent="0.25">
      <c r="A84" s="127" t="str">
        <f>IF(A67="","",A67)</f>
        <v>GS&lt;50</v>
      </c>
      <c r="B84" s="128"/>
      <c r="C84" s="123"/>
      <c r="D84" s="146">
        <v>319665764.1726498</v>
      </c>
      <c r="E84" s="147">
        <f t="shared" ref="E84:E90" si="16">E83</f>
        <v>4.4801807000000001E-3</v>
      </c>
      <c r="F84" s="148">
        <f t="shared" si="13"/>
        <v>1432160.3870970572</v>
      </c>
      <c r="H84" s="146">
        <v>49891784.10862536</v>
      </c>
      <c r="I84" s="147">
        <f t="shared" si="14"/>
        <v>4.4801807000000001E-3</v>
      </c>
      <c r="J84" s="148">
        <f t="shared" si="15"/>
        <v>223524.20825203005</v>
      </c>
      <c r="K84" s="184"/>
    </row>
    <row r="85" spans="1:11" x14ac:dyDescent="0.25">
      <c r="A85" s="127" t="str">
        <f>IF(A68="","",A68)</f>
        <v>GS 50 - 2,999</v>
      </c>
      <c r="B85" s="128"/>
      <c r="C85" s="123"/>
      <c r="D85" s="146">
        <v>476338538.84815764</v>
      </c>
      <c r="E85" s="147">
        <f t="shared" si="16"/>
        <v>4.4801807000000001E-3</v>
      </c>
      <c r="F85" s="148">
        <f>D85*E85</f>
        <v>2134082.728413716</v>
      </c>
      <c r="H85" s="146">
        <v>917976819.57867622</v>
      </c>
      <c r="I85" s="147">
        <f t="shared" si="14"/>
        <v>4.4801807000000001E-3</v>
      </c>
      <c r="J85" s="148">
        <f t="shared" si="15"/>
        <v>4112702.0301237674</v>
      </c>
      <c r="K85" s="184"/>
    </row>
    <row r="86" spans="1:11" x14ac:dyDescent="0.25">
      <c r="A86" s="127" t="str">
        <f>IF(A70="","",A70)</f>
        <v>GS 3,000 - 4,999</v>
      </c>
      <c r="B86" s="128"/>
      <c r="C86" s="123"/>
      <c r="D86" s="146">
        <v>8460250.8047630768</v>
      </c>
      <c r="E86" s="147">
        <f t="shared" si="16"/>
        <v>4.4801807000000001E-3</v>
      </c>
      <c r="F86" s="148">
        <f t="shared" si="13"/>
        <v>37903.452372659005</v>
      </c>
      <c r="H86" s="146">
        <v>310505778.04157096</v>
      </c>
      <c r="I86" s="147">
        <f t="shared" si="14"/>
        <v>4.4801807000000001E-3</v>
      </c>
      <c r="J86" s="148">
        <f t="shared" si="15"/>
        <v>1391121.99402033</v>
      </c>
      <c r="K86" s="184"/>
    </row>
    <row r="87" spans="1:11" x14ac:dyDescent="0.25">
      <c r="A87" s="127" t="str">
        <f t="shared" ref="A87" si="17">IF(A72="","",A72)</f>
        <v>Large Use</v>
      </c>
      <c r="B87" s="128"/>
      <c r="C87" s="123"/>
      <c r="D87" s="146">
        <v>0</v>
      </c>
      <c r="E87" s="147">
        <f t="shared" si="16"/>
        <v>4.4801807000000001E-3</v>
      </c>
      <c r="F87" s="148">
        <f t="shared" si="13"/>
        <v>0</v>
      </c>
      <c r="H87" s="146">
        <v>523566319.05823112</v>
      </c>
      <c r="I87" s="147">
        <f t="shared" si="14"/>
        <v>4.4801807000000001E-3</v>
      </c>
      <c r="J87" s="148">
        <f t="shared" si="15"/>
        <v>2345671.7178147291</v>
      </c>
      <c r="K87" s="184"/>
    </row>
    <row r="88" spans="1:11" x14ac:dyDescent="0.25">
      <c r="A88" s="127" t="str">
        <f>IF(A73="","",A73)</f>
        <v>Street Light</v>
      </c>
      <c r="B88" s="128"/>
      <c r="C88" s="123"/>
      <c r="D88" s="146">
        <v>0</v>
      </c>
      <c r="E88" s="147">
        <f t="shared" si="16"/>
        <v>4.4801807000000001E-3</v>
      </c>
      <c r="F88" s="148">
        <f t="shared" si="13"/>
        <v>0</v>
      </c>
      <c r="H88" s="146">
        <v>16477848.906282865</v>
      </c>
      <c r="I88" s="147">
        <f t="shared" si="14"/>
        <v>4.4801807000000001E-3</v>
      </c>
      <c r="J88" s="148">
        <f t="shared" si="15"/>
        <v>73823.740647444603</v>
      </c>
      <c r="K88" s="184"/>
    </row>
    <row r="89" spans="1:11" x14ac:dyDescent="0.25">
      <c r="A89" s="127" t="str">
        <f>IF(A74="","",A74)</f>
        <v>Sentinel Light</v>
      </c>
      <c r="B89" s="128"/>
      <c r="C89" s="123"/>
      <c r="D89" s="146">
        <v>89526.142437141534</v>
      </c>
      <c r="E89" s="147">
        <f t="shared" si="16"/>
        <v>4.4801807000000001E-3</v>
      </c>
      <c r="F89" s="148">
        <f t="shared" si="13"/>
        <v>401.09329549233246</v>
      </c>
      <c r="H89" s="146">
        <v>0</v>
      </c>
      <c r="I89" s="147">
        <f t="shared" si="14"/>
        <v>4.4801807000000001E-3</v>
      </c>
      <c r="J89" s="148">
        <f t="shared" si="15"/>
        <v>0</v>
      </c>
      <c r="K89" s="184"/>
    </row>
    <row r="90" spans="1:11" x14ac:dyDescent="0.25">
      <c r="A90" s="127" t="str">
        <f>IF(A75="","",A75)</f>
        <v>USL</v>
      </c>
      <c r="B90" s="128"/>
      <c r="C90" s="123"/>
      <c r="D90" s="146">
        <v>6713917.9993468774</v>
      </c>
      <c r="E90" s="147">
        <f t="shared" si="16"/>
        <v>4.4801807000000001E-3</v>
      </c>
      <c r="F90" s="148">
        <f t="shared" si="13"/>
        <v>30079.565842056494</v>
      </c>
      <c r="H90" s="146">
        <v>4260.6876408116568</v>
      </c>
      <c r="I90" s="147">
        <f t="shared" si="14"/>
        <v>4.4801807000000001E-3</v>
      </c>
      <c r="J90" s="148">
        <f t="shared" si="15"/>
        <v>19.088650537092917</v>
      </c>
      <c r="K90" s="184"/>
    </row>
    <row r="91" spans="1:11" x14ac:dyDescent="0.25">
      <c r="A91" s="127" t="str">
        <f>IF(A76="","",A76)</f>
        <v/>
      </c>
      <c r="B91" s="128"/>
      <c r="C91" s="123"/>
      <c r="D91" s="150"/>
      <c r="E91" s="150"/>
      <c r="F91" s="148">
        <f>D91*E91</f>
        <v>0</v>
      </c>
      <c r="H91" s="150"/>
      <c r="I91" s="150"/>
      <c r="J91" s="148">
        <f>H91*I91</f>
        <v>0</v>
      </c>
      <c r="K91" s="184"/>
    </row>
    <row r="92" spans="1:11" x14ac:dyDescent="0.25">
      <c r="A92" s="127" t="str">
        <f>IF(A77="","",A77)</f>
        <v/>
      </c>
      <c r="B92" s="128"/>
      <c r="C92" s="123"/>
      <c r="D92" s="150"/>
      <c r="E92" s="150"/>
      <c r="F92" s="148">
        <f t="shared" ref="F92" si="18">D92*E92</f>
        <v>0</v>
      </c>
      <c r="H92" s="150"/>
      <c r="I92" s="150"/>
      <c r="J92" s="148">
        <f>H92*I92</f>
        <v>0</v>
      </c>
      <c r="K92" s="184"/>
    </row>
    <row r="93" spans="1:11" x14ac:dyDescent="0.25">
      <c r="A93" s="122" t="s">
        <v>61</v>
      </c>
      <c r="B93" s="143"/>
      <c r="C93" s="123"/>
      <c r="D93" s="144"/>
      <c r="E93" s="127"/>
      <c r="F93" s="144">
        <f>SUM(F82:F92)</f>
        <v>10714773.664838726</v>
      </c>
      <c r="G93" s="127"/>
      <c r="H93" s="127"/>
      <c r="I93" s="127"/>
      <c r="J93" s="144">
        <f>SUM(J82:J92)</f>
        <v>8234669.9954327615</v>
      </c>
      <c r="K93" s="148">
        <f>F93+J93</f>
        <v>18949443.660271488</v>
      </c>
    </row>
    <row r="94" spans="1:11" ht="6.75" customHeight="1" x14ac:dyDescent="0.25"/>
    <row r="95" spans="1:11" x14ac:dyDescent="0.25">
      <c r="A95" s="118" t="s">
        <v>68</v>
      </c>
      <c r="B95" s="189"/>
      <c r="C95" s="138"/>
      <c r="D95" s="189"/>
      <c r="E95" s="184"/>
      <c r="F95" s="191"/>
      <c r="G95" s="8"/>
      <c r="H95" s="193"/>
      <c r="I95" s="184"/>
      <c r="J95" s="184" t="s">
        <v>58</v>
      </c>
      <c r="K95" s="189" t="s">
        <v>53</v>
      </c>
    </row>
    <row r="96" spans="1:11" x14ac:dyDescent="0.25">
      <c r="A96" s="122" t="s">
        <v>63</v>
      </c>
      <c r="B96" s="195"/>
      <c r="C96" s="8"/>
      <c r="D96" s="195"/>
      <c r="E96" s="184"/>
      <c r="F96" s="192"/>
      <c r="G96" s="8"/>
      <c r="H96" s="197"/>
      <c r="I96" s="184"/>
      <c r="J96" s="184"/>
      <c r="K96" s="195"/>
    </row>
    <row r="97" spans="1:11" x14ac:dyDescent="0.25">
      <c r="A97" s="127" t="str">
        <f t="shared" ref="A97:A102" si="19">IF(A82="","",A82)</f>
        <v>Residential</v>
      </c>
      <c r="B97" s="128"/>
      <c r="C97" s="123"/>
      <c r="D97" s="150"/>
      <c r="E97" s="150"/>
      <c r="F97" s="148">
        <f>D97*E97</f>
        <v>0</v>
      </c>
      <c r="H97" s="150"/>
      <c r="I97" s="149">
        <v>4.0000000000000002E-4</v>
      </c>
      <c r="J97" s="148">
        <f>H97*I97</f>
        <v>0</v>
      </c>
      <c r="K97" s="184"/>
    </row>
    <row r="98" spans="1:11" x14ac:dyDescent="0.25">
      <c r="A98" s="127" t="str">
        <f t="shared" si="19"/>
        <v>Residential Seasonal</v>
      </c>
      <c r="B98" s="128"/>
      <c r="C98" s="123"/>
      <c r="D98" s="150"/>
      <c r="E98" s="150"/>
      <c r="F98" s="148">
        <f t="shared" ref="F98:F107" si="20">D98*E98</f>
        <v>0</v>
      </c>
      <c r="H98" s="150"/>
      <c r="I98" s="149">
        <f>I97</f>
        <v>4.0000000000000002E-4</v>
      </c>
      <c r="J98" s="148">
        <f t="shared" ref="J98:J105" si="21">H98*I98</f>
        <v>0</v>
      </c>
      <c r="K98" s="184"/>
    </row>
    <row r="99" spans="1:11" x14ac:dyDescent="0.25">
      <c r="A99" s="127" t="str">
        <f t="shared" si="19"/>
        <v>GS&lt;50</v>
      </c>
      <c r="B99" s="128"/>
      <c r="C99" s="123"/>
      <c r="D99" s="150"/>
      <c r="E99" s="150"/>
      <c r="F99" s="148">
        <f t="shared" si="20"/>
        <v>0</v>
      </c>
      <c r="H99" s="146"/>
      <c r="I99" s="149">
        <f t="shared" ref="I99:I105" si="22">I98</f>
        <v>4.0000000000000002E-4</v>
      </c>
      <c r="J99" s="148">
        <f t="shared" si="21"/>
        <v>0</v>
      </c>
      <c r="K99" s="184"/>
    </row>
    <row r="100" spans="1:11" x14ac:dyDescent="0.25">
      <c r="A100" s="127" t="str">
        <f t="shared" si="19"/>
        <v>GS 50 - 2,999</v>
      </c>
      <c r="B100" s="128"/>
      <c r="C100" s="123"/>
      <c r="D100" s="150"/>
      <c r="E100" s="150"/>
      <c r="F100" s="148">
        <f t="shared" si="20"/>
        <v>0</v>
      </c>
      <c r="H100" s="150">
        <v>47764.144413551505</v>
      </c>
      <c r="I100" s="149">
        <f t="shared" si="22"/>
        <v>4.0000000000000002E-4</v>
      </c>
      <c r="J100" s="148">
        <f t="shared" si="21"/>
        <v>19.105657765420602</v>
      </c>
      <c r="K100" s="184"/>
    </row>
    <row r="101" spans="1:11" x14ac:dyDescent="0.25">
      <c r="A101" s="127" t="str">
        <f t="shared" si="19"/>
        <v>GS 3,000 - 4,999</v>
      </c>
      <c r="B101" s="128"/>
      <c r="C101" s="123"/>
      <c r="D101" s="150"/>
      <c r="E101" s="150"/>
      <c r="F101" s="148">
        <f t="shared" si="20"/>
        <v>0</v>
      </c>
      <c r="H101" s="150">
        <v>101149973.87937345</v>
      </c>
      <c r="I101" s="149">
        <f t="shared" si="22"/>
        <v>4.0000000000000002E-4</v>
      </c>
      <c r="J101" s="148">
        <f t="shared" si="21"/>
        <v>40459.989551749379</v>
      </c>
      <c r="K101" s="184"/>
    </row>
    <row r="102" spans="1:11" x14ac:dyDescent="0.25">
      <c r="A102" s="127" t="str">
        <f t="shared" si="19"/>
        <v>Large Use</v>
      </c>
      <c r="B102" s="128"/>
      <c r="C102" s="123"/>
      <c r="D102" s="150"/>
      <c r="E102" s="150"/>
      <c r="F102" s="148">
        <f t="shared" si="20"/>
        <v>0</v>
      </c>
      <c r="H102" s="150">
        <v>259049233.78184861</v>
      </c>
      <c r="I102" s="149">
        <f t="shared" si="22"/>
        <v>4.0000000000000002E-4</v>
      </c>
      <c r="J102" s="148">
        <f t="shared" si="21"/>
        <v>103619.69351273945</v>
      </c>
      <c r="K102" s="184"/>
    </row>
    <row r="103" spans="1:11" x14ac:dyDescent="0.25">
      <c r="A103" s="127" t="str">
        <f>IF(A88="","",A88)</f>
        <v>Street Light</v>
      </c>
      <c r="B103" s="128"/>
      <c r="C103" s="123"/>
      <c r="D103" s="150"/>
      <c r="E103" s="150"/>
      <c r="F103" s="148">
        <f t="shared" si="20"/>
        <v>0</v>
      </c>
      <c r="H103" s="150">
        <v>461729507.74517137</v>
      </c>
      <c r="I103" s="149">
        <f t="shared" si="22"/>
        <v>4.0000000000000002E-4</v>
      </c>
      <c r="J103" s="148">
        <f t="shared" si="21"/>
        <v>184691.80309806854</v>
      </c>
      <c r="K103" s="184"/>
    </row>
    <row r="104" spans="1:11" x14ac:dyDescent="0.25">
      <c r="A104" s="127" t="str">
        <f>IF(A89="","",A89)</f>
        <v>Sentinel Light</v>
      </c>
      <c r="B104" s="128"/>
      <c r="C104" s="123"/>
      <c r="D104" s="150"/>
      <c r="E104" s="150"/>
      <c r="F104" s="148">
        <f t="shared" si="20"/>
        <v>0</v>
      </c>
      <c r="H104" s="150"/>
      <c r="I104" s="149">
        <f t="shared" si="22"/>
        <v>4.0000000000000002E-4</v>
      </c>
      <c r="J104" s="148">
        <f t="shared" si="21"/>
        <v>0</v>
      </c>
      <c r="K104" s="184"/>
    </row>
    <row r="105" spans="1:11" x14ac:dyDescent="0.25">
      <c r="A105" s="127" t="str">
        <f>IF(A90="","",A90)</f>
        <v>USL</v>
      </c>
      <c r="B105" s="128"/>
      <c r="C105" s="123"/>
      <c r="D105" s="150"/>
      <c r="E105" s="150"/>
      <c r="F105" s="148">
        <f t="shared" si="20"/>
        <v>0</v>
      </c>
      <c r="H105" s="150"/>
      <c r="I105" s="149">
        <f t="shared" si="22"/>
        <v>4.0000000000000002E-4</v>
      </c>
      <c r="J105" s="148">
        <f t="shared" si="21"/>
        <v>0</v>
      </c>
      <c r="K105" s="184"/>
    </row>
    <row r="106" spans="1:11" x14ac:dyDescent="0.25">
      <c r="A106" s="127" t="str">
        <f>IF(A91="","",A91)</f>
        <v/>
      </c>
      <c r="B106" s="128"/>
      <c r="C106" s="123"/>
      <c r="D106" s="150"/>
      <c r="E106" s="150"/>
      <c r="F106" s="148">
        <f t="shared" si="20"/>
        <v>0</v>
      </c>
      <c r="H106" s="150"/>
      <c r="I106" s="150"/>
      <c r="J106" s="148">
        <f>H106*I106</f>
        <v>0</v>
      </c>
      <c r="K106" s="184"/>
    </row>
    <row r="107" spans="1:11" x14ac:dyDescent="0.25">
      <c r="A107" s="127" t="str">
        <f>IF(A92="","",A92)</f>
        <v/>
      </c>
      <c r="B107" s="128"/>
      <c r="C107" s="123"/>
      <c r="D107" s="150"/>
      <c r="E107" s="150"/>
      <c r="F107" s="148">
        <f t="shared" si="20"/>
        <v>0</v>
      </c>
      <c r="H107" s="150"/>
      <c r="I107" s="150"/>
      <c r="J107" s="148">
        <f>H107*I107</f>
        <v>0</v>
      </c>
      <c r="K107" s="184"/>
    </row>
    <row r="108" spans="1:11" x14ac:dyDescent="0.25">
      <c r="A108" s="122" t="s">
        <v>61</v>
      </c>
      <c r="B108" s="143"/>
      <c r="C108" s="123"/>
      <c r="D108" s="144"/>
      <c r="E108" s="127"/>
      <c r="F108" s="144">
        <f>SUM(F97:F107)</f>
        <v>0</v>
      </c>
      <c r="G108" s="127"/>
      <c r="H108" s="127"/>
      <c r="I108" s="127"/>
      <c r="J108" s="144">
        <f>SUM(J97:J107)</f>
        <v>328790.59182032279</v>
      </c>
      <c r="K108" s="148">
        <f>F108+J108</f>
        <v>328790.59182032279</v>
      </c>
    </row>
    <row r="109" spans="1:11" ht="6.75" customHeight="1" x14ac:dyDescent="0.25">
      <c r="A109" s="122"/>
      <c r="B109" s="140"/>
      <c r="C109" s="123"/>
      <c r="D109" s="154"/>
      <c r="E109" s="153"/>
      <c r="F109" s="144"/>
      <c r="H109" s="125"/>
      <c r="I109" s="153"/>
      <c r="J109" s="144"/>
      <c r="K109" s="155"/>
    </row>
    <row r="110" spans="1:11" x14ac:dyDescent="0.25">
      <c r="A110" s="118" t="s">
        <v>69</v>
      </c>
      <c r="B110" s="189"/>
      <c r="C110" s="138"/>
      <c r="D110" s="189"/>
      <c r="E110" s="184"/>
      <c r="F110" s="191"/>
      <c r="G110" s="8"/>
      <c r="H110" s="193"/>
      <c r="I110" s="184"/>
      <c r="J110" s="184" t="s">
        <v>58</v>
      </c>
      <c r="K110" s="189" t="s">
        <v>53</v>
      </c>
    </row>
    <row r="111" spans="1:11" x14ac:dyDescent="0.25">
      <c r="A111" s="122" t="s">
        <v>63</v>
      </c>
      <c r="B111" s="195"/>
      <c r="C111" s="8"/>
      <c r="D111" s="195"/>
      <c r="E111" s="184"/>
      <c r="F111" s="192"/>
      <c r="G111" s="8"/>
      <c r="H111" s="197"/>
      <c r="I111" s="184"/>
      <c r="J111" s="184"/>
      <c r="K111" s="195"/>
    </row>
    <row r="112" spans="1:11" x14ac:dyDescent="0.25">
      <c r="A112" s="127" t="str">
        <f t="shared" ref="A112:A117" si="23">IF(A97="","",A97)</f>
        <v>Residential</v>
      </c>
      <c r="B112" s="128"/>
      <c r="C112" s="123"/>
      <c r="D112" s="146">
        <v>1566372933.299252</v>
      </c>
      <c r="E112" s="147">
        <f>I112</f>
        <v>4.0000000000000002E-4</v>
      </c>
      <c r="F112" s="148">
        <f>D112*E112</f>
        <v>626549.17331970087</v>
      </c>
      <c r="H112" s="146">
        <v>19425988.936747134</v>
      </c>
      <c r="I112" s="147">
        <f>I97</f>
        <v>4.0000000000000002E-4</v>
      </c>
      <c r="J112" s="148">
        <f>H112*I112</f>
        <v>7770.395574698854</v>
      </c>
      <c r="K112" s="184"/>
    </row>
    <row r="113" spans="1:11" x14ac:dyDescent="0.25">
      <c r="A113" s="127" t="str">
        <f t="shared" si="23"/>
        <v>Residential Seasonal</v>
      </c>
      <c r="B113" s="128"/>
      <c r="C113" s="123"/>
      <c r="D113" s="146">
        <v>13953154.400233926</v>
      </c>
      <c r="E113" s="147">
        <f t="shared" ref="E113:E120" si="24">I113</f>
        <v>4.0000000000000002E-4</v>
      </c>
      <c r="F113" s="148">
        <f t="shared" ref="F113:F122" si="25">D113*E113</f>
        <v>5581.261760093571</v>
      </c>
      <c r="H113" s="146">
        <v>173045.52271645045</v>
      </c>
      <c r="I113" s="147">
        <f t="shared" ref="I113:I120" si="26">I98</f>
        <v>4.0000000000000002E-4</v>
      </c>
      <c r="J113" s="148">
        <f t="shared" ref="J113:J120" si="27">H113*I113</f>
        <v>69.218209086580188</v>
      </c>
      <c r="K113" s="184"/>
    </row>
    <row r="114" spans="1:11" x14ac:dyDescent="0.25">
      <c r="A114" s="127" t="str">
        <f t="shared" si="23"/>
        <v>GS&lt;50</v>
      </c>
      <c r="B114" s="128"/>
      <c r="C114" s="123"/>
      <c r="D114" s="146">
        <v>319665764.1726498</v>
      </c>
      <c r="E114" s="147">
        <f t="shared" si="24"/>
        <v>4.0000000000000002E-4</v>
      </c>
      <c r="F114" s="148">
        <f t="shared" si="25"/>
        <v>127866.30566905993</v>
      </c>
      <c r="H114" s="146">
        <v>49844019.964211807</v>
      </c>
      <c r="I114" s="147">
        <f t="shared" si="26"/>
        <v>4.0000000000000002E-4</v>
      </c>
      <c r="J114" s="148">
        <f t="shared" si="27"/>
        <v>19937.607985684725</v>
      </c>
      <c r="K114" s="184"/>
    </row>
    <row r="115" spans="1:11" x14ac:dyDescent="0.25">
      <c r="A115" s="127" t="str">
        <f t="shared" si="23"/>
        <v>GS 50 - 2,999</v>
      </c>
      <c r="B115" s="128"/>
      <c r="C115" s="123"/>
      <c r="D115" s="146">
        <v>476338538.84815764</v>
      </c>
      <c r="E115" s="147">
        <f t="shared" si="24"/>
        <v>4.0000000000000002E-4</v>
      </c>
      <c r="F115" s="148">
        <f t="shared" si="25"/>
        <v>190535.41553926308</v>
      </c>
      <c r="H115" s="146">
        <v>816826845.69930279</v>
      </c>
      <c r="I115" s="147">
        <f t="shared" si="26"/>
        <v>4.0000000000000002E-4</v>
      </c>
      <c r="J115" s="148">
        <f t="shared" si="27"/>
        <v>326730.73827972112</v>
      </c>
      <c r="K115" s="184"/>
    </row>
    <row r="116" spans="1:11" x14ac:dyDescent="0.25">
      <c r="A116" s="127" t="str">
        <f t="shared" si="23"/>
        <v>GS 3,000 - 4,999</v>
      </c>
      <c r="B116" s="128"/>
      <c r="C116" s="123"/>
      <c r="D116" s="146">
        <v>8460250.8047630768</v>
      </c>
      <c r="E116" s="147">
        <f t="shared" si="24"/>
        <v>4.0000000000000002E-4</v>
      </c>
      <c r="F116" s="148">
        <f t="shared" si="25"/>
        <v>3384.1003219052309</v>
      </c>
      <c r="H116" s="146">
        <v>51456544.259722352</v>
      </c>
      <c r="I116" s="147">
        <f t="shared" si="26"/>
        <v>4.0000000000000002E-4</v>
      </c>
      <c r="J116" s="148">
        <f t="shared" si="27"/>
        <v>20582.61770388894</v>
      </c>
      <c r="K116" s="184"/>
    </row>
    <row r="117" spans="1:11" x14ac:dyDescent="0.25">
      <c r="A117" s="127" t="str">
        <f t="shared" si="23"/>
        <v>Large Use</v>
      </c>
      <c r="B117" s="128"/>
      <c r="C117" s="123"/>
      <c r="D117" s="146">
        <v>0</v>
      </c>
      <c r="E117" s="147">
        <f t="shared" si="24"/>
        <v>4.0000000000000002E-4</v>
      </c>
      <c r="F117" s="148">
        <f t="shared" si="25"/>
        <v>0</v>
      </c>
      <c r="H117" s="146">
        <v>61836811.313059777</v>
      </c>
      <c r="I117" s="147">
        <f t="shared" si="26"/>
        <v>4.0000000000000002E-4</v>
      </c>
      <c r="J117" s="148">
        <f t="shared" si="27"/>
        <v>24734.724525223912</v>
      </c>
      <c r="K117" s="184"/>
    </row>
    <row r="118" spans="1:11" x14ac:dyDescent="0.25">
      <c r="A118" s="127" t="str">
        <f>IF(A103="","",A103)</f>
        <v>Street Light</v>
      </c>
      <c r="B118" s="128"/>
      <c r="C118" s="123"/>
      <c r="D118" s="146">
        <v>0</v>
      </c>
      <c r="E118" s="147">
        <f t="shared" si="24"/>
        <v>4.0000000000000002E-4</v>
      </c>
      <c r="F118" s="148">
        <f t="shared" si="25"/>
        <v>0</v>
      </c>
      <c r="H118" s="146">
        <v>16477848.906282865</v>
      </c>
      <c r="I118" s="147">
        <f t="shared" si="26"/>
        <v>4.0000000000000002E-4</v>
      </c>
      <c r="J118" s="148">
        <f t="shared" si="27"/>
        <v>6591.1395625131463</v>
      </c>
      <c r="K118" s="184"/>
    </row>
    <row r="119" spans="1:11" x14ac:dyDescent="0.25">
      <c r="A119" s="127" t="str">
        <f>IF(A104="","",A104)</f>
        <v>Sentinel Light</v>
      </c>
      <c r="B119" s="128"/>
      <c r="C119" s="123"/>
      <c r="D119" s="146">
        <v>89526.142437141534</v>
      </c>
      <c r="E119" s="147">
        <f t="shared" si="24"/>
        <v>4.0000000000000002E-4</v>
      </c>
      <c r="F119" s="148">
        <f t="shared" si="25"/>
        <v>35.810456974856613</v>
      </c>
      <c r="H119" s="146">
        <v>0</v>
      </c>
      <c r="I119" s="147">
        <f t="shared" si="26"/>
        <v>4.0000000000000002E-4</v>
      </c>
      <c r="J119" s="148">
        <f t="shared" si="27"/>
        <v>0</v>
      </c>
      <c r="K119" s="184"/>
    </row>
    <row r="120" spans="1:11" x14ac:dyDescent="0.25">
      <c r="A120" s="127" t="str">
        <f>IF(A105="","",A105)</f>
        <v>USL</v>
      </c>
      <c r="B120" s="128"/>
      <c r="C120" s="123"/>
      <c r="D120" s="146">
        <v>6713917.9993468774</v>
      </c>
      <c r="E120" s="147">
        <f t="shared" si="24"/>
        <v>4.0000000000000002E-4</v>
      </c>
      <c r="F120" s="148">
        <f t="shared" si="25"/>
        <v>2685.5671997387512</v>
      </c>
      <c r="H120" s="146">
        <v>4260.6876408116568</v>
      </c>
      <c r="I120" s="147">
        <f t="shared" si="26"/>
        <v>4.0000000000000002E-4</v>
      </c>
      <c r="J120" s="148">
        <f t="shared" si="27"/>
        <v>1.7042750563246629</v>
      </c>
      <c r="K120" s="184"/>
    </row>
    <row r="121" spans="1:11" x14ac:dyDescent="0.25">
      <c r="A121" s="127" t="str">
        <f>IF(A106="","",A106)</f>
        <v/>
      </c>
      <c r="B121" s="128"/>
      <c r="C121" s="123"/>
      <c r="D121" s="150"/>
      <c r="E121" s="150"/>
      <c r="F121" s="148">
        <f>D121*E121</f>
        <v>0</v>
      </c>
      <c r="H121" s="150"/>
      <c r="I121" s="150"/>
      <c r="J121" s="148">
        <f>H121*I121</f>
        <v>0</v>
      </c>
      <c r="K121" s="184"/>
    </row>
    <row r="122" spans="1:11" x14ac:dyDescent="0.25">
      <c r="A122" s="127" t="str">
        <f>IF(A107="","",A107)</f>
        <v/>
      </c>
      <c r="B122" s="128"/>
      <c r="C122" s="123"/>
      <c r="D122" s="150"/>
      <c r="E122" s="150"/>
      <c r="F122" s="148">
        <f t="shared" si="25"/>
        <v>0</v>
      </c>
      <c r="H122" s="150"/>
      <c r="I122" s="150"/>
      <c r="J122" s="148">
        <f>H122*I122</f>
        <v>0</v>
      </c>
      <c r="K122" s="184"/>
    </row>
    <row r="123" spans="1:11" x14ac:dyDescent="0.25">
      <c r="A123" s="122" t="s">
        <v>61</v>
      </c>
      <c r="B123" s="143"/>
      <c r="C123" s="123"/>
      <c r="D123" s="144"/>
      <c r="E123" s="127"/>
      <c r="F123" s="144">
        <f>SUM(F112:F122)</f>
        <v>956637.63426673634</v>
      </c>
      <c r="G123" s="127"/>
      <c r="H123" s="127"/>
      <c r="I123" s="127"/>
      <c r="J123" s="144">
        <f>SUM(J112:J122)</f>
        <v>406418.14611587353</v>
      </c>
      <c r="K123" s="148">
        <f>F123+J123</f>
        <v>1363055.7803826099</v>
      </c>
    </row>
    <row r="124" spans="1:11" ht="6.75" customHeight="1" x14ac:dyDescent="0.25">
      <c r="A124" s="122"/>
      <c r="B124" s="140"/>
      <c r="C124" s="123"/>
      <c r="D124" s="154"/>
      <c r="E124" s="153"/>
      <c r="F124" s="144"/>
      <c r="H124" s="125"/>
      <c r="I124" s="153"/>
      <c r="J124" s="144"/>
      <c r="K124" s="155"/>
    </row>
    <row r="125" spans="1:11" ht="15" customHeight="1" x14ac:dyDescent="0.25">
      <c r="A125" s="118" t="s">
        <v>70</v>
      </c>
      <c r="B125" s="189"/>
      <c r="C125" s="119"/>
      <c r="D125" s="191"/>
      <c r="E125" s="190"/>
      <c r="F125" s="184"/>
      <c r="G125" s="8"/>
      <c r="H125" s="193"/>
      <c r="I125" s="190"/>
      <c r="J125" s="184" t="s">
        <v>58</v>
      </c>
      <c r="K125" s="189" t="s">
        <v>53</v>
      </c>
    </row>
    <row r="126" spans="1:11" x14ac:dyDescent="0.25">
      <c r="A126" s="122" t="s">
        <v>63</v>
      </c>
      <c r="B126" s="195"/>
      <c r="C126" s="119"/>
      <c r="D126" s="192"/>
      <c r="E126" s="196"/>
      <c r="F126" s="184"/>
      <c r="G126" s="8"/>
      <c r="H126" s="197"/>
      <c r="I126" s="196"/>
      <c r="J126" s="184"/>
      <c r="K126" s="195"/>
    </row>
    <row r="127" spans="1:11" x14ac:dyDescent="0.25">
      <c r="A127" s="127" t="str">
        <f t="shared" ref="A127:A132" si="28">IF(A112="","",A112)</f>
        <v>Residential</v>
      </c>
      <c r="B127" s="128"/>
      <c r="C127" s="123"/>
      <c r="D127" s="146">
        <f>D112</f>
        <v>1566372933.299252</v>
      </c>
      <c r="E127" s="147">
        <v>1.5E-3</v>
      </c>
      <c r="F127" s="148">
        <f>D127*E127</f>
        <v>2349559.3999488782</v>
      </c>
      <c r="H127" s="146">
        <f>H82</f>
        <v>19425988.936747134</v>
      </c>
      <c r="I127" s="147">
        <f>E127</f>
        <v>1.5E-3</v>
      </c>
      <c r="J127" s="148">
        <f>H127*I127</f>
        <v>29138.9834051207</v>
      </c>
      <c r="K127" s="184"/>
    </row>
    <row r="128" spans="1:11" x14ac:dyDescent="0.25">
      <c r="A128" s="127" t="str">
        <f t="shared" si="28"/>
        <v>Residential Seasonal</v>
      </c>
      <c r="B128" s="128"/>
      <c r="C128" s="123"/>
      <c r="D128" s="146">
        <f t="shared" ref="D128:D135" si="29">D113</f>
        <v>13953154.400233926</v>
      </c>
      <c r="E128" s="147">
        <f>E127</f>
        <v>1.5E-3</v>
      </c>
      <c r="F128" s="148">
        <f t="shared" ref="F128:F136" si="30">D128*E128</f>
        <v>20929.731600350889</v>
      </c>
      <c r="H128" s="146">
        <f t="shared" ref="H128:H135" si="31">H83</f>
        <v>173045.52271645045</v>
      </c>
      <c r="I128" s="147">
        <f t="shared" ref="I128:I135" si="32">E128</f>
        <v>1.5E-3</v>
      </c>
      <c r="J128" s="148">
        <f t="shared" ref="J128:J135" si="33">H128*I128</f>
        <v>259.56828407467566</v>
      </c>
      <c r="K128" s="184"/>
    </row>
    <row r="129" spans="1:11" x14ac:dyDescent="0.25">
      <c r="A129" s="127" t="str">
        <f t="shared" si="28"/>
        <v>GS&lt;50</v>
      </c>
      <c r="B129" s="128"/>
      <c r="C129" s="123"/>
      <c r="D129" s="146">
        <f t="shared" si="29"/>
        <v>319665764.1726498</v>
      </c>
      <c r="E129" s="147">
        <f t="shared" ref="E129:E135" si="34">E128</f>
        <v>1.5E-3</v>
      </c>
      <c r="F129" s="148">
        <f t="shared" si="30"/>
        <v>479498.64625897474</v>
      </c>
      <c r="H129" s="146">
        <f t="shared" si="31"/>
        <v>49891784.10862536</v>
      </c>
      <c r="I129" s="147">
        <f t="shared" si="32"/>
        <v>1.5E-3</v>
      </c>
      <c r="J129" s="148">
        <f t="shared" si="33"/>
        <v>74837.676162938034</v>
      </c>
      <c r="K129" s="184"/>
    </row>
    <row r="130" spans="1:11" x14ac:dyDescent="0.25">
      <c r="A130" s="127" t="str">
        <f t="shared" si="28"/>
        <v>GS 50 - 2,999</v>
      </c>
      <c r="B130" s="128"/>
      <c r="C130" s="123"/>
      <c r="D130" s="146">
        <f t="shared" si="29"/>
        <v>476338538.84815764</v>
      </c>
      <c r="E130" s="147">
        <f t="shared" si="34"/>
        <v>1.5E-3</v>
      </c>
      <c r="F130" s="148">
        <f t="shared" si="30"/>
        <v>714507.80827223649</v>
      </c>
      <c r="H130" s="146">
        <f t="shared" si="31"/>
        <v>917976819.57867622</v>
      </c>
      <c r="I130" s="147">
        <f t="shared" si="32"/>
        <v>1.5E-3</v>
      </c>
      <c r="J130" s="148">
        <f t="shared" si="33"/>
        <v>1376965.2293680143</v>
      </c>
      <c r="K130" s="184"/>
    </row>
    <row r="131" spans="1:11" x14ac:dyDescent="0.25">
      <c r="A131" s="127" t="str">
        <f t="shared" si="28"/>
        <v>GS 3,000 - 4,999</v>
      </c>
      <c r="B131" s="128"/>
      <c r="C131" s="123"/>
      <c r="D131" s="146">
        <f t="shared" si="29"/>
        <v>8460250.8047630768</v>
      </c>
      <c r="E131" s="147">
        <f t="shared" si="34"/>
        <v>1.5E-3</v>
      </c>
      <c r="F131" s="148">
        <f t="shared" si="30"/>
        <v>12690.376207144616</v>
      </c>
      <c r="H131" s="146">
        <f t="shared" si="31"/>
        <v>310505778.04157096</v>
      </c>
      <c r="I131" s="147">
        <f t="shared" si="32"/>
        <v>1.5E-3</v>
      </c>
      <c r="J131" s="148">
        <f t="shared" si="33"/>
        <v>465758.66706235643</v>
      </c>
      <c r="K131" s="184"/>
    </row>
    <row r="132" spans="1:11" x14ac:dyDescent="0.25">
      <c r="A132" s="127" t="str">
        <f t="shared" si="28"/>
        <v>Large Use</v>
      </c>
      <c r="B132" s="128"/>
      <c r="C132" s="123"/>
      <c r="D132" s="146">
        <f t="shared" si="29"/>
        <v>0</v>
      </c>
      <c r="E132" s="147">
        <f t="shared" si="34"/>
        <v>1.5E-3</v>
      </c>
      <c r="F132" s="148">
        <f>D132*E132</f>
        <v>0</v>
      </c>
      <c r="H132" s="146">
        <f t="shared" si="31"/>
        <v>523566319.05823112</v>
      </c>
      <c r="I132" s="147">
        <f t="shared" si="32"/>
        <v>1.5E-3</v>
      </c>
      <c r="J132" s="148">
        <f t="shared" si="33"/>
        <v>785349.47858734673</v>
      </c>
      <c r="K132" s="184"/>
    </row>
    <row r="133" spans="1:11" x14ac:dyDescent="0.25">
      <c r="A133" s="127" t="str">
        <f>IF(A118="","",A118)</f>
        <v>Street Light</v>
      </c>
      <c r="B133" s="128"/>
      <c r="C133" s="123"/>
      <c r="D133" s="146">
        <f t="shared" si="29"/>
        <v>0</v>
      </c>
      <c r="E133" s="147">
        <f t="shared" si="34"/>
        <v>1.5E-3</v>
      </c>
      <c r="F133" s="148">
        <f t="shared" si="30"/>
        <v>0</v>
      </c>
      <c r="H133" s="146">
        <f t="shared" si="31"/>
        <v>16477848.906282865</v>
      </c>
      <c r="I133" s="147">
        <f t="shared" si="32"/>
        <v>1.5E-3</v>
      </c>
      <c r="J133" s="148">
        <f t="shared" si="33"/>
        <v>24716.773359424296</v>
      </c>
      <c r="K133" s="184"/>
    </row>
    <row r="134" spans="1:11" x14ac:dyDescent="0.25">
      <c r="A134" s="127" t="str">
        <f>IF(A119="","",A119)</f>
        <v>Sentinel Light</v>
      </c>
      <c r="B134" s="128"/>
      <c r="C134" s="123"/>
      <c r="D134" s="146">
        <f t="shared" si="29"/>
        <v>89526.142437141534</v>
      </c>
      <c r="E134" s="147">
        <f t="shared" si="34"/>
        <v>1.5E-3</v>
      </c>
      <c r="F134" s="148">
        <f t="shared" si="30"/>
        <v>134.2892136557123</v>
      </c>
      <c r="H134" s="146">
        <f t="shared" si="31"/>
        <v>0</v>
      </c>
      <c r="I134" s="147">
        <f t="shared" si="32"/>
        <v>1.5E-3</v>
      </c>
      <c r="J134" s="148">
        <f t="shared" si="33"/>
        <v>0</v>
      </c>
      <c r="K134" s="184"/>
    </row>
    <row r="135" spans="1:11" x14ac:dyDescent="0.25">
      <c r="A135" s="127" t="str">
        <f>IF(A120="","",A120)</f>
        <v>USL</v>
      </c>
      <c r="B135" s="128"/>
      <c r="C135" s="123"/>
      <c r="D135" s="146">
        <f t="shared" si="29"/>
        <v>6713917.9993468774</v>
      </c>
      <c r="E135" s="147">
        <f t="shared" si="34"/>
        <v>1.5E-3</v>
      </c>
      <c r="F135" s="148">
        <f t="shared" si="30"/>
        <v>10070.876999020316</v>
      </c>
      <c r="H135" s="146">
        <f t="shared" si="31"/>
        <v>4260.6876408116568</v>
      </c>
      <c r="I135" s="147">
        <f t="shared" si="32"/>
        <v>1.5E-3</v>
      </c>
      <c r="J135" s="148">
        <f t="shared" si="33"/>
        <v>6.3910314612174854</v>
      </c>
      <c r="K135" s="184"/>
    </row>
    <row r="136" spans="1:11" x14ac:dyDescent="0.25">
      <c r="A136" s="127" t="str">
        <f>IF(A121="","",A121)</f>
        <v/>
      </c>
      <c r="B136" s="128"/>
      <c r="C136" s="123"/>
      <c r="D136" s="150"/>
      <c r="E136" s="150"/>
      <c r="F136" s="148">
        <f t="shared" si="30"/>
        <v>0</v>
      </c>
      <c r="H136" s="150"/>
      <c r="I136" s="150"/>
      <c r="J136" s="148">
        <f>H136*I136</f>
        <v>0</v>
      </c>
      <c r="K136" s="184"/>
    </row>
    <row r="137" spans="1:11" x14ac:dyDescent="0.25">
      <c r="A137" s="127" t="str">
        <f>IF(A122="","",A122)</f>
        <v/>
      </c>
      <c r="B137" s="128"/>
      <c r="C137" s="123"/>
      <c r="D137" s="150"/>
      <c r="E137" s="150"/>
      <c r="F137" s="148">
        <f>D137*E137</f>
        <v>0</v>
      </c>
      <c r="H137" s="150"/>
      <c r="I137" s="150"/>
      <c r="J137" s="148">
        <f>H137*I137</f>
        <v>0</v>
      </c>
      <c r="K137" s="184"/>
    </row>
    <row r="138" spans="1:11" x14ac:dyDescent="0.25">
      <c r="A138" s="122" t="s">
        <v>61</v>
      </c>
      <c r="B138" s="143"/>
      <c r="C138" s="131"/>
      <c r="D138" s="144"/>
      <c r="E138" s="127"/>
      <c r="F138" s="144">
        <f>SUM(F127:F137)</f>
        <v>3587391.1285002604</v>
      </c>
      <c r="G138" s="127"/>
      <c r="H138" s="127"/>
      <c r="I138" s="127"/>
      <c r="J138" s="144">
        <f>SUM(J127:J137)</f>
        <v>2757032.7672607363</v>
      </c>
      <c r="K138" s="148">
        <f>F138+J138</f>
        <v>6344423.8957609963</v>
      </c>
    </row>
    <row r="139" spans="1:11" ht="6.75" customHeight="1" x14ac:dyDescent="0.25"/>
    <row r="140" spans="1:11" ht="15.75" customHeight="1" x14ac:dyDescent="0.25">
      <c r="A140" s="118" t="s">
        <v>71</v>
      </c>
      <c r="B140" s="189"/>
      <c r="C140" s="119"/>
      <c r="D140" s="191"/>
      <c r="E140" s="190"/>
      <c r="F140" s="184"/>
      <c r="G140" s="8"/>
      <c r="H140" s="193"/>
      <c r="I140" s="190"/>
      <c r="J140" s="184" t="s">
        <v>58</v>
      </c>
      <c r="K140" s="189" t="s">
        <v>53</v>
      </c>
    </row>
    <row r="141" spans="1:11" x14ac:dyDescent="0.25">
      <c r="A141" s="122" t="s">
        <v>63</v>
      </c>
      <c r="B141" s="195"/>
      <c r="C141" s="119"/>
      <c r="D141" s="192"/>
      <c r="E141" s="196"/>
      <c r="F141" s="184"/>
      <c r="G141" s="8"/>
      <c r="H141" s="197"/>
      <c r="I141" s="196"/>
      <c r="J141" s="184"/>
      <c r="K141" s="195"/>
    </row>
    <row r="142" spans="1:11" x14ac:dyDescent="0.25">
      <c r="A142" s="127" t="str">
        <f t="shared" ref="A142:A147" si="35">IF(A127="","",A127)</f>
        <v>Residential</v>
      </c>
      <c r="B142" s="128"/>
      <c r="C142" s="123"/>
      <c r="D142" s="146">
        <v>1503958649.3511779</v>
      </c>
      <c r="E142" s="147">
        <v>1.5E-3</v>
      </c>
      <c r="F142" s="148">
        <f>D142*E142</f>
        <v>2255937.9740267671</v>
      </c>
      <c r="H142" s="146">
        <v>18651933.688667431</v>
      </c>
      <c r="I142" s="147">
        <f>E142</f>
        <v>1.5E-3</v>
      </c>
      <c r="J142" s="148">
        <f>H142*I142</f>
        <v>27977.90053300115</v>
      </c>
      <c r="K142" s="184"/>
    </row>
    <row r="143" spans="1:11" x14ac:dyDescent="0.25">
      <c r="A143" s="127" t="str">
        <f t="shared" si="35"/>
        <v>Residential Seasonal</v>
      </c>
      <c r="B143" s="128"/>
      <c r="C143" s="123"/>
      <c r="D143" s="146">
        <v>13397171.771708041</v>
      </c>
      <c r="E143" s="147">
        <v>1.9E-3</v>
      </c>
      <c r="F143" s="148">
        <f t="shared" ref="F143:F152" si="36">D143*E143</f>
        <v>25454.62636624528</v>
      </c>
      <c r="H143" s="146">
        <v>166150.28585352897</v>
      </c>
      <c r="I143" s="147">
        <f t="shared" ref="I143:I150" si="37">E143</f>
        <v>1.9E-3</v>
      </c>
      <c r="J143" s="148">
        <f t="shared" ref="J143:J150" si="38">H143*I143</f>
        <v>315.68554312170505</v>
      </c>
      <c r="K143" s="184"/>
    </row>
    <row r="144" spans="1:11" x14ac:dyDescent="0.25">
      <c r="A144" s="127" t="str">
        <f t="shared" si="35"/>
        <v>GS&lt;50</v>
      </c>
      <c r="B144" s="128"/>
      <c r="C144" s="123"/>
      <c r="D144" s="146">
        <v>306928242.1244837</v>
      </c>
      <c r="E144" s="147">
        <v>1.4E-3</v>
      </c>
      <c r="F144" s="148">
        <f t="shared" si="36"/>
        <v>429699.53897427721</v>
      </c>
      <c r="H144" s="146">
        <v>47903777.348656125</v>
      </c>
      <c r="I144" s="147">
        <f t="shared" si="37"/>
        <v>1.4E-3</v>
      </c>
      <c r="J144" s="148">
        <f t="shared" si="38"/>
        <v>67065.28828811858</v>
      </c>
      <c r="K144" s="184"/>
    </row>
    <row r="145" spans="1:12" x14ac:dyDescent="0.25">
      <c r="A145" s="127" t="str">
        <f t="shared" si="35"/>
        <v>GS 50 - 2,999</v>
      </c>
      <c r="B145" s="128"/>
      <c r="C145" s="123"/>
      <c r="D145" s="146">
        <v>1125464.3474041433</v>
      </c>
      <c r="E145" s="147">
        <v>0.60019999999999996</v>
      </c>
      <c r="F145" s="148">
        <f t="shared" si="36"/>
        <v>675503.70131196675</v>
      </c>
      <c r="H145" s="146">
        <v>2168940.9903249145</v>
      </c>
      <c r="I145" s="147">
        <f t="shared" si="37"/>
        <v>0.60019999999999996</v>
      </c>
      <c r="J145" s="148">
        <f t="shared" si="38"/>
        <v>1301798.3823930135</v>
      </c>
      <c r="K145" s="184"/>
    </row>
    <row r="146" spans="1:12" x14ac:dyDescent="0.25">
      <c r="A146" s="127" t="str">
        <f t="shared" si="35"/>
        <v>GS 3,000 - 4,999</v>
      </c>
      <c r="B146" s="128"/>
      <c r="C146" s="123"/>
      <c r="D146" s="146">
        <v>17658.390711427503</v>
      </c>
      <c r="E146" s="147">
        <v>0.42620000000000002</v>
      </c>
      <c r="F146" s="148">
        <f t="shared" si="36"/>
        <v>7526.0061212104019</v>
      </c>
      <c r="H146" s="146">
        <v>648093.35720011126</v>
      </c>
      <c r="I146" s="147">
        <f t="shared" si="37"/>
        <v>0.42620000000000002</v>
      </c>
      <c r="J146" s="148">
        <f t="shared" si="38"/>
        <v>276217.38883868745</v>
      </c>
      <c r="K146" s="184"/>
    </row>
    <row r="147" spans="1:12" x14ac:dyDescent="0.25">
      <c r="A147" s="127" t="str">
        <f t="shared" si="35"/>
        <v>Large Use</v>
      </c>
      <c r="B147" s="128"/>
      <c r="C147" s="123"/>
      <c r="D147" s="146">
        <v>0</v>
      </c>
      <c r="E147" s="147">
        <v>0.65849999999999997</v>
      </c>
      <c r="F147" s="148">
        <f t="shared" si="36"/>
        <v>0</v>
      </c>
      <c r="H147" s="146">
        <v>895387.42439179833</v>
      </c>
      <c r="I147" s="147">
        <f t="shared" si="37"/>
        <v>0.65849999999999997</v>
      </c>
      <c r="J147" s="148">
        <f t="shared" si="38"/>
        <v>589612.61896199919</v>
      </c>
      <c r="K147" s="184"/>
    </row>
    <row r="148" spans="1:12" x14ac:dyDescent="0.25">
      <c r="A148" s="127" t="str">
        <f>IF(A133="","",A133)</f>
        <v>Street Light</v>
      </c>
      <c r="B148" s="128"/>
      <c r="C148" s="156"/>
      <c r="D148" s="146">
        <v>0</v>
      </c>
      <c r="E148" s="147">
        <v>0.41289999999999999</v>
      </c>
      <c r="F148" s="148">
        <f t="shared" si="36"/>
        <v>0</v>
      </c>
      <c r="H148" s="146">
        <v>44090.904046101437</v>
      </c>
      <c r="I148" s="147">
        <f t="shared" si="37"/>
        <v>0.41289999999999999</v>
      </c>
      <c r="J148" s="148">
        <f t="shared" si="38"/>
        <v>18205.134280635284</v>
      </c>
      <c r="K148" s="184"/>
    </row>
    <row r="149" spans="1:12" x14ac:dyDescent="0.25">
      <c r="A149" s="127" t="str">
        <f>IF(A134="","",A134)</f>
        <v>Sentinel Light</v>
      </c>
      <c r="B149" s="128"/>
      <c r="C149" s="156"/>
      <c r="D149" s="146">
        <v>644.51221350638025</v>
      </c>
      <c r="E149" s="147">
        <v>0.39090000000000003</v>
      </c>
      <c r="F149" s="148">
        <f t="shared" si="36"/>
        <v>251.93982425964407</v>
      </c>
      <c r="H149" s="146">
        <v>0</v>
      </c>
      <c r="I149" s="147">
        <f t="shared" si="37"/>
        <v>0.39090000000000003</v>
      </c>
      <c r="J149" s="148">
        <f t="shared" si="38"/>
        <v>0</v>
      </c>
      <c r="K149" s="184"/>
    </row>
    <row r="150" spans="1:12" x14ac:dyDescent="0.25">
      <c r="A150" s="127" t="str">
        <f>IF(A135="","",A135)</f>
        <v>USL</v>
      </c>
      <c r="B150" s="128"/>
      <c r="C150" s="156"/>
      <c r="D150" s="146">
        <v>6446392.7022053543</v>
      </c>
      <c r="E150" s="147">
        <v>1.4E-3</v>
      </c>
      <c r="F150" s="148">
        <f t="shared" si="36"/>
        <v>9024.9497830874952</v>
      </c>
      <c r="H150" s="146">
        <v>4090.9146815282343</v>
      </c>
      <c r="I150" s="147">
        <f t="shared" si="37"/>
        <v>1.4E-3</v>
      </c>
      <c r="J150" s="148">
        <f t="shared" si="38"/>
        <v>5.7272805541395275</v>
      </c>
      <c r="K150" s="184"/>
    </row>
    <row r="151" spans="1:12" ht="14.25" customHeight="1" x14ac:dyDescent="0.25">
      <c r="A151" s="127" t="str">
        <f>IF(A136="","",A136)</f>
        <v/>
      </c>
      <c r="B151" s="128"/>
      <c r="C151" s="123"/>
      <c r="D151" s="150"/>
      <c r="E151" s="150"/>
      <c r="F151" s="148">
        <f>D151*E151</f>
        <v>0</v>
      </c>
      <c r="H151" s="150"/>
      <c r="I151" s="150"/>
      <c r="J151" s="148">
        <f>H151*I151</f>
        <v>0</v>
      </c>
      <c r="K151" s="184"/>
    </row>
    <row r="152" spans="1:12" x14ac:dyDescent="0.25">
      <c r="A152" s="127" t="str">
        <f>IF(A137="","",A137)</f>
        <v/>
      </c>
      <c r="B152" s="128"/>
      <c r="C152" s="123"/>
      <c r="D152" s="150"/>
      <c r="E152" s="150"/>
      <c r="F152" s="148">
        <f t="shared" si="36"/>
        <v>0</v>
      </c>
      <c r="H152" s="150"/>
      <c r="I152" s="150"/>
      <c r="J152" s="148">
        <f>H152*I152</f>
        <v>0</v>
      </c>
      <c r="K152" s="184"/>
    </row>
    <row r="153" spans="1:12" x14ac:dyDescent="0.25">
      <c r="A153" s="122" t="s">
        <v>61</v>
      </c>
      <c r="B153" s="143"/>
      <c r="C153" s="123"/>
      <c r="D153" s="141"/>
      <c r="E153" s="127"/>
      <c r="F153" s="148">
        <f>SUM(F142:F152)</f>
        <v>3403398.7364078141</v>
      </c>
      <c r="G153" s="127"/>
      <c r="H153" s="127"/>
      <c r="I153" s="127"/>
      <c r="J153" s="148">
        <f>SUM(J142:J152)</f>
        <v>2281198.1261191317</v>
      </c>
      <c r="K153" s="135">
        <f>F153+J153</f>
        <v>5684596.8625269458</v>
      </c>
    </row>
    <row r="155" spans="1:12" x14ac:dyDescent="0.25">
      <c r="A155" s="118" t="s">
        <v>72</v>
      </c>
      <c r="B155" s="190"/>
      <c r="C155" s="119"/>
      <c r="D155" s="191"/>
      <c r="E155" s="190"/>
      <c r="F155" s="184"/>
      <c r="G155" s="8"/>
      <c r="H155" s="189"/>
      <c r="I155" s="190"/>
      <c r="J155" s="184" t="s">
        <v>58</v>
      </c>
      <c r="K155" s="191" t="s">
        <v>53</v>
      </c>
    </row>
    <row r="156" spans="1:12" x14ac:dyDescent="0.25">
      <c r="A156" s="122" t="s">
        <v>63</v>
      </c>
      <c r="B156" s="196"/>
      <c r="C156" s="119"/>
      <c r="D156" s="192"/>
      <c r="E156" s="196"/>
      <c r="F156" s="184"/>
      <c r="G156" s="8"/>
      <c r="H156" s="195"/>
      <c r="I156" s="196"/>
      <c r="J156" s="184"/>
      <c r="K156" s="182"/>
      <c r="L156" s="131"/>
    </row>
    <row r="157" spans="1:12" x14ac:dyDescent="0.25">
      <c r="A157" s="157" t="str">
        <f>A142</f>
        <v>Residential</v>
      </c>
      <c r="B157" s="143"/>
      <c r="C157" s="123"/>
      <c r="D157" s="146">
        <v>169875.35949625593</v>
      </c>
      <c r="E157" s="158">
        <v>0.43</v>
      </c>
      <c r="F157" s="148">
        <f>D157*E157*12</f>
        <v>876556.85500068055</v>
      </c>
      <c r="H157" s="150">
        <v>2106.7759688935794</v>
      </c>
      <c r="I157" s="159">
        <f>E157</f>
        <v>0.43</v>
      </c>
      <c r="J157" s="148">
        <f>H157*I157*12</f>
        <v>10870.963999490868</v>
      </c>
      <c r="K157" s="182"/>
      <c r="L157" s="131"/>
    </row>
    <row r="158" spans="1:12" x14ac:dyDescent="0.25">
      <c r="A158" s="157" t="str">
        <f t="shared" ref="A158:A159" si="39">A143</f>
        <v>Residential Seasonal</v>
      </c>
      <c r="B158" s="143"/>
      <c r="C158" s="123"/>
      <c r="D158" s="146">
        <v>1523.9991785317022</v>
      </c>
      <c r="E158" s="158">
        <f>E157</f>
        <v>0.43</v>
      </c>
      <c r="F158" s="148">
        <f t="shared" ref="F158:F164" si="40">D158*E158*12</f>
        <v>7863.8357612235832</v>
      </c>
      <c r="H158" s="150">
        <v>18.900474179805407</v>
      </c>
      <c r="I158" s="159">
        <f>E158</f>
        <v>0.43</v>
      </c>
      <c r="J158" s="148">
        <f t="shared" ref="J158:J163" si="41">H158*I158*12</f>
        <v>97.526446767795889</v>
      </c>
      <c r="K158" s="182"/>
      <c r="L158" s="131"/>
    </row>
    <row r="159" spans="1:12" x14ac:dyDescent="0.25">
      <c r="A159" s="157" t="str">
        <f t="shared" si="39"/>
        <v>GS&lt;50</v>
      </c>
      <c r="B159" s="143"/>
      <c r="C159" s="123"/>
      <c r="D159" s="146">
        <v>10655.347068508963</v>
      </c>
      <c r="E159" s="158">
        <f>E158</f>
        <v>0.43</v>
      </c>
      <c r="F159" s="148">
        <f t="shared" si="40"/>
        <v>54981.590873506255</v>
      </c>
      <c r="H159" s="150">
        <v>1663.031625924762</v>
      </c>
      <c r="I159" s="159">
        <f>E159</f>
        <v>0.43</v>
      </c>
      <c r="J159" s="148">
        <f t="shared" si="41"/>
        <v>8581.2431897717724</v>
      </c>
      <c r="K159" s="182"/>
      <c r="L159" s="131"/>
    </row>
    <row r="160" spans="1:12" x14ac:dyDescent="0.25">
      <c r="A160" s="160"/>
      <c r="B160" s="143"/>
      <c r="C160" s="123"/>
      <c r="D160" s="150"/>
      <c r="E160" s="150"/>
      <c r="F160" s="148">
        <f t="shared" si="40"/>
        <v>0</v>
      </c>
      <c r="H160" s="150"/>
      <c r="I160" s="150"/>
      <c r="J160" s="148">
        <f t="shared" si="41"/>
        <v>0</v>
      </c>
      <c r="K160" s="182"/>
      <c r="L160" s="131"/>
    </row>
    <row r="161" spans="1:12" x14ac:dyDescent="0.25">
      <c r="A161" s="160"/>
      <c r="B161" s="143"/>
      <c r="C161" s="123"/>
      <c r="D161" s="150"/>
      <c r="E161" s="150"/>
      <c r="F161" s="148">
        <f t="shared" si="40"/>
        <v>0</v>
      </c>
      <c r="H161" s="150"/>
      <c r="I161" s="150"/>
      <c r="J161" s="148">
        <f t="shared" si="41"/>
        <v>0</v>
      </c>
      <c r="K161" s="182"/>
      <c r="L161" s="131"/>
    </row>
    <row r="162" spans="1:12" x14ac:dyDescent="0.25">
      <c r="A162" s="160"/>
      <c r="B162" s="143"/>
      <c r="C162" s="123"/>
      <c r="D162" s="150"/>
      <c r="E162" s="150"/>
      <c r="F162" s="148">
        <f t="shared" si="40"/>
        <v>0</v>
      </c>
      <c r="H162" s="150"/>
      <c r="I162" s="150"/>
      <c r="J162" s="148">
        <f t="shared" si="41"/>
        <v>0</v>
      </c>
      <c r="K162" s="182"/>
      <c r="L162" s="131"/>
    </row>
    <row r="163" spans="1:12" x14ac:dyDescent="0.25">
      <c r="A163" s="160"/>
      <c r="B163" s="143"/>
      <c r="C163" s="123"/>
      <c r="D163" s="150"/>
      <c r="E163" s="150"/>
      <c r="F163" s="148">
        <f t="shared" si="40"/>
        <v>0</v>
      </c>
      <c r="H163" s="150"/>
      <c r="I163" s="150"/>
      <c r="J163" s="148">
        <f t="shared" si="41"/>
        <v>0</v>
      </c>
      <c r="K163" s="182"/>
      <c r="L163" s="131"/>
    </row>
    <row r="164" spans="1:12" x14ac:dyDescent="0.25">
      <c r="A164" s="160"/>
      <c r="B164" s="143"/>
      <c r="C164" s="123"/>
      <c r="D164" s="150"/>
      <c r="E164" s="150"/>
      <c r="F164" s="148">
        <f t="shared" si="40"/>
        <v>0</v>
      </c>
      <c r="H164" s="150"/>
      <c r="I164" s="150"/>
      <c r="J164" s="148">
        <f>H164*I164*12</f>
        <v>0</v>
      </c>
      <c r="K164" s="161"/>
      <c r="L164" s="131"/>
    </row>
    <row r="165" spans="1:12" x14ac:dyDescent="0.25">
      <c r="A165" s="122" t="s">
        <v>61</v>
      </c>
      <c r="B165" s="143"/>
      <c r="C165" s="123"/>
      <c r="D165" s="127"/>
      <c r="E165" s="127"/>
      <c r="F165" s="148">
        <f>SUM(F157:F164)</f>
        <v>939402.28163541039</v>
      </c>
      <c r="G165" s="127"/>
      <c r="H165" s="127"/>
      <c r="I165" s="127"/>
      <c r="J165" s="148">
        <f>SUM(J157:J164)</f>
        <v>19549.733636030436</v>
      </c>
      <c r="K165" s="148">
        <f>F165+J165</f>
        <v>958952.01527144085</v>
      </c>
    </row>
    <row r="166" spans="1:12" x14ac:dyDescent="0.25">
      <c r="A166" s="127"/>
      <c r="B166" s="127"/>
      <c r="C166" s="123"/>
      <c r="D166" s="127"/>
      <c r="E166" s="127"/>
      <c r="F166" s="127"/>
      <c r="G166" s="127"/>
      <c r="H166" s="127"/>
      <c r="I166" s="127"/>
      <c r="J166" s="127"/>
    </row>
    <row r="167" spans="1:12" x14ac:dyDescent="0.25">
      <c r="A167" s="122" t="s">
        <v>73</v>
      </c>
      <c r="B167" s="127"/>
      <c r="C167" s="123"/>
      <c r="D167" s="127"/>
      <c r="E167" s="127"/>
      <c r="F167" s="148">
        <f>SUM(F24+F61+F78+F93+F138+F153+F165+F123)</f>
        <v>413245284.03843087</v>
      </c>
      <c r="G167" s="127"/>
      <c r="H167" s="127"/>
      <c r="I167" s="127"/>
      <c r="J167" s="148">
        <f>J24+J44+J61+J78+J93+J108+J123+J138+J153+J165</f>
        <v>174289181.09516883</v>
      </c>
      <c r="K167" s="135">
        <f>+F167+J167</f>
        <v>587534465.13359976</v>
      </c>
    </row>
    <row r="168" spans="1:12" ht="15.75" thickBot="1" x14ac:dyDescent="0.3">
      <c r="A168" s="122" t="s">
        <v>74</v>
      </c>
      <c r="B168" s="162">
        <v>0.23499999999999999</v>
      </c>
      <c r="C168" s="123"/>
      <c r="D168" s="150"/>
      <c r="E168" s="150"/>
      <c r="F168" s="163">
        <f>-F167*B168</f>
        <v>-97112641.749031246</v>
      </c>
      <c r="G168" s="127"/>
      <c r="H168" s="150"/>
      <c r="I168" s="150"/>
      <c r="J168" s="127">
        <v>0</v>
      </c>
      <c r="K168" s="135">
        <f>+F168+J168</f>
        <v>-97112641.749031246</v>
      </c>
    </row>
    <row r="169" spans="1:12" ht="15.75" thickBot="1" x14ac:dyDescent="0.3">
      <c r="A169" s="122" t="s">
        <v>38</v>
      </c>
      <c r="B169" s="164"/>
      <c r="C169" s="165"/>
      <c r="D169" s="122"/>
      <c r="E169" s="122"/>
      <c r="F169" s="166">
        <f>+F167+F168</f>
        <v>316132642.28939962</v>
      </c>
      <c r="G169" s="122"/>
      <c r="H169" s="122"/>
      <c r="I169" s="122"/>
      <c r="J169" s="166">
        <f>+J167+J168</f>
        <v>174289181.09516883</v>
      </c>
      <c r="K169" s="166">
        <f>+K167+K168</f>
        <v>490421823.38456851</v>
      </c>
    </row>
    <row r="170" spans="1:12" ht="15.75" thickTop="1" x14ac:dyDescent="0.25">
      <c r="A170" s="165"/>
      <c r="B170" s="167"/>
      <c r="C170" s="116"/>
      <c r="D170" s="116"/>
      <c r="E170" s="116"/>
      <c r="F170" s="168"/>
      <c r="G170" s="116"/>
      <c r="H170" s="116"/>
      <c r="I170" s="116"/>
      <c r="J170" s="168"/>
      <c r="K170" s="168"/>
    </row>
    <row r="171" spans="1:12" x14ac:dyDescent="0.25">
      <c r="A171" s="123" t="s">
        <v>75</v>
      </c>
    </row>
    <row r="172" spans="1:12" x14ac:dyDescent="0.25">
      <c r="A172" s="123" t="s">
        <v>76</v>
      </c>
    </row>
    <row r="173" spans="1:12" x14ac:dyDescent="0.25">
      <c r="A173" s="116"/>
    </row>
    <row r="174" spans="1:12" x14ac:dyDescent="0.25">
      <c r="D174" s="198" t="str">
        <f>D10 &amp; " - Cop"</f>
        <v>2028 Test Year - Cop</v>
      </c>
      <c r="E174" s="198"/>
    </row>
    <row r="175" spans="1:12" x14ac:dyDescent="0.25">
      <c r="B175" s="1" t="str">
        <f>LEFT(D175,4)</f>
        <v>4705</v>
      </c>
      <c r="D175" s="127" t="s">
        <v>77</v>
      </c>
      <c r="E175" s="169">
        <f>K24</f>
        <v>369261590.39231825</v>
      </c>
    </row>
    <row r="176" spans="1:12" x14ac:dyDescent="0.25">
      <c r="B176" s="1" t="str">
        <f t="shared" ref="B176:B181" si="42">LEFT(D176,4)</f>
        <v>4707</v>
      </c>
      <c r="D176" s="127" t="s">
        <v>78</v>
      </c>
      <c r="E176" s="136">
        <f>K44</f>
        <v>90386494.528245836</v>
      </c>
    </row>
    <row r="177" spans="2:5" x14ac:dyDescent="0.25">
      <c r="B177" s="1" t="str">
        <f t="shared" si="42"/>
        <v>4708</v>
      </c>
      <c r="D177" s="127" t="s">
        <v>79</v>
      </c>
      <c r="E177" s="136">
        <f>(K93+K108+K123+K138)</f>
        <v>26985713.928235419</v>
      </c>
    </row>
    <row r="178" spans="2:5" x14ac:dyDescent="0.25">
      <c r="B178" s="1" t="str">
        <f t="shared" si="42"/>
        <v>4714</v>
      </c>
      <c r="D178" s="127" t="s">
        <v>80</v>
      </c>
      <c r="E178" s="136">
        <f>K61</f>
        <v>55526226.186370552</v>
      </c>
    </row>
    <row r="179" spans="2:5" x14ac:dyDescent="0.25">
      <c r="B179" s="1" t="str">
        <f t="shared" si="42"/>
        <v>4716</v>
      </c>
      <c r="D179" s="127" t="s">
        <v>81</v>
      </c>
      <c r="E179" s="136">
        <f>K78</f>
        <v>38730891.220631182</v>
      </c>
    </row>
    <row r="180" spans="2:5" x14ac:dyDescent="0.25">
      <c r="B180" s="1" t="str">
        <f t="shared" si="42"/>
        <v>4750</v>
      </c>
      <c r="D180" s="127" t="s">
        <v>82</v>
      </c>
      <c r="E180" s="136">
        <f>K153</f>
        <v>5684596.8625269458</v>
      </c>
    </row>
    <row r="181" spans="2:5" x14ac:dyDescent="0.25">
      <c r="B181" s="1" t="str">
        <f t="shared" si="42"/>
        <v>4751</v>
      </c>
      <c r="D181" s="127" t="s">
        <v>83</v>
      </c>
      <c r="E181" s="136">
        <f>K165</f>
        <v>958952.01527144085</v>
      </c>
    </row>
    <row r="182" spans="2:5" x14ac:dyDescent="0.25">
      <c r="D182" s="127" t="s">
        <v>84</v>
      </c>
      <c r="E182" s="136">
        <f>+K168</f>
        <v>-97112641.749031246</v>
      </c>
    </row>
    <row r="183" spans="2:5" x14ac:dyDescent="0.25">
      <c r="D183" s="122" t="s">
        <v>38</v>
      </c>
      <c r="E183" s="170">
        <f>SUM(E175:E182)</f>
        <v>490421823.38456827</v>
      </c>
    </row>
    <row r="184" spans="2:5" x14ac:dyDescent="0.25">
      <c r="E184" s="111">
        <f>+E183-K169</f>
        <v>0</v>
      </c>
    </row>
  </sheetData>
  <mergeCells count="90">
    <mergeCell ref="K157:K163"/>
    <mergeCell ref="D174:E174"/>
    <mergeCell ref="K142:K152"/>
    <mergeCell ref="B155:B156"/>
    <mergeCell ref="D155:D156"/>
    <mergeCell ref="E155:E156"/>
    <mergeCell ref="F155:F156"/>
    <mergeCell ref="H155:H156"/>
    <mergeCell ref="I155:I156"/>
    <mergeCell ref="J155:J156"/>
    <mergeCell ref="K155:K156"/>
    <mergeCell ref="K127:K137"/>
    <mergeCell ref="B140:B141"/>
    <mergeCell ref="D140:D141"/>
    <mergeCell ref="E140:E141"/>
    <mergeCell ref="F140:F141"/>
    <mergeCell ref="H140:H141"/>
    <mergeCell ref="I140:I141"/>
    <mergeCell ref="J140:J141"/>
    <mergeCell ref="K140:K141"/>
    <mergeCell ref="K112:K122"/>
    <mergeCell ref="B125:B126"/>
    <mergeCell ref="D125:D126"/>
    <mergeCell ref="E125:E126"/>
    <mergeCell ref="F125:F126"/>
    <mergeCell ref="H125:H126"/>
    <mergeCell ref="I125:I126"/>
    <mergeCell ref="J125:J126"/>
    <mergeCell ref="K125:K126"/>
    <mergeCell ref="K97:K107"/>
    <mergeCell ref="B110:B111"/>
    <mergeCell ref="D110:D111"/>
    <mergeCell ref="E110:E111"/>
    <mergeCell ref="F110:F111"/>
    <mergeCell ref="H110:H111"/>
    <mergeCell ref="I110:I111"/>
    <mergeCell ref="J110:J111"/>
    <mergeCell ref="K110:K111"/>
    <mergeCell ref="K82:K92"/>
    <mergeCell ref="B95:B96"/>
    <mergeCell ref="D95:D96"/>
    <mergeCell ref="E95:E96"/>
    <mergeCell ref="F95:F96"/>
    <mergeCell ref="H95:H96"/>
    <mergeCell ref="I95:I96"/>
    <mergeCell ref="J95:J96"/>
    <mergeCell ref="K95:K96"/>
    <mergeCell ref="K65:K77"/>
    <mergeCell ref="B80:B81"/>
    <mergeCell ref="D80:D81"/>
    <mergeCell ref="E80:E81"/>
    <mergeCell ref="F80:F81"/>
    <mergeCell ref="H80:H81"/>
    <mergeCell ref="I80:I81"/>
    <mergeCell ref="J80:J81"/>
    <mergeCell ref="K80:K81"/>
    <mergeCell ref="K48:K60"/>
    <mergeCell ref="B63:B64"/>
    <mergeCell ref="D63:D64"/>
    <mergeCell ref="E63:E64"/>
    <mergeCell ref="F63:F64"/>
    <mergeCell ref="H63:H64"/>
    <mergeCell ref="I63:I64"/>
    <mergeCell ref="J63:J64"/>
    <mergeCell ref="K63:K64"/>
    <mergeCell ref="K28:K43"/>
    <mergeCell ref="B46:B47"/>
    <mergeCell ref="D46:D47"/>
    <mergeCell ref="E46:E47"/>
    <mergeCell ref="F46:F47"/>
    <mergeCell ref="H46:H47"/>
    <mergeCell ref="I46:I47"/>
    <mergeCell ref="J46:J47"/>
    <mergeCell ref="K46:K47"/>
    <mergeCell ref="K12:K23"/>
    <mergeCell ref="I25:J25"/>
    <mergeCell ref="B26:B27"/>
    <mergeCell ref="D26:D27"/>
    <mergeCell ref="E26:E27"/>
    <mergeCell ref="F26:F27"/>
    <mergeCell ref="H26:H27"/>
    <mergeCell ref="I26:I27"/>
    <mergeCell ref="J26:J27"/>
    <mergeCell ref="K26:K27"/>
    <mergeCell ref="B11:B12"/>
    <mergeCell ref="A1:J1"/>
    <mergeCell ref="E9:F9"/>
    <mergeCell ref="I9:J9"/>
    <mergeCell ref="E10:F10"/>
    <mergeCell ref="I10:J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69921-A9CC-4998-BF2B-1F2F1FCC4822}">
  <sheetPr codeName="Sheet6"/>
  <dimension ref="A1:AA72"/>
  <sheetViews>
    <sheetView topLeftCell="B1" workbookViewId="0">
      <selection activeCell="L8" sqref="L8"/>
    </sheetView>
  </sheetViews>
  <sheetFormatPr defaultColWidth="9.28515625" defaultRowHeight="15" outlineLevelRow="1" x14ac:dyDescent="0.25"/>
  <cols>
    <col min="1" max="1" width="9.28515625" style="1"/>
    <col min="2" max="2" width="43.28515625" style="1" customWidth="1"/>
    <col min="3" max="3" width="7.28515625" style="1" customWidth="1"/>
    <col min="4" max="4" width="10.28515625" style="1" customWidth="1"/>
    <col min="5" max="5" width="7.5703125" style="1" customWidth="1"/>
    <col min="6" max="6" width="20.28515625" style="1" customWidth="1"/>
    <col min="7" max="7" width="14.5703125" style="1" customWidth="1"/>
    <col min="8" max="10" width="17.42578125" style="1" customWidth="1"/>
    <col min="11" max="11" width="21.28515625" style="1" customWidth="1"/>
    <col min="12" max="12" width="16.5703125" style="1" customWidth="1"/>
    <col min="13" max="13" width="12.42578125" style="1" bestFit="1" customWidth="1"/>
    <col min="14" max="14" width="12" style="1" bestFit="1" customWidth="1"/>
    <col min="15" max="16384" width="9.28515625" style="1"/>
  </cols>
  <sheetData>
    <row r="1" spans="1:27" x14ac:dyDescent="0.25">
      <c r="B1" s="2"/>
    </row>
    <row r="2" spans="1:27" x14ac:dyDescent="0.25">
      <c r="A2" s="3"/>
      <c r="B2" s="3"/>
      <c r="C2" s="3"/>
      <c r="D2" s="3"/>
      <c r="E2" s="3"/>
      <c r="K2" s="4" t="s">
        <v>1</v>
      </c>
      <c r="L2" s="5" t="s">
        <v>96</v>
      </c>
    </row>
    <row r="3" spans="1:27" ht="18" x14ac:dyDescent="0.25">
      <c r="A3" s="3"/>
      <c r="C3" s="6"/>
      <c r="D3" s="6"/>
      <c r="E3" s="6"/>
      <c r="F3" s="6"/>
      <c r="G3" s="6"/>
      <c r="H3" s="6"/>
      <c r="I3" s="6"/>
      <c r="J3" s="6"/>
      <c r="K3" s="4" t="s">
        <v>2</v>
      </c>
      <c r="L3" s="7" t="s">
        <v>98</v>
      </c>
    </row>
    <row r="4" spans="1:27" x14ac:dyDescent="0.25">
      <c r="B4" s="174" t="s">
        <v>3</v>
      </c>
      <c r="C4" s="174"/>
      <c r="D4" s="174"/>
      <c r="E4" s="174"/>
      <c r="F4" s="174"/>
      <c r="G4" s="174"/>
      <c r="H4" s="174"/>
      <c r="I4" s="174"/>
      <c r="K4" s="4" t="s">
        <v>4</v>
      </c>
      <c r="L4" s="7">
        <v>3</v>
      </c>
    </row>
    <row r="5" spans="1:27" ht="18" customHeight="1" x14ac:dyDescent="0.25">
      <c r="B5" s="174"/>
      <c r="C5" s="174"/>
      <c r="D5" s="174"/>
      <c r="E5" s="174"/>
      <c r="F5" s="174"/>
      <c r="G5" s="174"/>
      <c r="H5" s="174"/>
      <c r="I5" s="174"/>
      <c r="J5" s="6"/>
      <c r="K5" s="4" t="s">
        <v>5</v>
      </c>
      <c r="L5" s="7">
        <v>1</v>
      </c>
    </row>
    <row r="6" spans="1:27" ht="15" customHeight="1" x14ac:dyDescent="0.25">
      <c r="B6" s="174"/>
      <c r="C6" s="174"/>
      <c r="D6" s="174"/>
      <c r="E6" s="174"/>
      <c r="F6" s="174"/>
      <c r="G6" s="174"/>
      <c r="H6" s="174"/>
      <c r="I6" s="174"/>
      <c r="J6" s="6"/>
      <c r="K6" s="4" t="s">
        <v>6</v>
      </c>
      <c r="L6" s="5"/>
    </row>
    <row r="7" spans="1:27" x14ac:dyDescent="0.25">
      <c r="B7" s="8"/>
      <c r="K7" s="4"/>
      <c r="L7" s="9" t="s">
        <v>97</v>
      </c>
    </row>
    <row r="8" spans="1:27" x14ac:dyDescent="0.25">
      <c r="B8" s="8"/>
      <c r="K8" s="4" t="s">
        <v>7</v>
      </c>
      <c r="L8" s="199">
        <v>46283</v>
      </c>
    </row>
    <row r="9" spans="1:27" x14ac:dyDescent="0.25">
      <c r="B9" s="8"/>
    </row>
    <row r="10" spans="1:27" ht="15.75" thickBot="1" x14ac:dyDescent="0.3">
      <c r="A10" s="10"/>
      <c r="B10" s="11"/>
      <c r="C10" s="12"/>
      <c r="D10" s="13"/>
      <c r="E10" s="13"/>
      <c r="F10" s="13"/>
      <c r="G10" s="10"/>
      <c r="H10" s="10"/>
      <c r="I10" s="10"/>
      <c r="J10" s="10"/>
      <c r="K10" s="10"/>
      <c r="L10" s="13"/>
      <c r="Q10" s="14"/>
      <c r="R10" s="14"/>
      <c r="S10" s="14"/>
      <c r="T10" s="14"/>
      <c r="U10" s="14"/>
      <c r="V10" s="14"/>
      <c r="Y10" s="15"/>
      <c r="Z10" s="15"/>
      <c r="AA10" s="15"/>
    </row>
    <row r="11" spans="1:27" ht="15.75" x14ac:dyDescent="0.25">
      <c r="A11" s="16"/>
      <c r="B11" s="17"/>
      <c r="C11" s="14"/>
      <c r="D11" s="14"/>
      <c r="E11" s="14"/>
      <c r="F11" s="14"/>
      <c r="G11" s="15"/>
      <c r="H11" s="14"/>
      <c r="I11" s="14"/>
      <c r="J11" s="14"/>
      <c r="K11" s="14"/>
      <c r="L11" s="18"/>
      <c r="M11" s="19"/>
      <c r="N11" s="17"/>
      <c r="O11" s="14"/>
      <c r="P11" s="14"/>
      <c r="Q11" s="14"/>
      <c r="R11" s="14"/>
      <c r="S11" s="14"/>
      <c r="T11" s="14"/>
      <c r="U11" s="14"/>
      <c r="V11" s="14"/>
      <c r="Y11" s="15"/>
      <c r="Z11" s="15"/>
      <c r="AA11" s="15"/>
    </row>
    <row r="12" spans="1:27" ht="15.75" x14ac:dyDescent="0.25">
      <c r="A12" s="18" t="s">
        <v>8</v>
      </c>
      <c r="B12" s="19" t="s">
        <v>9</v>
      </c>
      <c r="C12" s="17"/>
      <c r="D12" s="14"/>
      <c r="E12" s="14"/>
      <c r="F12" s="14"/>
      <c r="G12" s="15"/>
      <c r="H12" s="14"/>
      <c r="I12" s="14"/>
      <c r="J12" s="14"/>
      <c r="K12" s="14"/>
      <c r="L12" s="18"/>
      <c r="M12" s="19"/>
      <c r="N12" s="17"/>
      <c r="O12" s="14"/>
      <c r="P12" s="14"/>
      <c r="Q12" s="14"/>
      <c r="R12" s="14"/>
      <c r="S12" s="14"/>
      <c r="T12" s="14"/>
      <c r="U12" s="14"/>
      <c r="V12" s="14"/>
      <c r="Y12" s="15"/>
      <c r="Z12" s="15"/>
      <c r="AA12" s="15"/>
    </row>
    <row r="13" spans="1:27" ht="16.5" thickBot="1" x14ac:dyDescent="0.3">
      <c r="A13" s="16"/>
      <c r="B13" s="17"/>
      <c r="C13" s="14"/>
      <c r="D13" s="14"/>
      <c r="E13" s="14"/>
      <c r="F13" s="14"/>
      <c r="G13" s="15"/>
      <c r="H13" s="14"/>
      <c r="I13" s="14"/>
      <c r="J13" s="14"/>
      <c r="K13" s="14"/>
      <c r="L13" s="18"/>
      <c r="M13" s="19"/>
      <c r="N13" s="17"/>
      <c r="O13" s="14"/>
      <c r="P13" s="14"/>
      <c r="Q13" s="14"/>
      <c r="R13" s="14"/>
      <c r="S13" s="14"/>
      <c r="T13" s="14"/>
      <c r="U13" s="14"/>
      <c r="V13" s="14"/>
      <c r="Y13" s="15"/>
      <c r="Z13" s="15"/>
      <c r="AA13" s="15"/>
    </row>
    <row r="14" spans="1:27" ht="15.75" thickBot="1" x14ac:dyDescent="0.3">
      <c r="A14" s="15"/>
      <c r="B14" s="15" t="s">
        <v>10</v>
      </c>
      <c r="C14" s="15"/>
      <c r="D14" s="15"/>
      <c r="E14" s="15"/>
      <c r="F14" s="15"/>
      <c r="G14" s="20"/>
      <c r="H14" s="21"/>
      <c r="J14" s="22"/>
      <c r="K14" s="22"/>
      <c r="N14" s="23"/>
      <c r="O14" s="23"/>
      <c r="P14" s="15"/>
    </row>
    <row r="15" spans="1:27" x14ac:dyDescent="0.25">
      <c r="A15" s="18"/>
      <c r="B15" s="24" t="s">
        <v>11</v>
      </c>
      <c r="C15" s="15" t="s">
        <v>12</v>
      </c>
      <c r="D15" s="15"/>
      <c r="E15" s="15"/>
      <c r="F15" s="15"/>
      <c r="G15" s="25" t="s">
        <v>13</v>
      </c>
      <c r="H15" s="26" t="s">
        <v>14</v>
      </c>
      <c r="J15" s="27"/>
      <c r="K15" s="27"/>
      <c r="N15" s="23"/>
      <c r="O15" s="23"/>
      <c r="P15" s="15"/>
    </row>
    <row r="16" spans="1:27" ht="15.75" thickBot="1" x14ac:dyDescent="0.3">
      <c r="A16" s="15"/>
      <c r="B16" s="28"/>
      <c r="C16" s="15"/>
      <c r="D16" s="15"/>
      <c r="E16" s="15"/>
      <c r="F16" s="15"/>
      <c r="G16" s="29"/>
      <c r="H16" s="30"/>
      <c r="J16" s="27"/>
      <c r="K16" s="27"/>
      <c r="N16" s="23"/>
      <c r="O16" s="23"/>
      <c r="P16" s="15"/>
    </row>
    <row r="17" spans="1:16" ht="29.25" customHeight="1" x14ac:dyDescent="0.25">
      <c r="A17" s="15"/>
      <c r="B17" s="31" t="s">
        <v>15</v>
      </c>
      <c r="C17" s="175" t="s">
        <v>16</v>
      </c>
      <c r="D17" s="176"/>
      <c r="E17" s="177"/>
      <c r="F17" s="32"/>
      <c r="G17" s="33">
        <v>58.089367319999994</v>
      </c>
      <c r="H17" s="34">
        <f>G17</f>
        <v>58.089367319999994</v>
      </c>
      <c r="J17" s="35"/>
      <c r="K17" s="35"/>
      <c r="N17" s="15"/>
      <c r="O17" s="15"/>
      <c r="P17" s="15"/>
    </row>
    <row r="18" spans="1:16" ht="32.25" customHeight="1" x14ac:dyDescent="0.25">
      <c r="A18" s="15"/>
      <c r="B18" s="31" t="s">
        <v>17</v>
      </c>
      <c r="C18" s="175" t="s">
        <v>18</v>
      </c>
      <c r="D18" s="176"/>
      <c r="E18" s="177"/>
      <c r="F18" s="36"/>
      <c r="G18" s="37">
        <v>65.35600187</v>
      </c>
      <c r="H18" s="38">
        <f>G18</f>
        <v>65.35600187</v>
      </c>
      <c r="J18" s="35"/>
      <c r="K18" s="35"/>
      <c r="N18" s="15"/>
      <c r="O18" s="15"/>
      <c r="P18" s="15"/>
    </row>
    <row r="19" spans="1:16" x14ac:dyDescent="0.25">
      <c r="A19" s="15"/>
      <c r="B19" s="31" t="s">
        <v>19</v>
      </c>
      <c r="C19" s="178"/>
      <c r="D19" s="179"/>
      <c r="E19" s="180"/>
      <c r="F19" s="36"/>
      <c r="G19" s="39"/>
      <c r="H19" s="38">
        <v>10.59</v>
      </c>
      <c r="J19" s="40"/>
      <c r="K19" s="35"/>
      <c r="N19" s="15"/>
      <c r="O19" s="15"/>
      <c r="P19" s="15"/>
    </row>
    <row r="20" spans="1:16" ht="40.9" customHeight="1" x14ac:dyDescent="0.25">
      <c r="A20" s="15"/>
      <c r="B20" s="41" t="s">
        <v>20</v>
      </c>
      <c r="C20" s="175" t="s">
        <v>21</v>
      </c>
      <c r="D20" s="176"/>
      <c r="E20" s="177"/>
      <c r="F20" s="36"/>
      <c r="G20" s="42"/>
      <c r="H20" s="43">
        <f>SUM(H17:H19)</f>
        <v>134.03536918999998</v>
      </c>
      <c r="J20" s="44"/>
      <c r="K20" s="44"/>
      <c r="N20" s="15"/>
      <c r="O20" s="15"/>
      <c r="P20" s="15"/>
    </row>
    <row r="21" spans="1:16" ht="15.75" thickBo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5"/>
      <c r="N21" s="15"/>
      <c r="O21" s="15"/>
      <c r="P21" s="15"/>
    </row>
    <row r="22" spans="1:16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5.75" customHeight="1" outlineLevel="1" x14ac:dyDescent="0.25">
      <c r="A23" s="18" t="s">
        <v>22</v>
      </c>
      <c r="B23" s="19" t="s">
        <v>23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5" customHeight="1" outlineLevel="1" x14ac:dyDescent="0.25">
      <c r="A24" s="15"/>
      <c r="B24" s="45" t="s">
        <v>24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5" customHeight="1" outlineLevel="1" x14ac:dyDescent="0.25">
      <c r="A25" s="15"/>
      <c r="B25" s="4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5" customHeight="1" outlineLevel="1" x14ac:dyDescent="0.25">
      <c r="A26" s="15"/>
      <c r="B26" s="46" t="s">
        <v>0</v>
      </c>
      <c r="E26" s="47"/>
      <c r="F26" s="48"/>
      <c r="G26" s="173" t="str">
        <f>2029&amp; " Test Year"</f>
        <v>2029 Test Year</v>
      </c>
      <c r="H26" s="173"/>
      <c r="I26" s="173"/>
      <c r="J26" s="173"/>
      <c r="K26" s="173"/>
      <c r="L26" s="173"/>
      <c r="M26" s="15"/>
      <c r="N26" s="15"/>
      <c r="O26" s="15"/>
      <c r="P26" s="15"/>
    </row>
    <row r="27" spans="1:16" ht="15" customHeight="1" outlineLevel="1" x14ac:dyDescent="0.25">
      <c r="A27" s="15"/>
      <c r="B27" s="49" t="s">
        <v>25</v>
      </c>
      <c r="C27" s="50"/>
      <c r="D27" s="50" t="s">
        <v>26</v>
      </c>
      <c r="E27" s="51" t="s">
        <v>27</v>
      </c>
      <c r="F27" s="52"/>
      <c r="G27" s="52"/>
      <c r="H27" s="52"/>
      <c r="I27" s="52"/>
      <c r="J27" s="52"/>
      <c r="K27" s="52"/>
      <c r="L27" s="52"/>
      <c r="M27" s="15"/>
      <c r="N27" s="15"/>
      <c r="O27" s="15"/>
      <c r="P27" s="15"/>
    </row>
    <row r="28" spans="1:16" ht="42.75" customHeight="1" outlineLevel="1" x14ac:dyDescent="0.25">
      <c r="A28" s="15"/>
      <c r="B28" s="53" t="s">
        <v>28</v>
      </c>
      <c r="C28" s="54" t="s">
        <v>29</v>
      </c>
      <c r="D28" s="54" t="s">
        <v>30</v>
      </c>
      <c r="E28" s="55" t="s">
        <v>30</v>
      </c>
      <c r="F28" s="56" t="s">
        <v>31</v>
      </c>
      <c r="G28" s="56"/>
      <c r="H28" s="56" t="s">
        <v>32</v>
      </c>
      <c r="I28" s="56" t="s">
        <v>33</v>
      </c>
      <c r="J28" s="56" t="s">
        <v>34</v>
      </c>
      <c r="K28" s="56" t="s">
        <v>35</v>
      </c>
      <c r="L28" s="57" t="s">
        <v>36</v>
      </c>
      <c r="M28" s="15"/>
      <c r="N28" s="15"/>
      <c r="O28" s="15"/>
      <c r="P28" s="15"/>
    </row>
    <row r="29" spans="1:16" ht="15" customHeight="1" outlineLevel="1" x14ac:dyDescent="0.25">
      <c r="A29" s="15"/>
      <c r="B29" s="58" t="s">
        <v>85</v>
      </c>
      <c r="C29" s="59" t="s">
        <v>37</v>
      </c>
      <c r="D29" s="59">
        <v>4006</v>
      </c>
      <c r="E29" s="60">
        <v>4705</v>
      </c>
      <c r="F29" s="61">
        <v>0</v>
      </c>
      <c r="G29" s="62"/>
      <c r="H29" s="61">
        <v>19723801.65449439</v>
      </c>
      <c r="I29" s="61">
        <v>1590386422.7432392</v>
      </c>
      <c r="J29" s="63">
        <f t="shared" ref="J29:J39" si="0">+$G$17/1000</f>
        <v>5.8089367319999995E-2</v>
      </c>
      <c r="K29" s="63">
        <f t="shared" ref="K29:K39" si="1">+$H$20/1000</f>
        <v>0.13403536918999998</v>
      </c>
      <c r="L29" s="64">
        <f t="shared" ref="L29:L39" si="2">(+F29+H29)*J29+(I29*K29)</f>
        <v>214313774.4864082</v>
      </c>
      <c r="M29" s="15"/>
      <c r="N29" s="15"/>
      <c r="O29" s="15"/>
      <c r="P29" s="15"/>
    </row>
    <row r="30" spans="1:16" ht="15" customHeight="1" outlineLevel="1" x14ac:dyDescent="0.25">
      <c r="A30" s="15"/>
      <c r="B30" s="58" t="s">
        <v>86</v>
      </c>
      <c r="C30" s="59" t="s">
        <v>37</v>
      </c>
      <c r="D30" s="59">
        <v>4010</v>
      </c>
      <c r="E30" s="60">
        <v>4705</v>
      </c>
      <c r="F30" s="61">
        <v>0</v>
      </c>
      <c r="G30" s="62"/>
      <c r="H30" s="61">
        <v>177801.98244832965</v>
      </c>
      <c r="I30" s="61">
        <v>14336681.32422233</v>
      </c>
      <c r="J30" s="63">
        <f t="shared" si="0"/>
        <v>5.8089367319999995E-2</v>
      </c>
      <c r="K30" s="63">
        <f t="shared" si="1"/>
        <v>0.13403536918999998</v>
      </c>
      <c r="L30" s="64">
        <f t="shared" si="2"/>
        <v>1931950.778920183</v>
      </c>
      <c r="M30" s="15"/>
      <c r="N30" s="15"/>
      <c r="O30" s="15"/>
      <c r="P30" s="15"/>
    </row>
    <row r="31" spans="1:16" ht="15" customHeight="1" outlineLevel="1" x14ac:dyDescent="0.25">
      <c r="A31" s="15"/>
      <c r="B31" s="58" t="s">
        <v>87</v>
      </c>
      <c r="C31" s="59" t="s">
        <v>37</v>
      </c>
      <c r="D31" s="59">
        <v>4035</v>
      </c>
      <c r="E31" s="60">
        <v>4705</v>
      </c>
      <c r="F31" s="61">
        <v>47663.806734424863</v>
      </c>
      <c r="G31" s="62"/>
      <c r="H31" s="61">
        <v>49739313.110504784</v>
      </c>
      <c r="I31" s="61">
        <v>318994245.37403762</v>
      </c>
      <c r="J31" s="63">
        <f t="shared" si="0"/>
        <v>5.8089367319999995E-2</v>
      </c>
      <c r="K31" s="63">
        <f t="shared" si="1"/>
        <v>0.13403536918999998</v>
      </c>
      <c r="L31" s="64">
        <f t="shared" si="2"/>
        <v>45648605.438092448</v>
      </c>
      <c r="M31" s="15"/>
      <c r="N31" s="15"/>
      <c r="O31" s="15"/>
      <c r="P31" s="15"/>
    </row>
    <row r="32" spans="1:16" ht="15" customHeight="1" outlineLevel="1" x14ac:dyDescent="0.25">
      <c r="A32" s="15"/>
      <c r="B32" s="58" t="s">
        <v>88</v>
      </c>
      <c r="C32" s="59" t="s">
        <v>37</v>
      </c>
      <c r="D32" s="59">
        <v>4010</v>
      </c>
      <c r="E32" s="60">
        <v>4705</v>
      </c>
      <c r="F32" s="61">
        <v>101616164.8425435</v>
      </c>
      <c r="G32" s="62"/>
      <c r="H32" s="61">
        <v>820591525.80088961</v>
      </c>
      <c r="I32" s="61">
        <v>478533939.53590727</v>
      </c>
      <c r="J32" s="63">
        <f t="shared" si="0"/>
        <v>5.8089367319999995E-2</v>
      </c>
      <c r="K32" s="63">
        <f t="shared" si="1"/>
        <v>0.13403536918999998</v>
      </c>
      <c r="L32" s="64">
        <f t="shared" si="2"/>
        <v>117710934.54275575</v>
      </c>
      <c r="M32" s="15"/>
      <c r="N32" s="15"/>
      <c r="O32" s="15"/>
      <c r="P32" s="15"/>
    </row>
    <row r="33" spans="1:16" ht="15" customHeight="1" outlineLevel="1" x14ac:dyDescent="0.25">
      <c r="A33" s="15"/>
      <c r="B33" s="58" t="s">
        <v>89</v>
      </c>
      <c r="C33" s="59" t="s">
        <v>37</v>
      </c>
      <c r="D33" s="59">
        <v>4025</v>
      </c>
      <c r="E33" s="60">
        <v>4705</v>
      </c>
      <c r="F33" s="61">
        <v>276529195.88902497</v>
      </c>
      <c r="G33" s="62"/>
      <c r="H33" s="61">
        <v>54928696.756354116</v>
      </c>
      <c r="I33" s="61">
        <v>9031126.3148948867</v>
      </c>
      <c r="J33" s="63">
        <f t="shared" si="0"/>
        <v>5.8089367319999995E-2</v>
      </c>
      <c r="K33" s="63">
        <f t="shared" si="1"/>
        <v>0.13403536918999998</v>
      </c>
      <c r="L33" s="64">
        <f t="shared" si="2"/>
        <v>20464669.626809008</v>
      </c>
      <c r="M33" s="15"/>
      <c r="N33" s="15"/>
      <c r="O33" s="15"/>
      <c r="P33" s="15"/>
    </row>
    <row r="34" spans="1:16" ht="15" customHeight="1" outlineLevel="1" x14ac:dyDescent="0.25">
      <c r="A34" s="15"/>
      <c r="B34" s="58" t="s">
        <v>90</v>
      </c>
      <c r="C34" s="59" t="s">
        <v>37</v>
      </c>
      <c r="D34" s="59">
        <v>4025</v>
      </c>
      <c r="E34" s="60">
        <v>4705</v>
      </c>
      <c r="F34" s="61">
        <v>533865468.54912353</v>
      </c>
      <c r="G34" s="62"/>
      <c r="H34" s="61">
        <v>71497570.961936504</v>
      </c>
      <c r="I34" s="61">
        <v>0</v>
      </c>
      <c r="J34" s="63">
        <f t="shared" si="0"/>
        <v>5.8089367319999995E-2</v>
      </c>
      <c r="K34" s="63">
        <f t="shared" si="1"/>
        <v>0.13403536918999998</v>
      </c>
      <c r="L34" s="64">
        <f t="shared" si="2"/>
        <v>35165155.964109637</v>
      </c>
      <c r="M34" s="15"/>
      <c r="N34" s="15"/>
      <c r="O34" s="15"/>
      <c r="P34" s="15"/>
    </row>
    <row r="35" spans="1:16" ht="15" customHeight="1" outlineLevel="1" x14ac:dyDescent="0.25">
      <c r="A35" s="15"/>
      <c r="B35" s="58" t="s">
        <v>91</v>
      </c>
      <c r="C35" s="59" t="s">
        <v>37</v>
      </c>
      <c r="D35" s="59">
        <v>4025</v>
      </c>
      <c r="E35" s="60">
        <v>4705</v>
      </c>
      <c r="F35" s="61">
        <v>0</v>
      </c>
      <c r="G35" s="62"/>
      <c r="H35" s="61">
        <v>16684897.207780968</v>
      </c>
      <c r="I35" s="61">
        <v>0</v>
      </c>
      <c r="J35" s="63">
        <f t="shared" si="0"/>
        <v>5.8089367319999995E-2</v>
      </c>
      <c r="K35" s="63">
        <f t="shared" si="1"/>
        <v>0.13403536918999998</v>
      </c>
      <c r="L35" s="64">
        <f t="shared" si="2"/>
        <v>969215.12259923096</v>
      </c>
      <c r="M35" s="15"/>
      <c r="N35" s="15"/>
      <c r="O35" s="15"/>
      <c r="P35" s="15"/>
    </row>
    <row r="36" spans="1:16" ht="15" customHeight="1" outlineLevel="1" x14ac:dyDescent="0.25">
      <c r="A36" s="15"/>
      <c r="B36" s="58" t="s">
        <v>92</v>
      </c>
      <c r="C36" s="59" t="s">
        <v>37</v>
      </c>
      <c r="D36" s="59">
        <v>4025</v>
      </c>
      <c r="E36" s="60">
        <v>4705</v>
      </c>
      <c r="F36" s="61">
        <v>0</v>
      </c>
      <c r="G36" s="62"/>
      <c r="H36" s="61">
        <v>0</v>
      </c>
      <c r="I36" s="61">
        <v>87998.819065329662</v>
      </c>
      <c r="J36" s="63">
        <f t="shared" si="0"/>
        <v>5.8089367319999995E-2</v>
      </c>
      <c r="K36" s="63">
        <f t="shared" si="1"/>
        <v>0.13403536918999998</v>
      </c>
      <c r="L36" s="64">
        <f t="shared" si="2"/>
        <v>11794.95420170547</v>
      </c>
      <c r="M36" s="15"/>
      <c r="N36" s="15"/>
      <c r="O36" s="15"/>
      <c r="P36" s="15"/>
    </row>
    <row r="37" spans="1:16" ht="15" customHeight="1" outlineLevel="1" x14ac:dyDescent="0.25">
      <c r="A37" s="15"/>
      <c r="B37" s="58" t="s">
        <v>93</v>
      </c>
      <c r="C37" s="59" t="s">
        <v>37</v>
      </c>
      <c r="D37" s="59">
        <v>4025</v>
      </c>
      <c r="E37" s="60">
        <v>4705</v>
      </c>
      <c r="F37" s="61">
        <v>0</v>
      </c>
      <c r="G37" s="62"/>
      <c r="H37" s="61">
        <v>4241.5965224950141</v>
      </c>
      <c r="I37" s="61">
        <v>6683834.544820426</v>
      </c>
      <c r="J37" s="63">
        <f t="shared" si="0"/>
        <v>5.8089367319999995E-2</v>
      </c>
      <c r="K37" s="63">
        <f t="shared" si="1"/>
        <v>0.13403536918999998</v>
      </c>
      <c r="L37" s="64">
        <f t="shared" si="2"/>
        <v>896116.62247829966</v>
      </c>
      <c r="M37" s="15"/>
      <c r="N37" s="15"/>
      <c r="O37" s="15"/>
      <c r="P37" s="15"/>
    </row>
    <row r="38" spans="1:16" ht="15" customHeight="1" outlineLevel="1" x14ac:dyDescent="0.25">
      <c r="A38" s="15"/>
      <c r="B38" s="58"/>
      <c r="C38" s="59" t="s">
        <v>37</v>
      </c>
      <c r="D38" s="59">
        <v>4025</v>
      </c>
      <c r="E38" s="60">
        <v>4705</v>
      </c>
      <c r="F38" s="61"/>
      <c r="G38" s="62"/>
      <c r="H38" s="61"/>
      <c r="I38" s="61"/>
      <c r="J38" s="63">
        <f t="shared" si="0"/>
        <v>5.8089367319999995E-2</v>
      </c>
      <c r="K38" s="63">
        <f t="shared" si="1"/>
        <v>0.13403536918999998</v>
      </c>
      <c r="L38" s="64">
        <f t="shared" si="2"/>
        <v>0</v>
      </c>
      <c r="M38" s="15"/>
      <c r="N38" s="15"/>
      <c r="O38" s="15"/>
      <c r="P38" s="15"/>
    </row>
    <row r="39" spans="1:16" ht="15" customHeight="1" outlineLevel="1" x14ac:dyDescent="0.25">
      <c r="A39" s="15"/>
      <c r="B39" s="58"/>
      <c r="C39" s="59" t="s">
        <v>37</v>
      </c>
      <c r="D39" s="59">
        <v>4025</v>
      </c>
      <c r="E39" s="60">
        <v>4705</v>
      </c>
      <c r="F39" s="61"/>
      <c r="G39" s="62"/>
      <c r="H39" s="61"/>
      <c r="I39" s="61"/>
      <c r="J39" s="63">
        <f t="shared" si="0"/>
        <v>5.8089367319999995E-2</v>
      </c>
      <c r="K39" s="63">
        <f t="shared" si="1"/>
        <v>0.13403536918999998</v>
      </c>
      <c r="L39" s="64">
        <f t="shared" si="2"/>
        <v>0</v>
      </c>
      <c r="M39" s="15"/>
      <c r="N39" s="15"/>
      <c r="O39" s="15"/>
      <c r="P39" s="15"/>
    </row>
    <row r="40" spans="1:16" ht="15" customHeight="1" outlineLevel="1" x14ac:dyDescent="0.25">
      <c r="A40" s="15"/>
      <c r="B40" s="65" t="s">
        <v>38</v>
      </c>
      <c r="C40" s="66"/>
      <c r="D40" s="67"/>
      <c r="E40" s="68"/>
      <c r="F40" s="69"/>
      <c r="G40" s="70"/>
      <c r="H40" s="69"/>
      <c r="I40" s="71"/>
      <c r="J40" s="71"/>
      <c r="K40" s="69"/>
      <c r="L40" s="72">
        <f>SUM(L29:L39)</f>
        <v>437112217.53637451</v>
      </c>
      <c r="M40" s="15"/>
      <c r="N40" s="15"/>
      <c r="O40" s="15"/>
      <c r="P40" s="15"/>
    </row>
    <row r="41" spans="1:16" ht="15" customHeight="1" outlineLevel="1" x14ac:dyDescent="0.25">
      <c r="A41" s="15"/>
      <c r="B41" s="4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5" customHeight="1" outlineLevel="1" x14ac:dyDescent="0.25">
      <c r="A42" s="15"/>
      <c r="B42" s="28"/>
      <c r="C42" s="15"/>
      <c r="D42" s="15"/>
      <c r="E42" s="15"/>
      <c r="F42" s="73"/>
      <c r="G42" s="73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5.75" customHeight="1" outlineLevel="1" x14ac:dyDescent="0.25">
      <c r="A43" s="15"/>
      <c r="B43" s="46" t="s">
        <v>39</v>
      </c>
      <c r="E43" s="47"/>
      <c r="F43" s="74"/>
      <c r="G43" s="173" t="str">
        <f>2029&amp; " Test Year"</f>
        <v>2029 Test Year</v>
      </c>
      <c r="H43" s="173"/>
      <c r="I43" s="173"/>
      <c r="J43" s="173"/>
      <c r="K43" s="173"/>
      <c r="L43" s="173"/>
      <c r="M43" s="15"/>
      <c r="N43" s="15"/>
      <c r="O43" s="15"/>
      <c r="P43" s="15"/>
    </row>
    <row r="44" spans="1:16" ht="15" customHeight="1" outlineLevel="1" x14ac:dyDescent="0.25">
      <c r="A44" s="15"/>
      <c r="B44" s="49" t="s">
        <v>25</v>
      </c>
      <c r="C44" s="54"/>
      <c r="D44" s="50" t="s">
        <v>26</v>
      </c>
      <c r="E44" s="51" t="s">
        <v>27</v>
      </c>
      <c r="F44" s="75"/>
      <c r="G44" s="76" t="s">
        <v>40</v>
      </c>
      <c r="H44" s="77"/>
      <c r="I44" s="77"/>
      <c r="J44" s="78"/>
      <c r="K44" s="79" t="s">
        <v>41</v>
      </c>
      <c r="L44" s="80" t="s">
        <v>36</v>
      </c>
      <c r="M44" s="15"/>
      <c r="N44" s="15"/>
      <c r="O44" s="15"/>
      <c r="P44" s="15"/>
    </row>
    <row r="45" spans="1:16" ht="15" customHeight="1" outlineLevel="1" x14ac:dyDescent="0.25">
      <c r="A45" s="15"/>
      <c r="B45" s="58"/>
      <c r="C45" s="59"/>
      <c r="D45" s="59">
        <v>4035</v>
      </c>
      <c r="E45" s="60">
        <v>4707</v>
      </c>
      <c r="F45" s="81"/>
      <c r="G45" s="82">
        <f>F31</f>
        <v>47663.806734424863</v>
      </c>
      <c r="H45" s="77"/>
      <c r="I45" s="77"/>
      <c r="J45" s="83"/>
      <c r="K45" s="172">
        <v>3.2474684171988948E-2</v>
      </c>
      <c r="L45" s="85">
        <f>+K45*G45</f>
        <v>1547.8670701351673</v>
      </c>
      <c r="M45" s="15"/>
      <c r="N45" s="15"/>
      <c r="O45" s="15"/>
      <c r="P45" s="15"/>
    </row>
    <row r="46" spans="1:16" ht="15" customHeight="1" outlineLevel="1" x14ac:dyDescent="0.25">
      <c r="A46" s="15"/>
      <c r="B46" s="58"/>
      <c r="C46" s="59"/>
      <c r="D46" s="59">
        <v>4010</v>
      </c>
      <c r="E46" s="60">
        <v>4707</v>
      </c>
      <c r="F46" s="81"/>
      <c r="G46" s="82">
        <f t="shared" ref="G46:G48" si="3">F32</f>
        <v>101616164.8425435</v>
      </c>
      <c r="H46" s="77"/>
      <c r="I46" s="77"/>
      <c r="J46" s="83"/>
      <c r="K46" s="84">
        <f>K45</f>
        <v>3.2474684171988948E-2</v>
      </c>
      <c r="L46" s="85">
        <f>+K46*G46</f>
        <v>3299952.860030367</v>
      </c>
      <c r="M46" s="15"/>
      <c r="N46" s="15"/>
      <c r="O46" s="15"/>
      <c r="P46" s="15"/>
    </row>
    <row r="47" spans="1:16" ht="15" customHeight="1" outlineLevel="1" x14ac:dyDescent="0.25">
      <c r="A47" s="15"/>
      <c r="B47" s="58"/>
      <c r="C47" s="59"/>
      <c r="D47" s="59">
        <v>4010</v>
      </c>
      <c r="E47" s="60">
        <v>4707</v>
      </c>
      <c r="F47" s="81"/>
      <c r="G47" s="82">
        <f t="shared" si="3"/>
        <v>276529195.88902497</v>
      </c>
      <c r="H47" s="77"/>
      <c r="I47" s="77"/>
      <c r="J47" s="83"/>
      <c r="K47" s="58">
        <f t="shared" ref="K47:K48" si="4">K46</f>
        <v>3.2474684171988948E-2</v>
      </c>
      <c r="L47" s="85">
        <f>+K47*G47</f>
        <v>8980198.30083015</v>
      </c>
      <c r="M47" s="15"/>
      <c r="N47" s="15"/>
      <c r="O47" s="15"/>
      <c r="P47" s="15"/>
    </row>
    <row r="48" spans="1:16" ht="15" customHeight="1" outlineLevel="1" x14ac:dyDescent="0.25">
      <c r="A48" s="15"/>
      <c r="B48" s="58"/>
      <c r="C48" s="59"/>
      <c r="D48" s="59">
        <v>4010</v>
      </c>
      <c r="E48" s="60">
        <v>4707</v>
      </c>
      <c r="F48" s="81"/>
      <c r="G48" s="82">
        <f t="shared" si="3"/>
        <v>533865468.54912353</v>
      </c>
      <c r="H48" s="77"/>
      <c r="I48" s="77"/>
      <c r="J48" s="83"/>
      <c r="K48" s="58">
        <f t="shared" si="4"/>
        <v>3.2474684171988948E-2</v>
      </c>
      <c r="L48" s="85">
        <f>+K48*G48</f>
        <v>17337112.481463686</v>
      </c>
      <c r="M48" s="15"/>
      <c r="N48" s="15"/>
      <c r="O48" s="15"/>
      <c r="P48" s="15"/>
    </row>
    <row r="49" spans="1:16" ht="15" customHeight="1" outlineLevel="1" x14ac:dyDescent="0.25">
      <c r="A49" s="15"/>
      <c r="B49" s="58"/>
      <c r="C49" s="59"/>
      <c r="D49" s="59">
        <v>4010</v>
      </c>
      <c r="E49" s="60">
        <v>4707</v>
      </c>
      <c r="F49" s="81"/>
      <c r="G49" s="82"/>
      <c r="H49" s="77"/>
      <c r="I49" s="77"/>
      <c r="J49" s="86"/>
      <c r="K49" s="58"/>
      <c r="L49" s="85">
        <f>+K49*G49</f>
        <v>0</v>
      </c>
      <c r="M49" s="15"/>
      <c r="N49" s="15"/>
      <c r="O49" s="15"/>
      <c r="P49" s="15"/>
    </row>
    <row r="50" spans="1:16" ht="15" customHeight="1" outlineLevel="1" x14ac:dyDescent="0.25">
      <c r="A50" s="15"/>
      <c r="F50" s="87">
        <f>+F45+F46</f>
        <v>0</v>
      </c>
      <c r="G50" s="88">
        <f>SUM(G45:G49)</f>
        <v>912058493.08742642</v>
      </c>
      <c r="H50" s="77"/>
      <c r="I50" s="77"/>
      <c r="J50" s="89"/>
      <c r="K50" s="90"/>
      <c r="L50" s="91">
        <f>SUM(L45:L49)</f>
        <v>29618811.50939434</v>
      </c>
      <c r="M50" s="15"/>
      <c r="N50" s="15"/>
      <c r="O50" s="15"/>
      <c r="P50" s="15"/>
    </row>
    <row r="51" spans="1:16" ht="15" customHeight="1" outlineLevel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5.75" customHeight="1" outlineLevel="1" x14ac:dyDescent="0.25">
      <c r="B52" s="46" t="s">
        <v>42</v>
      </c>
      <c r="E52" s="47"/>
      <c r="F52" s="48"/>
      <c r="G52" s="173" t="str">
        <f>G43</f>
        <v>2029 Test Year</v>
      </c>
      <c r="H52" s="173"/>
      <c r="I52" s="173"/>
      <c r="J52" s="173"/>
      <c r="K52" s="173"/>
      <c r="L52" s="173"/>
    </row>
    <row r="53" spans="1:16" ht="15" customHeight="1" outlineLevel="1" x14ac:dyDescent="0.25">
      <c r="A53" s="92"/>
      <c r="B53" s="49" t="s">
        <v>25</v>
      </c>
      <c r="C53" s="50"/>
      <c r="D53" s="50" t="s">
        <v>26</v>
      </c>
      <c r="E53" s="51" t="s">
        <v>27</v>
      </c>
      <c r="F53" s="52"/>
      <c r="G53" s="52"/>
      <c r="H53" s="52"/>
      <c r="I53" s="52"/>
      <c r="J53" s="52"/>
      <c r="K53" s="52"/>
      <c r="L53" s="57" t="s">
        <v>36</v>
      </c>
      <c r="M53" s="92"/>
      <c r="N53" s="92"/>
      <c r="O53" s="92"/>
      <c r="P53" s="92"/>
    </row>
    <row r="54" spans="1:16" ht="30.75" customHeight="1" outlineLevel="1" x14ac:dyDescent="0.25">
      <c r="B54" s="53" t="s">
        <v>28</v>
      </c>
      <c r="C54" s="54" t="s">
        <v>29</v>
      </c>
      <c r="D54" s="54" t="s">
        <v>30</v>
      </c>
      <c r="E54" s="54" t="s">
        <v>30</v>
      </c>
      <c r="F54" s="93"/>
      <c r="G54" s="93"/>
      <c r="H54" s="56" t="s">
        <v>43</v>
      </c>
      <c r="I54" s="94"/>
      <c r="J54" s="94"/>
      <c r="K54" s="93" t="s">
        <v>44</v>
      </c>
    </row>
    <row r="55" spans="1:16" ht="15" customHeight="1" outlineLevel="1" x14ac:dyDescent="0.25">
      <c r="B55" s="95" t="str">
        <f>IF(B29=0,"",B29)</f>
        <v>Residential</v>
      </c>
      <c r="C55" s="59" t="s">
        <v>37</v>
      </c>
      <c r="D55" s="59">
        <v>4006</v>
      </c>
      <c r="E55" s="59">
        <v>4707</v>
      </c>
      <c r="F55" s="96"/>
      <c r="G55" s="96"/>
      <c r="H55" s="97">
        <f>+H29</f>
        <v>19723801.65449439</v>
      </c>
      <c r="I55" s="96"/>
      <c r="J55" s="96"/>
      <c r="K55" s="98">
        <f>+$G$18/1000</f>
        <v>6.5356001869999999E-2</v>
      </c>
      <c r="L55" s="64">
        <f t="shared" ref="L55:L65" si="5">+K55*H55</f>
        <v>1289068.8178146444</v>
      </c>
    </row>
    <row r="56" spans="1:16" ht="15" customHeight="1" outlineLevel="1" x14ac:dyDescent="0.25">
      <c r="B56" s="95" t="str">
        <f t="shared" ref="B56:B65" si="6">IF(B30=0,"",B30)</f>
        <v>Residential Seasonal</v>
      </c>
      <c r="C56" s="59" t="s">
        <v>37</v>
      </c>
      <c r="D56" s="59">
        <v>4010</v>
      </c>
      <c r="E56" s="59">
        <v>4707</v>
      </c>
      <c r="F56" s="96"/>
      <c r="G56" s="96"/>
      <c r="H56" s="97">
        <f t="shared" ref="H56:H63" si="7">+H30</f>
        <v>177801.98244832965</v>
      </c>
      <c r="I56" s="96"/>
      <c r="J56" s="96"/>
      <c r="K56" s="98">
        <f>+$G$18/1000</f>
        <v>6.5356001869999999E-2</v>
      </c>
      <c r="L56" s="64">
        <f t="shared" si="5"/>
        <v>11620.42669738274</v>
      </c>
    </row>
    <row r="57" spans="1:16" ht="15" customHeight="1" outlineLevel="1" x14ac:dyDescent="0.25">
      <c r="B57" s="95" t="str">
        <f t="shared" si="6"/>
        <v>GS&lt;50</v>
      </c>
      <c r="C57" s="59" t="s">
        <v>37</v>
      </c>
      <c r="D57" s="59">
        <v>4035</v>
      </c>
      <c r="E57" s="59">
        <v>4707</v>
      </c>
      <c r="F57" s="96"/>
      <c r="G57" s="96"/>
      <c r="H57" s="97">
        <f>+H31</f>
        <v>49739313.110504784</v>
      </c>
      <c r="I57" s="96"/>
      <c r="J57" s="96"/>
      <c r="K57" s="98">
        <f>+$G$18/1000</f>
        <v>6.5356001869999999E-2</v>
      </c>
      <c r="L57" s="64">
        <f>+K57*H57</f>
        <v>3250762.6406626659</v>
      </c>
    </row>
    <row r="58" spans="1:16" ht="15" customHeight="1" outlineLevel="1" x14ac:dyDescent="0.25">
      <c r="B58" s="95" t="str">
        <f>IF(B32=0,"",B32)</f>
        <v>GS 50 - 2,999</v>
      </c>
      <c r="C58" s="59" t="s">
        <v>37</v>
      </c>
      <c r="D58" s="59">
        <v>4010</v>
      </c>
      <c r="E58" s="59">
        <v>4707</v>
      </c>
      <c r="F58" s="96"/>
      <c r="G58" s="96"/>
      <c r="H58" s="97">
        <f t="shared" si="7"/>
        <v>820591525.80088961</v>
      </c>
      <c r="I58" s="96"/>
      <c r="J58" s="96"/>
      <c r="K58" s="98">
        <f t="shared" ref="K58:K65" si="8">+$G$18/1000</f>
        <v>6.5356001869999999E-2</v>
      </c>
      <c r="L58" s="64">
        <f t="shared" si="5"/>
        <v>53630581.294749096</v>
      </c>
    </row>
    <row r="59" spans="1:16" ht="15" customHeight="1" outlineLevel="1" x14ac:dyDescent="0.25">
      <c r="B59" s="95" t="str">
        <f>IF(B33=0,"",B33)</f>
        <v>GS 3,000 - 4,999</v>
      </c>
      <c r="C59" s="59" t="s">
        <v>37</v>
      </c>
      <c r="D59" s="59">
        <v>4025</v>
      </c>
      <c r="E59" s="59">
        <v>4707</v>
      </c>
      <c r="F59" s="96"/>
      <c r="G59" s="96"/>
      <c r="H59" s="97">
        <f>+H33</f>
        <v>54928696.756354116</v>
      </c>
      <c r="I59" s="96"/>
      <c r="J59" s="96"/>
      <c r="K59" s="98">
        <f>+$G$18/1000</f>
        <v>6.5356001869999999E-2</v>
      </c>
      <c r="L59" s="64">
        <f t="shared" si="5"/>
        <v>3589920.0079249423</v>
      </c>
    </row>
    <row r="60" spans="1:16" ht="15" customHeight="1" outlineLevel="1" x14ac:dyDescent="0.25">
      <c r="B60" s="95" t="str">
        <f t="shared" si="6"/>
        <v>Large Use</v>
      </c>
      <c r="C60" s="59" t="s">
        <v>37</v>
      </c>
      <c r="D60" s="59">
        <v>4025</v>
      </c>
      <c r="E60" s="59">
        <v>4707</v>
      </c>
      <c r="F60" s="96"/>
      <c r="G60" s="96"/>
      <c r="H60" s="97">
        <f t="shared" si="7"/>
        <v>71497570.961936504</v>
      </c>
      <c r="I60" s="96"/>
      <c r="J60" s="96"/>
      <c r="K60" s="98">
        <f t="shared" si="8"/>
        <v>6.5356001869999999E-2</v>
      </c>
      <c r="L60" s="64">
        <f t="shared" si="5"/>
        <v>4672795.3814887796</v>
      </c>
    </row>
    <row r="61" spans="1:16" ht="15" customHeight="1" outlineLevel="1" x14ac:dyDescent="0.25">
      <c r="B61" s="95" t="str">
        <f t="shared" si="6"/>
        <v>Street Light</v>
      </c>
      <c r="C61" s="59" t="s">
        <v>37</v>
      </c>
      <c r="D61" s="59">
        <v>4025</v>
      </c>
      <c r="E61" s="59">
        <v>4707</v>
      </c>
      <c r="F61" s="96"/>
      <c r="G61" s="96"/>
      <c r="H61" s="97">
        <f t="shared" si="7"/>
        <v>16684897.207780968</v>
      </c>
      <c r="I61" s="96"/>
      <c r="J61" s="96"/>
      <c r="K61" s="98">
        <f t="shared" si="8"/>
        <v>6.5356001869999999E-2</v>
      </c>
      <c r="L61" s="64">
        <f t="shared" si="5"/>
        <v>1090458.1731124907</v>
      </c>
    </row>
    <row r="62" spans="1:16" ht="15" customHeight="1" outlineLevel="1" x14ac:dyDescent="0.25">
      <c r="B62" s="95" t="str">
        <f>IF(B36=0,"",B36)</f>
        <v>Sentinel Light</v>
      </c>
      <c r="C62" s="59" t="s">
        <v>37</v>
      </c>
      <c r="D62" s="59">
        <v>4025</v>
      </c>
      <c r="E62" s="59">
        <v>4707</v>
      </c>
      <c r="F62" s="96"/>
      <c r="G62" s="96"/>
      <c r="H62" s="97">
        <f>+H36</f>
        <v>0</v>
      </c>
      <c r="I62" s="96"/>
      <c r="J62" s="96"/>
      <c r="K62" s="98">
        <f t="shared" si="8"/>
        <v>6.5356001869999999E-2</v>
      </c>
      <c r="L62" s="64">
        <f t="shared" si="5"/>
        <v>0</v>
      </c>
    </row>
    <row r="63" spans="1:16" ht="15" customHeight="1" outlineLevel="1" x14ac:dyDescent="0.25">
      <c r="B63" s="95" t="str">
        <f t="shared" si="6"/>
        <v>USL</v>
      </c>
      <c r="C63" s="59" t="s">
        <v>37</v>
      </c>
      <c r="D63" s="59">
        <v>4025</v>
      </c>
      <c r="E63" s="59">
        <v>4707</v>
      </c>
      <c r="F63" s="96"/>
      <c r="G63" s="96"/>
      <c r="H63" s="97">
        <f t="shared" si="7"/>
        <v>4241.5965224950141</v>
      </c>
      <c r="I63" s="96"/>
      <c r="J63" s="96"/>
      <c r="K63" s="98">
        <f t="shared" si="8"/>
        <v>6.5356001869999999E-2</v>
      </c>
      <c r="L63" s="64">
        <f t="shared" si="5"/>
        <v>277.21379025596963</v>
      </c>
    </row>
    <row r="64" spans="1:16" ht="15" customHeight="1" outlineLevel="1" x14ac:dyDescent="0.25">
      <c r="B64" s="95" t="str">
        <f t="shared" si="6"/>
        <v/>
      </c>
      <c r="C64" s="59" t="s">
        <v>37</v>
      </c>
      <c r="D64" s="59">
        <v>4025</v>
      </c>
      <c r="E64" s="59">
        <v>4707</v>
      </c>
      <c r="F64" s="96"/>
      <c r="G64" s="96"/>
      <c r="H64" s="97">
        <f>+H38</f>
        <v>0</v>
      </c>
      <c r="I64" s="96"/>
      <c r="J64" s="96"/>
      <c r="K64" s="98">
        <f t="shared" si="8"/>
        <v>6.5356001869999999E-2</v>
      </c>
      <c r="L64" s="64">
        <f>+K64*H64</f>
        <v>0</v>
      </c>
    </row>
    <row r="65" spans="1:16" ht="15" customHeight="1" outlineLevel="1" x14ac:dyDescent="0.25">
      <c r="B65" s="95" t="str">
        <f t="shared" si="6"/>
        <v/>
      </c>
      <c r="C65" s="59" t="s">
        <v>37</v>
      </c>
      <c r="D65" s="59">
        <v>4025</v>
      </c>
      <c r="E65" s="59">
        <v>4707</v>
      </c>
      <c r="F65" s="96"/>
      <c r="G65" s="96"/>
      <c r="H65" s="97">
        <f>+H39</f>
        <v>0</v>
      </c>
      <c r="I65" s="96"/>
      <c r="J65" s="96"/>
      <c r="K65" s="98">
        <f t="shared" si="8"/>
        <v>6.5356001869999999E-2</v>
      </c>
      <c r="L65" s="64">
        <f t="shared" si="5"/>
        <v>0</v>
      </c>
    </row>
    <row r="66" spans="1:16" ht="15" customHeight="1" outlineLevel="1" x14ac:dyDescent="0.25">
      <c r="B66" s="95" t="s">
        <v>45</v>
      </c>
      <c r="C66" s="54"/>
      <c r="D66" s="54"/>
      <c r="E66" s="55"/>
      <c r="F66" s="99"/>
      <c r="G66" s="99"/>
      <c r="H66" s="100">
        <f>SUM(H55:H65)</f>
        <v>1033347849.0709311</v>
      </c>
      <c r="I66" s="99"/>
      <c r="J66" s="99"/>
      <c r="K66" s="101"/>
      <c r="L66" s="72"/>
      <c r="P66" s="102"/>
    </row>
    <row r="67" spans="1:16" ht="15" customHeight="1" outlineLevel="1" x14ac:dyDescent="0.25">
      <c r="B67" s="49" t="s">
        <v>38</v>
      </c>
      <c r="C67" s="103"/>
      <c r="D67" s="50"/>
      <c r="E67" s="51"/>
      <c r="F67" s="104"/>
      <c r="G67" s="104"/>
      <c r="H67" s="104"/>
      <c r="I67" s="104"/>
      <c r="J67" s="104"/>
      <c r="K67" s="69"/>
      <c r="L67" s="105">
        <f>SUM(L55:L65)</f>
        <v>67535483.956240252</v>
      </c>
    </row>
    <row r="68" spans="1:16" ht="15" customHeight="1" outlineLevel="1" x14ac:dyDescent="0.25">
      <c r="B68" s="92"/>
      <c r="C68" s="106"/>
      <c r="D68" s="107"/>
      <c r="E68" s="107"/>
      <c r="F68" s="108"/>
      <c r="G68" s="108"/>
      <c r="H68" s="108"/>
      <c r="I68" s="108"/>
      <c r="J68" s="108"/>
      <c r="K68" s="108"/>
      <c r="L68" s="8"/>
    </row>
    <row r="69" spans="1:16" ht="15" customHeight="1" outlineLevel="1" x14ac:dyDescent="0.25">
      <c r="L69" s="109"/>
    </row>
    <row r="70" spans="1:16" ht="21" x14ac:dyDescent="0.55000000000000004">
      <c r="A70" s="1" t="s">
        <v>46</v>
      </c>
      <c r="F70" s="110"/>
      <c r="G70" s="110"/>
      <c r="H70" s="110"/>
      <c r="I70" s="110"/>
      <c r="J70" s="110"/>
      <c r="K70" s="110"/>
    </row>
    <row r="71" spans="1:16" x14ac:dyDescent="0.25">
      <c r="A71" s="1" t="s">
        <v>47</v>
      </c>
      <c r="G71" s="111"/>
      <c r="H71" s="111"/>
      <c r="I71" s="111"/>
      <c r="J71" s="111"/>
      <c r="K71" s="111"/>
    </row>
    <row r="72" spans="1:16" x14ac:dyDescent="0.25">
      <c r="A72" s="1" t="s">
        <v>48</v>
      </c>
    </row>
  </sheetData>
  <mergeCells count="8">
    <mergeCell ref="G43:L43"/>
    <mergeCell ref="G52:L52"/>
    <mergeCell ref="B4:I6"/>
    <mergeCell ref="C17:E17"/>
    <mergeCell ref="C18:E18"/>
    <mergeCell ref="C19:E19"/>
    <mergeCell ref="C20:E20"/>
    <mergeCell ref="G26:L26"/>
  </mergeCells>
  <conditionalFormatting sqref="B1">
    <cfRule type="expression" dxfId="2" priority="1" stopIfTrue="1">
      <formula>LEFT($C1,6)="Macros"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29C1B-080E-4EB2-8C8B-78A3D28889BD}">
  <sheetPr codeName="Sheet7"/>
  <dimension ref="A1:L184"/>
  <sheetViews>
    <sheetView workbookViewId="0">
      <selection activeCell="K8" sqref="K8"/>
    </sheetView>
  </sheetViews>
  <sheetFormatPr defaultColWidth="9.28515625" defaultRowHeight="15" x14ac:dyDescent="0.25"/>
  <cols>
    <col min="1" max="1" width="37" style="1" customWidth="1"/>
    <col min="2" max="2" width="8" style="1" customWidth="1"/>
    <col min="3" max="3" width="1.5703125" style="1" customWidth="1"/>
    <col min="4" max="4" width="23.28515625" style="1" bestFit="1" customWidth="1"/>
    <col min="5" max="5" width="15.28515625" style="1" bestFit="1" customWidth="1"/>
    <col min="6" max="6" width="12.7109375" style="1" bestFit="1" customWidth="1"/>
    <col min="7" max="7" width="2.28515625" style="1" customWidth="1"/>
    <col min="8" max="8" width="19.28515625" style="1" customWidth="1"/>
    <col min="9" max="9" width="11.28515625" style="1" customWidth="1"/>
    <col min="10" max="10" width="13.28515625" style="1" customWidth="1"/>
    <col min="11" max="11" width="16.28515625" style="1" bestFit="1" customWidth="1"/>
    <col min="12" max="12" width="12" style="1" bestFit="1" customWidth="1"/>
    <col min="13" max="16384" width="9.28515625" style="1"/>
  </cols>
  <sheetData>
    <row r="1" spans="1:11" ht="21" x14ac:dyDescent="0.35">
      <c r="A1" s="181" t="s">
        <v>49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1" x14ac:dyDescent="0.25">
      <c r="A2" s="112"/>
      <c r="B2" s="112"/>
      <c r="C2" s="112"/>
      <c r="D2" s="112"/>
      <c r="E2" s="112"/>
      <c r="F2" s="112"/>
      <c r="G2" s="112"/>
      <c r="H2" s="112"/>
      <c r="I2" s="112"/>
      <c r="J2" s="4" t="s">
        <v>1</v>
      </c>
      <c r="K2" s="5" t="s">
        <v>96</v>
      </c>
    </row>
    <row r="3" spans="1:11" x14ac:dyDescent="0.25">
      <c r="A3" s="112"/>
      <c r="B3" s="112"/>
      <c r="C3" s="112"/>
      <c r="D3" s="112"/>
      <c r="E3" s="112"/>
      <c r="F3" s="112"/>
      <c r="G3" s="112"/>
      <c r="H3" s="112"/>
      <c r="I3" s="112"/>
      <c r="J3" s="4" t="s">
        <v>2</v>
      </c>
      <c r="K3" s="7" t="s">
        <v>98</v>
      </c>
    </row>
    <row r="4" spans="1:1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4" t="s">
        <v>4</v>
      </c>
      <c r="K4" s="7">
        <v>3</v>
      </c>
    </row>
    <row r="5" spans="1:1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4" t="s">
        <v>5</v>
      </c>
      <c r="K5" s="7">
        <v>1</v>
      </c>
    </row>
    <row r="6" spans="1:11" x14ac:dyDescent="0.25">
      <c r="A6" s="112"/>
      <c r="B6" s="112"/>
      <c r="C6" s="112"/>
      <c r="D6" s="112"/>
      <c r="E6" s="112"/>
      <c r="F6" s="112"/>
      <c r="G6" s="112"/>
      <c r="H6" s="112"/>
      <c r="I6" s="112"/>
      <c r="J6" s="4" t="s">
        <v>6</v>
      </c>
      <c r="K6" s="5"/>
    </row>
    <row r="7" spans="1:11" x14ac:dyDescent="0.25">
      <c r="A7" s="1" t="s">
        <v>50</v>
      </c>
      <c r="J7" s="4"/>
      <c r="K7" s="9" t="s">
        <v>97</v>
      </c>
    </row>
    <row r="8" spans="1:11" x14ac:dyDescent="0.25">
      <c r="A8" s="1" t="s">
        <v>51</v>
      </c>
      <c r="J8" s="4" t="s">
        <v>7</v>
      </c>
      <c r="K8" s="199">
        <v>46283</v>
      </c>
    </row>
    <row r="9" spans="1:11" x14ac:dyDescent="0.25">
      <c r="A9" s="1" t="s">
        <v>52</v>
      </c>
      <c r="E9" s="182"/>
      <c r="F9" s="182"/>
      <c r="G9" s="8"/>
      <c r="H9" s="8"/>
      <c r="I9" s="182"/>
      <c r="J9" s="182"/>
    </row>
    <row r="10" spans="1:11" x14ac:dyDescent="0.25">
      <c r="B10" s="113"/>
      <c r="C10" s="114"/>
      <c r="D10" s="115" t="str">
        <f>2029&amp; " Test Year"</f>
        <v>2029 Test Year</v>
      </c>
      <c r="E10" s="183" t="s">
        <v>14</v>
      </c>
      <c r="F10" s="183"/>
      <c r="G10" s="116"/>
      <c r="H10" s="115" t="str">
        <f>D10</f>
        <v>2029 Test Year</v>
      </c>
      <c r="I10" s="183" t="s">
        <v>13</v>
      </c>
      <c r="J10" s="183"/>
      <c r="K10" s="117" t="s">
        <v>53</v>
      </c>
    </row>
    <row r="11" spans="1:11" x14ac:dyDescent="0.25">
      <c r="A11" s="118" t="s">
        <v>54</v>
      </c>
      <c r="B11" s="187" t="s">
        <v>55</v>
      </c>
      <c r="C11" s="119"/>
      <c r="D11" s="120" t="s">
        <v>56</v>
      </c>
      <c r="E11" s="120" t="s">
        <v>57</v>
      </c>
      <c r="F11" s="57" t="s">
        <v>58</v>
      </c>
      <c r="G11" s="8"/>
      <c r="H11" s="120" t="s">
        <v>56</v>
      </c>
      <c r="I11" s="120" t="s">
        <v>57</v>
      </c>
      <c r="J11" s="57" t="s">
        <v>58</v>
      </c>
      <c r="K11" s="121" t="s">
        <v>59</v>
      </c>
    </row>
    <row r="12" spans="1:11" x14ac:dyDescent="0.25">
      <c r="A12" s="122" t="s">
        <v>60</v>
      </c>
      <c r="B12" s="188"/>
      <c r="C12" s="123"/>
      <c r="D12" s="124"/>
      <c r="E12" s="125"/>
      <c r="F12" s="126"/>
      <c r="H12" s="124"/>
      <c r="I12" s="125"/>
      <c r="J12" s="126"/>
      <c r="K12" s="184"/>
    </row>
    <row r="13" spans="1:11" x14ac:dyDescent="0.25">
      <c r="A13" s="127" t="s">
        <v>85</v>
      </c>
      <c r="B13" s="128"/>
      <c r="C13" s="123"/>
      <c r="D13" s="124">
        <f>'App.2-ZA_Com. Exp. (2029)'!I29</f>
        <v>1590386422.7432392</v>
      </c>
      <c r="E13" s="171"/>
      <c r="F13" s="129">
        <f>D13*'App.2-ZA_Com. Exp. (2029)'!K29</f>
        <v>213168031.32715344</v>
      </c>
      <c r="H13" s="124">
        <f>'App.2-ZA_Com. Exp. (2029)'!H29</f>
        <v>19723801.65449439</v>
      </c>
      <c r="I13" s="130"/>
      <c r="J13" s="126">
        <f>H13*'App.2-ZA_Com. Exp. (2029)'!J29</f>
        <v>1145743.1592547481</v>
      </c>
      <c r="K13" s="184"/>
    </row>
    <row r="14" spans="1:11" x14ac:dyDescent="0.25">
      <c r="A14" s="127" t="s">
        <v>86</v>
      </c>
      <c r="B14" s="128"/>
      <c r="C14" s="123"/>
      <c r="D14" s="124">
        <f>'App.2-ZA_Com. Exp. (2029)'!I30</f>
        <v>14336681.32422233</v>
      </c>
      <c r="E14" s="171"/>
      <c r="F14" s="129">
        <f>D14*'App.2-ZA_Com. Exp. (2029)'!K30</f>
        <v>1921622.3742515177</v>
      </c>
      <c r="H14" s="124">
        <f>'App.2-ZA_Com. Exp. (2029)'!H30</f>
        <v>177801.98244832965</v>
      </c>
      <c r="I14" s="130"/>
      <c r="J14" s="126">
        <f>H14*'App.2-ZA_Com. Exp. (2029)'!J30</f>
        <v>10328.404668665213</v>
      </c>
      <c r="K14" s="184"/>
    </row>
    <row r="15" spans="1:11" x14ac:dyDescent="0.25">
      <c r="A15" s="127" t="s">
        <v>87</v>
      </c>
      <c r="B15" s="128"/>
      <c r="C15" s="123"/>
      <c r="D15" s="124">
        <f>'App.2-ZA_Com. Exp. (2029)'!I31</f>
        <v>318994245.37403762</v>
      </c>
      <c r="E15" s="171"/>
      <c r="F15" s="129">
        <f>D15*'App.2-ZA_Com. Exp. (2029)'!K31</f>
        <v>42756511.448194578</v>
      </c>
      <c r="H15" s="124">
        <f>'App.2-ZA_Com. Exp. (2029)'!H31</f>
        <v>49739313.110504784</v>
      </c>
      <c r="I15" s="130"/>
      <c r="J15" s="126">
        <f>H15*'App.2-ZA_Com. Exp. (2029)'!J31</f>
        <v>2889325.229520604</v>
      </c>
      <c r="K15" s="184"/>
    </row>
    <row r="16" spans="1:11" x14ac:dyDescent="0.25">
      <c r="A16" s="127" t="s">
        <v>88</v>
      </c>
      <c r="B16" s="128"/>
      <c r="C16" s="123"/>
      <c r="D16" s="124">
        <f>'App.2-ZA_Com. Exp. (2029)'!I32</f>
        <v>478533939.53590727</v>
      </c>
      <c r="E16" s="171"/>
      <c r="F16" s="129">
        <f>D16*'App.2-ZA_Com. Exp. (2029)'!K32</f>
        <v>64140473.255640455</v>
      </c>
      <c r="H16" s="124">
        <f>'App.2-ZA_Com. Exp. (2029)'!H32</f>
        <v>820591525.80088961</v>
      </c>
      <c r="I16" s="130"/>
      <c r="J16" s="126">
        <f>H16*'App.2-ZA_Com. Exp. (2029)'!J32</f>
        <v>47667642.561927132</v>
      </c>
      <c r="K16" s="184"/>
    </row>
    <row r="17" spans="1:11" x14ac:dyDescent="0.25">
      <c r="A17" s="127" t="s">
        <v>89</v>
      </c>
      <c r="B17" s="128"/>
      <c r="C17" s="123"/>
      <c r="D17" s="124">
        <f>'App.2-ZA_Com. Exp. (2029)'!I33</f>
        <v>9031126.3148948867</v>
      </c>
      <c r="E17" s="171"/>
      <c r="F17" s="129">
        <f>D17*'App.2-ZA_Com. Exp. (2029)'!K33</f>
        <v>1210490.3498184602</v>
      </c>
      <c r="H17" s="124">
        <f>'App.2-ZA_Com. Exp. (2029)'!H33</f>
        <v>54928696.756354116</v>
      </c>
      <c r="I17" s="130"/>
      <c r="J17" s="126">
        <f>H17*'App.2-ZA_Com. Exp. (2029)'!J33</f>
        <v>3190773.2422887464</v>
      </c>
      <c r="K17" s="184"/>
    </row>
    <row r="18" spans="1:11" x14ac:dyDescent="0.25">
      <c r="A18" s="127" t="s">
        <v>90</v>
      </c>
      <c r="B18" s="128"/>
      <c r="C18" s="123"/>
      <c r="D18" s="124">
        <f>'App.2-ZA_Com. Exp. (2029)'!I34</f>
        <v>0</v>
      </c>
      <c r="E18" s="171"/>
      <c r="F18" s="129">
        <f>D18*'App.2-ZA_Com. Exp. (2029)'!K34</f>
        <v>0</v>
      </c>
      <c r="H18" s="124">
        <f>'App.2-ZA_Com. Exp. (2029)'!H34</f>
        <v>71497570.961936504</v>
      </c>
      <c r="I18" s="130"/>
      <c r="J18" s="126">
        <f>H18*'App.2-ZA_Com. Exp. (2029)'!J34</f>
        <v>4153248.6620956948</v>
      </c>
      <c r="K18" s="184"/>
    </row>
    <row r="19" spans="1:11" x14ac:dyDescent="0.25">
      <c r="A19" s="127" t="s">
        <v>91</v>
      </c>
      <c r="B19" s="128"/>
      <c r="C19" s="123"/>
      <c r="D19" s="124">
        <f>'App.2-ZA_Com. Exp. (2029)'!I35</f>
        <v>0</v>
      </c>
      <c r="E19" s="171"/>
      <c r="F19" s="129">
        <f>D19*'App.2-ZA_Com. Exp. (2029)'!K35</f>
        <v>0</v>
      </c>
      <c r="H19" s="124">
        <f>'App.2-ZA_Com. Exp. (2029)'!H35</f>
        <v>16684897.207780968</v>
      </c>
      <c r="I19" s="130"/>
      <c r="J19" s="126">
        <f>H19*'App.2-ZA_Com. Exp. (2029)'!J35</f>
        <v>969215.12259923096</v>
      </c>
      <c r="K19" s="184"/>
    </row>
    <row r="20" spans="1:11" x14ac:dyDescent="0.25">
      <c r="A20" s="127" t="s">
        <v>92</v>
      </c>
      <c r="B20" s="128"/>
      <c r="C20" s="123"/>
      <c r="D20" s="124">
        <f>'App.2-ZA_Com. Exp. (2029)'!I36</f>
        <v>87998.819065329662</v>
      </c>
      <c r="E20" s="171"/>
      <c r="F20" s="129">
        <f>D20*'App.2-ZA_Com. Exp. (2029)'!K36</f>
        <v>11794.95420170547</v>
      </c>
      <c r="H20" s="124">
        <f>'App.2-ZA_Com. Exp. (2029)'!H36</f>
        <v>0</v>
      </c>
      <c r="I20" s="130"/>
      <c r="J20" s="126">
        <f>H20*'App.2-ZA_Com. Exp. (2029)'!J36</f>
        <v>0</v>
      </c>
      <c r="K20" s="184"/>
    </row>
    <row r="21" spans="1:11" x14ac:dyDescent="0.25">
      <c r="A21" s="127" t="s">
        <v>93</v>
      </c>
      <c r="B21" s="128"/>
      <c r="C21" s="123"/>
      <c r="D21" s="124">
        <f>'App.2-ZA_Com. Exp. (2029)'!I37</f>
        <v>6683834.544820426</v>
      </c>
      <c r="E21" s="171"/>
      <c r="F21" s="129">
        <f>D21*'App.2-ZA_Com. Exp. (2029)'!K37</f>
        <v>895870.2308198812</v>
      </c>
      <c r="H21" s="124">
        <f>'App.2-ZA_Com. Exp. (2029)'!H37</f>
        <v>4241.5965224950141</v>
      </c>
      <c r="I21" s="130"/>
      <c r="J21" s="126">
        <f>H21*'App.2-ZA_Com. Exp. (2029)'!J37</f>
        <v>246.39165841844749</v>
      </c>
      <c r="K21" s="184"/>
    </row>
    <row r="22" spans="1:11" x14ac:dyDescent="0.25">
      <c r="A22" s="127" t="s">
        <v>94</v>
      </c>
      <c r="B22" s="128"/>
      <c r="C22" s="131"/>
      <c r="D22" s="124">
        <v>0</v>
      </c>
      <c r="E22" s="171"/>
      <c r="F22" s="129">
        <v>0</v>
      </c>
      <c r="H22" s="124">
        <f>'App.2-ZA_Com. Exp. (2029)'!H38</f>
        <v>0</v>
      </c>
      <c r="I22" s="130"/>
      <c r="J22" s="126">
        <v>0</v>
      </c>
      <c r="K22" s="184"/>
    </row>
    <row r="23" spans="1:11" x14ac:dyDescent="0.25">
      <c r="A23" s="127" t="s">
        <v>94</v>
      </c>
      <c r="B23" s="132"/>
      <c r="C23" s="123"/>
      <c r="D23" s="124">
        <v>0</v>
      </c>
      <c r="E23" s="171"/>
      <c r="F23" s="129">
        <v>0</v>
      </c>
      <c r="H23" s="124">
        <f>'App.2-ZA_Com. Exp. (2029)'!H39</f>
        <v>0</v>
      </c>
      <c r="I23" s="130"/>
      <c r="J23" s="126">
        <v>0</v>
      </c>
      <c r="K23" s="184"/>
    </row>
    <row r="24" spans="1:11" x14ac:dyDescent="0.25">
      <c r="A24" s="122" t="s">
        <v>61</v>
      </c>
      <c r="B24" s="127"/>
      <c r="C24" s="123"/>
      <c r="D24" s="124"/>
      <c r="E24" s="133"/>
      <c r="F24" s="129">
        <f>SUM(F13:F23)</f>
        <v>324104793.94008005</v>
      </c>
      <c r="G24" s="127"/>
      <c r="H24" s="124"/>
      <c r="I24" s="134"/>
      <c r="J24" s="135">
        <f>SUM(J13:J23)</f>
        <v>60026522.774013236</v>
      </c>
      <c r="K24" s="136">
        <f>F24+J24</f>
        <v>384131316.71409327</v>
      </c>
    </row>
    <row r="25" spans="1:11" ht="7.5" customHeight="1" x14ac:dyDescent="0.25">
      <c r="D25" s="137"/>
      <c r="I25" s="185"/>
      <c r="J25" s="186"/>
    </row>
    <row r="26" spans="1:11" x14ac:dyDescent="0.25">
      <c r="A26" s="118" t="s">
        <v>62</v>
      </c>
      <c r="B26" s="187" t="s">
        <v>55</v>
      </c>
      <c r="C26" s="119"/>
      <c r="D26" s="189" t="s">
        <v>56</v>
      </c>
      <c r="E26" s="190" t="s">
        <v>57</v>
      </c>
      <c r="F26" s="191" t="s">
        <v>58</v>
      </c>
      <c r="G26" s="8"/>
      <c r="H26" s="193" t="s">
        <v>56</v>
      </c>
      <c r="I26" s="190" t="s">
        <v>57</v>
      </c>
      <c r="J26" s="191" t="s">
        <v>58</v>
      </c>
      <c r="K26" s="189" t="s">
        <v>53</v>
      </c>
    </row>
    <row r="27" spans="1:11" x14ac:dyDescent="0.25">
      <c r="A27" s="122" t="s">
        <v>63</v>
      </c>
      <c r="B27" s="188"/>
      <c r="C27" s="119"/>
      <c r="D27" s="185"/>
      <c r="E27" s="186"/>
      <c r="F27" s="192"/>
      <c r="G27" s="8"/>
      <c r="H27" s="194"/>
      <c r="I27" s="186"/>
      <c r="J27" s="192"/>
      <c r="K27" s="195"/>
    </row>
    <row r="28" spans="1:11" x14ac:dyDescent="0.25">
      <c r="A28" s="127" t="str">
        <f>IF(A13="","",A13 &amp; " - Class B")</f>
        <v>Residential - Class B</v>
      </c>
      <c r="B28" s="128"/>
      <c r="C28" s="123"/>
      <c r="D28" s="77"/>
      <c r="E28" s="77"/>
      <c r="F28" s="141">
        <f>D28*E28</f>
        <v>0</v>
      </c>
      <c r="H28" s="142"/>
      <c r="I28" s="77"/>
      <c r="J28" s="126">
        <f>'App.2-ZA_Com. Exp. (2029)'!L55</f>
        <v>1289068.8178146444</v>
      </c>
      <c r="K28" s="184"/>
    </row>
    <row r="29" spans="1:11" x14ac:dyDescent="0.25">
      <c r="A29" s="127" t="str">
        <f t="shared" ref="A29:A38" si="0">IF(A14="","",A14 &amp; " - Class B")</f>
        <v>Residential Seasonal - Class B</v>
      </c>
      <c r="B29" s="128"/>
      <c r="C29" s="123"/>
      <c r="D29" s="77"/>
      <c r="E29" s="77"/>
      <c r="F29" s="141">
        <f t="shared" ref="F29:F38" si="1">D29*E29</f>
        <v>0</v>
      </c>
      <c r="H29" s="142"/>
      <c r="I29" s="77"/>
      <c r="J29" s="126">
        <f>'App.2-ZA_Com. Exp. (2029)'!L56</f>
        <v>11620.42669738274</v>
      </c>
      <c r="K29" s="184"/>
    </row>
    <row r="30" spans="1:11" x14ac:dyDescent="0.25">
      <c r="A30" s="127" t="str">
        <f t="shared" si="0"/>
        <v>GS&lt;50 - Class B</v>
      </c>
      <c r="B30" s="128"/>
      <c r="C30" s="123"/>
      <c r="D30" s="77"/>
      <c r="E30" s="77"/>
      <c r="F30" s="141">
        <f t="shared" si="1"/>
        <v>0</v>
      </c>
      <c r="H30" s="142"/>
      <c r="I30" s="77"/>
      <c r="J30" s="126">
        <f>'App.2-ZA_Com. Exp. (2029)'!L57</f>
        <v>3250762.6406626659</v>
      </c>
      <c r="K30" s="184"/>
    </row>
    <row r="31" spans="1:11" x14ac:dyDescent="0.25">
      <c r="A31" s="127" t="str">
        <f t="shared" si="0"/>
        <v>GS 50 - 2,999 - Class B</v>
      </c>
      <c r="B31" s="128"/>
      <c r="C31" s="123"/>
      <c r="D31" s="77"/>
      <c r="E31" s="77"/>
      <c r="F31" s="141">
        <f t="shared" si="1"/>
        <v>0</v>
      </c>
      <c r="H31" s="142"/>
      <c r="I31" s="77"/>
      <c r="J31" s="126">
        <f>'App.2-ZA_Com. Exp. (2029)'!L58</f>
        <v>53630581.294749096</v>
      </c>
      <c r="K31" s="184"/>
    </row>
    <row r="32" spans="1:11" x14ac:dyDescent="0.25">
      <c r="A32" s="127" t="str">
        <f t="shared" si="0"/>
        <v>GS 3,000 - 4,999 - Class B</v>
      </c>
      <c r="B32" s="128"/>
      <c r="C32" s="123"/>
      <c r="D32" s="77"/>
      <c r="E32" s="77"/>
      <c r="F32" s="141">
        <f t="shared" si="1"/>
        <v>0</v>
      </c>
      <c r="H32" s="142"/>
      <c r="I32" s="77"/>
      <c r="J32" s="126">
        <f>'App.2-ZA_Com. Exp. (2029)'!L59</f>
        <v>3589920.0079249423</v>
      </c>
      <c r="K32" s="184"/>
    </row>
    <row r="33" spans="1:12" x14ac:dyDescent="0.25">
      <c r="A33" s="127" t="str">
        <f t="shared" si="0"/>
        <v>Large Use - Class B</v>
      </c>
      <c r="B33" s="128"/>
      <c r="C33" s="123"/>
      <c r="D33" s="77"/>
      <c r="E33" s="77"/>
      <c r="F33" s="141">
        <f t="shared" si="1"/>
        <v>0</v>
      </c>
      <c r="H33" s="142"/>
      <c r="I33" s="77"/>
      <c r="J33" s="126">
        <f>'App.2-ZA_Com. Exp. (2029)'!L60</f>
        <v>4672795.3814887796</v>
      </c>
      <c r="K33" s="184"/>
    </row>
    <row r="34" spans="1:12" x14ac:dyDescent="0.25">
      <c r="A34" s="127" t="str">
        <f t="shared" si="0"/>
        <v>Street Light - Class B</v>
      </c>
      <c r="B34" s="128"/>
      <c r="C34" s="123"/>
      <c r="D34" s="77"/>
      <c r="E34" s="77"/>
      <c r="F34" s="141">
        <f t="shared" si="1"/>
        <v>0</v>
      </c>
      <c r="H34" s="142"/>
      <c r="I34" s="77"/>
      <c r="J34" s="126">
        <f>'App.2-ZA_Com. Exp. (2029)'!L61</f>
        <v>1090458.1731124907</v>
      </c>
      <c r="K34" s="184"/>
    </row>
    <row r="35" spans="1:12" x14ac:dyDescent="0.25">
      <c r="A35" s="127" t="str">
        <f t="shared" si="0"/>
        <v>Sentinel Light - Class B</v>
      </c>
      <c r="B35" s="128"/>
      <c r="C35" s="123"/>
      <c r="D35" s="77"/>
      <c r="E35" s="77"/>
      <c r="F35" s="141">
        <f t="shared" si="1"/>
        <v>0</v>
      </c>
      <c r="H35" s="142"/>
      <c r="I35" s="77"/>
      <c r="J35" s="126">
        <f>'App.2-ZA_Com. Exp. (2029)'!L62</f>
        <v>0</v>
      </c>
      <c r="K35" s="184"/>
    </row>
    <row r="36" spans="1:12" x14ac:dyDescent="0.25">
      <c r="A36" s="127" t="str">
        <f t="shared" si="0"/>
        <v>USL - Class B</v>
      </c>
      <c r="B36" s="128"/>
      <c r="C36" s="123"/>
      <c r="D36" s="77"/>
      <c r="E36" s="77"/>
      <c r="F36" s="141">
        <f t="shared" si="1"/>
        <v>0</v>
      </c>
      <c r="H36" s="142"/>
      <c r="I36" s="77"/>
      <c r="J36" s="126">
        <f>'App.2-ZA_Com. Exp. (2029)'!L63</f>
        <v>277.21379025596963</v>
      </c>
      <c r="K36" s="184"/>
    </row>
    <row r="37" spans="1:12" x14ac:dyDescent="0.25">
      <c r="A37" s="127" t="str">
        <f t="shared" si="0"/>
        <v/>
      </c>
      <c r="B37" s="128"/>
      <c r="C37" s="123"/>
      <c r="D37" s="77"/>
      <c r="E37" s="77"/>
      <c r="F37" s="141">
        <f t="shared" si="1"/>
        <v>0</v>
      </c>
      <c r="H37" s="142"/>
      <c r="I37" s="77"/>
      <c r="J37" s="126">
        <v>0</v>
      </c>
      <c r="K37" s="184"/>
    </row>
    <row r="38" spans="1:12" x14ac:dyDescent="0.25">
      <c r="A38" s="127" t="str">
        <f t="shared" si="0"/>
        <v/>
      </c>
      <c r="B38" s="128"/>
      <c r="C38" s="123"/>
      <c r="D38" s="77"/>
      <c r="E38" s="77"/>
      <c r="F38" s="141">
        <f t="shared" si="1"/>
        <v>0</v>
      </c>
      <c r="H38" s="142"/>
      <c r="I38" s="77"/>
      <c r="J38" s="126">
        <v>0</v>
      </c>
      <c r="K38" s="184"/>
    </row>
    <row r="39" spans="1:12" x14ac:dyDescent="0.25">
      <c r="A39" s="127" t="s">
        <v>94</v>
      </c>
      <c r="B39" s="128"/>
      <c r="C39" s="123"/>
      <c r="D39" s="77"/>
      <c r="E39" s="77"/>
      <c r="F39" s="141">
        <f>D39*E39</f>
        <v>0</v>
      </c>
      <c r="H39" s="142"/>
      <c r="I39" s="77"/>
      <c r="J39" s="126">
        <f>'App.2-ZA_Com. Exp. (2029)'!L45</f>
        <v>1547.8670701351673</v>
      </c>
      <c r="K39" s="184"/>
    </row>
    <row r="40" spans="1:12" x14ac:dyDescent="0.25">
      <c r="A40" s="127" t="s">
        <v>94</v>
      </c>
      <c r="B40" s="128"/>
      <c r="C40" s="123"/>
      <c r="D40" s="77"/>
      <c r="E40" s="77"/>
      <c r="F40" s="141">
        <f>D40*E40</f>
        <v>0</v>
      </c>
      <c r="H40" s="142"/>
      <c r="I40" s="77"/>
      <c r="J40" s="126">
        <f>'App.2-ZA_Com. Exp. (2029)'!L46</f>
        <v>3299952.860030367</v>
      </c>
      <c r="K40" s="184"/>
    </row>
    <row r="41" spans="1:12" x14ac:dyDescent="0.25">
      <c r="A41" s="127" t="s">
        <v>94</v>
      </c>
      <c r="B41" s="128"/>
      <c r="C41" s="123"/>
      <c r="D41" s="77"/>
      <c r="E41" s="77"/>
      <c r="F41" s="141">
        <f>D41*E41</f>
        <v>0</v>
      </c>
      <c r="H41" s="142"/>
      <c r="I41" s="77"/>
      <c r="J41" s="126">
        <f>'App.2-ZA_Com. Exp. (2029)'!L47</f>
        <v>8980198.30083015</v>
      </c>
      <c r="K41" s="184"/>
      <c r="L41" s="8"/>
    </row>
    <row r="42" spans="1:12" x14ac:dyDescent="0.25">
      <c r="A42" s="127" t="s">
        <v>94</v>
      </c>
      <c r="B42" s="128"/>
      <c r="C42" s="123"/>
      <c r="D42" s="77"/>
      <c r="E42" s="77"/>
      <c r="F42" s="141">
        <f>D42*E42</f>
        <v>0</v>
      </c>
      <c r="H42" s="142"/>
      <c r="I42" s="77"/>
      <c r="J42" s="126">
        <f>'App.2-ZA_Com. Exp. (2029)'!L48</f>
        <v>17337112.481463686</v>
      </c>
      <c r="K42" s="184"/>
    </row>
    <row r="43" spans="1:12" x14ac:dyDescent="0.25">
      <c r="A43" s="127" t="s">
        <v>94</v>
      </c>
      <c r="B43" s="128"/>
      <c r="C43" s="123"/>
      <c r="D43" s="77"/>
      <c r="E43" s="77"/>
      <c r="F43" s="141">
        <f>D43*E43</f>
        <v>0</v>
      </c>
      <c r="H43" s="142"/>
      <c r="I43" s="77"/>
      <c r="J43" s="126">
        <v>0</v>
      </c>
      <c r="K43" s="184"/>
    </row>
    <row r="44" spans="1:12" x14ac:dyDescent="0.25">
      <c r="A44" s="122" t="s">
        <v>61</v>
      </c>
      <c r="B44" s="143"/>
      <c r="C44" s="123"/>
      <c r="D44" s="134"/>
      <c r="E44" s="133"/>
      <c r="F44" s="127">
        <f>SUM(F28:F43)</f>
        <v>0</v>
      </c>
      <c r="G44" s="127"/>
      <c r="H44" s="133"/>
      <c r="I44" s="133"/>
      <c r="J44" s="144">
        <f>SUM(J28:J43)</f>
        <v>97154295.465634599</v>
      </c>
      <c r="K44" s="136">
        <f>F44+J44</f>
        <v>97154295.465634599</v>
      </c>
      <c r="L44" s="145"/>
    </row>
    <row r="45" spans="1:12" ht="8.25" customHeight="1" x14ac:dyDescent="0.25">
      <c r="B45" s="137"/>
      <c r="D45" s="137"/>
    </row>
    <row r="46" spans="1:12" x14ac:dyDescent="0.25">
      <c r="A46" s="118" t="s">
        <v>64</v>
      </c>
      <c r="B46" s="186"/>
      <c r="C46" s="119"/>
      <c r="D46" s="185" t="s">
        <v>65</v>
      </c>
      <c r="E46" s="184" t="s">
        <v>57</v>
      </c>
      <c r="F46" s="191" t="s">
        <v>58</v>
      </c>
      <c r="G46" s="8"/>
      <c r="H46" s="193" t="s">
        <v>56</v>
      </c>
      <c r="I46" s="184" t="s">
        <v>57</v>
      </c>
      <c r="J46" s="191" t="s">
        <v>58</v>
      </c>
      <c r="K46" s="189" t="s">
        <v>53</v>
      </c>
    </row>
    <row r="47" spans="1:12" x14ac:dyDescent="0.25">
      <c r="A47" s="122" t="s">
        <v>63</v>
      </c>
      <c r="B47" s="196"/>
      <c r="C47" s="139"/>
      <c r="D47" s="195"/>
      <c r="E47" s="184"/>
      <c r="F47" s="192"/>
      <c r="G47" s="8"/>
      <c r="H47" s="197"/>
      <c r="I47" s="184"/>
      <c r="J47" s="192"/>
      <c r="K47" s="195"/>
    </row>
    <row r="48" spans="1:12" x14ac:dyDescent="0.25">
      <c r="A48" s="127" t="str">
        <f>IF(A13="","",A13)</f>
        <v>Residential</v>
      </c>
      <c r="B48" s="128"/>
      <c r="C48" s="123"/>
      <c r="D48" s="146">
        <v>1590386422.7432392</v>
      </c>
      <c r="E48" s="147">
        <v>1.4500000000000001E-2</v>
      </c>
      <c r="F48" s="148">
        <f>D48*E48</f>
        <v>23060603.12977697</v>
      </c>
      <c r="H48" s="146">
        <v>19723801.65449439</v>
      </c>
      <c r="I48" s="147">
        <f>E48</f>
        <v>1.4500000000000001E-2</v>
      </c>
      <c r="J48" s="148">
        <f>H48*I48</f>
        <v>285995.12399016868</v>
      </c>
      <c r="K48" s="184"/>
    </row>
    <row r="49" spans="1:11" x14ac:dyDescent="0.25">
      <c r="A49" s="127" t="str">
        <f t="shared" ref="A49:A51" si="2">IF(A14="","",A14)</f>
        <v>Residential Seasonal</v>
      </c>
      <c r="B49" s="128"/>
      <c r="C49" s="131"/>
      <c r="D49" s="146">
        <v>14336681.32422233</v>
      </c>
      <c r="E49" s="147">
        <v>1.46E-2</v>
      </c>
      <c r="F49" s="148">
        <f t="shared" ref="F49:F60" si="3">D49*E49</f>
        <v>209315.54733364601</v>
      </c>
      <c r="H49" s="146">
        <v>177801.98244832965</v>
      </c>
      <c r="I49" s="147">
        <f t="shared" ref="I49:I58" si="4">E49</f>
        <v>1.46E-2</v>
      </c>
      <c r="J49" s="148">
        <f t="shared" ref="J49:J59" si="5">H49*I49</f>
        <v>2595.9089437456128</v>
      </c>
      <c r="K49" s="184"/>
    </row>
    <row r="50" spans="1:11" x14ac:dyDescent="0.25">
      <c r="A50" s="127" t="str">
        <f t="shared" si="2"/>
        <v>GS&lt;50</v>
      </c>
      <c r="B50" s="128"/>
      <c r="C50" s="131"/>
      <c r="D50" s="146">
        <v>318994245.37403762</v>
      </c>
      <c r="E50" s="147">
        <v>1.32E-2</v>
      </c>
      <c r="F50" s="148">
        <f t="shared" si="3"/>
        <v>4210724.0389372967</v>
      </c>
      <c r="H50" s="146">
        <v>49786976.917239211</v>
      </c>
      <c r="I50" s="147">
        <f t="shared" si="4"/>
        <v>1.32E-2</v>
      </c>
      <c r="J50" s="148">
        <f t="shared" si="5"/>
        <v>657188.09530755761</v>
      </c>
      <c r="K50" s="184"/>
    </row>
    <row r="51" spans="1:11" x14ac:dyDescent="0.25">
      <c r="A51" s="127" t="str">
        <f t="shared" si="2"/>
        <v>GS 50 - 2,999</v>
      </c>
      <c r="B51" s="128"/>
      <c r="C51" s="131"/>
      <c r="D51" s="146">
        <v>2189821.1508211209</v>
      </c>
      <c r="E51" s="147">
        <v>6.0796000000000001</v>
      </c>
      <c r="F51" s="148">
        <f t="shared" si="3"/>
        <v>13313236.668532087</v>
      </c>
      <c r="H51" s="146">
        <v>1105361.6973986106</v>
      </c>
      <c r="I51" s="147">
        <f t="shared" si="4"/>
        <v>6.0796000000000001</v>
      </c>
      <c r="J51" s="148">
        <f t="shared" si="5"/>
        <v>6720156.975504593</v>
      </c>
      <c r="K51" s="184"/>
    </row>
    <row r="52" spans="1:11" x14ac:dyDescent="0.25">
      <c r="A52" s="127" t="str">
        <f>A51&amp;" EV"</f>
        <v>GS 50 - 2,999 EV</v>
      </c>
      <c r="B52" s="128"/>
      <c r="C52" s="131"/>
      <c r="D52" s="146"/>
      <c r="E52" s="147">
        <v>1.0371999999999999</v>
      </c>
      <c r="F52" s="148"/>
      <c r="H52" s="146">
        <v>30937.373638579218</v>
      </c>
      <c r="I52" s="147">
        <f t="shared" si="4"/>
        <v>1.0371999999999999</v>
      </c>
      <c r="J52" s="148">
        <f t="shared" si="5"/>
        <v>32088.243937934363</v>
      </c>
      <c r="K52" s="184"/>
    </row>
    <row r="53" spans="1:11" x14ac:dyDescent="0.25">
      <c r="A53" s="127" t="str">
        <f>IF(A17="","",A17)</f>
        <v>GS 3,000 - 4,999</v>
      </c>
      <c r="B53" s="128"/>
      <c r="C53" s="131"/>
      <c r="D53" s="146">
        <v>695918.3641028275</v>
      </c>
      <c r="E53" s="147">
        <v>6.4432999999999998</v>
      </c>
      <c r="F53" s="148">
        <f t="shared" si="3"/>
        <v>4484010.795423748</v>
      </c>
      <c r="H53" s="146">
        <v>18961.463252262267</v>
      </c>
      <c r="I53" s="147">
        <f t="shared" si="4"/>
        <v>6.4432999999999998</v>
      </c>
      <c r="J53" s="148">
        <f t="shared" si="5"/>
        <v>122174.39617330146</v>
      </c>
      <c r="K53" s="184"/>
    </row>
    <row r="54" spans="1:11" x14ac:dyDescent="0.25">
      <c r="A54" s="127" t="str">
        <f>A53&amp;" EV"</f>
        <v>GS 3,000 - 4,999 EV</v>
      </c>
      <c r="B54" s="128"/>
      <c r="C54" s="131"/>
      <c r="D54" s="146"/>
      <c r="E54" s="147">
        <v>1.095361</v>
      </c>
      <c r="F54" s="148"/>
      <c r="H54" s="146"/>
      <c r="I54" s="147">
        <f t="shared" si="4"/>
        <v>1.095361</v>
      </c>
      <c r="J54" s="148">
        <f t="shared" si="5"/>
        <v>0</v>
      </c>
      <c r="K54" s="184"/>
    </row>
    <row r="55" spans="1:11" x14ac:dyDescent="0.25">
      <c r="A55" s="127" t="str">
        <f t="shared" ref="A55:A60" si="6">IF(A18="","",A18)</f>
        <v>Large Use</v>
      </c>
      <c r="B55" s="128"/>
      <c r="C55" s="131"/>
      <c r="D55" s="146">
        <v>1042834.3281894679</v>
      </c>
      <c r="E55" s="147">
        <v>6.8661000000000003</v>
      </c>
      <c r="F55" s="148">
        <f t="shared" si="3"/>
        <v>7160204.7807817059</v>
      </c>
      <c r="H55" s="146">
        <v>0</v>
      </c>
      <c r="I55" s="147">
        <f t="shared" si="4"/>
        <v>6.8661000000000003</v>
      </c>
      <c r="J55" s="148">
        <f t="shared" si="5"/>
        <v>0</v>
      </c>
      <c r="K55" s="184"/>
    </row>
    <row r="56" spans="1:11" x14ac:dyDescent="0.25">
      <c r="A56" s="127" t="str">
        <f t="shared" si="6"/>
        <v>Street Light</v>
      </c>
      <c r="B56" s="128"/>
      <c r="C56" s="123"/>
      <c r="D56" s="146">
        <v>44644.724030707992</v>
      </c>
      <c r="E56" s="147">
        <v>4.1359000000000004</v>
      </c>
      <c r="F56" s="148">
        <f t="shared" si="3"/>
        <v>184646.11411860521</v>
      </c>
      <c r="H56" s="146">
        <v>0</v>
      </c>
      <c r="I56" s="147">
        <f t="shared" si="4"/>
        <v>4.1359000000000004</v>
      </c>
      <c r="J56" s="148">
        <f t="shared" si="5"/>
        <v>0</v>
      </c>
      <c r="K56" s="184"/>
    </row>
    <row r="57" spans="1:11" x14ac:dyDescent="0.25">
      <c r="A57" s="127" t="str">
        <f t="shared" si="6"/>
        <v>Sentinel Light</v>
      </c>
      <c r="B57" s="128"/>
      <c r="C57" s="123"/>
      <c r="D57" s="146">
        <v>0</v>
      </c>
      <c r="E57" s="147">
        <v>3.9403999999999999</v>
      </c>
      <c r="F57" s="148">
        <f t="shared" si="3"/>
        <v>0</v>
      </c>
      <c r="H57" s="146">
        <v>634.86173214226346</v>
      </c>
      <c r="I57" s="147">
        <f t="shared" si="4"/>
        <v>3.9403999999999999</v>
      </c>
      <c r="J57" s="148">
        <f t="shared" si="5"/>
        <v>2501.6091693333747</v>
      </c>
      <c r="K57" s="184"/>
    </row>
    <row r="58" spans="1:11" x14ac:dyDescent="0.25">
      <c r="A58" s="127" t="str">
        <f t="shared" si="6"/>
        <v>USL</v>
      </c>
      <c r="B58" s="128"/>
      <c r="C58" s="123"/>
      <c r="D58" s="146">
        <v>6683834.544820426</v>
      </c>
      <c r="E58" s="147">
        <v>1.32E-2</v>
      </c>
      <c r="F58" s="148">
        <f t="shared" si="3"/>
        <v>88226.615991629616</v>
      </c>
      <c r="H58" s="146">
        <v>4241.5965224950141</v>
      </c>
      <c r="I58" s="147">
        <f t="shared" si="4"/>
        <v>1.32E-2</v>
      </c>
      <c r="J58" s="148">
        <f t="shared" si="5"/>
        <v>55.989074096934189</v>
      </c>
      <c r="K58" s="184"/>
    </row>
    <row r="59" spans="1:11" x14ac:dyDescent="0.25">
      <c r="A59" s="127" t="str">
        <f t="shared" si="6"/>
        <v/>
      </c>
      <c r="B59" s="128"/>
      <c r="C59" s="123"/>
      <c r="D59" s="150"/>
      <c r="E59" s="149"/>
      <c r="F59" s="148">
        <f t="shared" si="3"/>
        <v>0</v>
      </c>
      <c r="H59" s="150"/>
      <c r="I59" s="150"/>
      <c r="J59" s="148">
        <f t="shared" si="5"/>
        <v>0</v>
      </c>
      <c r="K59" s="184"/>
    </row>
    <row r="60" spans="1:11" x14ac:dyDescent="0.25">
      <c r="A60" s="127" t="str">
        <f t="shared" si="6"/>
        <v/>
      </c>
      <c r="B60" s="128"/>
      <c r="C60" s="123"/>
      <c r="D60" s="150"/>
      <c r="E60" s="149"/>
      <c r="F60" s="148">
        <f t="shared" si="3"/>
        <v>0</v>
      </c>
      <c r="H60" s="150"/>
      <c r="I60" s="150"/>
      <c r="J60" s="148">
        <f>H60*I60</f>
        <v>0</v>
      </c>
      <c r="K60" s="184"/>
    </row>
    <row r="61" spans="1:11" x14ac:dyDescent="0.25">
      <c r="A61" s="122" t="s">
        <v>61</v>
      </c>
      <c r="B61" s="143"/>
      <c r="C61" s="123"/>
      <c r="D61" s="144"/>
      <c r="E61" s="151"/>
      <c r="F61" s="144">
        <f>SUM(F48:F60)</f>
        <v>52710967.690895692</v>
      </c>
      <c r="G61" s="127"/>
      <c r="H61" s="124"/>
      <c r="I61" s="127"/>
      <c r="J61" s="144">
        <f>SUM(J48:J60)</f>
        <v>7822756.3421007311</v>
      </c>
      <c r="K61" s="148">
        <f>F61+J61</f>
        <v>60533724.032996424</v>
      </c>
    </row>
    <row r="62" spans="1:11" ht="5.25" customHeight="1" x14ac:dyDescent="0.25"/>
    <row r="63" spans="1:11" x14ac:dyDescent="0.25">
      <c r="A63" s="118" t="s">
        <v>66</v>
      </c>
      <c r="B63" s="190"/>
      <c r="C63" s="119"/>
      <c r="D63" s="189"/>
      <c r="E63" s="184"/>
      <c r="F63" s="191"/>
      <c r="G63" s="8"/>
      <c r="H63" s="193"/>
      <c r="I63" s="184"/>
      <c r="J63" s="191" t="s">
        <v>58</v>
      </c>
      <c r="K63" s="189" t="s">
        <v>53</v>
      </c>
    </row>
    <row r="64" spans="1:11" x14ac:dyDescent="0.25">
      <c r="A64" s="122" t="s">
        <v>63</v>
      </c>
      <c r="B64" s="196"/>
      <c r="C64" s="139"/>
      <c r="D64" s="195"/>
      <c r="E64" s="184"/>
      <c r="F64" s="192"/>
      <c r="G64" s="8"/>
      <c r="H64" s="197"/>
      <c r="I64" s="184"/>
      <c r="J64" s="192"/>
      <c r="K64" s="195"/>
    </row>
    <row r="65" spans="1:11" x14ac:dyDescent="0.25">
      <c r="A65" s="127" t="str">
        <f>IF(A48="","",A48)</f>
        <v>Residential</v>
      </c>
      <c r="B65" s="128"/>
      <c r="C65" s="123"/>
      <c r="D65" s="146">
        <f>D48</f>
        <v>1590386422.7432392</v>
      </c>
      <c r="E65" s="147">
        <v>1.0500000000000001E-2</v>
      </c>
      <c r="F65" s="148">
        <f>D65*E65</f>
        <v>16699057.438804012</v>
      </c>
      <c r="H65" s="146">
        <f t="shared" ref="H65:H70" si="7">H48</f>
        <v>19723801.65449439</v>
      </c>
      <c r="I65" s="147">
        <f>E65</f>
        <v>1.0500000000000001E-2</v>
      </c>
      <c r="J65" s="148">
        <f>H65*I65</f>
        <v>207099.91737219112</v>
      </c>
      <c r="K65" s="184"/>
    </row>
    <row r="66" spans="1:11" x14ac:dyDescent="0.25">
      <c r="A66" s="127" t="str">
        <f>IF(A49="","",A49)</f>
        <v>Residential Seasonal</v>
      </c>
      <c r="B66" s="128"/>
      <c r="C66" s="123"/>
      <c r="D66" s="146">
        <f>D49</f>
        <v>14336681.32422233</v>
      </c>
      <c r="E66" s="147">
        <v>1.2699999999999999E-2</v>
      </c>
      <c r="F66" s="148">
        <f>D66*E66</f>
        <v>182075.85281762358</v>
      </c>
      <c r="H66" s="146">
        <f t="shared" si="7"/>
        <v>177801.98244832965</v>
      </c>
      <c r="I66" s="147">
        <f t="shared" ref="I66:I75" si="8">E66</f>
        <v>1.2699999999999999E-2</v>
      </c>
      <c r="J66" s="148">
        <f t="shared" ref="J66:J74" si="9">H66*I66</f>
        <v>2258.0851770937866</v>
      </c>
      <c r="K66" s="184"/>
    </row>
    <row r="67" spans="1:11" x14ac:dyDescent="0.25">
      <c r="A67" s="127" t="str">
        <f>IF(A50="","",A50)</f>
        <v>GS&lt;50</v>
      </c>
      <c r="B67" s="128"/>
      <c r="C67" s="123"/>
      <c r="D67" s="146">
        <f>D50</f>
        <v>318994245.37403762</v>
      </c>
      <c r="E67" s="147">
        <v>9.7999999999999997E-3</v>
      </c>
      <c r="F67" s="148">
        <f t="shared" ref="F67:F75" si="10">D67*E67</f>
        <v>3126143.6046655686</v>
      </c>
      <c r="H67" s="146">
        <f t="shared" si="7"/>
        <v>49786976.917239211</v>
      </c>
      <c r="I67" s="147">
        <f t="shared" si="8"/>
        <v>9.7999999999999997E-3</v>
      </c>
      <c r="J67" s="148">
        <f t="shared" si="9"/>
        <v>487912.37378894427</v>
      </c>
      <c r="K67" s="184"/>
    </row>
    <row r="68" spans="1:11" x14ac:dyDescent="0.25">
      <c r="A68" s="127" t="str">
        <f>IF(A51="","",A51)</f>
        <v>GS 50 - 2,999</v>
      </c>
      <c r="B68" s="128"/>
      <c r="C68" s="123"/>
      <c r="D68" s="146">
        <f>D51</f>
        <v>2189821.1508211209</v>
      </c>
      <c r="E68" s="147">
        <v>4.3044000000000002</v>
      </c>
      <c r="F68" s="148">
        <f t="shared" si="10"/>
        <v>9425866.1615944337</v>
      </c>
      <c r="H68" s="146">
        <f t="shared" si="7"/>
        <v>1105361.6973986106</v>
      </c>
      <c r="I68" s="147">
        <f t="shared" si="8"/>
        <v>4.3044000000000002</v>
      </c>
      <c r="J68" s="148">
        <f t="shared" si="9"/>
        <v>4757918.8902825797</v>
      </c>
      <c r="K68" s="184"/>
    </row>
    <row r="69" spans="1:11" x14ac:dyDescent="0.25">
      <c r="A69" s="127" t="str">
        <f>A68&amp;" EV"</f>
        <v>GS 50 - 2,999 EV</v>
      </c>
      <c r="B69" s="128"/>
      <c r="C69" s="123"/>
      <c r="D69" s="146"/>
      <c r="E69" s="147">
        <v>0.73099999999999998</v>
      </c>
      <c r="F69" s="148"/>
      <c r="H69" s="146">
        <f t="shared" si="7"/>
        <v>30937.373638579218</v>
      </c>
      <c r="I69" s="147">
        <f t="shared" si="8"/>
        <v>0.73099999999999998</v>
      </c>
      <c r="J69" s="148">
        <f t="shared" si="9"/>
        <v>22615.220129801408</v>
      </c>
      <c r="K69" s="184"/>
    </row>
    <row r="70" spans="1:11" x14ac:dyDescent="0.25">
      <c r="A70" s="127" t="str">
        <f>IF(A53="","",A53)</f>
        <v>GS 3,000 - 4,999</v>
      </c>
      <c r="B70" s="128"/>
      <c r="C70" s="123"/>
      <c r="D70" s="146">
        <f>D53</f>
        <v>695918.3641028275</v>
      </c>
      <c r="E70" s="147">
        <v>3.0413000000000001</v>
      </c>
      <c r="F70" s="148">
        <f t="shared" si="10"/>
        <v>2116496.5207459293</v>
      </c>
      <c r="H70" s="146">
        <f t="shared" si="7"/>
        <v>18961.463252262267</v>
      </c>
      <c r="I70" s="147">
        <f t="shared" si="8"/>
        <v>3.0413000000000001</v>
      </c>
      <c r="J70" s="148">
        <f t="shared" si="9"/>
        <v>57667.498189105238</v>
      </c>
      <c r="K70" s="184"/>
    </row>
    <row r="71" spans="1:11" x14ac:dyDescent="0.25">
      <c r="A71" s="127" t="str">
        <f>A70&amp;" EV"</f>
        <v>GS 3,000 - 4,999 EV</v>
      </c>
      <c r="B71" s="128"/>
      <c r="C71" s="123"/>
      <c r="D71" s="146"/>
      <c r="E71" s="147">
        <v>0.51702100000000006</v>
      </c>
      <c r="F71" s="148"/>
      <c r="H71" s="146"/>
      <c r="I71" s="147">
        <f t="shared" si="8"/>
        <v>0.51702100000000006</v>
      </c>
      <c r="J71" s="148">
        <f t="shared" si="9"/>
        <v>0</v>
      </c>
      <c r="K71" s="184"/>
    </row>
    <row r="72" spans="1:11" x14ac:dyDescent="0.25">
      <c r="A72" s="127" t="str">
        <f t="shared" ref="A72:A77" si="11">IF(A55="","",A55)</f>
        <v>Large Use</v>
      </c>
      <c r="B72" s="128"/>
      <c r="C72" s="133"/>
      <c r="D72" s="146">
        <f>D55</f>
        <v>1042834.3281894679</v>
      </c>
      <c r="E72" s="147">
        <v>4.6989999999999998</v>
      </c>
      <c r="F72" s="148">
        <f t="shared" si="10"/>
        <v>4900278.5081623094</v>
      </c>
      <c r="H72" s="146">
        <f>H55</f>
        <v>0</v>
      </c>
      <c r="I72" s="147">
        <f t="shared" si="8"/>
        <v>4.6989999999999998</v>
      </c>
      <c r="J72" s="148">
        <f t="shared" si="9"/>
        <v>0</v>
      </c>
      <c r="K72" s="184"/>
    </row>
    <row r="73" spans="1:11" x14ac:dyDescent="0.25">
      <c r="A73" s="127" t="str">
        <f t="shared" si="11"/>
        <v>Street Light</v>
      </c>
      <c r="B73" s="128"/>
      <c r="C73" s="152"/>
      <c r="D73" s="146">
        <f>D56</f>
        <v>44644.724030707992</v>
      </c>
      <c r="E73" s="147">
        <v>2.9460000000000002</v>
      </c>
      <c r="F73" s="148">
        <f t="shared" si="10"/>
        <v>131523.35699446575</v>
      </c>
      <c r="H73" s="146">
        <f>H56</f>
        <v>0</v>
      </c>
      <c r="I73" s="147">
        <f t="shared" si="8"/>
        <v>2.9460000000000002</v>
      </c>
      <c r="J73" s="148">
        <f t="shared" si="9"/>
        <v>0</v>
      </c>
      <c r="K73" s="184"/>
    </row>
    <row r="74" spans="1:11" x14ac:dyDescent="0.25">
      <c r="A74" s="127" t="str">
        <f t="shared" si="11"/>
        <v>Sentinel Light</v>
      </c>
      <c r="B74" s="128"/>
      <c r="C74" s="152"/>
      <c r="D74" s="146">
        <f>D57</f>
        <v>0</v>
      </c>
      <c r="E74" s="147">
        <v>2.7892999999999999</v>
      </c>
      <c r="F74" s="148">
        <f t="shared" si="10"/>
        <v>0</v>
      </c>
      <c r="H74" s="146">
        <f>H57</f>
        <v>634.86173214226346</v>
      </c>
      <c r="I74" s="147">
        <f t="shared" si="8"/>
        <v>2.7892999999999999</v>
      </c>
      <c r="J74" s="148">
        <f t="shared" si="9"/>
        <v>1770.8198294644153</v>
      </c>
      <c r="K74" s="184"/>
    </row>
    <row r="75" spans="1:11" x14ac:dyDescent="0.25">
      <c r="A75" s="127" t="str">
        <f t="shared" si="11"/>
        <v>USL</v>
      </c>
      <c r="B75" s="128"/>
      <c r="C75" s="152"/>
      <c r="D75" s="146">
        <f>D58</f>
        <v>6683834.544820426</v>
      </c>
      <c r="E75" s="147">
        <v>9.9000000000000008E-3</v>
      </c>
      <c r="F75" s="148">
        <f t="shared" si="10"/>
        <v>66169.961993722216</v>
      </c>
      <c r="H75" s="146">
        <f>H58</f>
        <v>4241.5965224950141</v>
      </c>
      <c r="I75" s="147">
        <f t="shared" si="8"/>
        <v>9.9000000000000008E-3</v>
      </c>
      <c r="J75" s="148">
        <f>H75*I75</f>
        <v>41.991805572700642</v>
      </c>
      <c r="K75" s="184"/>
    </row>
    <row r="76" spans="1:11" x14ac:dyDescent="0.25">
      <c r="A76" s="127" t="str">
        <f t="shared" si="11"/>
        <v/>
      </c>
      <c r="B76" s="128"/>
      <c r="C76" s="152"/>
      <c r="D76" s="150"/>
      <c r="E76" s="150"/>
      <c r="F76" s="148">
        <f>D76*E76</f>
        <v>0</v>
      </c>
      <c r="H76" s="150"/>
      <c r="I76" s="150"/>
      <c r="J76" s="148">
        <f>H76*I76</f>
        <v>0</v>
      </c>
      <c r="K76" s="184"/>
    </row>
    <row r="77" spans="1:11" x14ac:dyDescent="0.25">
      <c r="A77" s="127" t="str">
        <f t="shared" si="11"/>
        <v/>
      </c>
      <c r="B77" s="128"/>
      <c r="C77" s="152"/>
      <c r="D77" s="150"/>
      <c r="E77" s="150"/>
      <c r="F77" s="148">
        <f t="shared" ref="F77" si="12">D77*E77</f>
        <v>0</v>
      </c>
      <c r="H77" s="150"/>
      <c r="I77" s="150"/>
      <c r="J77" s="148">
        <f>H77*I77</f>
        <v>0</v>
      </c>
      <c r="K77" s="184"/>
    </row>
    <row r="78" spans="1:11" x14ac:dyDescent="0.25">
      <c r="A78" s="122" t="s">
        <v>61</v>
      </c>
      <c r="B78" s="143"/>
      <c r="C78" s="153"/>
      <c r="D78" s="144"/>
      <c r="E78" s="127"/>
      <c r="F78" s="144">
        <f>SUM(F65:F77)</f>
        <v>36647611.405778065</v>
      </c>
      <c r="G78" s="127"/>
      <c r="H78" s="127"/>
      <c r="I78" s="127"/>
      <c r="J78" s="144">
        <f>SUM(J65:J77)</f>
        <v>5537284.7965747528</v>
      </c>
      <c r="K78" s="148">
        <f>F78+J78</f>
        <v>42184896.202352822</v>
      </c>
    </row>
    <row r="79" spans="1:11" ht="7.5" customHeight="1" x14ac:dyDescent="0.25"/>
    <row r="80" spans="1:11" x14ac:dyDescent="0.25">
      <c r="A80" s="118" t="s">
        <v>67</v>
      </c>
      <c r="B80" s="189"/>
      <c r="C80" s="138"/>
      <c r="D80" s="189"/>
      <c r="E80" s="184"/>
      <c r="F80" s="191"/>
      <c r="G80" s="8"/>
      <c r="H80" s="193"/>
      <c r="I80" s="184"/>
      <c r="J80" s="184" t="s">
        <v>58</v>
      </c>
      <c r="K80" s="189" t="s">
        <v>53</v>
      </c>
    </row>
    <row r="81" spans="1:11" x14ac:dyDescent="0.25">
      <c r="A81" s="122" t="s">
        <v>63</v>
      </c>
      <c r="B81" s="195"/>
      <c r="C81" s="8"/>
      <c r="D81" s="195"/>
      <c r="E81" s="184"/>
      <c r="F81" s="192"/>
      <c r="G81" s="8"/>
      <c r="H81" s="197"/>
      <c r="I81" s="184"/>
      <c r="J81" s="184"/>
      <c r="K81" s="195"/>
    </row>
    <row r="82" spans="1:11" x14ac:dyDescent="0.25">
      <c r="A82" s="127" t="str">
        <f>IF(A65="","",A65)</f>
        <v>Residential</v>
      </c>
      <c r="B82" s="128"/>
      <c r="C82" s="123"/>
      <c r="D82" s="146">
        <v>1590386422.7432392</v>
      </c>
      <c r="E82" s="147">
        <f>0.0041*1.03^4</f>
        <v>4.6145861210000003E-3</v>
      </c>
      <c r="F82" s="148">
        <f>D82*E82</f>
        <v>7338975.1134177903</v>
      </c>
      <c r="H82" s="146">
        <v>19723801.65449439</v>
      </c>
      <c r="I82" s="147">
        <f>E82</f>
        <v>4.6145861210000003E-3</v>
      </c>
      <c r="J82" s="148">
        <f>H82*I82</f>
        <v>91017.181368186662</v>
      </c>
      <c r="K82" s="184"/>
    </row>
    <row r="83" spans="1:11" x14ac:dyDescent="0.25">
      <c r="A83" s="127" t="str">
        <f>IF(A66="","",A66)</f>
        <v>Residential Seasonal</v>
      </c>
      <c r="B83" s="128"/>
      <c r="C83" s="123"/>
      <c r="D83" s="146">
        <v>14336681.32422233</v>
      </c>
      <c r="E83" s="147">
        <f>E82</f>
        <v>4.6145861210000003E-3</v>
      </c>
      <c r="F83" s="148">
        <f t="shared" ref="F83:F90" si="13">D83*E83</f>
        <v>66157.850659956268</v>
      </c>
      <c r="H83" s="146">
        <v>177801.98244832965</v>
      </c>
      <c r="I83" s="147">
        <f t="shared" ref="I83:I90" si="14">E83</f>
        <v>4.6145861210000003E-3</v>
      </c>
      <c r="J83" s="148">
        <f t="shared" ref="J83:J90" si="15">H83*I83</f>
        <v>820.48256049234772</v>
      </c>
      <c r="K83" s="184"/>
    </row>
    <row r="84" spans="1:11" x14ac:dyDescent="0.25">
      <c r="A84" s="127" t="str">
        <f>IF(A67="","",A67)</f>
        <v>GS&lt;50</v>
      </c>
      <c r="B84" s="128"/>
      <c r="C84" s="123"/>
      <c r="D84" s="146">
        <v>318994245.37403762</v>
      </c>
      <c r="E84" s="147">
        <f t="shared" ref="E84:E90" si="16">E83</f>
        <v>4.6145861210000003E-3</v>
      </c>
      <c r="F84" s="148">
        <f t="shared" si="13"/>
        <v>1472026.4173819027</v>
      </c>
      <c r="H84" s="146">
        <v>49786976.917239211</v>
      </c>
      <c r="I84" s="147">
        <f t="shared" si="14"/>
        <v>4.6145861210000003E-3</v>
      </c>
      <c r="J84" s="148">
        <f t="shared" si="15"/>
        <v>229746.29268883946</v>
      </c>
      <c r="K84" s="184"/>
    </row>
    <row r="85" spans="1:11" x14ac:dyDescent="0.25">
      <c r="A85" s="127" t="str">
        <f>IF(A68="","",A68)</f>
        <v>GS 50 - 2,999</v>
      </c>
      <c r="B85" s="128"/>
      <c r="C85" s="123"/>
      <c r="D85" s="146">
        <v>478533939.53590727</v>
      </c>
      <c r="E85" s="147">
        <f t="shared" si="16"/>
        <v>4.6145861210000003E-3</v>
      </c>
      <c r="F85" s="148">
        <f>D85*E85</f>
        <v>2208236.0758098508</v>
      </c>
      <c r="H85" s="146">
        <v>922207690.64343309</v>
      </c>
      <c r="I85" s="147">
        <f t="shared" si="14"/>
        <v>4.6145861210000003E-3</v>
      </c>
      <c r="J85" s="148">
        <f t="shared" si="15"/>
        <v>4255606.8099226486</v>
      </c>
      <c r="K85" s="184"/>
    </row>
    <row r="86" spans="1:11" x14ac:dyDescent="0.25">
      <c r="A86" s="127" t="str">
        <f>IF(A70="","",A70)</f>
        <v>GS 3,000 - 4,999</v>
      </c>
      <c r="B86" s="128"/>
      <c r="C86" s="123"/>
      <c r="D86" s="146">
        <v>9031126.3148948867</v>
      </c>
      <c r="E86" s="147">
        <f t="shared" si="16"/>
        <v>4.6145861210000003E-3</v>
      </c>
      <c r="F86" s="148">
        <f t="shared" si="13"/>
        <v>41674.910149711824</v>
      </c>
      <c r="H86" s="146">
        <v>331457892.64537907</v>
      </c>
      <c r="I86" s="147">
        <f t="shared" si="14"/>
        <v>4.6145861210000003E-3</v>
      </c>
      <c r="J86" s="148">
        <f t="shared" si="15"/>
        <v>1529540.9910972742</v>
      </c>
      <c r="K86" s="184"/>
    </row>
    <row r="87" spans="1:11" x14ac:dyDescent="0.25">
      <c r="A87" s="127" t="str">
        <f t="shared" ref="A87" si="17">IF(A72="","",A72)</f>
        <v>Large Use</v>
      </c>
      <c r="B87" s="128"/>
      <c r="C87" s="123"/>
      <c r="D87" s="146">
        <v>0</v>
      </c>
      <c r="E87" s="147">
        <f t="shared" si="16"/>
        <v>4.6145861210000003E-3</v>
      </c>
      <c r="F87" s="148">
        <f t="shared" si="13"/>
        <v>0</v>
      </c>
      <c r="H87" s="146">
        <v>605363039.51106</v>
      </c>
      <c r="I87" s="147">
        <f t="shared" si="14"/>
        <v>4.6145861210000003E-3</v>
      </c>
      <c r="J87" s="148">
        <f t="shared" si="15"/>
        <v>2793499.8802941125</v>
      </c>
      <c r="K87" s="184"/>
    </row>
    <row r="88" spans="1:11" x14ac:dyDescent="0.25">
      <c r="A88" s="127" t="str">
        <f>IF(A73="","",A73)</f>
        <v>Street Light</v>
      </c>
      <c r="B88" s="128"/>
      <c r="C88" s="123"/>
      <c r="D88" s="146">
        <v>0</v>
      </c>
      <c r="E88" s="147">
        <f t="shared" si="16"/>
        <v>4.6145861210000003E-3</v>
      </c>
      <c r="F88" s="148">
        <f t="shared" si="13"/>
        <v>0</v>
      </c>
      <c r="H88" s="146">
        <v>16684897.207780968</v>
      </c>
      <c r="I88" s="147">
        <f t="shared" si="14"/>
        <v>4.6145861210000003E-3</v>
      </c>
      <c r="J88" s="148">
        <f t="shared" si="15"/>
        <v>76993.895085337717</v>
      </c>
      <c r="K88" s="184"/>
    </row>
    <row r="89" spans="1:11" x14ac:dyDescent="0.25">
      <c r="A89" s="127" t="str">
        <f>IF(A74="","",A74)</f>
        <v>Sentinel Light</v>
      </c>
      <c r="B89" s="128"/>
      <c r="C89" s="123"/>
      <c r="D89" s="146">
        <v>87998.819065329662</v>
      </c>
      <c r="E89" s="147">
        <f t="shared" si="16"/>
        <v>4.6145861210000003E-3</v>
      </c>
      <c r="F89" s="148">
        <f t="shared" si="13"/>
        <v>406.07812912326051</v>
      </c>
      <c r="H89" s="146">
        <v>0</v>
      </c>
      <c r="I89" s="147">
        <f t="shared" si="14"/>
        <v>4.6145861210000003E-3</v>
      </c>
      <c r="J89" s="148">
        <f t="shared" si="15"/>
        <v>0</v>
      </c>
      <c r="K89" s="184"/>
    </row>
    <row r="90" spans="1:11" x14ac:dyDescent="0.25">
      <c r="A90" s="127" t="str">
        <f>IF(A75="","",A75)</f>
        <v>USL</v>
      </c>
      <c r="B90" s="128"/>
      <c r="C90" s="123"/>
      <c r="D90" s="146">
        <v>6683834.544820426</v>
      </c>
      <c r="E90" s="147">
        <f t="shared" si="16"/>
        <v>4.6145861210000003E-3</v>
      </c>
      <c r="F90" s="148">
        <f t="shared" si="13"/>
        <v>30843.130125588694</v>
      </c>
      <c r="H90" s="146">
        <v>4241.5965224950141</v>
      </c>
      <c r="I90" s="147">
        <f t="shared" si="14"/>
        <v>4.6145861210000003E-3</v>
      </c>
      <c r="J90" s="148">
        <f t="shared" si="15"/>
        <v>19.573212443587359</v>
      </c>
      <c r="K90" s="184"/>
    </row>
    <row r="91" spans="1:11" x14ac:dyDescent="0.25">
      <c r="A91" s="127" t="str">
        <f>IF(A76="","",A76)</f>
        <v/>
      </c>
      <c r="B91" s="128"/>
      <c r="C91" s="123"/>
      <c r="D91" s="150"/>
      <c r="E91" s="150"/>
      <c r="F91" s="148">
        <f>D91*E91</f>
        <v>0</v>
      </c>
      <c r="H91" s="150"/>
      <c r="I91" s="150"/>
      <c r="J91" s="148">
        <f>H91*I91</f>
        <v>0</v>
      </c>
      <c r="K91" s="184"/>
    </row>
    <row r="92" spans="1:11" x14ac:dyDescent="0.25">
      <c r="A92" s="127" t="str">
        <f>IF(A77="","",A77)</f>
        <v/>
      </c>
      <c r="B92" s="128"/>
      <c r="C92" s="123"/>
      <c r="D92" s="150"/>
      <c r="E92" s="150"/>
      <c r="F92" s="148">
        <f t="shared" ref="F92" si="18">D92*E92</f>
        <v>0</v>
      </c>
      <c r="H92" s="150"/>
      <c r="I92" s="150"/>
      <c r="J92" s="148">
        <f>H92*I92</f>
        <v>0</v>
      </c>
      <c r="K92" s="184"/>
    </row>
    <row r="93" spans="1:11" x14ac:dyDescent="0.25">
      <c r="A93" s="122" t="s">
        <v>61</v>
      </c>
      <c r="B93" s="143"/>
      <c r="C93" s="123"/>
      <c r="D93" s="144"/>
      <c r="E93" s="127"/>
      <c r="F93" s="144">
        <f>SUM(F82:F92)</f>
        <v>11158319.575673925</v>
      </c>
      <c r="G93" s="127"/>
      <c r="H93" s="127"/>
      <c r="I93" s="127"/>
      <c r="J93" s="144">
        <f>SUM(J82:J92)</f>
        <v>8977245.1062293351</v>
      </c>
      <c r="K93" s="148">
        <f>F93+J93</f>
        <v>20135564.681903258</v>
      </c>
    </row>
    <row r="94" spans="1:11" ht="6.75" customHeight="1" x14ac:dyDescent="0.25"/>
    <row r="95" spans="1:11" x14ac:dyDescent="0.25">
      <c r="A95" s="118" t="s">
        <v>68</v>
      </c>
      <c r="B95" s="189"/>
      <c r="C95" s="138"/>
      <c r="D95" s="189"/>
      <c r="E95" s="184"/>
      <c r="F95" s="191"/>
      <c r="G95" s="8"/>
      <c r="H95" s="193"/>
      <c r="I95" s="184"/>
      <c r="J95" s="184" t="s">
        <v>58</v>
      </c>
      <c r="K95" s="189" t="s">
        <v>53</v>
      </c>
    </row>
    <row r="96" spans="1:11" x14ac:dyDescent="0.25">
      <c r="A96" s="122" t="s">
        <v>63</v>
      </c>
      <c r="B96" s="195"/>
      <c r="C96" s="8"/>
      <c r="D96" s="195"/>
      <c r="E96" s="184"/>
      <c r="F96" s="192"/>
      <c r="G96" s="8"/>
      <c r="H96" s="197"/>
      <c r="I96" s="184"/>
      <c r="J96" s="184"/>
      <c r="K96" s="195"/>
    </row>
    <row r="97" spans="1:11" x14ac:dyDescent="0.25">
      <c r="A97" s="127" t="str">
        <f t="shared" ref="A97:A102" si="19">IF(A82="","",A82)</f>
        <v>Residential</v>
      </c>
      <c r="B97" s="128"/>
      <c r="C97" s="123"/>
      <c r="D97" s="150"/>
      <c r="E97" s="150"/>
      <c r="F97" s="148">
        <f>D97*E97</f>
        <v>0</v>
      </c>
      <c r="H97" s="150"/>
      <c r="I97" s="149">
        <v>4.0000000000000002E-4</v>
      </c>
      <c r="J97" s="148">
        <f>H97*I97</f>
        <v>0</v>
      </c>
      <c r="K97" s="184"/>
    </row>
    <row r="98" spans="1:11" x14ac:dyDescent="0.25">
      <c r="A98" s="127" t="str">
        <f t="shared" si="19"/>
        <v>Residential Seasonal</v>
      </c>
      <c r="B98" s="128"/>
      <c r="C98" s="123"/>
      <c r="D98" s="150"/>
      <c r="E98" s="150"/>
      <c r="F98" s="148">
        <f t="shared" ref="F98:F107" si="20">D98*E98</f>
        <v>0</v>
      </c>
      <c r="H98" s="150"/>
      <c r="I98" s="149">
        <f>I97</f>
        <v>4.0000000000000002E-4</v>
      </c>
      <c r="J98" s="148">
        <f t="shared" ref="J98:J105" si="21">H98*I98</f>
        <v>0</v>
      </c>
      <c r="K98" s="184"/>
    </row>
    <row r="99" spans="1:11" x14ac:dyDescent="0.25">
      <c r="A99" s="127" t="str">
        <f t="shared" si="19"/>
        <v>GS&lt;50</v>
      </c>
      <c r="B99" s="128"/>
      <c r="C99" s="123"/>
      <c r="D99" s="150"/>
      <c r="E99" s="150"/>
      <c r="F99" s="148">
        <f t="shared" si="20"/>
        <v>0</v>
      </c>
      <c r="H99" s="146"/>
      <c r="I99" s="149">
        <f t="shared" ref="I99:I105" si="22">I98</f>
        <v>4.0000000000000002E-4</v>
      </c>
      <c r="J99" s="148">
        <f t="shared" si="21"/>
        <v>0</v>
      </c>
      <c r="K99" s="184"/>
    </row>
    <row r="100" spans="1:11" x14ac:dyDescent="0.25">
      <c r="A100" s="127" t="str">
        <f t="shared" si="19"/>
        <v>GS 50 - 2,999</v>
      </c>
      <c r="B100" s="128"/>
      <c r="C100" s="123"/>
      <c r="D100" s="150"/>
      <c r="E100" s="150"/>
      <c r="F100" s="148">
        <f t="shared" si="20"/>
        <v>0</v>
      </c>
      <c r="H100" s="150">
        <v>47663.806734424863</v>
      </c>
      <c r="I100" s="149">
        <f t="shared" si="22"/>
        <v>4.0000000000000002E-4</v>
      </c>
      <c r="J100" s="148">
        <f t="shared" si="21"/>
        <v>19.065522693769946</v>
      </c>
      <c r="K100" s="184"/>
    </row>
    <row r="101" spans="1:11" x14ac:dyDescent="0.25">
      <c r="A101" s="127" t="str">
        <f t="shared" si="19"/>
        <v>GS 3,000 - 4,999</v>
      </c>
      <c r="B101" s="128"/>
      <c r="C101" s="123"/>
      <c r="D101" s="150"/>
      <c r="E101" s="150"/>
      <c r="F101" s="148">
        <f t="shared" si="20"/>
        <v>0</v>
      </c>
      <c r="H101" s="150">
        <v>101616164.8425435</v>
      </c>
      <c r="I101" s="149">
        <f t="shared" si="22"/>
        <v>4.0000000000000002E-4</v>
      </c>
      <c r="J101" s="148">
        <f t="shared" si="21"/>
        <v>40646.465937017398</v>
      </c>
      <c r="K101" s="184"/>
    </row>
    <row r="102" spans="1:11" x14ac:dyDescent="0.25">
      <c r="A102" s="127" t="str">
        <f t="shared" si="19"/>
        <v>Large Use</v>
      </c>
      <c r="B102" s="128"/>
      <c r="C102" s="123"/>
      <c r="D102" s="150"/>
      <c r="E102" s="150"/>
      <c r="F102" s="148">
        <f t="shared" si="20"/>
        <v>0</v>
      </c>
      <c r="H102" s="150">
        <v>276529195.88902497</v>
      </c>
      <c r="I102" s="149">
        <f t="shared" si="22"/>
        <v>4.0000000000000002E-4</v>
      </c>
      <c r="J102" s="148">
        <f t="shared" si="21"/>
        <v>110611.67835561</v>
      </c>
      <c r="K102" s="184"/>
    </row>
    <row r="103" spans="1:11" x14ac:dyDescent="0.25">
      <c r="A103" s="127" t="str">
        <f>IF(A88="","",A88)</f>
        <v>Street Light</v>
      </c>
      <c r="B103" s="128"/>
      <c r="C103" s="123"/>
      <c r="D103" s="150"/>
      <c r="E103" s="150"/>
      <c r="F103" s="148">
        <f t="shared" si="20"/>
        <v>0</v>
      </c>
      <c r="H103" s="150">
        <v>533865468.54912353</v>
      </c>
      <c r="I103" s="149">
        <f t="shared" si="22"/>
        <v>4.0000000000000002E-4</v>
      </c>
      <c r="J103" s="148">
        <f t="shared" si="21"/>
        <v>213546.18741964942</v>
      </c>
      <c r="K103" s="184"/>
    </row>
    <row r="104" spans="1:11" x14ac:dyDescent="0.25">
      <c r="A104" s="127" t="str">
        <f>IF(A89="","",A89)</f>
        <v>Sentinel Light</v>
      </c>
      <c r="B104" s="128"/>
      <c r="C104" s="123"/>
      <c r="D104" s="150"/>
      <c r="E104" s="150"/>
      <c r="F104" s="148">
        <f t="shared" si="20"/>
        <v>0</v>
      </c>
      <c r="H104" s="150"/>
      <c r="I104" s="149">
        <f t="shared" si="22"/>
        <v>4.0000000000000002E-4</v>
      </c>
      <c r="J104" s="148">
        <f t="shared" si="21"/>
        <v>0</v>
      </c>
      <c r="K104" s="184"/>
    </row>
    <row r="105" spans="1:11" x14ac:dyDescent="0.25">
      <c r="A105" s="127" t="str">
        <f>IF(A90="","",A90)</f>
        <v>USL</v>
      </c>
      <c r="B105" s="128"/>
      <c r="C105" s="123"/>
      <c r="D105" s="150"/>
      <c r="E105" s="150"/>
      <c r="F105" s="148">
        <f t="shared" si="20"/>
        <v>0</v>
      </c>
      <c r="H105" s="150"/>
      <c r="I105" s="149">
        <f t="shared" si="22"/>
        <v>4.0000000000000002E-4</v>
      </c>
      <c r="J105" s="148">
        <f t="shared" si="21"/>
        <v>0</v>
      </c>
      <c r="K105" s="184"/>
    </row>
    <row r="106" spans="1:11" x14ac:dyDescent="0.25">
      <c r="A106" s="127" t="str">
        <f>IF(A91="","",A91)</f>
        <v/>
      </c>
      <c r="B106" s="128"/>
      <c r="C106" s="123"/>
      <c r="D106" s="150"/>
      <c r="E106" s="150"/>
      <c r="F106" s="148">
        <f t="shared" si="20"/>
        <v>0</v>
      </c>
      <c r="H106" s="150"/>
      <c r="I106" s="150"/>
      <c r="J106" s="148">
        <f>H106*I106</f>
        <v>0</v>
      </c>
      <c r="K106" s="184"/>
    </row>
    <row r="107" spans="1:11" x14ac:dyDescent="0.25">
      <c r="A107" s="127" t="str">
        <f>IF(A92="","",A92)</f>
        <v/>
      </c>
      <c r="B107" s="128"/>
      <c r="C107" s="123"/>
      <c r="D107" s="150"/>
      <c r="E107" s="150"/>
      <c r="F107" s="148">
        <f t="shared" si="20"/>
        <v>0</v>
      </c>
      <c r="H107" s="150"/>
      <c r="I107" s="150"/>
      <c r="J107" s="148">
        <f>H107*I107</f>
        <v>0</v>
      </c>
      <c r="K107" s="184"/>
    </row>
    <row r="108" spans="1:11" x14ac:dyDescent="0.25">
      <c r="A108" s="122" t="s">
        <v>61</v>
      </c>
      <c r="B108" s="143"/>
      <c r="C108" s="123"/>
      <c r="D108" s="144"/>
      <c r="E108" s="127"/>
      <c r="F108" s="144">
        <f>SUM(F97:F107)</f>
        <v>0</v>
      </c>
      <c r="G108" s="127"/>
      <c r="H108" s="127"/>
      <c r="I108" s="127"/>
      <c r="J108" s="144">
        <f>SUM(J97:J107)</f>
        <v>364823.39723497059</v>
      </c>
      <c r="K108" s="148">
        <f>F108+J108</f>
        <v>364823.39723497059</v>
      </c>
    </row>
    <row r="109" spans="1:11" ht="6.75" customHeight="1" x14ac:dyDescent="0.25">
      <c r="A109" s="122"/>
      <c r="B109" s="140"/>
      <c r="C109" s="123"/>
      <c r="D109" s="154"/>
      <c r="E109" s="153"/>
      <c r="F109" s="144"/>
      <c r="H109" s="125"/>
      <c r="I109" s="153"/>
      <c r="J109" s="144"/>
      <c r="K109" s="155"/>
    </row>
    <row r="110" spans="1:11" x14ac:dyDescent="0.25">
      <c r="A110" s="118" t="s">
        <v>69</v>
      </c>
      <c r="B110" s="189"/>
      <c r="C110" s="138"/>
      <c r="D110" s="189"/>
      <c r="E110" s="184"/>
      <c r="F110" s="191"/>
      <c r="G110" s="8"/>
      <c r="H110" s="193"/>
      <c r="I110" s="184"/>
      <c r="J110" s="184" t="s">
        <v>58</v>
      </c>
      <c r="K110" s="189" t="s">
        <v>53</v>
      </c>
    </row>
    <row r="111" spans="1:11" x14ac:dyDescent="0.25">
      <c r="A111" s="122" t="s">
        <v>63</v>
      </c>
      <c r="B111" s="195"/>
      <c r="C111" s="8"/>
      <c r="D111" s="195"/>
      <c r="E111" s="184"/>
      <c r="F111" s="192"/>
      <c r="G111" s="8"/>
      <c r="H111" s="197"/>
      <c r="I111" s="184"/>
      <c r="J111" s="184"/>
      <c r="K111" s="195"/>
    </row>
    <row r="112" spans="1:11" x14ac:dyDescent="0.25">
      <c r="A112" s="127" t="str">
        <f t="shared" ref="A112:A117" si="23">IF(A97="","",A97)</f>
        <v>Residential</v>
      </c>
      <c r="B112" s="128"/>
      <c r="C112" s="123"/>
      <c r="D112" s="146">
        <v>1590386422.7432392</v>
      </c>
      <c r="E112" s="147">
        <f>I112</f>
        <v>4.0000000000000002E-4</v>
      </c>
      <c r="F112" s="148">
        <f>D112*E112</f>
        <v>636154.56909729575</v>
      </c>
      <c r="H112" s="146">
        <v>19723801.65449439</v>
      </c>
      <c r="I112" s="147">
        <f>I97</f>
        <v>4.0000000000000002E-4</v>
      </c>
      <c r="J112" s="148">
        <f>H112*I112</f>
        <v>7889.5206617977565</v>
      </c>
      <c r="K112" s="184"/>
    </row>
    <row r="113" spans="1:11" x14ac:dyDescent="0.25">
      <c r="A113" s="127" t="str">
        <f t="shared" si="23"/>
        <v>Residential Seasonal</v>
      </c>
      <c r="B113" s="128"/>
      <c r="C113" s="123"/>
      <c r="D113" s="146">
        <v>14336681.32422233</v>
      </c>
      <c r="E113" s="147">
        <f t="shared" ref="E113:E120" si="24">I113</f>
        <v>4.0000000000000002E-4</v>
      </c>
      <c r="F113" s="148">
        <f t="shared" ref="F113:F122" si="25">D113*E113</f>
        <v>5734.6725296889326</v>
      </c>
      <c r="H113" s="146">
        <v>177801.98244832965</v>
      </c>
      <c r="I113" s="147">
        <f t="shared" ref="I113:I120" si="26">I98</f>
        <v>4.0000000000000002E-4</v>
      </c>
      <c r="J113" s="148">
        <f t="shared" ref="J113:J120" si="27">H113*I113</f>
        <v>71.120792979331867</v>
      </c>
      <c r="K113" s="184"/>
    </row>
    <row r="114" spans="1:11" x14ac:dyDescent="0.25">
      <c r="A114" s="127" t="str">
        <f t="shared" si="23"/>
        <v>GS&lt;50</v>
      </c>
      <c r="B114" s="128"/>
      <c r="C114" s="123"/>
      <c r="D114" s="146">
        <v>318994245.37403762</v>
      </c>
      <c r="E114" s="147">
        <f t="shared" si="24"/>
        <v>4.0000000000000002E-4</v>
      </c>
      <c r="F114" s="148">
        <f t="shared" si="25"/>
        <v>127597.69814961505</v>
      </c>
      <c r="H114" s="146">
        <v>49739313.110504784</v>
      </c>
      <c r="I114" s="147">
        <f t="shared" si="26"/>
        <v>4.0000000000000002E-4</v>
      </c>
      <c r="J114" s="148">
        <f t="shared" si="27"/>
        <v>19895.725244201916</v>
      </c>
      <c r="K114" s="184"/>
    </row>
    <row r="115" spans="1:11" x14ac:dyDescent="0.25">
      <c r="A115" s="127" t="str">
        <f t="shared" si="23"/>
        <v>GS 50 - 2,999</v>
      </c>
      <c r="B115" s="128"/>
      <c r="C115" s="123"/>
      <c r="D115" s="146">
        <v>478533939.53590727</v>
      </c>
      <c r="E115" s="147">
        <f t="shared" si="24"/>
        <v>4.0000000000000002E-4</v>
      </c>
      <c r="F115" s="148">
        <f t="shared" si="25"/>
        <v>191413.57581436291</v>
      </c>
      <c r="H115" s="146">
        <v>820591525.80088961</v>
      </c>
      <c r="I115" s="147">
        <f t="shared" si="26"/>
        <v>4.0000000000000002E-4</v>
      </c>
      <c r="J115" s="148">
        <f t="shared" si="27"/>
        <v>328236.61032035586</v>
      </c>
      <c r="K115" s="184"/>
    </row>
    <row r="116" spans="1:11" x14ac:dyDescent="0.25">
      <c r="A116" s="127" t="str">
        <f t="shared" si="23"/>
        <v>GS 3,000 - 4,999</v>
      </c>
      <c r="B116" s="128"/>
      <c r="C116" s="123"/>
      <c r="D116" s="146">
        <v>9031126.3148948867</v>
      </c>
      <c r="E116" s="147">
        <f t="shared" si="24"/>
        <v>4.0000000000000002E-4</v>
      </c>
      <c r="F116" s="148">
        <f t="shared" si="25"/>
        <v>3612.4505259579551</v>
      </c>
      <c r="H116" s="146">
        <v>54928696.756354116</v>
      </c>
      <c r="I116" s="147">
        <f t="shared" si="26"/>
        <v>4.0000000000000002E-4</v>
      </c>
      <c r="J116" s="148">
        <f t="shared" si="27"/>
        <v>21971.478702541648</v>
      </c>
      <c r="K116" s="184"/>
    </row>
    <row r="117" spans="1:11" x14ac:dyDescent="0.25">
      <c r="A117" s="127" t="str">
        <f t="shared" si="23"/>
        <v>Large Use</v>
      </c>
      <c r="B117" s="128"/>
      <c r="C117" s="123"/>
      <c r="D117" s="146">
        <v>0</v>
      </c>
      <c r="E117" s="147">
        <f t="shared" si="24"/>
        <v>4.0000000000000002E-4</v>
      </c>
      <c r="F117" s="148">
        <f t="shared" si="25"/>
        <v>0</v>
      </c>
      <c r="H117" s="146">
        <v>71497570.961936504</v>
      </c>
      <c r="I117" s="147">
        <f t="shared" si="26"/>
        <v>4.0000000000000002E-4</v>
      </c>
      <c r="J117" s="148">
        <f t="shared" si="27"/>
        <v>28599.028384774603</v>
      </c>
      <c r="K117" s="184"/>
    </row>
    <row r="118" spans="1:11" x14ac:dyDescent="0.25">
      <c r="A118" s="127" t="str">
        <f>IF(A103="","",A103)</f>
        <v>Street Light</v>
      </c>
      <c r="B118" s="128"/>
      <c r="C118" s="123"/>
      <c r="D118" s="146">
        <v>0</v>
      </c>
      <c r="E118" s="147">
        <f t="shared" si="24"/>
        <v>4.0000000000000002E-4</v>
      </c>
      <c r="F118" s="148">
        <f t="shared" si="25"/>
        <v>0</v>
      </c>
      <c r="H118" s="146">
        <v>16684897.207780968</v>
      </c>
      <c r="I118" s="147">
        <f t="shared" si="26"/>
        <v>4.0000000000000002E-4</v>
      </c>
      <c r="J118" s="148">
        <f t="shared" si="27"/>
        <v>6673.9588831123874</v>
      </c>
      <c r="K118" s="184"/>
    </row>
    <row r="119" spans="1:11" x14ac:dyDescent="0.25">
      <c r="A119" s="127" t="str">
        <f>IF(A104="","",A104)</f>
        <v>Sentinel Light</v>
      </c>
      <c r="B119" s="128"/>
      <c r="C119" s="123"/>
      <c r="D119" s="146">
        <v>87998.819065329662</v>
      </c>
      <c r="E119" s="147">
        <f t="shared" si="24"/>
        <v>4.0000000000000002E-4</v>
      </c>
      <c r="F119" s="148">
        <f t="shared" si="25"/>
        <v>35.199527626131868</v>
      </c>
      <c r="H119" s="146">
        <v>0</v>
      </c>
      <c r="I119" s="147">
        <f t="shared" si="26"/>
        <v>4.0000000000000002E-4</v>
      </c>
      <c r="J119" s="148">
        <f t="shared" si="27"/>
        <v>0</v>
      </c>
      <c r="K119" s="184"/>
    </row>
    <row r="120" spans="1:11" x14ac:dyDescent="0.25">
      <c r="A120" s="127" t="str">
        <f>IF(A105="","",A105)</f>
        <v>USL</v>
      </c>
      <c r="B120" s="128"/>
      <c r="C120" s="123"/>
      <c r="D120" s="146">
        <v>6683834.544820426</v>
      </c>
      <c r="E120" s="147">
        <f t="shared" si="24"/>
        <v>4.0000000000000002E-4</v>
      </c>
      <c r="F120" s="148">
        <f t="shared" si="25"/>
        <v>2673.5338179281707</v>
      </c>
      <c r="H120" s="146">
        <v>4241.5965224950141</v>
      </c>
      <c r="I120" s="147">
        <f t="shared" si="26"/>
        <v>4.0000000000000002E-4</v>
      </c>
      <c r="J120" s="148">
        <f t="shared" si="27"/>
        <v>1.6966386089980057</v>
      </c>
      <c r="K120" s="184"/>
    </row>
    <row r="121" spans="1:11" x14ac:dyDescent="0.25">
      <c r="A121" s="127" t="str">
        <f>IF(A106="","",A106)</f>
        <v/>
      </c>
      <c r="B121" s="128"/>
      <c r="C121" s="123"/>
      <c r="D121" s="150"/>
      <c r="E121" s="150"/>
      <c r="F121" s="148">
        <f>D121*E121</f>
        <v>0</v>
      </c>
      <c r="H121" s="150"/>
      <c r="I121" s="150"/>
      <c r="J121" s="148">
        <f>H121*I121</f>
        <v>0</v>
      </c>
      <c r="K121" s="184"/>
    </row>
    <row r="122" spans="1:11" x14ac:dyDescent="0.25">
      <c r="A122" s="127" t="str">
        <f>IF(A107="","",A107)</f>
        <v/>
      </c>
      <c r="B122" s="128"/>
      <c r="C122" s="123"/>
      <c r="D122" s="150"/>
      <c r="E122" s="150"/>
      <c r="F122" s="148">
        <f t="shared" si="25"/>
        <v>0</v>
      </c>
      <c r="H122" s="150"/>
      <c r="I122" s="150"/>
      <c r="J122" s="148">
        <f>H122*I122</f>
        <v>0</v>
      </c>
      <c r="K122" s="184"/>
    </row>
    <row r="123" spans="1:11" x14ac:dyDescent="0.25">
      <c r="A123" s="122" t="s">
        <v>61</v>
      </c>
      <c r="B123" s="143"/>
      <c r="C123" s="123"/>
      <c r="D123" s="144"/>
      <c r="E123" s="127"/>
      <c r="F123" s="144">
        <f>SUM(F112:F122)</f>
        <v>967221.69946247502</v>
      </c>
      <c r="G123" s="127"/>
      <c r="H123" s="127"/>
      <c r="I123" s="127"/>
      <c r="J123" s="144">
        <f>SUM(J112:J122)</f>
        <v>413339.13962837256</v>
      </c>
      <c r="K123" s="148">
        <f>F123+J123</f>
        <v>1380560.8390908476</v>
      </c>
    </row>
    <row r="124" spans="1:11" ht="6.75" customHeight="1" x14ac:dyDescent="0.25">
      <c r="A124" s="122"/>
      <c r="B124" s="140"/>
      <c r="C124" s="123"/>
      <c r="D124" s="154"/>
      <c r="E124" s="153"/>
      <c r="F124" s="144"/>
      <c r="H124" s="125"/>
      <c r="I124" s="153"/>
      <c r="J124" s="144"/>
      <c r="K124" s="155"/>
    </row>
    <row r="125" spans="1:11" ht="15" customHeight="1" x14ac:dyDescent="0.25">
      <c r="A125" s="118" t="s">
        <v>70</v>
      </c>
      <c r="B125" s="189"/>
      <c r="C125" s="119"/>
      <c r="D125" s="191"/>
      <c r="E125" s="190"/>
      <c r="F125" s="184"/>
      <c r="G125" s="8"/>
      <c r="H125" s="193"/>
      <c r="I125" s="190"/>
      <c r="J125" s="184" t="s">
        <v>58</v>
      </c>
      <c r="K125" s="189" t="s">
        <v>53</v>
      </c>
    </row>
    <row r="126" spans="1:11" x14ac:dyDescent="0.25">
      <c r="A126" s="122" t="s">
        <v>63</v>
      </c>
      <c r="B126" s="195"/>
      <c r="C126" s="119"/>
      <c r="D126" s="192"/>
      <c r="E126" s="196"/>
      <c r="F126" s="184"/>
      <c r="G126" s="8"/>
      <c r="H126" s="197"/>
      <c r="I126" s="196"/>
      <c r="J126" s="184"/>
      <c r="K126" s="195"/>
    </row>
    <row r="127" spans="1:11" x14ac:dyDescent="0.25">
      <c r="A127" s="127" t="str">
        <f t="shared" ref="A127:A132" si="28">IF(A112="","",A112)</f>
        <v>Residential</v>
      </c>
      <c r="B127" s="128"/>
      <c r="C127" s="123"/>
      <c r="D127" s="146">
        <f>D112</f>
        <v>1590386422.7432392</v>
      </c>
      <c r="E127" s="147">
        <v>1.5E-3</v>
      </c>
      <c r="F127" s="148">
        <f>D127*E127</f>
        <v>2385579.6341148587</v>
      </c>
      <c r="H127" s="146">
        <f>H82</f>
        <v>19723801.65449439</v>
      </c>
      <c r="I127" s="147">
        <f>E127</f>
        <v>1.5E-3</v>
      </c>
      <c r="J127" s="148">
        <f>H127*I127</f>
        <v>29585.702481741584</v>
      </c>
      <c r="K127" s="184"/>
    </row>
    <row r="128" spans="1:11" x14ac:dyDescent="0.25">
      <c r="A128" s="127" t="str">
        <f t="shared" si="28"/>
        <v>Residential Seasonal</v>
      </c>
      <c r="B128" s="128"/>
      <c r="C128" s="123"/>
      <c r="D128" s="146">
        <f t="shared" ref="D128:D135" si="29">D113</f>
        <v>14336681.32422233</v>
      </c>
      <c r="E128" s="147">
        <f>E127</f>
        <v>1.5E-3</v>
      </c>
      <c r="F128" s="148">
        <f t="shared" ref="F128:F136" si="30">D128*E128</f>
        <v>21505.021986333497</v>
      </c>
      <c r="H128" s="146">
        <f t="shared" ref="H128:H135" si="31">H83</f>
        <v>177801.98244832965</v>
      </c>
      <c r="I128" s="147">
        <f t="shared" ref="I128:I135" si="32">E128</f>
        <v>1.5E-3</v>
      </c>
      <c r="J128" s="148">
        <f t="shared" ref="J128:J135" si="33">H128*I128</f>
        <v>266.70297367249447</v>
      </c>
      <c r="K128" s="184"/>
    </row>
    <row r="129" spans="1:11" x14ac:dyDescent="0.25">
      <c r="A129" s="127" t="str">
        <f t="shared" si="28"/>
        <v>GS&lt;50</v>
      </c>
      <c r="B129" s="128"/>
      <c r="C129" s="123"/>
      <c r="D129" s="146">
        <f t="shared" si="29"/>
        <v>318994245.37403762</v>
      </c>
      <c r="E129" s="147">
        <f t="shared" ref="E129:E135" si="34">E128</f>
        <v>1.5E-3</v>
      </c>
      <c r="F129" s="148">
        <f t="shared" si="30"/>
        <v>478491.36806105642</v>
      </c>
      <c r="H129" s="146">
        <f t="shared" si="31"/>
        <v>49786976.917239211</v>
      </c>
      <c r="I129" s="147">
        <f t="shared" si="32"/>
        <v>1.5E-3</v>
      </c>
      <c r="J129" s="148">
        <f t="shared" si="33"/>
        <v>74680.465375858825</v>
      </c>
      <c r="K129" s="184"/>
    </row>
    <row r="130" spans="1:11" x14ac:dyDescent="0.25">
      <c r="A130" s="127" t="str">
        <f t="shared" si="28"/>
        <v>GS 50 - 2,999</v>
      </c>
      <c r="B130" s="128"/>
      <c r="C130" s="123"/>
      <c r="D130" s="146">
        <f t="shared" si="29"/>
        <v>478533939.53590727</v>
      </c>
      <c r="E130" s="147">
        <f t="shared" si="34"/>
        <v>1.5E-3</v>
      </c>
      <c r="F130" s="148">
        <f t="shared" si="30"/>
        <v>717800.90930386097</v>
      </c>
      <c r="H130" s="146">
        <f t="shared" si="31"/>
        <v>922207690.64343309</v>
      </c>
      <c r="I130" s="147">
        <f t="shared" si="32"/>
        <v>1.5E-3</v>
      </c>
      <c r="J130" s="148">
        <f t="shared" si="33"/>
        <v>1383311.5359651498</v>
      </c>
      <c r="K130" s="184"/>
    </row>
    <row r="131" spans="1:11" x14ac:dyDescent="0.25">
      <c r="A131" s="127" t="str">
        <f t="shared" si="28"/>
        <v>GS 3,000 - 4,999</v>
      </c>
      <c r="B131" s="128"/>
      <c r="C131" s="123"/>
      <c r="D131" s="146">
        <f t="shared" si="29"/>
        <v>9031126.3148948867</v>
      </c>
      <c r="E131" s="147">
        <f t="shared" si="34"/>
        <v>1.5E-3</v>
      </c>
      <c r="F131" s="148">
        <f t="shared" si="30"/>
        <v>13546.68947234233</v>
      </c>
      <c r="H131" s="146">
        <f t="shared" si="31"/>
        <v>331457892.64537907</v>
      </c>
      <c r="I131" s="147">
        <f t="shared" si="32"/>
        <v>1.5E-3</v>
      </c>
      <c r="J131" s="148">
        <f t="shared" si="33"/>
        <v>497186.83896806859</v>
      </c>
      <c r="K131" s="184"/>
    </row>
    <row r="132" spans="1:11" x14ac:dyDescent="0.25">
      <c r="A132" s="127" t="str">
        <f t="shared" si="28"/>
        <v>Large Use</v>
      </c>
      <c r="B132" s="128"/>
      <c r="C132" s="123"/>
      <c r="D132" s="146">
        <f t="shared" si="29"/>
        <v>0</v>
      </c>
      <c r="E132" s="147">
        <f t="shared" si="34"/>
        <v>1.5E-3</v>
      </c>
      <c r="F132" s="148">
        <f>D132*E132</f>
        <v>0</v>
      </c>
      <c r="H132" s="146">
        <f t="shared" si="31"/>
        <v>605363039.51106</v>
      </c>
      <c r="I132" s="147">
        <f t="shared" si="32"/>
        <v>1.5E-3</v>
      </c>
      <c r="J132" s="148">
        <f t="shared" si="33"/>
        <v>908044.55926659005</v>
      </c>
      <c r="K132" s="184"/>
    </row>
    <row r="133" spans="1:11" x14ac:dyDescent="0.25">
      <c r="A133" s="127" t="str">
        <f>IF(A118="","",A118)</f>
        <v>Street Light</v>
      </c>
      <c r="B133" s="128"/>
      <c r="C133" s="123"/>
      <c r="D133" s="146">
        <f t="shared" si="29"/>
        <v>0</v>
      </c>
      <c r="E133" s="147">
        <f t="shared" si="34"/>
        <v>1.5E-3</v>
      </c>
      <c r="F133" s="148">
        <f t="shared" si="30"/>
        <v>0</v>
      </c>
      <c r="H133" s="146">
        <f t="shared" si="31"/>
        <v>16684897.207780968</v>
      </c>
      <c r="I133" s="147">
        <f t="shared" si="32"/>
        <v>1.5E-3</v>
      </c>
      <c r="J133" s="148">
        <f t="shared" si="33"/>
        <v>25027.345811671454</v>
      </c>
      <c r="K133" s="184"/>
    </row>
    <row r="134" spans="1:11" x14ac:dyDescent="0.25">
      <c r="A134" s="127" t="str">
        <f>IF(A119="","",A119)</f>
        <v>Sentinel Light</v>
      </c>
      <c r="B134" s="128"/>
      <c r="C134" s="123"/>
      <c r="D134" s="146">
        <f t="shared" si="29"/>
        <v>87998.819065329662</v>
      </c>
      <c r="E134" s="147">
        <f t="shared" si="34"/>
        <v>1.5E-3</v>
      </c>
      <c r="F134" s="148">
        <f t="shared" si="30"/>
        <v>131.99822859799448</v>
      </c>
      <c r="H134" s="146">
        <f t="shared" si="31"/>
        <v>0</v>
      </c>
      <c r="I134" s="147">
        <f t="shared" si="32"/>
        <v>1.5E-3</v>
      </c>
      <c r="J134" s="148">
        <f t="shared" si="33"/>
        <v>0</v>
      </c>
      <c r="K134" s="184"/>
    </row>
    <row r="135" spans="1:11" x14ac:dyDescent="0.25">
      <c r="A135" s="127" t="str">
        <f>IF(A120="","",A120)</f>
        <v>USL</v>
      </c>
      <c r="B135" s="128"/>
      <c r="C135" s="123"/>
      <c r="D135" s="146">
        <f t="shared" si="29"/>
        <v>6683834.544820426</v>
      </c>
      <c r="E135" s="147">
        <f t="shared" si="34"/>
        <v>1.5E-3</v>
      </c>
      <c r="F135" s="148">
        <f t="shared" si="30"/>
        <v>10025.751817230639</v>
      </c>
      <c r="H135" s="146">
        <f t="shared" si="31"/>
        <v>4241.5965224950141</v>
      </c>
      <c r="I135" s="147">
        <f t="shared" si="32"/>
        <v>1.5E-3</v>
      </c>
      <c r="J135" s="148">
        <f t="shared" si="33"/>
        <v>6.3623947837425217</v>
      </c>
      <c r="K135" s="184"/>
    </row>
    <row r="136" spans="1:11" x14ac:dyDescent="0.25">
      <c r="A136" s="127" t="str">
        <f>IF(A121="","",A121)</f>
        <v/>
      </c>
      <c r="B136" s="128"/>
      <c r="C136" s="123"/>
      <c r="D136" s="150"/>
      <c r="E136" s="150"/>
      <c r="F136" s="148">
        <f t="shared" si="30"/>
        <v>0</v>
      </c>
      <c r="H136" s="150"/>
      <c r="I136" s="150"/>
      <c r="J136" s="148">
        <f>H136*I136</f>
        <v>0</v>
      </c>
      <c r="K136" s="184"/>
    </row>
    <row r="137" spans="1:11" x14ac:dyDescent="0.25">
      <c r="A137" s="127" t="str">
        <f>IF(A122="","",A122)</f>
        <v/>
      </c>
      <c r="B137" s="128"/>
      <c r="C137" s="123"/>
      <c r="D137" s="150"/>
      <c r="E137" s="150"/>
      <c r="F137" s="148">
        <f>D137*E137</f>
        <v>0</v>
      </c>
      <c r="H137" s="150"/>
      <c r="I137" s="150"/>
      <c r="J137" s="148">
        <f>H137*I137</f>
        <v>0</v>
      </c>
      <c r="K137" s="184"/>
    </row>
    <row r="138" spans="1:11" x14ac:dyDescent="0.25">
      <c r="A138" s="122" t="s">
        <v>61</v>
      </c>
      <c r="B138" s="143"/>
      <c r="C138" s="131"/>
      <c r="D138" s="144"/>
      <c r="E138" s="127"/>
      <c r="F138" s="144">
        <f>SUM(F127:F137)</f>
        <v>3627081.3729842803</v>
      </c>
      <c r="G138" s="127"/>
      <c r="H138" s="127"/>
      <c r="I138" s="127"/>
      <c r="J138" s="144">
        <f>SUM(J127:J137)</f>
        <v>2918109.5132375364</v>
      </c>
      <c r="K138" s="148">
        <f>F138+J138</f>
        <v>6545190.8862218168</v>
      </c>
    </row>
    <row r="139" spans="1:11" ht="6.75" customHeight="1" x14ac:dyDescent="0.25"/>
    <row r="140" spans="1:11" ht="15.75" customHeight="1" x14ac:dyDescent="0.25">
      <c r="A140" s="118" t="s">
        <v>71</v>
      </c>
      <c r="B140" s="189"/>
      <c r="C140" s="119"/>
      <c r="D140" s="191"/>
      <c r="E140" s="190"/>
      <c r="F140" s="184"/>
      <c r="G140" s="8"/>
      <c r="H140" s="193"/>
      <c r="I140" s="190"/>
      <c r="J140" s="184" t="s">
        <v>58</v>
      </c>
      <c r="K140" s="189" t="s">
        <v>53</v>
      </c>
    </row>
    <row r="141" spans="1:11" x14ac:dyDescent="0.25">
      <c r="A141" s="122" t="s">
        <v>63</v>
      </c>
      <c r="B141" s="195"/>
      <c r="C141" s="119"/>
      <c r="D141" s="192"/>
      <c r="E141" s="196"/>
      <c r="F141" s="184"/>
      <c r="G141" s="8"/>
      <c r="H141" s="197"/>
      <c r="I141" s="196"/>
      <c r="J141" s="184"/>
      <c r="K141" s="195"/>
    </row>
    <row r="142" spans="1:11" x14ac:dyDescent="0.25">
      <c r="A142" s="127" t="str">
        <f t="shared" ref="A142:A147" si="35">IF(A127="","",A127)</f>
        <v>Residential</v>
      </c>
      <c r="B142" s="128"/>
      <c r="C142" s="123"/>
      <c r="D142" s="146">
        <v>1527015288.2796342</v>
      </c>
      <c r="E142" s="147">
        <v>1.6000000000000001E-3</v>
      </c>
      <c r="F142" s="148">
        <f>D142*E142</f>
        <v>2443224.4612474148</v>
      </c>
      <c r="H142" s="146">
        <v>18937879.649058461</v>
      </c>
      <c r="I142" s="147">
        <f>E142</f>
        <v>1.6000000000000001E-3</v>
      </c>
      <c r="J142" s="148">
        <f>H142*I142</f>
        <v>30300.607438493538</v>
      </c>
      <c r="K142" s="184"/>
    </row>
    <row r="143" spans="1:11" x14ac:dyDescent="0.25">
      <c r="A143" s="127" t="str">
        <f t="shared" si="35"/>
        <v>Residential Seasonal</v>
      </c>
      <c r="B143" s="128"/>
      <c r="C143" s="123"/>
      <c r="D143" s="146">
        <v>13765416.537899498</v>
      </c>
      <c r="E143" s="147">
        <v>1.9E-3</v>
      </c>
      <c r="F143" s="148">
        <f t="shared" ref="F143:F152" si="36">D143*E143</f>
        <v>26154.291422009046</v>
      </c>
      <c r="H143" s="146">
        <v>170717.21790526126</v>
      </c>
      <c r="I143" s="147">
        <f t="shared" ref="I143:I150" si="37">E143</f>
        <v>1.9E-3</v>
      </c>
      <c r="J143" s="148">
        <f t="shared" ref="J143:J150" si="38">H143*I143</f>
        <v>324.36271401999642</v>
      </c>
      <c r="K143" s="184"/>
    </row>
    <row r="144" spans="1:11" x14ac:dyDescent="0.25">
      <c r="A144" s="127" t="str">
        <f t="shared" si="35"/>
        <v>GS&lt;50</v>
      </c>
      <c r="B144" s="128"/>
      <c r="C144" s="123"/>
      <c r="D144" s="146">
        <v>306283480.91602266</v>
      </c>
      <c r="E144" s="147">
        <v>1.5E-3</v>
      </c>
      <c r="F144" s="148">
        <f t="shared" si="36"/>
        <v>459425.22137403401</v>
      </c>
      <c r="H144" s="146">
        <v>47803146.343964674</v>
      </c>
      <c r="I144" s="147">
        <f t="shared" si="37"/>
        <v>1.5E-3</v>
      </c>
      <c r="J144" s="148">
        <f t="shared" si="38"/>
        <v>71704.719515947014</v>
      </c>
      <c r="K144" s="184"/>
    </row>
    <row r="145" spans="1:12" x14ac:dyDescent="0.25">
      <c r="A145" s="127" t="str">
        <f t="shared" si="35"/>
        <v>GS 50 - 2,999</v>
      </c>
      <c r="B145" s="128"/>
      <c r="C145" s="123"/>
      <c r="D145" s="146">
        <v>1136299.0710371898</v>
      </c>
      <c r="E145" s="147">
        <v>0.62760000000000005</v>
      </c>
      <c r="F145" s="148">
        <f t="shared" si="36"/>
        <v>713141.2969829404</v>
      </c>
      <c r="H145" s="146">
        <v>2189821.1508211209</v>
      </c>
      <c r="I145" s="147">
        <f t="shared" si="37"/>
        <v>0.62760000000000005</v>
      </c>
      <c r="J145" s="148">
        <f t="shared" si="38"/>
        <v>1374331.7542553355</v>
      </c>
      <c r="K145" s="184"/>
    </row>
    <row r="146" spans="1:12" x14ac:dyDescent="0.25">
      <c r="A146" s="127" t="str">
        <f t="shared" si="35"/>
        <v>GS 3,000 - 4,999</v>
      </c>
      <c r="B146" s="128"/>
      <c r="C146" s="123"/>
      <c r="D146" s="146">
        <v>18961.463252262267</v>
      </c>
      <c r="E146" s="147">
        <v>0.44569999999999999</v>
      </c>
      <c r="F146" s="148">
        <f t="shared" si="36"/>
        <v>8451.1241715332926</v>
      </c>
      <c r="H146" s="146">
        <v>695918.3641028275</v>
      </c>
      <c r="I146" s="147">
        <f t="shared" si="37"/>
        <v>0.44569999999999999</v>
      </c>
      <c r="J146" s="148">
        <f t="shared" si="38"/>
        <v>310170.81488063023</v>
      </c>
      <c r="K146" s="184"/>
    </row>
    <row r="147" spans="1:12" x14ac:dyDescent="0.25">
      <c r="A147" s="127" t="str">
        <f t="shared" si="35"/>
        <v>Large Use</v>
      </c>
      <c r="B147" s="128"/>
      <c r="C147" s="123"/>
      <c r="D147" s="146">
        <v>0</v>
      </c>
      <c r="E147" s="147">
        <v>0.68869999999999998</v>
      </c>
      <c r="F147" s="148">
        <f t="shared" si="36"/>
        <v>0</v>
      </c>
      <c r="H147" s="146">
        <v>1042834.3281894679</v>
      </c>
      <c r="I147" s="147">
        <f t="shared" si="37"/>
        <v>0.68869999999999998</v>
      </c>
      <c r="J147" s="148">
        <f t="shared" si="38"/>
        <v>718200.00182408653</v>
      </c>
      <c r="K147" s="184"/>
    </row>
    <row r="148" spans="1:12" x14ac:dyDescent="0.25">
      <c r="A148" s="127" t="str">
        <f>IF(A133="","",A133)</f>
        <v>Street Light</v>
      </c>
      <c r="B148" s="128"/>
      <c r="C148" s="156"/>
      <c r="D148" s="146">
        <v>0</v>
      </c>
      <c r="E148" s="147">
        <v>0.43180000000000002</v>
      </c>
      <c r="F148" s="148">
        <f t="shared" si="36"/>
        <v>0</v>
      </c>
      <c r="H148" s="146">
        <v>44644.724030707992</v>
      </c>
      <c r="I148" s="147">
        <f t="shared" si="37"/>
        <v>0.43180000000000002</v>
      </c>
      <c r="J148" s="148">
        <f t="shared" si="38"/>
        <v>19277.591836459713</v>
      </c>
      <c r="K148" s="184"/>
    </row>
    <row r="149" spans="1:12" x14ac:dyDescent="0.25">
      <c r="A149" s="127" t="str">
        <f>IF(A134="","",A134)</f>
        <v>Sentinel Light</v>
      </c>
      <c r="B149" s="128"/>
      <c r="C149" s="156"/>
      <c r="D149" s="146">
        <v>634.86173214226346</v>
      </c>
      <c r="E149" s="147">
        <v>0.4088</v>
      </c>
      <c r="F149" s="148">
        <f t="shared" si="36"/>
        <v>259.5314760997573</v>
      </c>
      <c r="H149" s="146">
        <v>0</v>
      </c>
      <c r="I149" s="147">
        <f t="shared" si="37"/>
        <v>0.4088</v>
      </c>
      <c r="J149" s="148">
        <f t="shared" si="38"/>
        <v>0</v>
      </c>
      <c r="K149" s="184"/>
    </row>
    <row r="150" spans="1:12" x14ac:dyDescent="0.25">
      <c r="A150" s="127" t="str">
        <f>IF(A135="","",A135)</f>
        <v>USL</v>
      </c>
      <c r="B150" s="128"/>
      <c r="C150" s="156"/>
      <c r="D150" s="146">
        <v>6417507.9643018972</v>
      </c>
      <c r="E150" s="147">
        <v>1.5E-3</v>
      </c>
      <c r="F150" s="148">
        <f t="shared" si="36"/>
        <v>9626.2619464528452</v>
      </c>
      <c r="H150" s="146">
        <v>4072.5842750792258</v>
      </c>
      <c r="I150" s="147">
        <f t="shared" si="37"/>
        <v>1.5E-3</v>
      </c>
      <c r="J150" s="148">
        <f t="shared" si="38"/>
        <v>6.1088764126188391</v>
      </c>
      <c r="K150" s="184"/>
    </row>
    <row r="151" spans="1:12" ht="14.25" customHeight="1" x14ac:dyDescent="0.25">
      <c r="A151" s="127" t="str">
        <f>IF(A136="","",A136)</f>
        <v/>
      </c>
      <c r="B151" s="128"/>
      <c r="C151" s="123"/>
      <c r="D151" s="150"/>
      <c r="E151" s="150"/>
      <c r="F151" s="148">
        <f>D151*E151</f>
        <v>0</v>
      </c>
      <c r="H151" s="150"/>
      <c r="I151" s="150"/>
      <c r="J151" s="148">
        <f>H151*I151</f>
        <v>0</v>
      </c>
      <c r="K151" s="184"/>
    </row>
    <row r="152" spans="1:12" x14ac:dyDescent="0.25">
      <c r="A152" s="127" t="str">
        <f>IF(A137="","",A137)</f>
        <v/>
      </c>
      <c r="B152" s="128"/>
      <c r="C152" s="123"/>
      <c r="D152" s="150"/>
      <c r="E152" s="150"/>
      <c r="F152" s="148">
        <f t="shared" si="36"/>
        <v>0</v>
      </c>
      <c r="H152" s="150"/>
      <c r="I152" s="150"/>
      <c r="J152" s="148">
        <f>H152*I152</f>
        <v>0</v>
      </c>
      <c r="K152" s="184"/>
    </row>
    <row r="153" spans="1:12" x14ac:dyDescent="0.25">
      <c r="A153" s="122" t="s">
        <v>61</v>
      </c>
      <c r="B153" s="143"/>
      <c r="C153" s="123"/>
      <c r="D153" s="141"/>
      <c r="E153" s="127"/>
      <c r="F153" s="148">
        <f>SUM(F142:F152)</f>
        <v>3660282.188620484</v>
      </c>
      <c r="G153" s="127"/>
      <c r="H153" s="127"/>
      <c r="I153" s="127"/>
      <c r="J153" s="148">
        <f>SUM(J142:J152)</f>
        <v>2524315.9613413857</v>
      </c>
      <c r="K153" s="135">
        <f>F153+J153</f>
        <v>6184598.1499618702</v>
      </c>
    </row>
    <row r="155" spans="1:12" x14ac:dyDescent="0.25">
      <c r="A155" s="118" t="s">
        <v>72</v>
      </c>
      <c r="B155" s="190"/>
      <c r="C155" s="119"/>
      <c r="D155" s="191"/>
      <c r="E155" s="190"/>
      <c r="F155" s="184"/>
      <c r="G155" s="8"/>
      <c r="H155" s="189"/>
      <c r="I155" s="190"/>
      <c r="J155" s="184" t="s">
        <v>58</v>
      </c>
      <c r="K155" s="191" t="s">
        <v>53</v>
      </c>
    </row>
    <row r="156" spans="1:12" x14ac:dyDescent="0.25">
      <c r="A156" s="122" t="s">
        <v>63</v>
      </c>
      <c r="B156" s="196"/>
      <c r="C156" s="119"/>
      <c r="D156" s="192"/>
      <c r="E156" s="196"/>
      <c r="F156" s="184"/>
      <c r="G156" s="8"/>
      <c r="H156" s="195"/>
      <c r="I156" s="196"/>
      <c r="J156" s="184"/>
      <c r="K156" s="182"/>
      <c r="L156" s="131"/>
    </row>
    <row r="157" spans="1:12" x14ac:dyDescent="0.25">
      <c r="A157" s="157" t="str">
        <f>A142</f>
        <v>Residential</v>
      </c>
      <c r="B157" s="143"/>
      <c r="C157" s="123"/>
      <c r="D157" s="146">
        <v>172559.28177601018</v>
      </c>
      <c r="E157" s="158">
        <v>0.43</v>
      </c>
      <c r="F157" s="148">
        <f>D157*E157*12</f>
        <v>890405.8939642125</v>
      </c>
      <c r="H157" s="150">
        <v>2140.0616848333825</v>
      </c>
      <c r="I157" s="159">
        <f>E157</f>
        <v>0.43</v>
      </c>
      <c r="J157" s="148">
        <f>H157*I157*12</f>
        <v>11042.718293740254</v>
      </c>
      <c r="K157" s="182"/>
      <c r="L157" s="131"/>
    </row>
    <row r="158" spans="1:12" x14ac:dyDescent="0.25">
      <c r="A158" s="157" t="str">
        <f t="shared" ref="A158:A159" si="39">A143</f>
        <v>Residential Seasonal</v>
      </c>
      <c r="B158" s="143"/>
      <c r="C158" s="123"/>
      <c r="D158" s="146">
        <v>1520.5238516437241</v>
      </c>
      <c r="E158" s="158">
        <f>E157</f>
        <v>0.43</v>
      </c>
      <c r="F158" s="148">
        <f t="shared" ref="F158:F164" si="40">D158*E158*12</f>
        <v>7845.9030744816155</v>
      </c>
      <c r="H158" s="150">
        <v>18.857373548887811</v>
      </c>
      <c r="I158" s="159">
        <f>E158</f>
        <v>0.43</v>
      </c>
      <c r="J158" s="148">
        <f t="shared" ref="J158:J163" si="41">H158*I158*12</f>
        <v>97.304047512261107</v>
      </c>
      <c r="K158" s="182"/>
      <c r="L158" s="131"/>
    </row>
    <row r="159" spans="1:12" x14ac:dyDescent="0.25">
      <c r="A159" s="157" t="str">
        <f t="shared" si="39"/>
        <v>GS&lt;50</v>
      </c>
      <c r="B159" s="143"/>
      <c r="C159" s="123"/>
      <c r="D159" s="146">
        <v>10755.243061651474</v>
      </c>
      <c r="E159" s="158">
        <f>E158</f>
        <v>0.43</v>
      </c>
      <c r="F159" s="148">
        <f t="shared" si="40"/>
        <v>55497.054198121608</v>
      </c>
      <c r="H159" s="150">
        <v>1678.6228774185909</v>
      </c>
      <c r="I159" s="159">
        <f>E159</f>
        <v>0.43</v>
      </c>
      <c r="J159" s="148">
        <f t="shared" si="41"/>
        <v>8661.6940474799285</v>
      </c>
      <c r="K159" s="182"/>
      <c r="L159" s="131"/>
    </row>
    <row r="160" spans="1:12" x14ac:dyDescent="0.25">
      <c r="A160" s="160"/>
      <c r="B160" s="143"/>
      <c r="C160" s="123"/>
      <c r="D160" s="150"/>
      <c r="E160" s="150"/>
      <c r="F160" s="148">
        <f t="shared" si="40"/>
        <v>0</v>
      </c>
      <c r="H160" s="150"/>
      <c r="I160" s="150"/>
      <c r="J160" s="148">
        <f t="shared" si="41"/>
        <v>0</v>
      </c>
      <c r="K160" s="182"/>
      <c r="L160" s="131"/>
    </row>
    <row r="161" spans="1:12" x14ac:dyDescent="0.25">
      <c r="A161" s="160"/>
      <c r="B161" s="143"/>
      <c r="C161" s="123"/>
      <c r="D161" s="150"/>
      <c r="E161" s="150"/>
      <c r="F161" s="148">
        <f t="shared" si="40"/>
        <v>0</v>
      </c>
      <c r="H161" s="150"/>
      <c r="I161" s="150"/>
      <c r="J161" s="148">
        <f t="shared" si="41"/>
        <v>0</v>
      </c>
      <c r="K161" s="182"/>
      <c r="L161" s="131"/>
    </row>
    <row r="162" spans="1:12" x14ac:dyDescent="0.25">
      <c r="A162" s="160"/>
      <c r="B162" s="143"/>
      <c r="C162" s="123"/>
      <c r="D162" s="150"/>
      <c r="E162" s="150"/>
      <c r="F162" s="148">
        <f t="shared" si="40"/>
        <v>0</v>
      </c>
      <c r="H162" s="150"/>
      <c r="I162" s="150"/>
      <c r="J162" s="148">
        <f t="shared" si="41"/>
        <v>0</v>
      </c>
      <c r="K162" s="182"/>
      <c r="L162" s="131"/>
    </row>
    <row r="163" spans="1:12" x14ac:dyDescent="0.25">
      <c r="A163" s="160"/>
      <c r="B163" s="143"/>
      <c r="C163" s="123"/>
      <c r="D163" s="150"/>
      <c r="E163" s="150"/>
      <c r="F163" s="148">
        <f t="shared" si="40"/>
        <v>0</v>
      </c>
      <c r="H163" s="150"/>
      <c r="I163" s="150"/>
      <c r="J163" s="148">
        <f t="shared" si="41"/>
        <v>0</v>
      </c>
      <c r="K163" s="182"/>
      <c r="L163" s="131"/>
    </row>
    <row r="164" spans="1:12" x14ac:dyDescent="0.25">
      <c r="A164" s="160"/>
      <c r="B164" s="143"/>
      <c r="C164" s="123"/>
      <c r="D164" s="150"/>
      <c r="E164" s="150"/>
      <c r="F164" s="148">
        <f t="shared" si="40"/>
        <v>0</v>
      </c>
      <c r="H164" s="150"/>
      <c r="I164" s="150"/>
      <c r="J164" s="148">
        <f>H164*I164*12</f>
        <v>0</v>
      </c>
      <c r="K164" s="161"/>
      <c r="L164" s="131"/>
    </row>
    <row r="165" spans="1:12" x14ac:dyDescent="0.25">
      <c r="A165" s="122" t="s">
        <v>61</v>
      </c>
      <c r="B165" s="143"/>
      <c r="C165" s="123"/>
      <c r="D165" s="127"/>
      <c r="E165" s="127"/>
      <c r="F165" s="148">
        <f>SUM(F157:F164)</f>
        <v>953748.8512368158</v>
      </c>
      <c r="G165" s="127"/>
      <c r="H165" s="127"/>
      <c r="I165" s="127"/>
      <c r="J165" s="148">
        <f>SUM(J157:J164)</f>
        <v>19801.716388732442</v>
      </c>
      <c r="K165" s="148">
        <f>F165+J165</f>
        <v>973550.56762554822</v>
      </c>
    </row>
    <row r="166" spans="1:12" x14ac:dyDescent="0.25">
      <c r="A166" s="127"/>
      <c r="B166" s="127"/>
      <c r="C166" s="123"/>
      <c r="D166" s="127"/>
      <c r="E166" s="127"/>
      <c r="F166" s="127"/>
      <c r="G166" s="127"/>
      <c r="H166" s="127"/>
      <c r="I166" s="127"/>
      <c r="J166" s="127"/>
    </row>
    <row r="167" spans="1:12" x14ac:dyDescent="0.25">
      <c r="A167" s="122" t="s">
        <v>73</v>
      </c>
      <c r="B167" s="127"/>
      <c r="C167" s="123"/>
      <c r="D167" s="127"/>
      <c r="E167" s="127"/>
      <c r="F167" s="148">
        <f>SUM(F24+F61+F78+F93+F138+F153+F165+F123)</f>
        <v>433830026.7247318</v>
      </c>
      <c r="G167" s="127"/>
      <c r="H167" s="127"/>
      <c r="I167" s="127"/>
      <c r="J167" s="148">
        <f>J24+J44+J61+J78+J93+J108+J123+J138+J153+J165</f>
        <v>185758494.21238366</v>
      </c>
      <c r="K167" s="135">
        <f>+F167+J167</f>
        <v>619588520.93711543</v>
      </c>
    </row>
    <row r="168" spans="1:12" ht="15.75" thickBot="1" x14ac:dyDescent="0.3">
      <c r="A168" s="122" t="s">
        <v>74</v>
      </c>
      <c r="B168" s="162">
        <v>0.23499999999999999</v>
      </c>
      <c r="C168" s="123"/>
      <c r="D168" s="150"/>
      <c r="E168" s="150"/>
      <c r="F168" s="163">
        <f>-F167*B168</f>
        <v>-101950056.28031197</v>
      </c>
      <c r="G168" s="127"/>
      <c r="H168" s="150"/>
      <c r="I168" s="150"/>
      <c r="J168" s="127">
        <v>0</v>
      </c>
      <c r="K168" s="135">
        <f>+F168+J168</f>
        <v>-101950056.28031197</v>
      </c>
    </row>
    <row r="169" spans="1:12" ht="15.75" thickBot="1" x14ac:dyDescent="0.3">
      <c r="A169" s="122" t="s">
        <v>38</v>
      </c>
      <c r="B169" s="164"/>
      <c r="C169" s="165"/>
      <c r="D169" s="122"/>
      <c r="E169" s="122"/>
      <c r="F169" s="166">
        <f>+F167+F168</f>
        <v>331879970.44441986</v>
      </c>
      <c r="G169" s="122"/>
      <c r="H169" s="122"/>
      <c r="I169" s="122"/>
      <c r="J169" s="166">
        <f>+J167+J168</f>
        <v>185758494.21238366</v>
      </c>
      <c r="K169" s="166">
        <f>+K167+K168</f>
        <v>517638464.65680349</v>
      </c>
    </row>
    <row r="170" spans="1:12" ht="15.75" thickTop="1" x14ac:dyDescent="0.25">
      <c r="A170" s="165"/>
      <c r="B170" s="167"/>
      <c r="C170" s="116"/>
      <c r="D170" s="116"/>
      <c r="E170" s="116"/>
      <c r="F170" s="168"/>
      <c r="G170" s="116"/>
      <c r="H170" s="116"/>
      <c r="I170" s="116"/>
      <c r="J170" s="168"/>
      <c r="K170" s="168"/>
    </row>
    <row r="171" spans="1:12" x14ac:dyDescent="0.25">
      <c r="A171" s="123" t="s">
        <v>75</v>
      </c>
    </row>
    <row r="172" spans="1:12" x14ac:dyDescent="0.25">
      <c r="A172" s="123" t="s">
        <v>76</v>
      </c>
    </row>
    <row r="173" spans="1:12" x14ac:dyDescent="0.25">
      <c r="A173" s="116"/>
    </row>
    <row r="174" spans="1:12" x14ac:dyDescent="0.25">
      <c r="D174" s="198" t="str">
        <f>D10 &amp; " - Cop"</f>
        <v>2029 Test Year - Cop</v>
      </c>
      <c r="E174" s="198"/>
    </row>
    <row r="175" spans="1:12" x14ac:dyDescent="0.25">
      <c r="B175" s="1" t="str">
        <f>LEFT(D175,4)</f>
        <v>4705</v>
      </c>
      <c r="D175" s="127" t="s">
        <v>77</v>
      </c>
      <c r="E175" s="169">
        <f>K24</f>
        <v>384131316.71409327</v>
      </c>
    </row>
    <row r="176" spans="1:12" x14ac:dyDescent="0.25">
      <c r="B176" s="1" t="str">
        <f t="shared" ref="B176:B181" si="42">LEFT(D176,4)</f>
        <v>4707</v>
      </c>
      <c r="D176" s="127" t="s">
        <v>78</v>
      </c>
      <c r="E176" s="136">
        <f>K44</f>
        <v>97154295.465634599</v>
      </c>
    </row>
    <row r="177" spans="2:5" x14ac:dyDescent="0.25">
      <c r="B177" s="1" t="str">
        <f t="shared" si="42"/>
        <v>4708</v>
      </c>
      <c r="D177" s="127" t="s">
        <v>79</v>
      </c>
      <c r="E177" s="136">
        <f>(K93+K108+K123+K138)</f>
        <v>28426139.804450892</v>
      </c>
    </row>
    <row r="178" spans="2:5" x14ac:dyDescent="0.25">
      <c r="B178" s="1" t="str">
        <f t="shared" si="42"/>
        <v>4714</v>
      </c>
      <c r="D178" s="127" t="s">
        <v>80</v>
      </c>
      <c r="E178" s="136">
        <f>K61</f>
        <v>60533724.032996424</v>
      </c>
    </row>
    <row r="179" spans="2:5" x14ac:dyDescent="0.25">
      <c r="B179" s="1" t="str">
        <f t="shared" si="42"/>
        <v>4716</v>
      </c>
      <c r="D179" s="127" t="s">
        <v>81</v>
      </c>
      <c r="E179" s="136">
        <f>K78</f>
        <v>42184896.202352822</v>
      </c>
    </row>
    <row r="180" spans="2:5" x14ac:dyDescent="0.25">
      <c r="B180" s="1" t="str">
        <f t="shared" si="42"/>
        <v>4750</v>
      </c>
      <c r="D180" s="127" t="s">
        <v>82</v>
      </c>
      <c r="E180" s="136">
        <f>K153</f>
        <v>6184598.1499618702</v>
      </c>
    </row>
    <row r="181" spans="2:5" x14ac:dyDescent="0.25">
      <c r="B181" s="1" t="str">
        <f t="shared" si="42"/>
        <v>4751</v>
      </c>
      <c r="D181" s="127" t="s">
        <v>83</v>
      </c>
      <c r="E181" s="136">
        <f>K165</f>
        <v>973550.56762554822</v>
      </c>
    </row>
    <row r="182" spans="2:5" x14ac:dyDescent="0.25">
      <c r="D182" s="127" t="s">
        <v>84</v>
      </c>
      <c r="E182" s="136">
        <f>+K168</f>
        <v>-101950056.28031197</v>
      </c>
    </row>
    <row r="183" spans="2:5" x14ac:dyDescent="0.25">
      <c r="D183" s="122" t="s">
        <v>38</v>
      </c>
      <c r="E183" s="170">
        <f>SUM(E175:E182)</f>
        <v>517638464.65680337</v>
      </c>
    </row>
    <row r="184" spans="2:5" x14ac:dyDescent="0.25">
      <c r="E184" s="111">
        <f>+E183-K169</f>
        <v>0</v>
      </c>
    </row>
  </sheetData>
  <mergeCells count="90">
    <mergeCell ref="K157:K163"/>
    <mergeCell ref="D174:E174"/>
    <mergeCell ref="K142:K152"/>
    <mergeCell ref="B155:B156"/>
    <mergeCell ref="D155:D156"/>
    <mergeCell ref="E155:E156"/>
    <mergeCell ref="F155:F156"/>
    <mergeCell ref="H155:H156"/>
    <mergeCell ref="I155:I156"/>
    <mergeCell ref="J155:J156"/>
    <mergeCell ref="K155:K156"/>
    <mergeCell ref="K127:K137"/>
    <mergeCell ref="B140:B141"/>
    <mergeCell ref="D140:D141"/>
    <mergeCell ref="E140:E141"/>
    <mergeCell ref="F140:F141"/>
    <mergeCell ref="H140:H141"/>
    <mergeCell ref="I140:I141"/>
    <mergeCell ref="J140:J141"/>
    <mergeCell ref="K140:K141"/>
    <mergeCell ref="K112:K122"/>
    <mergeCell ref="B125:B126"/>
    <mergeCell ref="D125:D126"/>
    <mergeCell ref="E125:E126"/>
    <mergeCell ref="F125:F126"/>
    <mergeCell ref="H125:H126"/>
    <mergeCell ref="I125:I126"/>
    <mergeCell ref="J125:J126"/>
    <mergeCell ref="K125:K126"/>
    <mergeCell ref="K97:K107"/>
    <mergeCell ref="B110:B111"/>
    <mergeCell ref="D110:D111"/>
    <mergeCell ref="E110:E111"/>
    <mergeCell ref="F110:F111"/>
    <mergeCell ref="H110:H111"/>
    <mergeCell ref="I110:I111"/>
    <mergeCell ref="J110:J111"/>
    <mergeCell ref="K110:K111"/>
    <mergeCell ref="K82:K92"/>
    <mergeCell ref="B95:B96"/>
    <mergeCell ref="D95:D96"/>
    <mergeCell ref="E95:E96"/>
    <mergeCell ref="F95:F96"/>
    <mergeCell ref="H95:H96"/>
    <mergeCell ref="I95:I96"/>
    <mergeCell ref="J95:J96"/>
    <mergeCell ref="K95:K96"/>
    <mergeCell ref="K65:K77"/>
    <mergeCell ref="B80:B81"/>
    <mergeCell ref="D80:D81"/>
    <mergeCell ref="E80:E81"/>
    <mergeCell ref="F80:F81"/>
    <mergeCell ref="H80:H81"/>
    <mergeCell ref="I80:I81"/>
    <mergeCell ref="J80:J81"/>
    <mergeCell ref="K80:K81"/>
    <mergeCell ref="K48:K60"/>
    <mergeCell ref="B63:B64"/>
    <mergeCell ref="D63:D64"/>
    <mergeCell ref="E63:E64"/>
    <mergeCell ref="F63:F64"/>
    <mergeCell ref="H63:H64"/>
    <mergeCell ref="I63:I64"/>
    <mergeCell ref="J63:J64"/>
    <mergeCell ref="K63:K64"/>
    <mergeCell ref="K28:K43"/>
    <mergeCell ref="B46:B47"/>
    <mergeCell ref="D46:D47"/>
    <mergeCell ref="E46:E47"/>
    <mergeCell ref="F46:F47"/>
    <mergeCell ref="H46:H47"/>
    <mergeCell ref="I46:I47"/>
    <mergeCell ref="J46:J47"/>
    <mergeCell ref="K46:K47"/>
    <mergeCell ref="K12:K23"/>
    <mergeCell ref="I25:J25"/>
    <mergeCell ref="B26:B27"/>
    <mergeCell ref="D26:D27"/>
    <mergeCell ref="E26:E27"/>
    <mergeCell ref="F26:F27"/>
    <mergeCell ref="H26:H27"/>
    <mergeCell ref="I26:I27"/>
    <mergeCell ref="J26:J27"/>
    <mergeCell ref="K26:K27"/>
    <mergeCell ref="B11:B12"/>
    <mergeCell ref="A1:J1"/>
    <mergeCell ref="E9:F9"/>
    <mergeCell ref="I9:J9"/>
    <mergeCell ref="E10:F10"/>
    <mergeCell ref="I10:J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B5960-E55C-4F04-A2B1-22E8C62398D5}">
  <sheetPr codeName="Sheet8"/>
  <dimension ref="A1:AA72"/>
  <sheetViews>
    <sheetView workbookViewId="0">
      <selection activeCell="K20" sqref="K20"/>
    </sheetView>
  </sheetViews>
  <sheetFormatPr defaultColWidth="9.28515625" defaultRowHeight="15" outlineLevelRow="1" x14ac:dyDescent="0.25"/>
  <cols>
    <col min="1" max="1" width="9.28515625" style="1"/>
    <col min="2" max="2" width="43.28515625" style="1" customWidth="1"/>
    <col min="3" max="3" width="7.28515625" style="1" customWidth="1"/>
    <col min="4" max="4" width="10.28515625" style="1" customWidth="1"/>
    <col min="5" max="5" width="7.5703125" style="1" customWidth="1"/>
    <col min="6" max="6" width="20.28515625" style="1" customWidth="1"/>
    <col min="7" max="7" width="14.5703125" style="1" customWidth="1"/>
    <col min="8" max="10" width="17.42578125" style="1" customWidth="1"/>
    <col min="11" max="11" width="21.28515625" style="1" customWidth="1"/>
    <col min="12" max="12" width="16.5703125" style="1" customWidth="1"/>
    <col min="13" max="13" width="12.42578125" style="1" bestFit="1" customWidth="1"/>
    <col min="14" max="14" width="12" style="1" bestFit="1" customWidth="1"/>
    <col min="15" max="16384" width="9.28515625" style="1"/>
  </cols>
  <sheetData>
    <row r="1" spans="1:27" x14ac:dyDescent="0.25">
      <c r="B1" s="2"/>
    </row>
    <row r="2" spans="1:27" x14ac:dyDescent="0.25">
      <c r="A2" s="3"/>
      <c r="B2" s="3"/>
      <c r="C2" s="3"/>
      <c r="D2" s="3"/>
      <c r="E2" s="3"/>
      <c r="K2" s="4" t="s">
        <v>1</v>
      </c>
      <c r="L2" s="5" t="s">
        <v>96</v>
      </c>
    </row>
    <row r="3" spans="1:27" ht="18" x14ac:dyDescent="0.25">
      <c r="A3" s="3"/>
      <c r="C3" s="6"/>
      <c r="D3" s="6"/>
      <c r="E3" s="6"/>
      <c r="F3" s="6"/>
      <c r="G3" s="6"/>
      <c r="H3" s="6"/>
      <c r="I3" s="6"/>
      <c r="J3" s="6"/>
      <c r="K3" s="4" t="s">
        <v>2</v>
      </c>
      <c r="L3" s="7" t="s">
        <v>98</v>
      </c>
    </row>
    <row r="4" spans="1:27" x14ac:dyDescent="0.25">
      <c r="B4" s="174" t="s">
        <v>3</v>
      </c>
      <c r="C4" s="174"/>
      <c r="D4" s="174"/>
      <c r="E4" s="174"/>
      <c r="F4" s="174"/>
      <c r="G4" s="174"/>
      <c r="H4" s="174"/>
      <c r="I4" s="174"/>
      <c r="K4" s="4" t="s">
        <v>4</v>
      </c>
      <c r="L4" s="7">
        <v>3</v>
      </c>
    </row>
    <row r="5" spans="1:27" ht="18" customHeight="1" x14ac:dyDescent="0.25">
      <c r="B5" s="174"/>
      <c r="C5" s="174"/>
      <c r="D5" s="174"/>
      <c r="E5" s="174"/>
      <c r="F5" s="174"/>
      <c r="G5" s="174"/>
      <c r="H5" s="174"/>
      <c r="I5" s="174"/>
      <c r="J5" s="6"/>
      <c r="K5" s="4" t="s">
        <v>5</v>
      </c>
      <c r="L5" s="7">
        <v>1</v>
      </c>
    </row>
    <row r="6" spans="1:27" ht="15" customHeight="1" x14ac:dyDescent="0.25">
      <c r="B6" s="174"/>
      <c r="C6" s="174"/>
      <c r="D6" s="174"/>
      <c r="E6" s="174"/>
      <c r="F6" s="174"/>
      <c r="G6" s="174"/>
      <c r="H6" s="174"/>
      <c r="I6" s="174"/>
      <c r="J6" s="6"/>
      <c r="K6" s="4" t="s">
        <v>6</v>
      </c>
      <c r="L6" s="5"/>
    </row>
    <row r="7" spans="1:27" x14ac:dyDescent="0.25">
      <c r="B7" s="8"/>
      <c r="K7" s="4"/>
      <c r="L7" s="9" t="s">
        <v>97</v>
      </c>
    </row>
    <row r="8" spans="1:27" x14ac:dyDescent="0.25">
      <c r="B8" s="8"/>
      <c r="K8" s="4" t="s">
        <v>7</v>
      </c>
      <c r="L8" s="199">
        <v>46283</v>
      </c>
    </row>
    <row r="9" spans="1:27" x14ac:dyDescent="0.25">
      <c r="B9" s="8"/>
    </row>
    <row r="10" spans="1:27" ht="15.75" thickBot="1" x14ac:dyDescent="0.3">
      <c r="A10" s="10"/>
      <c r="B10" s="11"/>
      <c r="C10" s="12"/>
      <c r="D10" s="13"/>
      <c r="E10" s="13"/>
      <c r="F10" s="13"/>
      <c r="G10" s="10"/>
      <c r="H10" s="10"/>
      <c r="I10" s="10"/>
      <c r="J10" s="10"/>
      <c r="K10" s="10"/>
      <c r="L10" s="13"/>
      <c r="Q10" s="14"/>
      <c r="R10" s="14"/>
      <c r="S10" s="14"/>
      <c r="T10" s="14"/>
      <c r="U10" s="14"/>
      <c r="V10" s="14"/>
      <c r="Y10" s="15"/>
      <c r="Z10" s="15"/>
      <c r="AA10" s="15"/>
    </row>
    <row r="11" spans="1:27" ht="15.75" x14ac:dyDescent="0.25">
      <c r="A11" s="16"/>
      <c r="B11" s="17"/>
      <c r="C11" s="14"/>
      <c r="D11" s="14"/>
      <c r="E11" s="14"/>
      <c r="F11" s="14"/>
      <c r="G11" s="15"/>
      <c r="H11" s="14"/>
      <c r="I11" s="14"/>
      <c r="J11" s="14"/>
      <c r="K11" s="14"/>
      <c r="L11" s="18"/>
      <c r="M11" s="19"/>
      <c r="N11" s="17"/>
      <c r="O11" s="14"/>
      <c r="P11" s="14"/>
      <c r="Q11" s="14"/>
      <c r="R11" s="14"/>
      <c r="S11" s="14"/>
      <c r="T11" s="14"/>
      <c r="U11" s="14"/>
      <c r="V11" s="14"/>
      <c r="Y11" s="15"/>
      <c r="Z11" s="15"/>
      <c r="AA11" s="15"/>
    </row>
    <row r="12" spans="1:27" ht="15.75" x14ac:dyDescent="0.25">
      <c r="A12" s="18" t="s">
        <v>8</v>
      </c>
      <c r="B12" s="19" t="s">
        <v>9</v>
      </c>
      <c r="C12" s="17"/>
      <c r="D12" s="14"/>
      <c r="E12" s="14"/>
      <c r="F12" s="14"/>
      <c r="G12" s="15"/>
      <c r="H12" s="14"/>
      <c r="I12" s="14"/>
      <c r="J12" s="14"/>
      <c r="K12" s="14"/>
      <c r="L12" s="18"/>
      <c r="M12" s="19"/>
      <c r="N12" s="17"/>
      <c r="O12" s="14"/>
      <c r="P12" s="14"/>
      <c r="Q12" s="14"/>
      <c r="R12" s="14"/>
      <c r="S12" s="14"/>
      <c r="T12" s="14"/>
      <c r="U12" s="14"/>
      <c r="V12" s="14"/>
      <c r="Y12" s="15"/>
      <c r="Z12" s="15"/>
      <c r="AA12" s="15"/>
    </row>
    <row r="13" spans="1:27" ht="16.5" thickBot="1" x14ac:dyDescent="0.3">
      <c r="A13" s="16"/>
      <c r="B13" s="17"/>
      <c r="C13" s="14"/>
      <c r="D13" s="14"/>
      <c r="E13" s="14"/>
      <c r="F13" s="14"/>
      <c r="G13" s="15"/>
      <c r="H13" s="14"/>
      <c r="I13" s="14"/>
      <c r="J13" s="14"/>
      <c r="K13" s="14"/>
      <c r="L13" s="18"/>
      <c r="M13" s="19"/>
      <c r="N13" s="17"/>
      <c r="O13" s="14"/>
      <c r="P13" s="14"/>
      <c r="Q13" s="14"/>
      <c r="R13" s="14"/>
      <c r="S13" s="14"/>
      <c r="T13" s="14"/>
      <c r="U13" s="14"/>
      <c r="V13" s="14"/>
      <c r="Y13" s="15"/>
      <c r="Z13" s="15"/>
      <c r="AA13" s="15"/>
    </row>
    <row r="14" spans="1:27" ht="15.75" thickBot="1" x14ac:dyDescent="0.3">
      <c r="A14" s="15"/>
      <c r="B14" s="15" t="s">
        <v>10</v>
      </c>
      <c r="C14" s="15"/>
      <c r="D14" s="15"/>
      <c r="E14" s="15"/>
      <c r="F14" s="15"/>
      <c r="G14" s="20"/>
      <c r="H14" s="21"/>
      <c r="J14" s="22"/>
      <c r="K14" s="22"/>
      <c r="N14" s="23"/>
      <c r="O14" s="23"/>
      <c r="P14" s="15"/>
    </row>
    <row r="15" spans="1:27" x14ac:dyDescent="0.25">
      <c r="A15" s="18"/>
      <c r="B15" s="24" t="s">
        <v>11</v>
      </c>
      <c r="C15" s="15" t="s">
        <v>12</v>
      </c>
      <c r="D15" s="15"/>
      <c r="E15" s="15"/>
      <c r="F15" s="15"/>
      <c r="G15" s="25" t="s">
        <v>13</v>
      </c>
      <c r="H15" s="26" t="s">
        <v>14</v>
      </c>
      <c r="J15" s="27"/>
      <c r="K15" s="27"/>
      <c r="N15" s="23"/>
      <c r="O15" s="23"/>
      <c r="P15" s="15"/>
    </row>
    <row r="16" spans="1:27" ht="15.75" thickBot="1" x14ac:dyDescent="0.3">
      <c r="A16" s="15"/>
      <c r="B16" s="28"/>
      <c r="C16" s="15"/>
      <c r="D16" s="15"/>
      <c r="E16" s="15"/>
      <c r="F16" s="15"/>
      <c r="G16" s="29"/>
      <c r="H16" s="30"/>
      <c r="J16" s="27"/>
      <c r="K16" s="27"/>
      <c r="N16" s="23"/>
      <c r="O16" s="23"/>
      <c r="P16" s="15"/>
    </row>
    <row r="17" spans="1:16" ht="29.25" customHeight="1" x14ac:dyDescent="0.25">
      <c r="A17" s="15"/>
      <c r="B17" s="31" t="s">
        <v>15</v>
      </c>
      <c r="C17" s="175" t="s">
        <v>16</v>
      </c>
      <c r="D17" s="176"/>
      <c r="E17" s="177"/>
      <c r="F17" s="32"/>
      <c r="G17" s="33">
        <v>59.8320483396</v>
      </c>
      <c r="H17" s="34">
        <f>G17</f>
        <v>59.8320483396</v>
      </c>
      <c r="J17" s="35"/>
      <c r="K17" s="35"/>
      <c r="N17" s="15"/>
      <c r="O17" s="15"/>
      <c r="P17" s="15"/>
    </row>
    <row r="18" spans="1:16" ht="32.25" customHeight="1" x14ac:dyDescent="0.25">
      <c r="A18" s="15"/>
      <c r="B18" s="31" t="s">
        <v>17</v>
      </c>
      <c r="C18" s="175" t="s">
        <v>18</v>
      </c>
      <c r="D18" s="176"/>
      <c r="E18" s="177"/>
      <c r="F18" s="36"/>
      <c r="G18" s="37">
        <v>67.316681926100017</v>
      </c>
      <c r="H18" s="38">
        <f>G18</f>
        <v>67.316681926100017</v>
      </c>
      <c r="J18" s="35"/>
      <c r="K18" s="35"/>
      <c r="N18" s="15"/>
      <c r="O18" s="15"/>
      <c r="P18" s="15"/>
    </row>
    <row r="19" spans="1:16" x14ac:dyDescent="0.25">
      <c r="A19" s="15"/>
      <c r="B19" s="31" t="s">
        <v>19</v>
      </c>
      <c r="C19" s="178"/>
      <c r="D19" s="179"/>
      <c r="E19" s="180"/>
      <c r="F19" s="36"/>
      <c r="G19" s="39"/>
      <c r="H19" s="38">
        <v>10.59</v>
      </c>
      <c r="J19" s="40"/>
      <c r="K19" s="35"/>
      <c r="N19" s="15"/>
      <c r="O19" s="15"/>
      <c r="P19" s="15"/>
    </row>
    <row r="20" spans="1:16" ht="40.9" customHeight="1" x14ac:dyDescent="0.25">
      <c r="A20" s="15"/>
      <c r="B20" s="41" t="s">
        <v>20</v>
      </c>
      <c r="C20" s="175" t="s">
        <v>21</v>
      </c>
      <c r="D20" s="176"/>
      <c r="E20" s="177"/>
      <c r="F20" s="36"/>
      <c r="G20" s="42"/>
      <c r="H20" s="43">
        <f>SUM(H17:H19)</f>
        <v>137.73873026570001</v>
      </c>
      <c r="J20" s="44"/>
      <c r="K20" s="44"/>
      <c r="N20" s="15"/>
      <c r="O20" s="15"/>
      <c r="P20" s="15"/>
    </row>
    <row r="21" spans="1:16" ht="15.75" thickBo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5"/>
      <c r="N21" s="15"/>
      <c r="O21" s="15"/>
      <c r="P21" s="15"/>
    </row>
    <row r="22" spans="1:16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5.75" customHeight="1" outlineLevel="1" x14ac:dyDescent="0.25">
      <c r="A23" s="18" t="s">
        <v>22</v>
      </c>
      <c r="B23" s="19" t="s">
        <v>23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5" customHeight="1" outlineLevel="1" x14ac:dyDescent="0.25">
      <c r="A24" s="15"/>
      <c r="B24" s="45" t="s">
        <v>24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5" customHeight="1" outlineLevel="1" x14ac:dyDescent="0.25">
      <c r="A25" s="15"/>
      <c r="B25" s="4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5" customHeight="1" outlineLevel="1" x14ac:dyDescent="0.25">
      <c r="A26" s="15"/>
      <c r="B26" s="46" t="s">
        <v>0</v>
      </c>
      <c r="E26" s="47"/>
      <c r="F26" s="48"/>
      <c r="G26" s="173" t="str">
        <f>2030&amp; " Test Year"</f>
        <v>2030 Test Year</v>
      </c>
      <c r="H26" s="173"/>
      <c r="I26" s="173"/>
      <c r="J26" s="173"/>
      <c r="K26" s="173"/>
      <c r="L26" s="173"/>
      <c r="M26" s="15"/>
      <c r="N26" s="15"/>
      <c r="O26" s="15"/>
      <c r="P26" s="15"/>
    </row>
    <row r="27" spans="1:16" ht="15" customHeight="1" outlineLevel="1" x14ac:dyDescent="0.25">
      <c r="A27" s="15"/>
      <c r="B27" s="49" t="s">
        <v>25</v>
      </c>
      <c r="C27" s="50"/>
      <c r="D27" s="50" t="s">
        <v>26</v>
      </c>
      <c r="E27" s="51" t="s">
        <v>27</v>
      </c>
      <c r="F27" s="52"/>
      <c r="G27" s="52"/>
      <c r="H27" s="52"/>
      <c r="I27" s="52"/>
      <c r="J27" s="52"/>
      <c r="K27" s="52"/>
      <c r="L27" s="52"/>
      <c r="M27" s="15"/>
      <c r="N27" s="15"/>
      <c r="O27" s="15"/>
      <c r="P27" s="15"/>
    </row>
    <row r="28" spans="1:16" ht="42.75" customHeight="1" outlineLevel="1" x14ac:dyDescent="0.25">
      <c r="A28" s="15"/>
      <c r="B28" s="53" t="s">
        <v>28</v>
      </c>
      <c r="C28" s="54" t="s">
        <v>29</v>
      </c>
      <c r="D28" s="54" t="s">
        <v>30</v>
      </c>
      <c r="E28" s="55" t="s">
        <v>30</v>
      </c>
      <c r="F28" s="56" t="s">
        <v>31</v>
      </c>
      <c r="G28" s="56"/>
      <c r="H28" s="56" t="s">
        <v>32</v>
      </c>
      <c r="I28" s="56" t="s">
        <v>33</v>
      </c>
      <c r="J28" s="56" t="s">
        <v>34</v>
      </c>
      <c r="K28" s="56" t="s">
        <v>35</v>
      </c>
      <c r="L28" s="57" t="s">
        <v>36</v>
      </c>
      <c r="M28" s="15"/>
      <c r="N28" s="15"/>
      <c r="O28" s="15"/>
      <c r="P28" s="15"/>
    </row>
    <row r="29" spans="1:16" ht="15" customHeight="1" outlineLevel="1" x14ac:dyDescent="0.25">
      <c r="A29" s="15"/>
      <c r="B29" s="58" t="s">
        <v>85</v>
      </c>
      <c r="C29" s="59" t="s">
        <v>37</v>
      </c>
      <c r="D29" s="59">
        <v>4006</v>
      </c>
      <c r="E29" s="60">
        <v>4705</v>
      </c>
      <c r="F29" s="61">
        <v>0</v>
      </c>
      <c r="G29" s="62"/>
      <c r="H29" s="61">
        <v>20132916.285727102</v>
      </c>
      <c r="I29" s="61">
        <v>1623374503.1475997</v>
      </c>
      <c r="J29" s="63">
        <f t="shared" ref="J29:J39" si="0">+$G$17/1000</f>
        <v>5.98320483396E-2</v>
      </c>
      <c r="K29" s="63">
        <f t="shared" ref="K29:K39" si="1">+$H$20/1000</f>
        <v>0.13773873026570002</v>
      </c>
      <c r="L29" s="64">
        <f t="shared" ref="L29:L39" si="2">(+F29+H29)*J29+(I29*K29)</f>
        <v>224806136.42968678</v>
      </c>
      <c r="M29" s="15"/>
      <c r="N29" s="15"/>
      <c r="O29" s="15"/>
      <c r="P29" s="15"/>
    </row>
    <row r="30" spans="1:16" ht="15" customHeight="1" outlineLevel="1" x14ac:dyDescent="0.25">
      <c r="A30" s="15"/>
      <c r="B30" s="58" t="s">
        <v>86</v>
      </c>
      <c r="C30" s="59" t="s">
        <v>37</v>
      </c>
      <c r="D30" s="59">
        <v>4010</v>
      </c>
      <c r="E30" s="60">
        <v>4705</v>
      </c>
      <c r="F30" s="61">
        <v>0</v>
      </c>
      <c r="G30" s="62"/>
      <c r="H30" s="61">
        <v>183620.99924189661</v>
      </c>
      <c r="I30" s="61">
        <v>14805885.256827027</v>
      </c>
      <c r="J30" s="63">
        <f t="shared" si="0"/>
        <v>5.98320483396E-2</v>
      </c>
      <c r="K30" s="63">
        <f t="shared" si="1"/>
        <v>0.13773873026570002</v>
      </c>
      <c r="L30" s="64">
        <f t="shared" si="2"/>
        <v>2050330.2562378093</v>
      </c>
      <c r="M30" s="15"/>
      <c r="N30" s="15"/>
      <c r="O30" s="15"/>
      <c r="P30" s="15"/>
    </row>
    <row r="31" spans="1:16" ht="15" customHeight="1" outlineLevel="1" x14ac:dyDescent="0.25">
      <c r="A31" s="15"/>
      <c r="B31" s="58" t="s">
        <v>87</v>
      </c>
      <c r="C31" s="59" t="s">
        <v>37</v>
      </c>
      <c r="D31" s="59">
        <v>4035</v>
      </c>
      <c r="E31" s="60">
        <v>4705</v>
      </c>
      <c r="F31" s="61">
        <v>47834.207365003036</v>
      </c>
      <c r="G31" s="62"/>
      <c r="H31" s="61">
        <v>49917133.786175527</v>
      </c>
      <c r="I31" s="61">
        <v>320134666.67662919</v>
      </c>
      <c r="J31" s="63">
        <f t="shared" si="0"/>
        <v>5.98320483396E-2</v>
      </c>
      <c r="K31" s="63">
        <f t="shared" si="1"/>
        <v>0.13773873026570002</v>
      </c>
      <c r="L31" s="64">
        <f t="shared" si="2"/>
        <v>47084448.882348098</v>
      </c>
      <c r="M31" s="15"/>
      <c r="N31" s="15"/>
      <c r="O31" s="15"/>
      <c r="P31" s="15"/>
    </row>
    <row r="32" spans="1:16" ht="15" customHeight="1" outlineLevel="1" x14ac:dyDescent="0.25">
      <c r="A32" s="15"/>
      <c r="B32" s="58" t="s">
        <v>88</v>
      </c>
      <c r="C32" s="59" t="s">
        <v>37</v>
      </c>
      <c r="D32" s="59">
        <v>4010</v>
      </c>
      <c r="E32" s="60">
        <v>4705</v>
      </c>
      <c r="F32" s="61">
        <v>102116010.23196109</v>
      </c>
      <c r="G32" s="62"/>
      <c r="H32" s="61">
        <v>824627978.97152722</v>
      </c>
      <c r="I32" s="61">
        <v>480887826.67313093</v>
      </c>
      <c r="J32" s="63">
        <f t="shared" si="0"/>
        <v>5.98320483396E-2</v>
      </c>
      <c r="K32" s="63">
        <f t="shared" si="1"/>
        <v>0.13773873026570002</v>
      </c>
      <c r="L32" s="64">
        <f t="shared" si="2"/>
        <v>121685869.80664594</v>
      </c>
      <c r="M32" s="15"/>
      <c r="N32" s="15"/>
      <c r="O32" s="15"/>
      <c r="P32" s="15"/>
    </row>
    <row r="33" spans="1:16" ht="15" customHeight="1" outlineLevel="1" x14ac:dyDescent="0.25">
      <c r="A33" s="15"/>
      <c r="B33" s="58" t="s">
        <v>89</v>
      </c>
      <c r="C33" s="59" t="s">
        <v>37</v>
      </c>
      <c r="D33" s="59">
        <v>4025</v>
      </c>
      <c r="E33" s="60">
        <v>4705</v>
      </c>
      <c r="F33" s="61">
        <v>286164466.18915588</v>
      </c>
      <c r="G33" s="62"/>
      <c r="H33" s="61">
        <v>56842609.819963478</v>
      </c>
      <c r="I33" s="61">
        <v>9345803.1897141319</v>
      </c>
      <c r="J33" s="63">
        <f t="shared" si="0"/>
        <v>5.98320483396E-2</v>
      </c>
      <c r="K33" s="63">
        <f t="shared" si="1"/>
        <v>0.13773873026570002</v>
      </c>
      <c r="L33" s="64">
        <f t="shared" si="2"/>
        <v>21810095.017266832</v>
      </c>
      <c r="M33" s="15"/>
      <c r="N33" s="15"/>
      <c r="O33" s="15"/>
      <c r="P33" s="15"/>
    </row>
    <row r="34" spans="1:16" ht="15" customHeight="1" outlineLevel="1" x14ac:dyDescent="0.25">
      <c r="A34" s="15"/>
      <c r="B34" s="58" t="s">
        <v>90</v>
      </c>
      <c r="C34" s="59" t="s">
        <v>37</v>
      </c>
      <c r="D34" s="59">
        <v>4025</v>
      </c>
      <c r="E34" s="60">
        <v>4705</v>
      </c>
      <c r="F34" s="61">
        <v>559671024.71707487</v>
      </c>
      <c r="G34" s="62"/>
      <c r="H34" s="61">
        <v>74953562.577847838</v>
      </c>
      <c r="I34" s="61">
        <v>0</v>
      </c>
      <c r="J34" s="63">
        <f t="shared" si="0"/>
        <v>5.98320483396E-2</v>
      </c>
      <c r="K34" s="63">
        <f t="shared" si="1"/>
        <v>0.13773873026570002</v>
      </c>
      <c r="L34" s="64">
        <f t="shared" si="2"/>
        <v>37970888.984528512</v>
      </c>
      <c r="M34" s="15"/>
      <c r="N34" s="15"/>
      <c r="O34" s="15"/>
      <c r="P34" s="15"/>
    </row>
    <row r="35" spans="1:16" ht="15" customHeight="1" outlineLevel="1" x14ac:dyDescent="0.25">
      <c r="A35" s="15"/>
      <c r="B35" s="58" t="s">
        <v>91</v>
      </c>
      <c r="C35" s="59" t="s">
        <v>37</v>
      </c>
      <c r="D35" s="59">
        <v>4025</v>
      </c>
      <c r="E35" s="60">
        <v>4705</v>
      </c>
      <c r="F35" s="61">
        <v>0</v>
      </c>
      <c r="G35" s="62"/>
      <c r="H35" s="61">
        <v>16894670.216188662</v>
      </c>
      <c r="I35" s="61">
        <v>0</v>
      </c>
      <c r="J35" s="63">
        <f t="shared" si="0"/>
        <v>5.98320483396E-2</v>
      </c>
      <c r="K35" s="63">
        <f t="shared" si="1"/>
        <v>0.13773873026570002</v>
      </c>
      <c r="L35" s="64">
        <f t="shared" si="2"/>
        <v>1010842.7250566004</v>
      </c>
      <c r="M35" s="15"/>
      <c r="N35" s="15"/>
      <c r="O35" s="15"/>
      <c r="P35" s="15"/>
    </row>
    <row r="36" spans="1:16" ht="15" customHeight="1" outlineLevel="1" x14ac:dyDescent="0.25">
      <c r="A36" s="15"/>
      <c r="B36" s="58" t="s">
        <v>92</v>
      </c>
      <c r="C36" s="59" t="s">
        <v>37</v>
      </c>
      <c r="D36" s="59">
        <v>4025</v>
      </c>
      <c r="E36" s="60">
        <v>4705</v>
      </c>
      <c r="F36" s="61">
        <v>0</v>
      </c>
      <c r="G36" s="62"/>
      <c r="H36" s="61">
        <v>0</v>
      </c>
      <c r="I36" s="61">
        <v>86504.665740097887</v>
      </c>
      <c r="J36" s="63">
        <f t="shared" si="0"/>
        <v>5.98320483396E-2</v>
      </c>
      <c r="K36" s="63">
        <f t="shared" si="1"/>
        <v>0.13773873026570002</v>
      </c>
      <c r="L36" s="64">
        <f t="shared" si="2"/>
        <v>11915.042821099885</v>
      </c>
      <c r="M36" s="15"/>
      <c r="N36" s="15"/>
      <c r="O36" s="15"/>
      <c r="P36" s="15"/>
    </row>
    <row r="37" spans="1:16" ht="15" customHeight="1" outlineLevel="1" x14ac:dyDescent="0.25">
      <c r="A37" s="15"/>
      <c r="B37" s="58" t="s">
        <v>93</v>
      </c>
      <c r="C37" s="59" t="s">
        <v>37</v>
      </c>
      <c r="D37" s="59">
        <v>4025</v>
      </c>
      <c r="E37" s="60">
        <v>4705</v>
      </c>
      <c r="F37" s="61">
        <v>0</v>
      </c>
      <c r="G37" s="62"/>
      <c r="H37" s="61">
        <v>4222.7594749306163</v>
      </c>
      <c r="I37" s="61">
        <v>6654151.4505973849</v>
      </c>
      <c r="J37" s="63">
        <f t="shared" si="0"/>
        <v>5.98320483396E-2</v>
      </c>
      <c r="K37" s="63">
        <f t="shared" si="1"/>
        <v>0.13773873026570002</v>
      </c>
      <c r="L37" s="64">
        <f t="shared" si="2"/>
        <v>916787.02814998024</v>
      </c>
      <c r="M37" s="15"/>
      <c r="N37" s="15"/>
      <c r="O37" s="15"/>
      <c r="P37" s="15"/>
    </row>
    <row r="38" spans="1:16" ht="15" customHeight="1" outlineLevel="1" x14ac:dyDescent="0.25">
      <c r="A38" s="15"/>
      <c r="B38" s="58"/>
      <c r="C38" s="59" t="s">
        <v>37</v>
      </c>
      <c r="D38" s="59">
        <v>4025</v>
      </c>
      <c r="E38" s="60">
        <v>4705</v>
      </c>
      <c r="F38" s="61"/>
      <c r="G38" s="62"/>
      <c r="H38" s="61"/>
      <c r="I38" s="61"/>
      <c r="J38" s="63">
        <f t="shared" si="0"/>
        <v>5.98320483396E-2</v>
      </c>
      <c r="K38" s="63">
        <f t="shared" si="1"/>
        <v>0.13773873026570002</v>
      </c>
      <c r="L38" s="64">
        <f t="shared" si="2"/>
        <v>0</v>
      </c>
      <c r="M38" s="15"/>
      <c r="N38" s="15"/>
      <c r="O38" s="15"/>
      <c r="P38" s="15"/>
    </row>
    <row r="39" spans="1:16" ht="15" customHeight="1" outlineLevel="1" x14ac:dyDescent="0.25">
      <c r="A39" s="15"/>
      <c r="B39" s="58"/>
      <c r="C39" s="59" t="s">
        <v>37</v>
      </c>
      <c r="D39" s="59">
        <v>4025</v>
      </c>
      <c r="E39" s="60">
        <v>4705</v>
      </c>
      <c r="F39" s="61"/>
      <c r="G39" s="62"/>
      <c r="H39" s="61"/>
      <c r="I39" s="61"/>
      <c r="J39" s="63">
        <f t="shared" si="0"/>
        <v>5.98320483396E-2</v>
      </c>
      <c r="K39" s="63">
        <f t="shared" si="1"/>
        <v>0.13773873026570002</v>
      </c>
      <c r="L39" s="64">
        <f t="shared" si="2"/>
        <v>0</v>
      </c>
      <c r="M39" s="15"/>
      <c r="N39" s="15"/>
      <c r="O39" s="15"/>
      <c r="P39" s="15"/>
    </row>
    <row r="40" spans="1:16" ht="15" customHeight="1" outlineLevel="1" x14ac:dyDescent="0.25">
      <c r="A40" s="15"/>
      <c r="B40" s="65" t="s">
        <v>38</v>
      </c>
      <c r="C40" s="66"/>
      <c r="D40" s="67"/>
      <c r="E40" s="68"/>
      <c r="F40" s="69"/>
      <c r="G40" s="70"/>
      <c r="H40" s="69"/>
      <c r="I40" s="71"/>
      <c r="J40" s="71"/>
      <c r="K40" s="69"/>
      <c r="L40" s="72">
        <f>SUM(L29:L39)</f>
        <v>457347314.17274165</v>
      </c>
      <c r="M40" s="15"/>
      <c r="N40" s="15"/>
      <c r="O40" s="15"/>
      <c r="P40" s="15"/>
    </row>
    <row r="41" spans="1:16" ht="15" customHeight="1" outlineLevel="1" x14ac:dyDescent="0.25">
      <c r="A41" s="15"/>
      <c r="B41" s="4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5" customHeight="1" outlineLevel="1" x14ac:dyDescent="0.25">
      <c r="A42" s="15"/>
      <c r="B42" s="28"/>
      <c r="C42" s="15"/>
      <c r="D42" s="15"/>
      <c r="E42" s="15"/>
      <c r="F42" s="73"/>
      <c r="G42" s="73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5.75" customHeight="1" outlineLevel="1" x14ac:dyDescent="0.25">
      <c r="A43" s="15"/>
      <c r="B43" s="46" t="s">
        <v>39</v>
      </c>
      <c r="E43" s="47"/>
      <c r="F43" s="74"/>
      <c r="G43" s="173" t="str">
        <f>2030&amp; " Test Year"</f>
        <v>2030 Test Year</v>
      </c>
      <c r="H43" s="173"/>
      <c r="I43" s="173"/>
      <c r="J43" s="173"/>
      <c r="K43" s="173"/>
      <c r="L43" s="173"/>
      <c r="M43" s="15"/>
      <c r="N43" s="15"/>
      <c r="O43" s="15"/>
      <c r="P43" s="15"/>
    </row>
    <row r="44" spans="1:16" ht="15" customHeight="1" outlineLevel="1" x14ac:dyDescent="0.25">
      <c r="A44" s="15"/>
      <c r="B44" s="49" t="s">
        <v>25</v>
      </c>
      <c r="C44" s="54"/>
      <c r="D44" s="50" t="s">
        <v>26</v>
      </c>
      <c r="E44" s="51" t="s">
        <v>27</v>
      </c>
      <c r="F44" s="75"/>
      <c r="G44" s="76" t="s">
        <v>40</v>
      </c>
      <c r="H44" s="77"/>
      <c r="I44" s="77"/>
      <c r="J44" s="78"/>
      <c r="K44" s="79" t="s">
        <v>41</v>
      </c>
      <c r="L44" s="80" t="s">
        <v>36</v>
      </c>
      <c r="M44" s="15"/>
      <c r="N44" s="15"/>
      <c r="O44" s="15"/>
      <c r="P44" s="15"/>
    </row>
    <row r="45" spans="1:16" ht="15" customHeight="1" outlineLevel="1" x14ac:dyDescent="0.25">
      <c r="A45" s="15"/>
      <c r="B45" s="58"/>
      <c r="C45" s="59"/>
      <c r="D45" s="59">
        <v>4035</v>
      </c>
      <c r="E45" s="60">
        <v>4707</v>
      </c>
      <c r="F45" s="81"/>
      <c r="G45" s="82">
        <f>F31</f>
        <v>47834.207365003036</v>
      </c>
      <c r="H45" s="77"/>
      <c r="I45" s="77"/>
      <c r="J45" s="83"/>
      <c r="K45" s="172">
        <v>3.3448924697148608E-2</v>
      </c>
      <c r="L45" s="85">
        <f>+K45*G45</f>
        <v>1600.0028000997779</v>
      </c>
      <c r="M45" s="15"/>
      <c r="N45" s="15"/>
      <c r="O45" s="15"/>
      <c r="P45" s="15"/>
    </row>
    <row r="46" spans="1:16" ht="15" customHeight="1" outlineLevel="1" x14ac:dyDescent="0.25">
      <c r="A46" s="15"/>
      <c r="B46" s="58"/>
      <c r="C46" s="59"/>
      <c r="D46" s="59">
        <v>4010</v>
      </c>
      <c r="E46" s="60">
        <v>4707</v>
      </c>
      <c r="F46" s="81"/>
      <c r="G46" s="82">
        <f t="shared" ref="G46:G48" si="3">F32</f>
        <v>102116010.23196109</v>
      </c>
      <c r="H46" s="77"/>
      <c r="I46" s="77"/>
      <c r="J46" s="83"/>
      <c r="K46" s="84">
        <f>K45</f>
        <v>3.3448924697148608E-2</v>
      </c>
      <c r="L46" s="85">
        <f>+K46*G46</f>
        <v>3415670.736622123</v>
      </c>
      <c r="M46" s="15"/>
      <c r="N46" s="15"/>
      <c r="O46" s="15"/>
      <c r="P46" s="15"/>
    </row>
    <row r="47" spans="1:16" ht="15" customHeight="1" outlineLevel="1" x14ac:dyDescent="0.25">
      <c r="A47" s="15"/>
      <c r="B47" s="58"/>
      <c r="C47" s="59"/>
      <c r="D47" s="59">
        <v>4010</v>
      </c>
      <c r="E47" s="60">
        <v>4707</v>
      </c>
      <c r="F47" s="81"/>
      <c r="G47" s="82">
        <f t="shared" si="3"/>
        <v>286164466.18915588</v>
      </c>
      <c r="H47" s="77"/>
      <c r="I47" s="77"/>
      <c r="J47" s="83"/>
      <c r="K47" s="58">
        <f t="shared" ref="K47:K48" si="4">K46</f>
        <v>3.3448924697148608E-2</v>
      </c>
      <c r="L47" s="85">
        <f>+K47*G47</f>
        <v>9571893.680560803</v>
      </c>
      <c r="M47" s="15"/>
      <c r="N47" s="15"/>
      <c r="O47" s="15"/>
      <c r="P47" s="15"/>
    </row>
    <row r="48" spans="1:16" ht="15" customHeight="1" outlineLevel="1" x14ac:dyDescent="0.25">
      <c r="A48" s="15"/>
      <c r="B48" s="58"/>
      <c r="C48" s="59"/>
      <c r="D48" s="59">
        <v>4010</v>
      </c>
      <c r="E48" s="60">
        <v>4707</v>
      </c>
      <c r="F48" s="81"/>
      <c r="G48" s="82">
        <f t="shared" si="3"/>
        <v>559671024.71707487</v>
      </c>
      <c r="H48" s="77"/>
      <c r="I48" s="77"/>
      <c r="J48" s="83"/>
      <c r="K48" s="58">
        <f t="shared" si="4"/>
        <v>3.3448924697148608E-2</v>
      </c>
      <c r="L48" s="85">
        <f>+K48*G48</f>
        <v>18720393.960937433</v>
      </c>
      <c r="M48" s="15"/>
      <c r="N48" s="15"/>
      <c r="O48" s="15"/>
      <c r="P48" s="15"/>
    </row>
    <row r="49" spans="1:16" ht="15" customHeight="1" outlineLevel="1" x14ac:dyDescent="0.25">
      <c r="A49" s="15"/>
      <c r="B49" s="58"/>
      <c r="C49" s="59"/>
      <c r="D49" s="59">
        <v>4010</v>
      </c>
      <c r="E49" s="60">
        <v>4707</v>
      </c>
      <c r="F49" s="81"/>
      <c r="G49" s="82"/>
      <c r="H49" s="77"/>
      <c r="I49" s="77"/>
      <c r="J49" s="86"/>
      <c r="K49" s="58"/>
      <c r="L49" s="85">
        <f>+K49*G49</f>
        <v>0</v>
      </c>
      <c r="M49" s="15"/>
      <c r="N49" s="15"/>
      <c r="O49" s="15"/>
      <c r="P49" s="15"/>
    </row>
    <row r="50" spans="1:16" ht="15" customHeight="1" outlineLevel="1" x14ac:dyDescent="0.25">
      <c r="A50" s="15"/>
      <c r="F50" s="87">
        <f>+F45+F46</f>
        <v>0</v>
      </c>
      <c r="G50" s="88">
        <f>SUM(G45:G49)</f>
        <v>947999335.34555686</v>
      </c>
      <c r="H50" s="77"/>
      <c r="I50" s="77"/>
      <c r="J50" s="89"/>
      <c r="K50" s="90"/>
      <c r="L50" s="91">
        <f>SUM(L45:L49)</f>
        <v>31709558.380920459</v>
      </c>
      <c r="M50" s="15"/>
      <c r="N50" s="15"/>
      <c r="O50" s="15"/>
      <c r="P50" s="15"/>
    </row>
    <row r="51" spans="1:16" ht="15" customHeight="1" outlineLevel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5.75" customHeight="1" outlineLevel="1" x14ac:dyDescent="0.25">
      <c r="B52" s="46" t="s">
        <v>42</v>
      </c>
      <c r="E52" s="47"/>
      <c r="F52" s="48"/>
      <c r="G52" s="173" t="str">
        <f>2030&amp; " Test Year"</f>
        <v>2030 Test Year</v>
      </c>
      <c r="H52" s="173"/>
      <c r="I52" s="173"/>
      <c r="J52" s="173"/>
      <c r="K52" s="173"/>
      <c r="L52" s="173"/>
    </row>
    <row r="53" spans="1:16" ht="15" customHeight="1" outlineLevel="1" x14ac:dyDescent="0.25">
      <c r="A53" s="92"/>
      <c r="B53" s="49" t="s">
        <v>25</v>
      </c>
      <c r="C53" s="50"/>
      <c r="D53" s="50" t="s">
        <v>26</v>
      </c>
      <c r="E53" s="51" t="s">
        <v>27</v>
      </c>
      <c r="F53" s="52"/>
      <c r="G53" s="52"/>
      <c r="H53" s="52"/>
      <c r="I53" s="52"/>
      <c r="J53" s="52"/>
      <c r="K53" s="52"/>
      <c r="L53" s="57" t="s">
        <v>36</v>
      </c>
      <c r="M53" s="92"/>
      <c r="N53" s="92"/>
      <c r="O53" s="92"/>
      <c r="P53" s="92"/>
    </row>
    <row r="54" spans="1:16" ht="30.75" customHeight="1" outlineLevel="1" x14ac:dyDescent="0.25">
      <c r="B54" s="53" t="s">
        <v>28</v>
      </c>
      <c r="C54" s="54" t="s">
        <v>29</v>
      </c>
      <c r="D54" s="54" t="s">
        <v>30</v>
      </c>
      <c r="E54" s="54" t="s">
        <v>30</v>
      </c>
      <c r="F54" s="93"/>
      <c r="G54" s="93"/>
      <c r="H54" s="56" t="s">
        <v>43</v>
      </c>
      <c r="I54" s="94"/>
      <c r="J54" s="94"/>
      <c r="K54" s="93" t="s">
        <v>44</v>
      </c>
    </row>
    <row r="55" spans="1:16" ht="15" customHeight="1" outlineLevel="1" x14ac:dyDescent="0.25">
      <c r="B55" s="95" t="str">
        <f>IF(B29=0,"",B29)</f>
        <v>Residential</v>
      </c>
      <c r="C55" s="59" t="s">
        <v>37</v>
      </c>
      <c r="D55" s="59">
        <v>4006</v>
      </c>
      <c r="E55" s="59">
        <v>4707</v>
      </c>
      <c r="F55" s="96"/>
      <c r="G55" s="96"/>
      <c r="H55" s="97">
        <f>+H29</f>
        <v>20132916.285727102</v>
      </c>
      <c r="I55" s="96"/>
      <c r="J55" s="96"/>
      <c r="K55" s="98">
        <f>+$G$18/1000</f>
        <v>6.7316681926100019E-2</v>
      </c>
      <c r="L55" s="64">
        <f t="shared" ref="L55:L65" si="5">+K55*H55</f>
        <v>1355281.1218510903</v>
      </c>
    </row>
    <row r="56" spans="1:16" ht="15" customHeight="1" outlineLevel="1" x14ac:dyDescent="0.25">
      <c r="B56" s="95" t="str">
        <f t="shared" ref="B56:B65" si="6">IF(B30=0,"",B30)</f>
        <v>Residential Seasonal</v>
      </c>
      <c r="C56" s="59" t="s">
        <v>37</v>
      </c>
      <c r="D56" s="59">
        <v>4010</v>
      </c>
      <c r="E56" s="59">
        <v>4707</v>
      </c>
      <c r="F56" s="96"/>
      <c r="G56" s="96"/>
      <c r="H56" s="97">
        <f t="shared" ref="H56:H63" si="7">+H30</f>
        <v>183620.99924189661</v>
      </c>
      <c r="I56" s="96"/>
      <c r="J56" s="96"/>
      <c r="K56" s="98">
        <f>+$G$18/1000</f>
        <v>6.7316681926100019E-2</v>
      </c>
      <c r="L56" s="64">
        <f t="shared" si="5"/>
        <v>12360.756400919407</v>
      </c>
    </row>
    <row r="57" spans="1:16" ht="15" customHeight="1" outlineLevel="1" x14ac:dyDescent="0.25">
      <c r="B57" s="95" t="str">
        <f t="shared" si="6"/>
        <v>GS&lt;50</v>
      </c>
      <c r="C57" s="59" t="s">
        <v>37</v>
      </c>
      <c r="D57" s="59">
        <v>4035</v>
      </c>
      <c r="E57" s="59">
        <v>4707</v>
      </c>
      <c r="F57" s="96"/>
      <c r="G57" s="96"/>
      <c r="H57" s="97">
        <f>+H31</f>
        <v>49917133.786175527</v>
      </c>
      <c r="I57" s="96"/>
      <c r="J57" s="96"/>
      <c r="K57" s="98">
        <f>+$G$18/1000</f>
        <v>6.7316681926100019E-2</v>
      </c>
      <c r="L57" s="64">
        <f>+K57*H57</f>
        <v>3360255.8177465587</v>
      </c>
    </row>
    <row r="58" spans="1:16" ht="15" customHeight="1" outlineLevel="1" x14ac:dyDescent="0.25">
      <c r="B58" s="95" t="str">
        <f>IF(B32=0,"",B32)</f>
        <v>GS 50 - 2,999</v>
      </c>
      <c r="C58" s="59" t="s">
        <v>37</v>
      </c>
      <c r="D58" s="59">
        <v>4010</v>
      </c>
      <c r="E58" s="59">
        <v>4707</v>
      </c>
      <c r="F58" s="96"/>
      <c r="G58" s="96"/>
      <c r="H58" s="97">
        <f t="shared" si="7"/>
        <v>824627978.97152722</v>
      </c>
      <c r="I58" s="96"/>
      <c r="J58" s="96"/>
      <c r="K58" s="98">
        <f t="shared" ref="K58:K65" si="8">+$G$18/1000</f>
        <v>6.7316681926100019E-2</v>
      </c>
      <c r="L58" s="64">
        <f t="shared" si="5"/>
        <v>55511219.367788993</v>
      </c>
    </row>
    <row r="59" spans="1:16" ht="15" customHeight="1" outlineLevel="1" x14ac:dyDescent="0.25">
      <c r="B59" s="95" t="str">
        <f>IF(B33=0,"",B33)</f>
        <v>GS 3,000 - 4,999</v>
      </c>
      <c r="C59" s="59" t="s">
        <v>37</v>
      </c>
      <c r="D59" s="59">
        <v>4025</v>
      </c>
      <c r="E59" s="59">
        <v>4707</v>
      </c>
      <c r="F59" s="96"/>
      <c r="G59" s="96"/>
      <c r="H59" s="97">
        <f>+H33</f>
        <v>56842609.819963478</v>
      </c>
      <c r="I59" s="96"/>
      <c r="J59" s="96"/>
      <c r="K59" s="98">
        <f>+$G$18/1000</f>
        <v>6.7316681926100019E-2</v>
      </c>
      <c r="L59" s="64">
        <f t="shared" si="5"/>
        <v>3826455.8850998911</v>
      </c>
    </row>
    <row r="60" spans="1:16" ht="15" customHeight="1" outlineLevel="1" x14ac:dyDescent="0.25">
      <c r="B60" s="95" t="str">
        <f t="shared" si="6"/>
        <v>Large Use</v>
      </c>
      <c r="C60" s="59" t="s">
        <v>37</v>
      </c>
      <c r="D60" s="59">
        <v>4025</v>
      </c>
      <c r="E60" s="59">
        <v>4707</v>
      </c>
      <c r="F60" s="96"/>
      <c r="G60" s="96"/>
      <c r="H60" s="97">
        <f t="shared" si="7"/>
        <v>74953562.577847838</v>
      </c>
      <c r="I60" s="96"/>
      <c r="J60" s="96"/>
      <c r="K60" s="98">
        <f t="shared" si="8"/>
        <v>6.7316681926100019E-2</v>
      </c>
      <c r="L60" s="64">
        <f t="shared" si="5"/>
        <v>5045625.1312810164</v>
      </c>
    </row>
    <row r="61" spans="1:16" ht="15" customHeight="1" outlineLevel="1" x14ac:dyDescent="0.25">
      <c r="B61" s="95" t="str">
        <f t="shared" si="6"/>
        <v>Street Light</v>
      </c>
      <c r="C61" s="59" t="s">
        <v>37</v>
      </c>
      <c r="D61" s="59">
        <v>4025</v>
      </c>
      <c r="E61" s="59">
        <v>4707</v>
      </c>
      <c r="F61" s="96"/>
      <c r="G61" s="96"/>
      <c r="H61" s="97">
        <f t="shared" si="7"/>
        <v>16894670.216188662</v>
      </c>
      <c r="I61" s="96"/>
      <c r="J61" s="96"/>
      <c r="K61" s="98">
        <f t="shared" si="8"/>
        <v>6.7316681926100019E-2</v>
      </c>
      <c r="L61" s="64">
        <f t="shared" si="5"/>
        <v>1137293.1411895277</v>
      </c>
    </row>
    <row r="62" spans="1:16" ht="15" customHeight="1" outlineLevel="1" x14ac:dyDescent="0.25">
      <c r="B62" s="95" t="str">
        <f>IF(B36=0,"",B36)</f>
        <v>Sentinel Light</v>
      </c>
      <c r="C62" s="59" t="s">
        <v>37</v>
      </c>
      <c r="D62" s="59">
        <v>4025</v>
      </c>
      <c r="E62" s="59">
        <v>4707</v>
      </c>
      <c r="F62" s="96"/>
      <c r="G62" s="96"/>
      <c r="H62" s="97">
        <f>+H36</f>
        <v>0</v>
      </c>
      <c r="I62" s="96"/>
      <c r="J62" s="96"/>
      <c r="K62" s="98">
        <f t="shared" si="8"/>
        <v>6.7316681926100019E-2</v>
      </c>
      <c r="L62" s="64">
        <f t="shared" si="5"/>
        <v>0</v>
      </c>
    </row>
    <row r="63" spans="1:16" ht="15" customHeight="1" outlineLevel="1" x14ac:dyDescent="0.25">
      <c r="B63" s="95" t="str">
        <f t="shared" si="6"/>
        <v>USL</v>
      </c>
      <c r="C63" s="59" t="s">
        <v>37</v>
      </c>
      <c r="D63" s="59">
        <v>4025</v>
      </c>
      <c r="E63" s="59">
        <v>4707</v>
      </c>
      <c r="F63" s="96"/>
      <c r="G63" s="96"/>
      <c r="H63" s="97">
        <f t="shared" si="7"/>
        <v>4222.7594749306163</v>
      </c>
      <c r="I63" s="96"/>
      <c r="J63" s="96"/>
      <c r="K63" s="98">
        <f t="shared" si="8"/>
        <v>6.7316681926100019E-2</v>
      </c>
      <c r="L63" s="64">
        <f t="shared" si="5"/>
        <v>284.26215642432942</v>
      </c>
    </row>
    <row r="64" spans="1:16" ht="15" customHeight="1" outlineLevel="1" x14ac:dyDescent="0.25">
      <c r="B64" s="95" t="str">
        <f t="shared" si="6"/>
        <v/>
      </c>
      <c r="C64" s="59" t="s">
        <v>37</v>
      </c>
      <c r="D64" s="59">
        <v>4025</v>
      </c>
      <c r="E64" s="59">
        <v>4707</v>
      </c>
      <c r="F64" s="96"/>
      <c r="G64" s="96"/>
      <c r="H64" s="97">
        <f>+H38</f>
        <v>0</v>
      </c>
      <c r="I64" s="96"/>
      <c r="J64" s="96"/>
      <c r="K64" s="98">
        <f t="shared" si="8"/>
        <v>6.7316681926100019E-2</v>
      </c>
      <c r="L64" s="64">
        <f>+K64*H64</f>
        <v>0</v>
      </c>
    </row>
    <row r="65" spans="1:16" ht="15" customHeight="1" outlineLevel="1" x14ac:dyDescent="0.25">
      <c r="B65" s="95" t="str">
        <f t="shared" si="6"/>
        <v/>
      </c>
      <c r="C65" s="59" t="s">
        <v>37</v>
      </c>
      <c r="D65" s="59">
        <v>4025</v>
      </c>
      <c r="E65" s="59">
        <v>4707</v>
      </c>
      <c r="F65" s="96"/>
      <c r="G65" s="96"/>
      <c r="H65" s="97">
        <f>+H39</f>
        <v>0</v>
      </c>
      <c r="I65" s="96"/>
      <c r="J65" s="96"/>
      <c r="K65" s="98">
        <f t="shared" si="8"/>
        <v>6.7316681926100019E-2</v>
      </c>
      <c r="L65" s="64">
        <f t="shared" si="5"/>
        <v>0</v>
      </c>
    </row>
    <row r="66" spans="1:16" ht="15" customHeight="1" outlineLevel="1" x14ac:dyDescent="0.25">
      <c r="B66" s="95" t="s">
        <v>45</v>
      </c>
      <c r="C66" s="54"/>
      <c r="D66" s="54"/>
      <c r="E66" s="55"/>
      <c r="F66" s="99"/>
      <c r="G66" s="99"/>
      <c r="H66" s="100">
        <f>SUM(H55:H65)</f>
        <v>1043556715.4161465</v>
      </c>
      <c r="I66" s="99"/>
      <c r="J66" s="99"/>
      <c r="K66" s="101"/>
      <c r="L66" s="72"/>
      <c r="P66" s="102"/>
    </row>
    <row r="67" spans="1:16" ht="15" customHeight="1" outlineLevel="1" x14ac:dyDescent="0.25">
      <c r="B67" s="49" t="s">
        <v>38</v>
      </c>
      <c r="C67" s="103"/>
      <c r="D67" s="50"/>
      <c r="E67" s="51"/>
      <c r="F67" s="104"/>
      <c r="G67" s="104"/>
      <c r="H67" s="104"/>
      <c r="I67" s="104"/>
      <c r="J67" s="104"/>
      <c r="K67" s="69"/>
      <c r="L67" s="105">
        <f>SUM(L55:L65)</f>
        <v>70248775.483514428</v>
      </c>
    </row>
    <row r="68" spans="1:16" ht="15" customHeight="1" outlineLevel="1" x14ac:dyDescent="0.25">
      <c r="B68" s="92"/>
      <c r="C68" s="106"/>
      <c r="D68" s="107"/>
      <c r="E68" s="107"/>
      <c r="F68" s="108"/>
      <c r="G68" s="108"/>
      <c r="H68" s="108"/>
      <c r="I68" s="108"/>
      <c r="J68" s="108"/>
      <c r="K68" s="108"/>
      <c r="L68" s="8"/>
    </row>
    <row r="69" spans="1:16" ht="15" customHeight="1" outlineLevel="1" x14ac:dyDescent="0.25">
      <c r="L69" s="109"/>
    </row>
    <row r="70" spans="1:16" ht="21" x14ac:dyDescent="0.55000000000000004">
      <c r="A70" s="1" t="s">
        <v>46</v>
      </c>
      <c r="F70" s="110"/>
      <c r="G70" s="110"/>
      <c r="H70" s="110"/>
      <c r="I70" s="110"/>
      <c r="J70" s="110"/>
      <c r="K70" s="110"/>
    </row>
    <row r="71" spans="1:16" x14ac:dyDescent="0.25">
      <c r="A71" s="1" t="s">
        <v>47</v>
      </c>
      <c r="G71" s="111"/>
      <c r="H71" s="111"/>
      <c r="I71" s="111"/>
      <c r="J71" s="111"/>
      <c r="K71" s="111"/>
    </row>
    <row r="72" spans="1:16" x14ac:dyDescent="0.25">
      <c r="A72" s="1" t="s">
        <v>48</v>
      </c>
    </row>
  </sheetData>
  <mergeCells count="8">
    <mergeCell ref="G43:L43"/>
    <mergeCell ref="G52:L52"/>
    <mergeCell ref="B4:I6"/>
    <mergeCell ref="C17:E17"/>
    <mergeCell ref="C18:E18"/>
    <mergeCell ref="C19:E19"/>
    <mergeCell ref="C20:E20"/>
    <mergeCell ref="G26:L26"/>
  </mergeCells>
  <conditionalFormatting sqref="B1">
    <cfRule type="expression" dxfId="1" priority="1" stopIfTrue="1">
      <formula>LEFT($C1,6)="Macros"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2F825-5E54-436F-BEDF-1B306ACAF8FF}">
  <sheetPr codeName="Sheet9"/>
  <dimension ref="A1:L184"/>
  <sheetViews>
    <sheetView workbookViewId="0">
      <selection activeCell="K8" sqref="K8"/>
    </sheetView>
  </sheetViews>
  <sheetFormatPr defaultColWidth="9.28515625" defaultRowHeight="15" x14ac:dyDescent="0.25"/>
  <cols>
    <col min="1" max="1" width="37" style="1" customWidth="1"/>
    <col min="2" max="2" width="8" style="1" bestFit="1" customWidth="1"/>
    <col min="3" max="3" width="1.5703125" style="1" customWidth="1"/>
    <col min="4" max="4" width="23.28515625" style="1" bestFit="1" customWidth="1"/>
    <col min="5" max="5" width="15.28515625" style="1" bestFit="1" customWidth="1"/>
    <col min="6" max="6" width="12.7109375" style="1" bestFit="1" customWidth="1"/>
    <col min="7" max="7" width="2.28515625" style="1" customWidth="1"/>
    <col min="8" max="8" width="19.28515625" style="1" customWidth="1"/>
    <col min="9" max="9" width="11.28515625" style="1" customWidth="1"/>
    <col min="10" max="10" width="13.28515625" style="1" customWidth="1"/>
    <col min="11" max="11" width="16.28515625" style="1" bestFit="1" customWidth="1"/>
    <col min="12" max="12" width="12" style="1" bestFit="1" customWidth="1"/>
    <col min="13" max="16384" width="9.28515625" style="1"/>
  </cols>
  <sheetData>
    <row r="1" spans="1:11" ht="21" x14ac:dyDescent="0.35">
      <c r="A1" s="181" t="s">
        <v>49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1" x14ac:dyDescent="0.25">
      <c r="A2" s="112"/>
      <c r="B2" s="112"/>
      <c r="C2" s="112"/>
      <c r="D2" s="112"/>
      <c r="E2" s="112"/>
      <c r="F2" s="112"/>
      <c r="G2" s="112"/>
      <c r="H2" s="112"/>
      <c r="I2" s="112"/>
      <c r="J2" s="4" t="s">
        <v>1</v>
      </c>
      <c r="K2" s="5" t="s">
        <v>96</v>
      </c>
    </row>
    <row r="3" spans="1:11" x14ac:dyDescent="0.25">
      <c r="A3" s="112"/>
      <c r="B3" s="112"/>
      <c r="C3" s="112"/>
      <c r="D3" s="112"/>
      <c r="E3" s="112"/>
      <c r="F3" s="112"/>
      <c r="G3" s="112"/>
      <c r="H3" s="112"/>
      <c r="I3" s="112"/>
      <c r="J3" s="4" t="s">
        <v>2</v>
      </c>
      <c r="K3" s="7" t="s">
        <v>98</v>
      </c>
    </row>
    <row r="4" spans="1:1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4" t="s">
        <v>4</v>
      </c>
      <c r="K4" s="7">
        <v>3</v>
      </c>
    </row>
    <row r="5" spans="1:1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4" t="s">
        <v>5</v>
      </c>
      <c r="K5" s="7">
        <v>1</v>
      </c>
    </row>
    <row r="6" spans="1:11" x14ac:dyDescent="0.25">
      <c r="A6" s="112"/>
      <c r="B6" s="112"/>
      <c r="C6" s="112"/>
      <c r="D6" s="112"/>
      <c r="E6" s="112"/>
      <c r="F6" s="112"/>
      <c r="G6" s="112"/>
      <c r="H6" s="112"/>
      <c r="I6" s="112"/>
      <c r="J6" s="4" t="s">
        <v>6</v>
      </c>
      <c r="K6" s="5"/>
    </row>
    <row r="7" spans="1:11" x14ac:dyDescent="0.25">
      <c r="A7" s="1" t="s">
        <v>50</v>
      </c>
      <c r="J7" s="4"/>
      <c r="K7" s="9" t="s">
        <v>97</v>
      </c>
    </row>
    <row r="8" spans="1:11" x14ac:dyDescent="0.25">
      <c r="A8" s="1" t="s">
        <v>51</v>
      </c>
      <c r="J8" s="4" t="s">
        <v>7</v>
      </c>
      <c r="K8" s="199">
        <v>46283</v>
      </c>
    </row>
    <row r="9" spans="1:11" x14ac:dyDescent="0.25">
      <c r="A9" s="1" t="s">
        <v>52</v>
      </c>
      <c r="E9" s="182"/>
      <c r="F9" s="182"/>
      <c r="G9" s="8"/>
      <c r="H9" s="8"/>
      <c r="I9" s="182"/>
      <c r="J9" s="182"/>
    </row>
    <row r="10" spans="1:11" x14ac:dyDescent="0.25">
      <c r="B10" s="113"/>
      <c r="C10" s="114"/>
      <c r="D10" s="115" t="str">
        <f>2030&amp; " Test Year"</f>
        <v>2030 Test Year</v>
      </c>
      <c r="E10" s="183" t="s">
        <v>14</v>
      </c>
      <c r="F10" s="183"/>
      <c r="G10" s="116"/>
      <c r="H10" s="115" t="str">
        <f>D10</f>
        <v>2030 Test Year</v>
      </c>
      <c r="I10" s="183" t="s">
        <v>13</v>
      </c>
      <c r="J10" s="183"/>
      <c r="K10" s="117" t="s">
        <v>53</v>
      </c>
    </row>
    <row r="11" spans="1:11" x14ac:dyDescent="0.25">
      <c r="A11" s="118" t="s">
        <v>54</v>
      </c>
      <c r="B11" s="187" t="s">
        <v>55</v>
      </c>
      <c r="C11" s="119"/>
      <c r="D11" s="120" t="s">
        <v>56</v>
      </c>
      <c r="E11" s="120" t="s">
        <v>57</v>
      </c>
      <c r="F11" s="57" t="s">
        <v>58</v>
      </c>
      <c r="G11" s="8"/>
      <c r="H11" s="120" t="s">
        <v>56</v>
      </c>
      <c r="I11" s="120" t="s">
        <v>57</v>
      </c>
      <c r="J11" s="57" t="s">
        <v>58</v>
      </c>
      <c r="K11" s="121" t="s">
        <v>59</v>
      </c>
    </row>
    <row r="12" spans="1:11" x14ac:dyDescent="0.25">
      <c r="A12" s="122" t="s">
        <v>60</v>
      </c>
      <c r="B12" s="188"/>
      <c r="C12" s="123"/>
      <c r="D12" s="124"/>
      <c r="E12" s="125"/>
      <c r="F12" s="126"/>
      <c r="H12" s="124"/>
      <c r="I12" s="125"/>
      <c r="J12" s="126"/>
      <c r="K12" s="184"/>
    </row>
    <row r="13" spans="1:11" x14ac:dyDescent="0.25">
      <c r="A13" s="127" t="s">
        <v>85</v>
      </c>
      <c r="B13" s="128"/>
      <c r="C13" s="123"/>
      <c r="D13" s="124">
        <f>'App.2-ZA_Com. Exp. (2030)'!I29</f>
        <v>1623374503.1475997</v>
      </c>
      <c r="E13" s="171"/>
      <c r="F13" s="129">
        <f>D13*'App.2-ZA_Com. Exp. (2030)'!K29</f>
        <v>223601542.80926204</v>
      </c>
      <c r="H13" s="124">
        <f>'App.2-ZA_Com. Exp. (2030)'!H29</f>
        <v>20132916.285727102</v>
      </c>
      <c r="I13" s="130"/>
      <c r="J13" s="126">
        <f>H13*'App.2-ZA_Com. Exp. (2030)'!J29</f>
        <v>1204593.620424744</v>
      </c>
      <c r="K13" s="184"/>
    </row>
    <row r="14" spans="1:11" x14ac:dyDescent="0.25">
      <c r="A14" s="127" t="s">
        <v>86</v>
      </c>
      <c r="B14" s="128"/>
      <c r="C14" s="123"/>
      <c r="D14" s="124">
        <f>'App.2-ZA_Com. Exp. (2030)'!I30</f>
        <v>14805885.256827027</v>
      </c>
      <c r="E14" s="171"/>
      <c r="F14" s="129">
        <f>D14*'App.2-ZA_Com. Exp. (2030)'!K30</f>
        <v>2039343.8357350025</v>
      </c>
      <c r="H14" s="124">
        <f>'App.2-ZA_Com. Exp. (2030)'!H30</f>
        <v>183620.99924189661</v>
      </c>
      <c r="I14" s="130"/>
      <c r="J14" s="126">
        <f>H14*'App.2-ZA_Com. Exp. (2030)'!J30</f>
        <v>10986.420502806814</v>
      </c>
      <c r="K14" s="184"/>
    </row>
    <row r="15" spans="1:11" x14ac:dyDescent="0.25">
      <c r="A15" s="127" t="s">
        <v>87</v>
      </c>
      <c r="B15" s="128"/>
      <c r="C15" s="123"/>
      <c r="D15" s="124">
        <f>'App.2-ZA_Com. Exp. (2030)'!I31</f>
        <v>320134666.67662919</v>
      </c>
      <c r="E15" s="171"/>
      <c r="F15" s="129">
        <f>D15*'App.2-ZA_Com. Exp. (2030)'!K31</f>
        <v>44094942.502072014</v>
      </c>
      <c r="H15" s="124">
        <f>'App.2-ZA_Com. Exp. (2030)'!H31</f>
        <v>49917133.786175527</v>
      </c>
      <c r="I15" s="130"/>
      <c r="J15" s="126">
        <f>H15*'App.2-ZA_Com. Exp. (2030)'!J31</f>
        <v>2986644.3616687343</v>
      </c>
      <c r="K15" s="184"/>
    </row>
    <row r="16" spans="1:11" x14ac:dyDescent="0.25">
      <c r="A16" s="127" t="s">
        <v>88</v>
      </c>
      <c r="B16" s="128"/>
      <c r="C16" s="123"/>
      <c r="D16" s="124">
        <f>'App.2-ZA_Com. Exp. (2030)'!I32</f>
        <v>480887826.67313093</v>
      </c>
      <c r="E16" s="171"/>
      <c r="F16" s="129">
        <f>D16*'App.2-ZA_Com. Exp. (2030)'!K32</f>
        <v>66236878.646189086</v>
      </c>
      <c r="H16" s="124">
        <f>'App.2-ZA_Com. Exp. (2030)'!H32</f>
        <v>824627978.97152722</v>
      </c>
      <c r="I16" s="130"/>
      <c r="J16" s="126">
        <f>H16*'App.2-ZA_Com. Exp. (2030)'!J32</f>
        <v>49339181.100011066</v>
      </c>
      <c r="K16" s="184"/>
    </row>
    <row r="17" spans="1:11" x14ac:dyDescent="0.25">
      <c r="A17" s="127" t="s">
        <v>89</v>
      </c>
      <c r="B17" s="128"/>
      <c r="C17" s="123"/>
      <c r="D17" s="124">
        <f>'App.2-ZA_Com. Exp. (2030)'!I33</f>
        <v>9345803.1897141319</v>
      </c>
      <c r="E17" s="171"/>
      <c r="F17" s="129">
        <f>D17*'App.2-ZA_Com. Exp. (2030)'!K33</f>
        <v>1287279.0646643536</v>
      </c>
      <c r="H17" s="124">
        <f>'App.2-ZA_Com. Exp. (2030)'!H33</f>
        <v>56842609.819963478</v>
      </c>
      <c r="I17" s="130"/>
      <c r="J17" s="126">
        <f>H17*'App.2-ZA_Com. Exp. (2030)'!J33</f>
        <v>3401009.7784970766</v>
      </c>
      <c r="K17" s="184"/>
    </row>
    <row r="18" spans="1:11" x14ac:dyDescent="0.25">
      <c r="A18" s="127" t="s">
        <v>90</v>
      </c>
      <c r="B18" s="128"/>
      <c r="C18" s="123"/>
      <c r="D18" s="124">
        <f>'App.2-ZA_Com. Exp. (2030)'!I34</f>
        <v>0</v>
      </c>
      <c r="E18" s="171"/>
      <c r="F18" s="129">
        <f>D18*'App.2-ZA_Com. Exp. (2030)'!K34</f>
        <v>0</v>
      </c>
      <c r="H18" s="124">
        <f>'App.2-ZA_Com. Exp. (2030)'!H34</f>
        <v>74953562.577847838</v>
      </c>
      <c r="I18" s="130"/>
      <c r="J18" s="126">
        <f>H18*'App.2-ZA_Com. Exp. (2030)'!J34</f>
        <v>4484625.1793830255</v>
      </c>
      <c r="K18" s="184"/>
    </row>
    <row r="19" spans="1:11" x14ac:dyDescent="0.25">
      <c r="A19" s="127" t="s">
        <v>91</v>
      </c>
      <c r="B19" s="128"/>
      <c r="C19" s="123"/>
      <c r="D19" s="124">
        <f>'App.2-ZA_Com. Exp. (2030)'!I35</f>
        <v>0</v>
      </c>
      <c r="E19" s="171"/>
      <c r="F19" s="129">
        <f>D19*'App.2-ZA_Com. Exp. (2030)'!K35</f>
        <v>0</v>
      </c>
      <c r="H19" s="124">
        <f>'App.2-ZA_Com. Exp. (2030)'!H35</f>
        <v>16894670.216188662</v>
      </c>
      <c r="I19" s="130"/>
      <c r="J19" s="126">
        <f>H19*'App.2-ZA_Com. Exp. (2030)'!J35</f>
        <v>1010842.7250566004</v>
      </c>
      <c r="K19" s="184"/>
    </row>
    <row r="20" spans="1:11" x14ac:dyDescent="0.25">
      <c r="A20" s="127" t="s">
        <v>92</v>
      </c>
      <c r="B20" s="128"/>
      <c r="C20" s="123"/>
      <c r="D20" s="124">
        <f>'App.2-ZA_Com. Exp. (2030)'!I36</f>
        <v>86504.665740097887</v>
      </c>
      <c r="E20" s="171"/>
      <c r="F20" s="129">
        <f>D20*'App.2-ZA_Com. Exp. (2030)'!K36</f>
        <v>11915.042821099885</v>
      </c>
      <c r="H20" s="124">
        <f>'App.2-ZA_Com. Exp. (2030)'!H36</f>
        <v>0</v>
      </c>
      <c r="I20" s="130"/>
      <c r="J20" s="126">
        <f>H20*'App.2-ZA_Com. Exp. (2030)'!J36</f>
        <v>0</v>
      </c>
      <c r="K20" s="184"/>
    </row>
    <row r="21" spans="1:11" x14ac:dyDescent="0.25">
      <c r="A21" s="127" t="s">
        <v>93</v>
      </c>
      <c r="B21" s="128"/>
      <c r="C21" s="123"/>
      <c r="D21" s="124">
        <f>'App.2-ZA_Com. Exp. (2030)'!I37</f>
        <v>6654151.4505973849</v>
      </c>
      <c r="E21" s="171"/>
      <c r="F21" s="129">
        <f>D21*'App.2-ZA_Com. Exp. (2030)'!K37</f>
        <v>916534.37180094968</v>
      </c>
      <c r="H21" s="124">
        <f>'App.2-ZA_Com. Exp. (2030)'!H37</f>
        <v>4222.7594749306163</v>
      </c>
      <c r="I21" s="130"/>
      <c r="J21" s="126">
        <f>H21*'App.2-ZA_Com. Exp. (2030)'!J37</f>
        <v>252.65634903055255</v>
      </c>
      <c r="K21" s="184"/>
    </row>
    <row r="22" spans="1:11" x14ac:dyDescent="0.25">
      <c r="A22" s="127" t="s">
        <v>94</v>
      </c>
      <c r="B22" s="128"/>
      <c r="C22" s="131"/>
      <c r="D22" s="124">
        <v>0</v>
      </c>
      <c r="E22" s="171"/>
      <c r="F22" s="129">
        <v>0</v>
      </c>
      <c r="H22" s="124">
        <f>'App.2-ZA_Com. Exp. (2030)'!H38</f>
        <v>0</v>
      </c>
      <c r="I22" s="130"/>
      <c r="J22" s="126">
        <v>0</v>
      </c>
      <c r="K22" s="184"/>
    </row>
    <row r="23" spans="1:11" x14ac:dyDescent="0.25">
      <c r="A23" s="127" t="s">
        <v>94</v>
      </c>
      <c r="B23" s="132"/>
      <c r="C23" s="123"/>
      <c r="D23" s="124">
        <v>0</v>
      </c>
      <c r="E23" s="171"/>
      <c r="F23" s="129">
        <v>0</v>
      </c>
      <c r="H23" s="124">
        <f>'App.2-ZA_Com. Exp. (2030)'!H39</f>
        <v>0</v>
      </c>
      <c r="I23" s="130"/>
      <c r="J23" s="126">
        <v>0</v>
      </c>
      <c r="K23" s="184"/>
    </row>
    <row r="24" spans="1:11" x14ac:dyDescent="0.25">
      <c r="A24" s="122" t="s">
        <v>61</v>
      </c>
      <c r="B24" s="127"/>
      <c r="C24" s="123"/>
      <c r="D24" s="124"/>
      <c r="E24" s="133"/>
      <c r="F24" s="129">
        <f>SUM(F13:F23)</f>
        <v>338188436.27254456</v>
      </c>
      <c r="G24" s="127"/>
      <c r="H24" s="124"/>
      <c r="I24" s="134"/>
      <c r="J24" s="135">
        <f>SUM(J13:J23)</f>
        <v>62438135.841893092</v>
      </c>
      <c r="K24" s="136">
        <f>F24+J24</f>
        <v>400626572.11443764</v>
      </c>
    </row>
    <row r="25" spans="1:11" ht="7.5" customHeight="1" x14ac:dyDescent="0.25">
      <c r="D25" s="137"/>
      <c r="I25" s="185"/>
      <c r="J25" s="186"/>
    </row>
    <row r="26" spans="1:11" x14ac:dyDescent="0.25">
      <c r="A26" s="118" t="s">
        <v>62</v>
      </c>
      <c r="B26" s="187" t="s">
        <v>55</v>
      </c>
      <c r="C26" s="119"/>
      <c r="D26" s="189" t="s">
        <v>56</v>
      </c>
      <c r="E26" s="190" t="s">
        <v>57</v>
      </c>
      <c r="F26" s="191" t="s">
        <v>58</v>
      </c>
      <c r="G26" s="8"/>
      <c r="H26" s="193" t="s">
        <v>56</v>
      </c>
      <c r="I26" s="190" t="s">
        <v>57</v>
      </c>
      <c r="J26" s="191" t="s">
        <v>58</v>
      </c>
      <c r="K26" s="189" t="s">
        <v>53</v>
      </c>
    </row>
    <row r="27" spans="1:11" x14ac:dyDescent="0.25">
      <c r="A27" s="122" t="s">
        <v>63</v>
      </c>
      <c r="B27" s="188"/>
      <c r="C27" s="119"/>
      <c r="D27" s="185"/>
      <c r="E27" s="186"/>
      <c r="F27" s="192"/>
      <c r="G27" s="8"/>
      <c r="H27" s="194"/>
      <c r="I27" s="186"/>
      <c r="J27" s="192"/>
      <c r="K27" s="195"/>
    </row>
    <row r="28" spans="1:11" x14ac:dyDescent="0.25">
      <c r="A28" s="127" t="str">
        <f>IF(A13="","",A13 &amp; " - Class B")</f>
        <v>Residential - Class B</v>
      </c>
      <c r="B28" s="128"/>
      <c r="C28" s="123"/>
      <c r="D28" s="77"/>
      <c r="E28" s="77"/>
      <c r="F28" s="141">
        <f>D28*E28</f>
        <v>0</v>
      </c>
      <c r="H28" s="142"/>
      <c r="I28" s="77"/>
      <c r="J28" s="126">
        <f>'App.2-ZA_Com. Exp. (2030)'!L55</f>
        <v>1355281.1218510903</v>
      </c>
      <c r="K28" s="184"/>
    </row>
    <row r="29" spans="1:11" x14ac:dyDescent="0.25">
      <c r="A29" s="127" t="str">
        <f t="shared" ref="A29:A38" si="0">IF(A14="","",A14 &amp; " - Class B")</f>
        <v>Residential Seasonal - Class B</v>
      </c>
      <c r="B29" s="128"/>
      <c r="C29" s="123"/>
      <c r="D29" s="77"/>
      <c r="E29" s="77"/>
      <c r="F29" s="141">
        <f t="shared" ref="F29:F38" si="1">D29*E29</f>
        <v>0</v>
      </c>
      <c r="H29" s="142"/>
      <c r="I29" s="77"/>
      <c r="J29" s="126">
        <f>'App.2-ZA_Com. Exp. (2030)'!L56</f>
        <v>12360.756400919407</v>
      </c>
      <c r="K29" s="184"/>
    </row>
    <row r="30" spans="1:11" x14ac:dyDescent="0.25">
      <c r="A30" s="127" t="str">
        <f t="shared" si="0"/>
        <v>GS&lt;50 - Class B</v>
      </c>
      <c r="B30" s="128"/>
      <c r="C30" s="123"/>
      <c r="D30" s="77"/>
      <c r="E30" s="77"/>
      <c r="F30" s="141">
        <f t="shared" si="1"/>
        <v>0</v>
      </c>
      <c r="H30" s="142"/>
      <c r="I30" s="77"/>
      <c r="J30" s="126">
        <f>'App.2-ZA_Com. Exp. (2030)'!L57</f>
        <v>3360255.8177465587</v>
      </c>
      <c r="K30" s="184"/>
    </row>
    <row r="31" spans="1:11" x14ac:dyDescent="0.25">
      <c r="A31" s="127" t="str">
        <f t="shared" si="0"/>
        <v>GS 50 - 2,999 - Class B</v>
      </c>
      <c r="B31" s="128"/>
      <c r="C31" s="123"/>
      <c r="D31" s="77"/>
      <c r="E31" s="77"/>
      <c r="F31" s="141">
        <f t="shared" si="1"/>
        <v>0</v>
      </c>
      <c r="H31" s="142"/>
      <c r="I31" s="77"/>
      <c r="J31" s="126">
        <f>'App.2-ZA_Com. Exp. (2030)'!L58</f>
        <v>55511219.367788993</v>
      </c>
      <c r="K31" s="184"/>
    </row>
    <row r="32" spans="1:11" x14ac:dyDescent="0.25">
      <c r="A32" s="127" t="str">
        <f t="shared" si="0"/>
        <v>GS 3,000 - 4,999 - Class B</v>
      </c>
      <c r="B32" s="128"/>
      <c r="C32" s="123"/>
      <c r="D32" s="77"/>
      <c r="E32" s="77"/>
      <c r="F32" s="141">
        <f t="shared" si="1"/>
        <v>0</v>
      </c>
      <c r="H32" s="142"/>
      <c r="I32" s="77"/>
      <c r="J32" s="126">
        <f>'App.2-ZA_Com. Exp. (2030)'!L59</f>
        <v>3826455.8850998911</v>
      </c>
      <c r="K32" s="184"/>
    </row>
    <row r="33" spans="1:12" x14ac:dyDescent="0.25">
      <c r="A33" s="127" t="str">
        <f t="shared" si="0"/>
        <v>Large Use - Class B</v>
      </c>
      <c r="B33" s="128"/>
      <c r="C33" s="123"/>
      <c r="D33" s="77"/>
      <c r="E33" s="77"/>
      <c r="F33" s="141">
        <f t="shared" si="1"/>
        <v>0</v>
      </c>
      <c r="H33" s="142"/>
      <c r="I33" s="77"/>
      <c r="J33" s="126">
        <f>'App.2-ZA_Com. Exp. (2030)'!L60</f>
        <v>5045625.1312810164</v>
      </c>
      <c r="K33" s="184"/>
    </row>
    <row r="34" spans="1:12" x14ac:dyDescent="0.25">
      <c r="A34" s="127" t="str">
        <f t="shared" si="0"/>
        <v>Street Light - Class B</v>
      </c>
      <c r="B34" s="128"/>
      <c r="C34" s="123"/>
      <c r="D34" s="77"/>
      <c r="E34" s="77"/>
      <c r="F34" s="141">
        <f t="shared" si="1"/>
        <v>0</v>
      </c>
      <c r="H34" s="142"/>
      <c r="I34" s="77"/>
      <c r="J34" s="126">
        <f>'App.2-ZA_Com. Exp. (2030)'!L61</f>
        <v>1137293.1411895277</v>
      </c>
      <c r="K34" s="184"/>
    </row>
    <row r="35" spans="1:12" x14ac:dyDescent="0.25">
      <c r="A35" s="127" t="str">
        <f t="shared" si="0"/>
        <v>Sentinel Light - Class B</v>
      </c>
      <c r="B35" s="128"/>
      <c r="C35" s="123"/>
      <c r="D35" s="77"/>
      <c r="E35" s="77"/>
      <c r="F35" s="141">
        <f t="shared" si="1"/>
        <v>0</v>
      </c>
      <c r="H35" s="142"/>
      <c r="I35" s="77"/>
      <c r="J35" s="126">
        <f>'App.2-ZA_Com. Exp. (2030)'!L62</f>
        <v>0</v>
      </c>
      <c r="K35" s="184"/>
    </row>
    <row r="36" spans="1:12" x14ac:dyDescent="0.25">
      <c r="A36" s="127" t="str">
        <f t="shared" si="0"/>
        <v>USL - Class B</v>
      </c>
      <c r="B36" s="128"/>
      <c r="C36" s="123"/>
      <c r="D36" s="77"/>
      <c r="E36" s="77"/>
      <c r="F36" s="141">
        <f t="shared" si="1"/>
        <v>0</v>
      </c>
      <c r="H36" s="142"/>
      <c r="I36" s="77"/>
      <c r="J36" s="126">
        <f>'App.2-ZA_Com. Exp. (2030)'!L63</f>
        <v>284.26215642432942</v>
      </c>
      <c r="K36" s="184"/>
    </row>
    <row r="37" spans="1:12" x14ac:dyDescent="0.25">
      <c r="A37" s="127" t="str">
        <f t="shared" si="0"/>
        <v/>
      </c>
      <c r="B37" s="128"/>
      <c r="C37" s="123"/>
      <c r="D37" s="77"/>
      <c r="E37" s="77"/>
      <c r="F37" s="141">
        <f t="shared" si="1"/>
        <v>0</v>
      </c>
      <c r="H37" s="142"/>
      <c r="I37" s="77"/>
      <c r="J37" s="126">
        <v>0</v>
      </c>
      <c r="K37" s="184"/>
    </row>
    <row r="38" spans="1:12" x14ac:dyDescent="0.25">
      <c r="A38" s="127" t="str">
        <f t="shared" si="0"/>
        <v/>
      </c>
      <c r="B38" s="128"/>
      <c r="C38" s="123"/>
      <c r="D38" s="77"/>
      <c r="E38" s="77"/>
      <c r="F38" s="141">
        <f t="shared" si="1"/>
        <v>0</v>
      </c>
      <c r="H38" s="142"/>
      <c r="I38" s="77"/>
      <c r="J38" s="126">
        <v>0</v>
      </c>
      <c r="K38" s="184"/>
    </row>
    <row r="39" spans="1:12" x14ac:dyDescent="0.25">
      <c r="A39" s="127" t="s">
        <v>94</v>
      </c>
      <c r="B39" s="128"/>
      <c r="C39" s="123"/>
      <c r="D39" s="77"/>
      <c r="E39" s="77"/>
      <c r="F39" s="141">
        <f>D39*E39</f>
        <v>0</v>
      </c>
      <c r="H39" s="142"/>
      <c r="I39" s="77"/>
      <c r="J39" s="126">
        <f>'App.2-ZA_Com. Exp. (2030)'!L45</f>
        <v>1600.0028000997779</v>
      </c>
      <c r="K39" s="184"/>
    </row>
    <row r="40" spans="1:12" x14ac:dyDescent="0.25">
      <c r="A40" s="127" t="s">
        <v>94</v>
      </c>
      <c r="B40" s="128"/>
      <c r="C40" s="123"/>
      <c r="D40" s="77"/>
      <c r="E40" s="77"/>
      <c r="F40" s="141">
        <f>D40*E40</f>
        <v>0</v>
      </c>
      <c r="H40" s="142"/>
      <c r="I40" s="77"/>
      <c r="J40" s="126">
        <f>'App.2-ZA_Com. Exp. (2030)'!L46</f>
        <v>3415670.736622123</v>
      </c>
      <c r="K40" s="184"/>
    </row>
    <row r="41" spans="1:12" x14ac:dyDescent="0.25">
      <c r="A41" s="127" t="s">
        <v>94</v>
      </c>
      <c r="B41" s="128"/>
      <c r="C41" s="123"/>
      <c r="D41" s="77"/>
      <c r="E41" s="77"/>
      <c r="F41" s="141">
        <f>D41*E41</f>
        <v>0</v>
      </c>
      <c r="H41" s="142"/>
      <c r="I41" s="77"/>
      <c r="J41" s="126">
        <f>'App.2-ZA_Com. Exp. (2030)'!L47</f>
        <v>9571893.680560803</v>
      </c>
      <c r="K41" s="184"/>
      <c r="L41" s="8"/>
    </row>
    <row r="42" spans="1:12" x14ac:dyDescent="0.25">
      <c r="A42" s="127" t="s">
        <v>94</v>
      </c>
      <c r="B42" s="128"/>
      <c r="C42" s="123"/>
      <c r="D42" s="77"/>
      <c r="E42" s="77"/>
      <c r="F42" s="141">
        <f>D42*E42</f>
        <v>0</v>
      </c>
      <c r="H42" s="142"/>
      <c r="I42" s="77"/>
      <c r="J42" s="126">
        <f>'App.2-ZA_Com. Exp. (2030)'!L48</f>
        <v>18720393.960937433</v>
      </c>
      <c r="K42" s="184"/>
    </row>
    <row r="43" spans="1:12" x14ac:dyDescent="0.25">
      <c r="A43" s="127" t="s">
        <v>94</v>
      </c>
      <c r="B43" s="128"/>
      <c r="C43" s="123"/>
      <c r="D43" s="77"/>
      <c r="E43" s="77"/>
      <c r="F43" s="141">
        <f>D43*E43</f>
        <v>0</v>
      </c>
      <c r="H43" s="142"/>
      <c r="I43" s="77"/>
      <c r="J43" s="126">
        <v>0</v>
      </c>
      <c r="K43" s="184"/>
    </row>
    <row r="44" spans="1:12" x14ac:dyDescent="0.25">
      <c r="A44" s="122" t="s">
        <v>61</v>
      </c>
      <c r="B44" s="143"/>
      <c r="C44" s="123"/>
      <c r="D44" s="134"/>
      <c r="E44" s="133"/>
      <c r="F44" s="127">
        <f>SUM(F28:F43)</f>
        <v>0</v>
      </c>
      <c r="G44" s="127"/>
      <c r="H44" s="133"/>
      <c r="I44" s="133"/>
      <c r="J44" s="144">
        <f>SUM(J28:J43)</f>
        <v>101958333.8644349</v>
      </c>
      <c r="K44" s="136">
        <f>F44+J44</f>
        <v>101958333.8644349</v>
      </c>
      <c r="L44" s="145"/>
    </row>
    <row r="45" spans="1:12" ht="8.25" customHeight="1" x14ac:dyDescent="0.25">
      <c r="B45" s="137"/>
      <c r="D45" s="137"/>
    </row>
    <row r="46" spans="1:12" x14ac:dyDescent="0.25">
      <c r="A46" s="118" t="s">
        <v>64</v>
      </c>
      <c r="B46" s="186"/>
      <c r="C46" s="119"/>
      <c r="D46" s="185" t="s">
        <v>65</v>
      </c>
      <c r="E46" s="184" t="s">
        <v>57</v>
      </c>
      <c r="F46" s="191" t="s">
        <v>58</v>
      </c>
      <c r="G46" s="8"/>
      <c r="H46" s="193" t="s">
        <v>56</v>
      </c>
      <c r="I46" s="184" t="s">
        <v>57</v>
      </c>
      <c r="J46" s="191" t="s">
        <v>58</v>
      </c>
      <c r="K46" s="189" t="s">
        <v>53</v>
      </c>
    </row>
    <row r="47" spans="1:12" x14ac:dyDescent="0.25">
      <c r="A47" s="122" t="s">
        <v>63</v>
      </c>
      <c r="B47" s="196"/>
      <c r="C47" s="139"/>
      <c r="D47" s="195"/>
      <c r="E47" s="184"/>
      <c r="F47" s="192"/>
      <c r="G47" s="8"/>
      <c r="H47" s="197"/>
      <c r="I47" s="184"/>
      <c r="J47" s="192"/>
      <c r="K47" s="195"/>
    </row>
    <row r="48" spans="1:12" x14ac:dyDescent="0.25">
      <c r="A48" s="127" t="str">
        <f>IF(A13="","",A13)</f>
        <v>Residential</v>
      </c>
      <c r="B48" s="128"/>
      <c r="C48" s="123"/>
      <c r="D48" s="146">
        <v>1623374503.1475997</v>
      </c>
      <c r="E48" s="147">
        <v>1.5299999999999999E-2</v>
      </c>
      <c r="F48" s="148">
        <f>D48*E48</f>
        <v>24837629.898158275</v>
      </c>
      <c r="H48" s="146">
        <v>20132916.285727102</v>
      </c>
      <c r="I48" s="147">
        <f>E48</f>
        <v>1.5299999999999999E-2</v>
      </c>
      <c r="J48" s="148">
        <f>H48*I48</f>
        <v>308033.61917162465</v>
      </c>
      <c r="K48" s="184"/>
    </row>
    <row r="49" spans="1:11" x14ac:dyDescent="0.25">
      <c r="A49" s="127" t="str">
        <f t="shared" ref="A49:A51" si="2">IF(A14="","",A14)</f>
        <v>Residential Seasonal</v>
      </c>
      <c r="B49" s="128"/>
      <c r="C49" s="131"/>
      <c r="D49" s="146">
        <v>14805885.256827027</v>
      </c>
      <c r="E49" s="147">
        <v>1.54E-2</v>
      </c>
      <c r="F49" s="148">
        <f t="shared" ref="F49:F60" si="3">D49*E49</f>
        <v>228010.63295513621</v>
      </c>
      <c r="H49" s="146">
        <v>183620.99924189661</v>
      </c>
      <c r="I49" s="147">
        <f t="shared" ref="I49:I58" si="4">E49</f>
        <v>1.54E-2</v>
      </c>
      <c r="J49" s="148">
        <f t="shared" ref="J49:J59" si="5">H49*I49</f>
        <v>2827.7633883252079</v>
      </c>
      <c r="K49" s="184"/>
    </row>
    <row r="50" spans="1:11" x14ac:dyDescent="0.25">
      <c r="A50" s="127" t="str">
        <f t="shared" si="2"/>
        <v>GS&lt;50</v>
      </c>
      <c r="B50" s="128"/>
      <c r="C50" s="131"/>
      <c r="D50" s="146">
        <v>320134666.67662919</v>
      </c>
      <c r="E50" s="147">
        <v>1.3899999999999999E-2</v>
      </c>
      <c r="F50" s="148">
        <f t="shared" si="3"/>
        <v>4449871.8668051455</v>
      </c>
      <c r="H50" s="146">
        <v>49964967.993540533</v>
      </c>
      <c r="I50" s="147">
        <f t="shared" si="4"/>
        <v>1.3899999999999999E-2</v>
      </c>
      <c r="J50" s="148">
        <f t="shared" si="5"/>
        <v>694513.05511021335</v>
      </c>
      <c r="K50" s="184"/>
    </row>
    <row r="51" spans="1:11" x14ac:dyDescent="0.25">
      <c r="A51" s="127" t="str">
        <f t="shared" si="2"/>
        <v>GS 50 - 2,999</v>
      </c>
      <c r="B51" s="128"/>
      <c r="C51" s="131"/>
      <c r="D51" s="146">
        <v>2212912.3090463248</v>
      </c>
      <c r="E51" s="147">
        <v>6.4134000000000002</v>
      </c>
      <c r="F51" s="148">
        <f t="shared" si="3"/>
        <v>14192291.8028377</v>
      </c>
      <c r="H51" s="146">
        <v>1110819.8414088185</v>
      </c>
      <c r="I51" s="147">
        <f t="shared" si="4"/>
        <v>6.4134000000000002</v>
      </c>
      <c r="J51" s="148">
        <f t="shared" si="5"/>
        <v>7124131.9708913164</v>
      </c>
      <c r="K51" s="184"/>
    </row>
    <row r="52" spans="1:11" x14ac:dyDescent="0.25">
      <c r="A52" s="127" t="str">
        <f>A51&amp;" EV"</f>
        <v>GS 50 - 2,999 EV</v>
      </c>
      <c r="B52" s="128"/>
      <c r="C52" s="131"/>
      <c r="D52" s="146"/>
      <c r="E52" s="147">
        <v>1.0942000000000001</v>
      </c>
      <c r="F52" s="148"/>
      <c r="H52" s="146">
        <v>37461.240867341046</v>
      </c>
      <c r="I52" s="147">
        <f t="shared" si="4"/>
        <v>1.0942000000000001</v>
      </c>
      <c r="J52" s="148">
        <f t="shared" si="5"/>
        <v>40990.089757044574</v>
      </c>
      <c r="K52" s="184"/>
    </row>
    <row r="53" spans="1:11" x14ac:dyDescent="0.25">
      <c r="A53" s="127" t="str">
        <f>IF(A17="","",A17)</f>
        <v>GS 3,000 - 4,999</v>
      </c>
      <c r="B53" s="128"/>
      <c r="C53" s="131"/>
      <c r="D53" s="146">
        <v>724266.74613438582</v>
      </c>
      <c r="E53" s="147">
        <v>6.7971000000000004</v>
      </c>
      <c r="F53" s="148">
        <f t="shared" si="3"/>
        <v>4922913.5001500342</v>
      </c>
      <c r="H53" s="146">
        <v>19733.862475906062</v>
      </c>
      <c r="I53" s="147">
        <f t="shared" si="4"/>
        <v>6.7971000000000004</v>
      </c>
      <c r="J53" s="148">
        <f t="shared" si="5"/>
        <v>134133.03663498111</v>
      </c>
      <c r="K53" s="184"/>
    </row>
    <row r="54" spans="1:11" x14ac:dyDescent="0.25">
      <c r="A54" s="127" t="str">
        <f>A53&amp;" EV"</f>
        <v>GS 3,000 - 4,999 EV</v>
      </c>
      <c r="B54" s="128"/>
      <c r="C54" s="131"/>
      <c r="D54" s="146"/>
      <c r="E54" s="147">
        <v>1.1555070000000001</v>
      </c>
      <c r="F54" s="148"/>
      <c r="H54" s="146"/>
      <c r="I54" s="147">
        <f t="shared" si="4"/>
        <v>1.1555070000000001</v>
      </c>
      <c r="J54" s="148">
        <f t="shared" si="5"/>
        <v>0</v>
      </c>
      <c r="K54" s="184"/>
    </row>
    <row r="55" spans="1:11" x14ac:dyDescent="0.25">
      <c r="A55" s="127" t="str">
        <f t="shared" ref="A55:A60" si="6">IF(A18="","",A18)</f>
        <v>Large Use</v>
      </c>
      <c r="B55" s="128"/>
      <c r="C55" s="131"/>
      <c r="D55" s="146">
        <v>1100817.9804563508</v>
      </c>
      <c r="E55" s="147">
        <v>7.2431000000000001</v>
      </c>
      <c r="F55" s="148">
        <f t="shared" si="3"/>
        <v>7973334.7142433953</v>
      </c>
      <c r="H55" s="146">
        <v>0</v>
      </c>
      <c r="I55" s="147">
        <f t="shared" si="4"/>
        <v>7.2431000000000001</v>
      </c>
      <c r="J55" s="148">
        <f t="shared" si="5"/>
        <v>0</v>
      </c>
      <c r="K55" s="184"/>
    </row>
    <row r="56" spans="1:11" x14ac:dyDescent="0.25">
      <c r="A56" s="127" t="str">
        <f t="shared" si="6"/>
        <v>Street Light</v>
      </c>
      <c r="B56" s="128"/>
      <c r="C56" s="123"/>
      <c r="D56" s="146">
        <v>45205.829194696213</v>
      </c>
      <c r="E56" s="147">
        <v>4.3630000000000004</v>
      </c>
      <c r="F56" s="148">
        <f t="shared" si="3"/>
        <v>197233.03277645959</v>
      </c>
      <c r="H56" s="146">
        <v>0</v>
      </c>
      <c r="I56" s="147">
        <f t="shared" si="4"/>
        <v>4.3630000000000004</v>
      </c>
      <c r="J56" s="148">
        <f t="shared" si="5"/>
        <v>0</v>
      </c>
      <c r="K56" s="184"/>
    </row>
    <row r="57" spans="1:11" x14ac:dyDescent="0.25">
      <c r="A57" s="127" t="str">
        <f t="shared" si="6"/>
        <v>Sentinel Light</v>
      </c>
      <c r="B57" s="128"/>
      <c r="C57" s="123"/>
      <c r="D57" s="146">
        <v>0</v>
      </c>
      <c r="E57" s="147">
        <v>4.1567999999999996</v>
      </c>
      <c r="F57" s="148">
        <f t="shared" si="3"/>
        <v>0</v>
      </c>
      <c r="H57" s="146">
        <v>625.44345118936644</v>
      </c>
      <c r="I57" s="147">
        <f t="shared" si="4"/>
        <v>4.1567999999999996</v>
      </c>
      <c r="J57" s="148">
        <f t="shared" si="5"/>
        <v>2599.8433379039584</v>
      </c>
      <c r="K57" s="184"/>
    </row>
    <row r="58" spans="1:11" x14ac:dyDescent="0.25">
      <c r="A58" s="127" t="str">
        <f t="shared" si="6"/>
        <v>USL</v>
      </c>
      <c r="B58" s="128"/>
      <c r="C58" s="123"/>
      <c r="D58" s="146">
        <v>6654151.4505973849</v>
      </c>
      <c r="E58" s="147">
        <v>1.3899999999999999E-2</v>
      </c>
      <c r="F58" s="148">
        <f t="shared" si="3"/>
        <v>92492.705163303646</v>
      </c>
      <c r="H58" s="146">
        <v>4222.7594749306163</v>
      </c>
      <c r="I58" s="147">
        <f t="shared" si="4"/>
        <v>1.3899999999999999E-2</v>
      </c>
      <c r="J58" s="148">
        <f t="shared" si="5"/>
        <v>58.696356701535564</v>
      </c>
      <c r="K58" s="184"/>
    </row>
    <row r="59" spans="1:11" x14ac:dyDescent="0.25">
      <c r="A59" s="127" t="str">
        <f t="shared" si="6"/>
        <v/>
      </c>
      <c r="B59" s="128"/>
      <c r="C59" s="123"/>
      <c r="D59" s="150"/>
      <c r="E59" s="149"/>
      <c r="F59" s="148">
        <f t="shared" si="3"/>
        <v>0</v>
      </c>
      <c r="H59" s="150"/>
      <c r="I59" s="150"/>
      <c r="J59" s="148">
        <f t="shared" si="5"/>
        <v>0</v>
      </c>
      <c r="K59" s="184"/>
    </row>
    <row r="60" spans="1:11" x14ac:dyDescent="0.25">
      <c r="A60" s="127" t="str">
        <f t="shared" si="6"/>
        <v/>
      </c>
      <c r="B60" s="128"/>
      <c r="C60" s="123"/>
      <c r="D60" s="150"/>
      <c r="E60" s="149"/>
      <c r="F60" s="148">
        <f t="shared" si="3"/>
        <v>0</v>
      </c>
      <c r="H60" s="150"/>
      <c r="I60" s="150"/>
      <c r="J60" s="148">
        <f>H60*I60</f>
        <v>0</v>
      </c>
      <c r="K60" s="184"/>
    </row>
    <row r="61" spans="1:11" x14ac:dyDescent="0.25">
      <c r="A61" s="122" t="s">
        <v>61</v>
      </c>
      <c r="B61" s="143"/>
      <c r="C61" s="123"/>
      <c r="D61" s="144"/>
      <c r="E61" s="151"/>
      <c r="F61" s="144">
        <f>SUM(F48:F60)</f>
        <v>56893778.153089449</v>
      </c>
      <c r="G61" s="127"/>
      <c r="H61" s="124"/>
      <c r="I61" s="127"/>
      <c r="J61" s="144">
        <f>SUM(J48:J60)</f>
        <v>8307288.0746481102</v>
      </c>
      <c r="K61" s="148">
        <f>F61+J61</f>
        <v>65201066.227737561</v>
      </c>
    </row>
    <row r="62" spans="1:11" ht="5.25" customHeight="1" x14ac:dyDescent="0.25"/>
    <row r="63" spans="1:11" x14ac:dyDescent="0.25">
      <c r="A63" s="118" t="s">
        <v>66</v>
      </c>
      <c r="B63" s="190"/>
      <c r="C63" s="119"/>
      <c r="D63" s="189"/>
      <c r="E63" s="184"/>
      <c r="F63" s="191"/>
      <c r="G63" s="8"/>
      <c r="H63" s="193"/>
      <c r="I63" s="184"/>
      <c r="J63" s="191" t="s">
        <v>58</v>
      </c>
      <c r="K63" s="189" t="s">
        <v>53</v>
      </c>
    </row>
    <row r="64" spans="1:11" x14ac:dyDescent="0.25">
      <c r="A64" s="122" t="s">
        <v>63</v>
      </c>
      <c r="B64" s="196"/>
      <c r="C64" s="139"/>
      <c r="D64" s="195"/>
      <c r="E64" s="184"/>
      <c r="F64" s="192"/>
      <c r="G64" s="8"/>
      <c r="H64" s="197"/>
      <c r="I64" s="184"/>
      <c r="J64" s="192"/>
      <c r="K64" s="195"/>
    </row>
    <row r="65" spans="1:11" x14ac:dyDescent="0.25">
      <c r="A65" s="127" t="str">
        <f>IF(A48="","",A48)</f>
        <v>Residential</v>
      </c>
      <c r="B65" s="128"/>
      <c r="C65" s="123"/>
      <c r="D65" s="146">
        <f>D48</f>
        <v>1623374503.1475997</v>
      </c>
      <c r="E65" s="147">
        <v>1.11E-2</v>
      </c>
      <c r="F65" s="148">
        <f>D65*E65</f>
        <v>18019456.984938357</v>
      </c>
      <c r="H65" s="146">
        <f t="shared" ref="H65:H70" si="7">H48</f>
        <v>20132916.285727102</v>
      </c>
      <c r="I65" s="147">
        <f>E65</f>
        <v>1.11E-2</v>
      </c>
      <c r="J65" s="148">
        <f>H65*I65</f>
        <v>223475.37077157086</v>
      </c>
      <c r="K65" s="184"/>
    </row>
    <row r="66" spans="1:11" x14ac:dyDescent="0.25">
      <c r="A66" s="127" t="str">
        <f>IF(A49="","",A49)</f>
        <v>Residential Seasonal</v>
      </c>
      <c r="B66" s="128"/>
      <c r="C66" s="123"/>
      <c r="D66" s="146">
        <f>D49</f>
        <v>14805885.256827027</v>
      </c>
      <c r="E66" s="147">
        <v>1.34E-2</v>
      </c>
      <c r="F66" s="148">
        <f>D66*E66</f>
        <v>198398.86244148217</v>
      </c>
      <c r="H66" s="146">
        <f t="shared" si="7"/>
        <v>183620.99924189661</v>
      </c>
      <c r="I66" s="147">
        <f t="shared" ref="I66:I73" si="8">E66</f>
        <v>1.34E-2</v>
      </c>
      <c r="J66" s="148">
        <f t="shared" ref="J66:J74" si="9">H66*I66</f>
        <v>2460.5213898414149</v>
      </c>
      <c r="K66" s="184"/>
    </row>
    <row r="67" spans="1:11" x14ac:dyDescent="0.25">
      <c r="A67" s="127" t="str">
        <f>IF(A50="","",A50)</f>
        <v>GS&lt;50</v>
      </c>
      <c r="B67" s="128"/>
      <c r="C67" s="123"/>
      <c r="D67" s="146">
        <f>D50</f>
        <v>320134666.67662919</v>
      </c>
      <c r="E67" s="147">
        <v>1.03E-2</v>
      </c>
      <c r="F67" s="148">
        <f t="shared" ref="F67:F75" si="10">D67*E67</f>
        <v>3297387.0667692805</v>
      </c>
      <c r="H67" s="146">
        <f t="shared" si="7"/>
        <v>49964967.993540533</v>
      </c>
      <c r="I67" s="147">
        <f t="shared" si="8"/>
        <v>1.03E-2</v>
      </c>
      <c r="J67" s="148">
        <f t="shared" si="9"/>
        <v>514639.17033346748</v>
      </c>
      <c r="K67" s="184"/>
    </row>
    <row r="68" spans="1:11" x14ac:dyDescent="0.25">
      <c r="A68" s="127" t="str">
        <f>IF(A51="","",A51)</f>
        <v>GS 50 - 2,999</v>
      </c>
      <c r="B68" s="128"/>
      <c r="C68" s="123"/>
      <c r="D68" s="146">
        <f>D51</f>
        <v>2212912.3090463248</v>
      </c>
      <c r="E68" s="147">
        <v>4.5353000000000003</v>
      </c>
      <c r="F68" s="148">
        <f t="shared" si="10"/>
        <v>10036221.195217798</v>
      </c>
      <c r="H68" s="146">
        <f t="shared" si="7"/>
        <v>1110819.8414088185</v>
      </c>
      <c r="I68" s="147">
        <f t="shared" si="8"/>
        <v>4.5353000000000003</v>
      </c>
      <c r="J68" s="148">
        <f t="shared" si="9"/>
        <v>5037901.2267414145</v>
      </c>
      <c r="K68" s="184"/>
    </row>
    <row r="69" spans="1:11" x14ac:dyDescent="0.25">
      <c r="A69" s="127" t="str">
        <f>A68&amp;" EV"</f>
        <v>GS 50 - 2,999 EV</v>
      </c>
      <c r="B69" s="128"/>
      <c r="C69" s="123"/>
      <c r="D69" s="146"/>
      <c r="E69" s="147">
        <v>0.7702</v>
      </c>
      <c r="F69" s="148"/>
      <c r="H69" s="146">
        <f t="shared" si="7"/>
        <v>37461.240867341046</v>
      </c>
      <c r="I69" s="147">
        <f t="shared" si="8"/>
        <v>0.7702</v>
      </c>
      <c r="J69" s="148">
        <f t="shared" si="9"/>
        <v>28852.647716026073</v>
      </c>
      <c r="K69" s="184"/>
    </row>
    <row r="70" spans="1:11" x14ac:dyDescent="0.25">
      <c r="A70" s="127" t="str">
        <f>IF(A53="","",A53)</f>
        <v>GS 3,000 - 4,999</v>
      </c>
      <c r="B70" s="128"/>
      <c r="C70" s="123"/>
      <c r="D70" s="146">
        <f>D53</f>
        <v>724266.74613438582</v>
      </c>
      <c r="E70" s="147">
        <v>3.2044999999999999</v>
      </c>
      <c r="F70" s="148">
        <f t="shared" si="10"/>
        <v>2320912.7879876392</v>
      </c>
      <c r="H70" s="146">
        <f t="shared" si="7"/>
        <v>19733.862475906062</v>
      </c>
      <c r="I70" s="147">
        <f t="shared" si="8"/>
        <v>3.2044999999999999</v>
      </c>
      <c r="J70" s="148">
        <f t="shared" si="9"/>
        <v>63237.162304040976</v>
      </c>
      <c r="K70" s="184"/>
    </row>
    <row r="71" spans="1:11" x14ac:dyDescent="0.25">
      <c r="A71" s="127" t="str">
        <f>A70&amp;" EV"</f>
        <v>GS 3,000 - 4,999 EV</v>
      </c>
      <c r="B71" s="128"/>
      <c r="C71" s="123"/>
      <c r="D71" s="146"/>
      <c r="E71" s="147">
        <v>0.54476500000000005</v>
      </c>
      <c r="F71" s="148"/>
      <c r="H71" s="146"/>
      <c r="I71" s="147">
        <f t="shared" si="8"/>
        <v>0.54476500000000005</v>
      </c>
      <c r="J71" s="148">
        <f t="shared" si="9"/>
        <v>0</v>
      </c>
      <c r="K71" s="184"/>
    </row>
    <row r="72" spans="1:11" x14ac:dyDescent="0.25">
      <c r="A72" s="127" t="str">
        <f t="shared" ref="A72:A77" si="11">IF(A55="","",A55)</f>
        <v>Large Use</v>
      </c>
      <c r="B72" s="128"/>
      <c r="C72" s="133"/>
      <c r="D72" s="146">
        <f>D55</f>
        <v>1100817.9804563508</v>
      </c>
      <c r="E72" s="147">
        <v>4.9511000000000003</v>
      </c>
      <c r="F72" s="148">
        <f t="shared" si="10"/>
        <v>5450259.9030374391</v>
      </c>
      <c r="H72" s="146">
        <f>H55</f>
        <v>0</v>
      </c>
      <c r="I72" s="147">
        <f t="shared" si="8"/>
        <v>4.9511000000000003</v>
      </c>
      <c r="J72" s="148">
        <f t="shared" si="9"/>
        <v>0</v>
      </c>
      <c r="K72" s="184"/>
    </row>
    <row r="73" spans="1:11" x14ac:dyDescent="0.25">
      <c r="A73" s="127" t="str">
        <f t="shared" si="11"/>
        <v>Street Light</v>
      </c>
      <c r="B73" s="128"/>
      <c r="C73" s="152"/>
      <c r="D73" s="146">
        <f>D56</f>
        <v>45205.829194696213</v>
      </c>
      <c r="E73" s="147">
        <v>3.1040000000000001</v>
      </c>
      <c r="F73" s="148">
        <f t="shared" si="10"/>
        <v>140318.89382033705</v>
      </c>
      <c r="H73" s="146">
        <f>H56</f>
        <v>0</v>
      </c>
      <c r="I73" s="147">
        <f t="shared" si="8"/>
        <v>3.1040000000000001</v>
      </c>
      <c r="J73" s="148">
        <f t="shared" si="9"/>
        <v>0</v>
      </c>
      <c r="K73" s="184"/>
    </row>
    <row r="74" spans="1:11" x14ac:dyDescent="0.25">
      <c r="A74" s="127" t="str">
        <f t="shared" si="11"/>
        <v>Sentinel Light</v>
      </c>
      <c r="B74" s="128"/>
      <c r="C74" s="152"/>
      <c r="D74" s="146">
        <f>D57</f>
        <v>0</v>
      </c>
      <c r="E74" s="147">
        <v>2.9388999999999998</v>
      </c>
      <c r="F74" s="148">
        <f t="shared" si="10"/>
        <v>0</v>
      </c>
      <c r="H74" s="146">
        <f>H57</f>
        <v>625.44345118936644</v>
      </c>
      <c r="I74" s="147">
        <f t="shared" ref="I74:I75" si="12">E74</f>
        <v>2.9388999999999998</v>
      </c>
      <c r="J74" s="148">
        <f t="shared" si="9"/>
        <v>1838.1157587004288</v>
      </c>
      <c r="K74" s="184"/>
    </row>
    <row r="75" spans="1:11" x14ac:dyDescent="0.25">
      <c r="A75" s="127" t="str">
        <f t="shared" si="11"/>
        <v>USL</v>
      </c>
      <c r="B75" s="128"/>
      <c r="C75" s="152"/>
      <c r="D75" s="146">
        <f>D58</f>
        <v>6654151.4505973849</v>
      </c>
      <c r="E75" s="147">
        <v>1.04E-2</v>
      </c>
      <c r="F75" s="148">
        <f t="shared" si="10"/>
        <v>69203.175086212796</v>
      </c>
      <c r="H75" s="146">
        <f>H58</f>
        <v>4222.7594749306163</v>
      </c>
      <c r="I75" s="147">
        <f t="shared" si="12"/>
        <v>1.04E-2</v>
      </c>
      <c r="J75" s="148">
        <f>H75*I75</f>
        <v>43.916698539278407</v>
      </c>
      <c r="K75" s="184"/>
    </row>
    <row r="76" spans="1:11" x14ac:dyDescent="0.25">
      <c r="A76" s="127" t="str">
        <f t="shared" si="11"/>
        <v/>
      </c>
      <c r="B76" s="128"/>
      <c r="C76" s="152"/>
      <c r="D76" s="150"/>
      <c r="E76" s="150"/>
      <c r="F76" s="148">
        <f>D76*E76</f>
        <v>0</v>
      </c>
      <c r="H76" s="150"/>
      <c r="I76" s="150"/>
      <c r="J76" s="148">
        <f>H76*I76</f>
        <v>0</v>
      </c>
      <c r="K76" s="184"/>
    </row>
    <row r="77" spans="1:11" x14ac:dyDescent="0.25">
      <c r="A77" s="127" t="str">
        <f t="shared" si="11"/>
        <v/>
      </c>
      <c r="B77" s="128"/>
      <c r="C77" s="152"/>
      <c r="D77" s="150"/>
      <c r="E77" s="150"/>
      <c r="F77" s="148">
        <f t="shared" ref="F77" si="13">D77*E77</f>
        <v>0</v>
      </c>
      <c r="H77" s="150"/>
      <c r="I77" s="150"/>
      <c r="J77" s="148">
        <f>H77*I77</f>
        <v>0</v>
      </c>
      <c r="K77" s="184"/>
    </row>
    <row r="78" spans="1:11" x14ac:dyDescent="0.25">
      <c r="A78" s="122" t="s">
        <v>61</v>
      </c>
      <c r="B78" s="143"/>
      <c r="C78" s="153"/>
      <c r="D78" s="144"/>
      <c r="E78" s="127"/>
      <c r="F78" s="144">
        <f>SUM(F65:F77)</f>
        <v>39532158.869298548</v>
      </c>
      <c r="G78" s="127"/>
      <c r="H78" s="127"/>
      <c r="I78" s="127"/>
      <c r="J78" s="144">
        <f>SUM(J65:J77)</f>
        <v>5872448.1317136008</v>
      </c>
      <c r="K78" s="148">
        <f>F78+J78</f>
        <v>45404607.001012146</v>
      </c>
    </row>
    <row r="79" spans="1:11" ht="7.5" customHeight="1" x14ac:dyDescent="0.25"/>
    <row r="80" spans="1:11" x14ac:dyDescent="0.25">
      <c r="A80" s="118" t="s">
        <v>67</v>
      </c>
      <c r="B80" s="189"/>
      <c r="C80" s="138"/>
      <c r="D80" s="189"/>
      <c r="E80" s="184"/>
      <c r="F80" s="191"/>
      <c r="G80" s="8"/>
      <c r="H80" s="193"/>
      <c r="I80" s="184"/>
      <c r="J80" s="184" t="s">
        <v>58</v>
      </c>
      <c r="K80" s="189" t="s">
        <v>53</v>
      </c>
    </row>
    <row r="81" spans="1:11" x14ac:dyDescent="0.25">
      <c r="A81" s="122" t="s">
        <v>63</v>
      </c>
      <c r="B81" s="195"/>
      <c r="C81" s="8"/>
      <c r="D81" s="195"/>
      <c r="E81" s="184"/>
      <c r="F81" s="192"/>
      <c r="G81" s="8"/>
      <c r="H81" s="197"/>
      <c r="I81" s="184"/>
      <c r="J81" s="184"/>
      <c r="K81" s="195"/>
    </row>
    <row r="82" spans="1:11" x14ac:dyDescent="0.25">
      <c r="A82" s="127" t="str">
        <f>IF(A65="","",A65)</f>
        <v>Residential</v>
      </c>
      <c r="B82" s="128"/>
      <c r="C82" s="123"/>
      <c r="D82" s="146">
        <v>1623374503.1475997</v>
      </c>
      <c r="E82" s="147">
        <f>0.0041*1.03^5</f>
        <v>4.7530237046299996E-3</v>
      </c>
      <c r="F82" s="148">
        <f>D82*E82</f>
        <v>7715937.4949524896</v>
      </c>
      <c r="H82" s="146">
        <v>20132916.285727102</v>
      </c>
      <c r="I82" s="147">
        <f>E82</f>
        <v>4.7530237046299996E-3</v>
      </c>
      <c r="J82" s="148">
        <f>H82*I82</f>
        <v>95692.228349392288</v>
      </c>
      <c r="K82" s="184"/>
    </row>
    <row r="83" spans="1:11" x14ac:dyDescent="0.25">
      <c r="A83" s="127" t="str">
        <f>IF(A66="","",A66)</f>
        <v>Residential Seasonal</v>
      </c>
      <c r="B83" s="128"/>
      <c r="C83" s="123"/>
      <c r="D83" s="146">
        <v>14805885.256827027</v>
      </c>
      <c r="E83" s="147">
        <f>E82</f>
        <v>4.7530237046299996E-3</v>
      </c>
      <c r="F83" s="148">
        <f t="shared" ref="F83:F90" si="14">D83*E83</f>
        <v>70372.723593730683</v>
      </c>
      <c r="H83" s="146">
        <v>183620.99924189661</v>
      </c>
      <c r="I83" s="147">
        <f t="shared" ref="I83:I90" si="15">E83</f>
        <v>4.7530237046299996E-3</v>
      </c>
      <c r="J83" s="148">
        <f t="shared" ref="J83:J90" si="16">H83*I83</f>
        <v>872.75496206458183</v>
      </c>
      <c r="K83" s="184"/>
    </row>
    <row r="84" spans="1:11" x14ac:dyDescent="0.25">
      <c r="A84" s="127" t="str">
        <f>IF(A67="","",A67)</f>
        <v>GS&lt;50</v>
      </c>
      <c r="B84" s="128"/>
      <c r="C84" s="123"/>
      <c r="D84" s="146">
        <v>320134666.67662919</v>
      </c>
      <c r="E84" s="147">
        <f t="shared" ref="E84:E90" si="17">E83</f>
        <v>4.7530237046299996E-3</v>
      </c>
      <c r="F84" s="148">
        <f t="shared" si="14"/>
        <v>1521607.6593878421</v>
      </c>
      <c r="H84" s="146">
        <v>49964967.993540533</v>
      </c>
      <c r="I84" s="147">
        <f t="shared" si="15"/>
        <v>4.7530237046299996E-3</v>
      </c>
      <c r="J84" s="148">
        <f t="shared" si="16"/>
        <v>237484.67727437738</v>
      </c>
      <c r="K84" s="184"/>
    </row>
    <row r="85" spans="1:11" x14ac:dyDescent="0.25">
      <c r="A85" s="127" t="str">
        <f>IF(A68="","",A68)</f>
        <v>GS 50 - 2,999</v>
      </c>
      <c r="B85" s="128"/>
      <c r="C85" s="123"/>
      <c r="D85" s="146">
        <v>480887826.67313093</v>
      </c>
      <c r="E85" s="147">
        <f t="shared" si="17"/>
        <v>4.7530237046299996E-3</v>
      </c>
      <c r="F85" s="148">
        <f>D85*E85</f>
        <v>2285671.2394453939</v>
      </c>
      <c r="H85" s="146">
        <v>926743989.20348835</v>
      </c>
      <c r="I85" s="147">
        <f t="shared" si="15"/>
        <v>4.7530237046299996E-3</v>
      </c>
      <c r="J85" s="148">
        <f t="shared" si="16"/>
        <v>4404836.1488075489</v>
      </c>
      <c r="K85" s="184"/>
    </row>
    <row r="86" spans="1:11" x14ac:dyDescent="0.25">
      <c r="A86" s="127" t="str">
        <f>IF(A70="","",A70)</f>
        <v>GS 3,000 - 4,999</v>
      </c>
      <c r="B86" s="128"/>
      <c r="C86" s="123"/>
      <c r="D86" s="146">
        <v>9345803.1897141319</v>
      </c>
      <c r="E86" s="147">
        <f t="shared" si="17"/>
        <v>4.7530237046299996E-3</v>
      </c>
      <c r="F86" s="148">
        <f t="shared" si="14"/>
        <v>44420.824099517929</v>
      </c>
      <c r="H86" s="146">
        <v>343007076.00911933</v>
      </c>
      <c r="I86" s="147">
        <f t="shared" si="15"/>
        <v>4.7530237046299996E-3</v>
      </c>
      <c r="J86" s="148">
        <f t="shared" si="16"/>
        <v>1630320.7631271682</v>
      </c>
      <c r="K86" s="184"/>
    </row>
    <row r="87" spans="1:11" x14ac:dyDescent="0.25">
      <c r="A87" s="127" t="str">
        <f t="shared" ref="A87" si="18">IF(A72="","",A72)</f>
        <v>Large Use</v>
      </c>
      <c r="B87" s="128"/>
      <c r="C87" s="123"/>
      <c r="D87" s="146">
        <v>0</v>
      </c>
      <c r="E87" s="147">
        <f t="shared" si="17"/>
        <v>4.7530237046299996E-3</v>
      </c>
      <c r="F87" s="148">
        <f t="shared" si="14"/>
        <v>0</v>
      </c>
      <c r="H87" s="146">
        <v>634624587.29492271</v>
      </c>
      <c r="I87" s="147">
        <f t="shared" si="15"/>
        <v>4.7530237046299996E-3</v>
      </c>
      <c r="J87" s="148">
        <f t="shared" si="16"/>
        <v>3016385.706953798</v>
      </c>
      <c r="K87" s="184"/>
    </row>
    <row r="88" spans="1:11" x14ac:dyDescent="0.25">
      <c r="A88" s="127" t="str">
        <f>IF(A73="","",A73)</f>
        <v>Street Light</v>
      </c>
      <c r="B88" s="128"/>
      <c r="C88" s="123"/>
      <c r="D88" s="146">
        <v>0</v>
      </c>
      <c r="E88" s="147">
        <f t="shared" si="17"/>
        <v>4.7530237046299996E-3</v>
      </c>
      <c r="F88" s="148">
        <f t="shared" si="14"/>
        <v>0</v>
      </c>
      <c r="H88" s="146">
        <v>16894670.216188662</v>
      </c>
      <c r="I88" s="147">
        <f t="shared" si="15"/>
        <v>4.7530237046299996E-3</v>
      </c>
      <c r="J88" s="148">
        <f t="shared" si="16"/>
        <v>80300.768019451149</v>
      </c>
      <c r="K88" s="184"/>
    </row>
    <row r="89" spans="1:11" x14ac:dyDescent="0.25">
      <c r="A89" s="127" t="str">
        <f>IF(A74="","",A74)</f>
        <v>Sentinel Light</v>
      </c>
      <c r="B89" s="128"/>
      <c r="C89" s="123"/>
      <c r="D89" s="146">
        <v>86504.665740097887</v>
      </c>
      <c r="E89" s="147">
        <f t="shared" si="17"/>
        <v>4.7530237046299996E-3</v>
      </c>
      <c r="F89" s="148">
        <f t="shared" si="14"/>
        <v>411.15872682377989</v>
      </c>
      <c r="H89" s="146">
        <v>0</v>
      </c>
      <c r="I89" s="147">
        <f t="shared" si="15"/>
        <v>4.7530237046299996E-3</v>
      </c>
      <c r="J89" s="148">
        <f t="shared" si="16"/>
        <v>0</v>
      </c>
      <c r="K89" s="184"/>
    </row>
    <row r="90" spans="1:11" x14ac:dyDescent="0.25">
      <c r="A90" s="127" t="str">
        <f>IF(A75="","",A75)</f>
        <v>USL</v>
      </c>
      <c r="B90" s="128"/>
      <c r="C90" s="123"/>
      <c r="D90" s="146">
        <v>6654151.4505973849</v>
      </c>
      <c r="E90" s="147">
        <f t="shared" si="17"/>
        <v>4.7530237046299996E-3</v>
      </c>
      <c r="F90" s="148">
        <f t="shared" si="14"/>
        <v>31627.33957888747</v>
      </c>
      <c r="H90" s="146">
        <v>4222.7594749306163</v>
      </c>
      <c r="I90" s="147">
        <f t="shared" si="15"/>
        <v>4.7530237046299996E-3</v>
      </c>
      <c r="J90" s="148">
        <f t="shared" si="16"/>
        <v>20.07087588329615</v>
      </c>
      <c r="K90" s="184"/>
    </row>
    <row r="91" spans="1:11" x14ac:dyDescent="0.25">
      <c r="A91" s="127" t="str">
        <f>IF(A76="","",A76)</f>
        <v/>
      </c>
      <c r="B91" s="128"/>
      <c r="C91" s="123"/>
      <c r="D91" s="150"/>
      <c r="E91" s="150"/>
      <c r="F91" s="148">
        <f>D91*E91</f>
        <v>0</v>
      </c>
      <c r="H91" s="150"/>
      <c r="I91" s="150"/>
      <c r="J91" s="148">
        <f>H91*I91</f>
        <v>0</v>
      </c>
      <c r="K91" s="184"/>
    </row>
    <row r="92" spans="1:11" x14ac:dyDescent="0.25">
      <c r="A92" s="127" t="str">
        <f>IF(A77="","",A77)</f>
        <v/>
      </c>
      <c r="B92" s="128"/>
      <c r="C92" s="123"/>
      <c r="D92" s="150"/>
      <c r="E92" s="150"/>
      <c r="F92" s="148">
        <f t="shared" ref="F92" si="19">D92*E92</f>
        <v>0</v>
      </c>
      <c r="H92" s="150"/>
      <c r="I92" s="150"/>
      <c r="J92" s="148">
        <f>H92*I92</f>
        <v>0</v>
      </c>
      <c r="K92" s="184"/>
    </row>
    <row r="93" spans="1:11" x14ac:dyDescent="0.25">
      <c r="A93" s="122" t="s">
        <v>61</v>
      </c>
      <c r="B93" s="143"/>
      <c r="C93" s="123"/>
      <c r="D93" s="144"/>
      <c r="E93" s="127"/>
      <c r="F93" s="144">
        <f>SUM(F82:F92)</f>
        <v>11670048.439784687</v>
      </c>
      <c r="G93" s="127"/>
      <c r="H93" s="127"/>
      <c r="I93" s="127"/>
      <c r="J93" s="144">
        <f>SUM(J82:J92)</f>
        <v>9465913.1183696836</v>
      </c>
      <c r="K93" s="148">
        <f>F93+J93</f>
        <v>21135961.558154371</v>
      </c>
    </row>
    <row r="94" spans="1:11" ht="6.75" customHeight="1" x14ac:dyDescent="0.25"/>
    <row r="95" spans="1:11" x14ac:dyDescent="0.25">
      <c r="A95" s="118" t="s">
        <v>68</v>
      </c>
      <c r="B95" s="189"/>
      <c r="C95" s="138"/>
      <c r="D95" s="189"/>
      <c r="E95" s="184"/>
      <c r="F95" s="191"/>
      <c r="G95" s="8"/>
      <c r="H95" s="193"/>
      <c r="I95" s="184"/>
      <c r="J95" s="184" t="s">
        <v>58</v>
      </c>
      <c r="K95" s="189" t="s">
        <v>53</v>
      </c>
    </row>
    <row r="96" spans="1:11" x14ac:dyDescent="0.25">
      <c r="A96" s="122" t="s">
        <v>63</v>
      </c>
      <c r="B96" s="195"/>
      <c r="C96" s="8"/>
      <c r="D96" s="195"/>
      <c r="E96" s="184"/>
      <c r="F96" s="192"/>
      <c r="G96" s="8"/>
      <c r="H96" s="197"/>
      <c r="I96" s="184"/>
      <c r="J96" s="184"/>
      <c r="K96" s="195"/>
    </row>
    <row r="97" spans="1:11" x14ac:dyDescent="0.25">
      <c r="A97" s="127" t="str">
        <f t="shared" ref="A97:A102" si="20">IF(A82="","",A82)</f>
        <v>Residential</v>
      </c>
      <c r="B97" s="128"/>
      <c r="C97" s="123"/>
      <c r="D97" s="150"/>
      <c r="E97" s="150"/>
      <c r="F97" s="148">
        <f>D97*E97</f>
        <v>0</v>
      </c>
      <c r="H97" s="150"/>
      <c r="I97" s="149">
        <v>4.0000000000000002E-4</v>
      </c>
      <c r="J97" s="148">
        <f>H97*I97</f>
        <v>0</v>
      </c>
      <c r="K97" s="184"/>
    </row>
    <row r="98" spans="1:11" x14ac:dyDescent="0.25">
      <c r="A98" s="127" t="str">
        <f t="shared" si="20"/>
        <v>Residential Seasonal</v>
      </c>
      <c r="B98" s="128"/>
      <c r="C98" s="123"/>
      <c r="D98" s="150"/>
      <c r="E98" s="150"/>
      <c r="F98" s="148">
        <f t="shared" ref="F98:F107" si="21">D98*E98</f>
        <v>0</v>
      </c>
      <c r="H98" s="150"/>
      <c r="I98" s="149">
        <f>I97</f>
        <v>4.0000000000000002E-4</v>
      </c>
      <c r="J98" s="148">
        <f t="shared" ref="J98:J105" si="22">H98*I98</f>
        <v>0</v>
      </c>
      <c r="K98" s="184"/>
    </row>
    <row r="99" spans="1:11" x14ac:dyDescent="0.25">
      <c r="A99" s="127" t="str">
        <f t="shared" si="20"/>
        <v>GS&lt;50</v>
      </c>
      <c r="B99" s="128"/>
      <c r="C99" s="123"/>
      <c r="D99" s="150"/>
      <c r="E99" s="150"/>
      <c r="F99" s="148">
        <f t="shared" si="21"/>
        <v>0</v>
      </c>
      <c r="H99" s="146"/>
      <c r="I99" s="149">
        <f t="shared" ref="I99:I105" si="23">I98</f>
        <v>4.0000000000000002E-4</v>
      </c>
      <c r="J99" s="148">
        <f t="shared" si="22"/>
        <v>0</v>
      </c>
      <c r="K99" s="184"/>
    </row>
    <row r="100" spans="1:11" x14ac:dyDescent="0.25">
      <c r="A100" s="127" t="str">
        <f t="shared" si="20"/>
        <v>GS 50 - 2,999</v>
      </c>
      <c r="B100" s="128"/>
      <c r="C100" s="123"/>
      <c r="D100" s="150"/>
      <c r="E100" s="150"/>
      <c r="F100" s="148">
        <f t="shared" si="21"/>
        <v>0</v>
      </c>
      <c r="H100" s="150">
        <v>47834.207365003036</v>
      </c>
      <c r="I100" s="149">
        <f t="shared" si="23"/>
        <v>4.0000000000000002E-4</v>
      </c>
      <c r="J100" s="148">
        <f t="shared" si="22"/>
        <v>19.133682946001215</v>
      </c>
      <c r="K100" s="184"/>
    </row>
    <row r="101" spans="1:11" x14ac:dyDescent="0.25">
      <c r="A101" s="127" t="str">
        <f t="shared" si="20"/>
        <v>GS 3,000 - 4,999</v>
      </c>
      <c r="B101" s="128"/>
      <c r="C101" s="123"/>
      <c r="D101" s="150"/>
      <c r="E101" s="150"/>
      <c r="F101" s="148">
        <f t="shared" si="21"/>
        <v>0</v>
      </c>
      <c r="H101" s="150">
        <v>102116010.23196109</v>
      </c>
      <c r="I101" s="149">
        <f t="shared" si="23"/>
        <v>4.0000000000000002E-4</v>
      </c>
      <c r="J101" s="148">
        <f t="shared" si="22"/>
        <v>40846.40409278444</v>
      </c>
      <c r="K101" s="184"/>
    </row>
    <row r="102" spans="1:11" x14ac:dyDescent="0.25">
      <c r="A102" s="127" t="str">
        <f t="shared" si="20"/>
        <v>Large Use</v>
      </c>
      <c r="B102" s="128"/>
      <c r="C102" s="123"/>
      <c r="D102" s="150"/>
      <c r="E102" s="150"/>
      <c r="F102" s="148">
        <f t="shared" si="21"/>
        <v>0</v>
      </c>
      <c r="H102" s="150">
        <v>286164466.18915588</v>
      </c>
      <c r="I102" s="149">
        <f t="shared" si="23"/>
        <v>4.0000000000000002E-4</v>
      </c>
      <c r="J102" s="148">
        <f t="shared" si="22"/>
        <v>114465.78647566236</v>
      </c>
      <c r="K102" s="184"/>
    </row>
    <row r="103" spans="1:11" x14ac:dyDescent="0.25">
      <c r="A103" s="127" t="str">
        <f>IF(A88="","",A88)</f>
        <v>Street Light</v>
      </c>
      <c r="B103" s="128"/>
      <c r="C103" s="123"/>
      <c r="D103" s="150"/>
      <c r="E103" s="150"/>
      <c r="F103" s="148">
        <f t="shared" si="21"/>
        <v>0</v>
      </c>
      <c r="H103" s="150">
        <v>559671024.71707487</v>
      </c>
      <c r="I103" s="149">
        <f t="shared" si="23"/>
        <v>4.0000000000000002E-4</v>
      </c>
      <c r="J103" s="148">
        <f t="shared" si="22"/>
        <v>223868.40988682996</v>
      </c>
      <c r="K103" s="184"/>
    </row>
    <row r="104" spans="1:11" x14ac:dyDescent="0.25">
      <c r="A104" s="127" t="str">
        <f>IF(A89="","",A89)</f>
        <v>Sentinel Light</v>
      </c>
      <c r="B104" s="128"/>
      <c r="C104" s="123"/>
      <c r="D104" s="150"/>
      <c r="E104" s="150"/>
      <c r="F104" s="148">
        <f t="shared" si="21"/>
        <v>0</v>
      </c>
      <c r="H104" s="150"/>
      <c r="I104" s="149">
        <f t="shared" si="23"/>
        <v>4.0000000000000002E-4</v>
      </c>
      <c r="J104" s="148">
        <f t="shared" si="22"/>
        <v>0</v>
      </c>
      <c r="K104" s="184"/>
    </row>
    <row r="105" spans="1:11" x14ac:dyDescent="0.25">
      <c r="A105" s="127" t="str">
        <f>IF(A90="","",A90)</f>
        <v>USL</v>
      </c>
      <c r="B105" s="128"/>
      <c r="C105" s="123"/>
      <c r="D105" s="150"/>
      <c r="E105" s="150"/>
      <c r="F105" s="148">
        <f t="shared" si="21"/>
        <v>0</v>
      </c>
      <c r="H105" s="150"/>
      <c r="I105" s="149">
        <f t="shared" si="23"/>
        <v>4.0000000000000002E-4</v>
      </c>
      <c r="J105" s="148">
        <f t="shared" si="22"/>
        <v>0</v>
      </c>
      <c r="K105" s="184"/>
    </row>
    <row r="106" spans="1:11" x14ac:dyDescent="0.25">
      <c r="A106" s="127" t="str">
        <f>IF(A91="","",A91)</f>
        <v/>
      </c>
      <c r="B106" s="128"/>
      <c r="C106" s="123"/>
      <c r="D106" s="150"/>
      <c r="E106" s="150"/>
      <c r="F106" s="148">
        <f t="shared" si="21"/>
        <v>0</v>
      </c>
      <c r="H106" s="150"/>
      <c r="I106" s="150"/>
      <c r="J106" s="148">
        <f>H106*I106</f>
        <v>0</v>
      </c>
      <c r="K106" s="184"/>
    </row>
    <row r="107" spans="1:11" x14ac:dyDescent="0.25">
      <c r="A107" s="127" t="str">
        <f>IF(A92="","",A92)</f>
        <v/>
      </c>
      <c r="B107" s="128"/>
      <c r="C107" s="123"/>
      <c r="D107" s="150"/>
      <c r="E107" s="150"/>
      <c r="F107" s="148">
        <f t="shared" si="21"/>
        <v>0</v>
      </c>
      <c r="H107" s="150"/>
      <c r="I107" s="150"/>
      <c r="J107" s="148">
        <f>H107*I107</f>
        <v>0</v>
      </c>
      <c r="K107" s="184"/>
    </row>
    <row r="108" spans="1:11" x14ac:dyDescent="0.25">
      <c r="A108" s="122" t="s">
        <v>61</v>
      </c>
      <c r="B108" s="143"/>
      <c r="C108" s="123"/>
      <c r="D108" s="144"/>
      <c r="E108" s="127"/>
      <c r="F108" s="144">
        <f>SUM(F97:F107)</f>
        <v>0</v>
      </c>
      <c r="G108" s="127"/>
      <c r="H108" s="127"/>
      <c r="I108" s="127"/>
      <c r="J108" s="144">
        <f>SUM(J97:J107)</f>
        <v>379199.73413822276</v>
      </c>
      <c r="K108" s="148">
        <f>F108+J108</f>
        <v>379199.73413822276</v>
      </c>
    </row>
    <row r="109" spans="1:11" ht="6.75" customHeight="1" x14ac:dyDescent="0.25">
      <c r="A109" s="122"/>
      <c r="B109" s="140"/>
      <c r="C109" s="123"/>
      <c r="D109" s="154"/>
      <c r="E109" s="153"/>
      <c r="F109" s="144"/>
      <c r="H109" s="125"/>
      <c r="I109" s="153"/>
      <c r="J109" s="144"/>
      <c r="K109" s="155"/>
    </row>
    <row r="110" spans="1:11" x14ac:dyDescent="0.25">
      <c r="A110" s="118" t="s">
        <v>69</v>
      </c>
      <c r="B110" s="189"/>
      <c r="C110" s="138"/>
      <c r="D110" s="189"/>
      <c r="E110" s="184"/>
      <c r="F110" s="191"/>
      <c r="G110" s="8"/>
      <c r="H110" s="193"/>
      <c r="I110" s="184"/>
      <c r="J110" s="184" t="s">
        <v>58</v>
      </c>
      <c r="K110" s="189" t="s">
        <v>53</v>
      </c>
    </row>
    <row r="111" spans="1:11" x14ac:dyDescent="0.25">
      <c r="A111" s="122" t="s">
        <v>63</v>
      </c>
      <c r="B111" s="195"/>
      <c r="C111" s="8"/>
      <c r="D111" s="195"/>
      <c r="E111" s="184"/>
      <c r="F111" s="192"/>
      <c r="G111" s="8"/>
      <c r="H111" s="197"/>
      <c r="I111" s="184"/>
      <c r="J111" s="184"/>
      <c r="K111" s="195"/>
    </row>
    <row r="112" spans="1:11" x14ac:dyDescent="0.25">
      <c r="A112" s="127" t="str">
        <f t="shared" ref="A112:A117" si="24">IF(A97="","",A97)</f>
        <v>Residential</v>
      </c>
      <c r="B112" s="128"/>
      <c r="C112" s="123"/>
      <c r="D112" s="146">
        <v>1623374503.1475997</v>
      </c>
      <c r="E112" s="147">
        <f>I112</f>
        <v>4.0000000000000002E-4</v>
      </c>
      <c r="F112" s="148">
        <f>D112*E112</f>
        <v>649349.8012590399</v>
      </c>
      <c r="H112" s="146">
        <v>20132916.285727102</v>
      </c>
      <c r="I112" s="147">
        <f>I97</f>
        <v>4.0000000000000002E-4</v>
      </c>
      <c r="J112" s="148">
        <f>H112*I112</f>
        <v>8053.1665142908414</v>
      </c>
      <c r="K112" s="184"/>
    </row>
    <row r="113" spans="1:11" x14ac:dyDescent="0.25">
      <c r="A113" s="127" t="str">
        <f t="shared" si="24"/>
        <v>Residential Seasonal</v>
      </c>
      <c r="B113" s="128"/>
      <c r="C113" s="123"/>
      <c r="D113" s="146">
        <v>14805885.256827027</v>
      </c>
      <c r="E113" s="147">
        <f t="shared" ref="E113:E120" si="25">I113</f>
        <v>4.0000000000000002E-4</v>
      </c>
      <c r="F113" s="148">
        <f t="shared" ref="F113:F122" si="26">D113*E113</f>
        <v>5922.3541027308111</v>
      </c>
      <c r="H113" s="146">
        <v>183620.99924189661</v>
      </c>
      <c r="I113" s="147">
        <f t="shared" ref="I113:I120" si="27">I98</f>
        <v>4.0000000000000002E-4</v>
      </c>
      <c r="J113" s="148">
        <f t="shared" ref="J113:J120" si="28">H113*I113</f>
        <v>73.448399696758642</v>
      </c>
      <c r="K113" s="184"/>
    </row>
    <row r="114" spans="1:11" x14ac:dyDescent="0.25">
      <c r="A114" s="127" t="str">
        <f t="shared" si="24"/>
        <v>GS&lt;50</v>
      </c>
      <c r="B114" s="128"/>
      <c r="C114" s="123"/>
      <c r="D114" s="146">
        <v>320134666.67662919</v>
      </c>
      <c r="E114" s="147">
        <f t="shared" si="25"/>
        <v>4.0000000000000002E-4</v>
      </c>
      <c r="F114" s="148">
        <f t="shared" si="26"/>
        <v>128053.86667065168</v>
      </c>
      <c r="H114" s="146">
        <v>49917133.786175527</v>
      </c>
      <c r="I114" s="147">
        <f t="shared" si="27"/>
        <v>4.0000000000000002E-4</v>
      </c>
      <c r="J114" s="148">
        <f t="shared" si="28"/>
        <v>19966.853514470211</v>
      </c>
      <c r="K114" s="184"/>
    </row>
    <row r="115" spans="1:11" x14ac:dyDescent="0.25">
      <c r="A115" s="127" t="str">
        <f t="shared" si="24"/>
        <v>GS 50 - 2,999</v>
      </c>
      <c r="B115" s="128"/>
      <c r="C115" s="123"/>
      <c r="D115" s="146">
        <v>480887826.67313093</v>
      </c>
      <c r="E115" s="147">
        <f t="shared" si="25"/>
        <v>4.0000000000000002E-4</v>
      </c>
      <c r="F115" s="148">
        <f t="shared" si="26"/>
        <v>192355.13066925239</v>
      </c>
      <c r="H115" s="146">
        <v>824627978.97152722</v>
      </c>
      <c r="I115" s="147">
        <f t="shared" si="27"/>
        <v>4.0000000000000002E-4</v>
      </c>
      <c r="J115" s="148">
        <f t="shared" si="28"/>
        <v>329851.19158861088</v>
      </c>
      <c r="K115" s="184"/>
    </row>
    <row r="116" spans="1:11" x14ac:dyDescent="0.25">
      <c r="A116" s="127" t="str">
        <f t="shared" si="24"/>
        <v>GS 3,000 - 4,999</v>
      </c>
      <c r="B116" s="128"/>
      <c r="C116" s="123"/>
      <c r="D116" s="146">
        <v>9345803.1897141319</v>
      </c>
      <c r="E116" s="147">
        <f t="shared" si="25"/>
        <v>4.0000000000000002E-4</v>
      </c>
      <c r="F116" s="148">
        <f t="shared" si="26"/>
        <v>3738.321275885653</v>
      </c>
      <c r="H116" s="146">
        <v>56842609.819963478</v>
      </c>
      <c r="I116" s="147">
        <f t="shared" si="27"/>
        <v>4.0000000000000002E-4</v>
      </c>
      <c r="J116" s="148">
        <f t="shared" si="28"/>
        <v>22737.043927985393</v>
      </c>
      <c r="K116" s="184"/>
    </row>
    <row r="117" spans="1:11" x14ac:dyDescent="0.25">
      <c r="A117" s="127" t="str">
        <f t="shared" si="24"/>
        <v>Large Use</v>
      </c>
      <c r="B117" s="128"/>
      <c r="C117" s="123"/>
      <c r="D117" s="146">
        <v>0</v>
      </c>
      <c r="E117" s="147">
        <f t="shared" si="25"/>
        <v>4.0000000000000002E-4</v>
      </c>
      <c r="F117" s="148">
        <f t="shared" si="26"/>
        <v>0</v>
      </c>
      <c r="H117" s="146">
        <v>74953562.577847838</v>
      </c>
      <c r="I117" s="147">
        <f t="shared" si="27"/>
        <v>4.0000000000000002E-4</v>
      </c>
      <c r="J117" s="148">
        <f t="shared" si="28"/>
        <v>29981.425031139137</v>
      </c>
      <c r="K117" s="184"/>
    </row>
    <row r="118" spans="1:11" x14ac:dyDescent="0.25">
      <c r="A118" s="127" t="str">
        <f>IF(A103="","",A103)</f>
        <v>Street Light</v>
      </c>
      <c r="B118" s="128"/>
      <c r="C118" s="123"/>
      <c r="D118" s="146">
        <v>0</v>
      </c>
      <c r="E118" s="147">
        <f t="shared" si="25"/>
        <v>4.0000000000000002E-4</v>
      </c>
      <c r="F118" s="148">
        <f t="shared" si="26"/>
        <v>0</v>
      </c>
      <c r="H118" s="146">
        <v>16894670.216188662</v>
      </c>
      <c r="I118" s="147">
        <f t="shared" si="27"/>
        <v>4.0000000000000002E-4</v>
      </c>
      <c r="J118" s="148">
        <f t="shared" si="28"/>
        <v>6757.8680864754651</v>
      </c>
      <c r="K118" s="184"/>
    </row>
    <row r="119" spans="1:11" x14ac:dyDescent="0.25">
      <c r="A119" s="127" t="str">
        <f>IF(A104="","",A104)</f>
        <v>Sentinel Light</v>
      </c>
      <c r="B119" s="128"/>
      <c r="C119" s="123"/>
      <c r="D119" s="146">
        <v>86504.665740097887</v>
      </c>
      <c r="E119" s="147">
        <f t="shared" si="25"/>
        <v>4.0000000000000002E-4</v>
      </c>
      <c r="F119" s="148">
        <f t="shared" si="26"/>
        <v>34.601866296039155</v>
      </c>
      <c r="H119" s="146">
        <v>0</v>
      </c>
      <c r="I119" s="147">
        <f t="shared" si="27"/>
        <v>4.0000000000000002E-4</v>
      </c>
      <c r="J119" s="148">
        <f t="shared" si="28"/>
        <v>0</v>
      </c>
      <c r="K119" s="184"/>
    </row>
    <row r="120" spans="1:11" x14ac:dyDescent="0.25">
      <c r="A120" s="127" t="str">
        <f>IF(A105="","",A105)</f>
        <v>USL</v>
      </c>
      <c r="B120" s="128"/>
      <c r="C120" s="123"/>
      <c r="D120" s="146">
        <v>6654151.4505973849</v>
      </c>
      <c r="E120" s="147">
        <f t="shared" si="25"/>
        <v>4.0000000000000002E-4</v>
      </c>
      <c r="F120" s="148">
        <f t="shared" si="26"/>
        <v>2661.660580238954</v>
      </c>
      <c r="H120" s="146">
        <v>4222.7594749306163</v>
      </c>
      <c r="I120" s="147">
        <f t="shared" si="27"/>
        <v>4.0000000000000002E-4</v>
      </c>
      <c r="J120" s="148">
        <f t="shared" si="28"/>
        <v>1.6891037899722465</v>
      </c>
      <c r="K120" s="184"/>
    </row>
    <row r="121" spans="1:11" x14ac:dyDescent="0.25">
      <c r="A121" s="127" t="str">
        <f>IF(A106="","",A106)</f>
        <v/>
      </c>
      <c r="B121" s="128"/>
      <c r="C121" s="123"/>
      <c r="D121" s="150"/>
      <c r="E121" s="150"/>
      <c r="F121" s="148">
        <f>D121*E121</f>
        <v>0</v>
      </c>
      <c r="H121" s="150"/>
      <c r="I121" s="150"/>
      <c r="J121" s="148">
        <f>H121*I121</f>
        <v>0</v>
      </c>
      <c r="K121" s="184"/>
    </row>
    <row r="122" spans="1:11" x14ac:dyDescent="0.25">
      <c r="A122" s="127" t="str">
        <f>IF(A107="","",A107)</f>
        <v/>
      </c>
      <c r="B122" s="128"/>
      <c r="C122" s="123"/>
      <c r="D122" s="150"/>
      <c r="E122" s="150"/>
      <c r="F122" s="148">
        <f t="shared" si="26"/>
        <v>0</v>
      </c>
      <c r="H122" s="150"/>
      <c r="I122" s="150"/>
      <c r="J122" s="148">
        <f>H122*I122</f>
        <v>0</v>
      </c>
      <c r="K122" s="184"/>
    </row>
    <row r="123" spans="1:11" x14ac:dyDescent="0.25">
      <c r="A123" s="122" t="s">
        <v>61</v>
      </c>
      <c r="B123" s="143"/>
      <c r="C123" s="123"/>
      <c r="D123" s="144"/>
      <c r="E123" s="127"/>
      <c r="F123" s="144">
        <f>SUM(F112:F122)</f>
        <v>982115.73642409546</v>
      </c>
      <c r="G123" s="127"/>
      <c r="H123" s="127"/>
      <c r="I123" s="127"/>
      <c r="J123" s="144">
        <f>SUM(J112:J122)</f>
        <v>417422.6861664587</v>
      </c>
      <c r="K123" s="148">
        <f>F123+J123</f>
        <v>1399538.4225905542</v>
      </c>
    </row>
    <row r="124" spans="1:11" ht="6.75" customHeight="1" x14ac:dyDescent="0.25">
      <c r="A124" s="122"/>
      <c r="B124" s="140"/>
      <c r="C124" s="123"/>
      <c r="D124" s="154"/>
      <c r="E124" s="153"/>
      <c r="F124" s="144"/>
      <c r="H124" s="125"/>
      <c r="I124" s="153"/>
      <c r="J124" s="144"/>
      <c r="K124" s="155"/>
    </row>
    <row r="125" spans="1:11" ht="15" customHeight="1" x14ac:dyDescent="0.25">
      <c r="A125" s="118" t="s">
        <v>70</v>
      </c>
      <c r="B125" s="189"/>
      <c r="C125" s="119"/>
      <c r="D125" s="191"/>
      <c r="E125" s="190"/>
      <c r="F125" s="184"/>
      <c r="G125" s="8"/>
      <c r="H125" s="193"/>
      <c r="I125" s="190"/>
      <c r="J125" s="184" t="s">
        <v>58</v>
      </c>
      <c r="K125" s="189" t="s">
        <v>53</v>
      </c>
    </row>
    <row r="126" spans="1:11" x14ac:dyDescent="0.25">
      <c r="A126" s="122" t="s">
        <v>63</v>
      </c>
      <c r="B126" s="195"/>
      <c r="C126" s="119"/>
      <c r="D126" s="192"/>
      <c r="E126" s="196"/>
      <c r="F126" s="184"/>
      <c r="G126" s="8"/>
      <c r="H126" s="197"/>
      <c r="I126" s="196"/>
      <c r="J126" s="184"/>
      <c r="K126" s="195"/>
    </row>
    <row r="127" spans="1:11" x14ac:dyDescent="0.25">
      <c r="A127" s="127" t="str">
        <f t="shared" ref="A127:A132" si="29">IF(A112="","",A112)</f>
        <v>Residential</v>
      </c>
      <c r="B127" s="128"/>
      <c r="C127" s="123"/>
      <c r="D127" s="146">
        <f>D112</f>
        <v>1623374503.1475997</v>
      </c>
      <c r="E127" s="147">
        <v>1.5E-3</v>
      </c>
      <c r="F127" s="148">
        <f>D127*E127</f>
        <v>2435061.7547213994</v>
      </c>
      <c r="H127" s="146">
        <f>H82</f>
        <v>20132916.285727102</v>
      </c>
      <c r="I127" s="147">
        <f>E127</f>
        <v>1.5E-3</v>
      </c>
      <c r="J127" s="148">
        <f>H127*I127</f>
        <v>30199.374428590654</v>
      </c>
      <c r="K127" s="184"/>
    </row>
    <row r="128" spans="1:11" x14ac:dyDescent="0.25">
      <c r="A128" s="127" t="str">
        <f t="shared" si="29"/>
        <v>Residential Seasonal</v>
      </c>
      <c r="B128" s="128"/>
      <c r="C128" s="123"/>
      <c r="D128" s="146">
        <f t="shared" ref="D128:D135" si="30">D113</f>
        <v>14805885.256827027</v>
      </c>
      <c r="E128" s="147">
        <f>E127</f>
        <v>1.5E-3</v>
      </c>
      <c r="F128" s="148">
        <f t="shared" ref="F128:F136" si="31">D128*E128</f>
        <v>22208.827885240542</v>
      </c>
      <c r="H128" s="146">
        <f t="shared" ref="H128:H135" si="32">H83</f>
        <v>183620.99924189661</v>
      </c>
      <c r="I128" s="147">
        <f t="shared" ref="I128:I135" si="33">E128</f>
        <v>1.5E-3</v>
      </c>
      <c r="J128" s="148">
        <f t="shared" ref="J128:J135" si="34">H128*I128</f>
        <v>275.43149886284493</v>
      </c>
      <c r="K128" s="184"/>
    </row>
    <row r="129" spans="1:11" x14ac:dyDescent="0.25">
      <c r="A129" s="127" t="str">
        <f t="shared" si="29"/>
        <v>GS&lt;50</v>
      </c>
      <c r="B129" s="128"/>
      <c r="C129" s="123"/>
      <c r="D129" s="146">
        <f t="shared" si="30"/>
        <v>320134666.67662919</v>
      </c>
      <c r="E129" s="147">
        <f t="shared" ref="E129:E135" si="35">E128</f>
        <v>1.5E-3</v>
      </c>
      <c r="F129" s="148">
        <f t="shared" si="31"/>
        <v>480202.00001494377</v>
      </c>
      <c r="H129" s="146">
        <f t="shared" si="32"/>
        <v>49964967.993540533</v>
      </c>
      <c r="I129" s="147">
        <f t="shared" si="33"/>
        <v>1.5E-3</v>
      </c>
      <c r="J129" s="148">
        <f t="shared" si="34"/>
        <v>74947.451990310801</v>
      </c>
      <c r="K129" s="184"/>
    </row>
    <row r="130" spans="1:11" x14ac:dyDescent="0.25">
      <c r="A130" s="127" t="str">
        <f t="shared" si="29"/>
        <v>GS 50 - 2,999</v>
      </c>
      <c r="B130" s="128"/>
      <c r="C130" s="123"/>
      <c r="D130" s="146">
        <f t="shared" si="30"/>
        <v>480887826.67313093</v>
      </c>
      <c r="E130" s="147">
        <f t="shared" si="35"/>
        <v>1.5E-3</v>
      </c>
      <c r="F130" s="148">
        <f t="shared" si="31"/>
        <v>721331.74000969646</v>
      </c>
      <c r="H130" s="146">
        <f t="shared" si="32"/>
        <v>926743989.20348835</v>
      </c>
      <c r="I130" s="147">
        <f t="shared" si="33"/>
        <v>1.5E-3</v>
      </c>
      <c r="J130" s="148">
        <f t="shared" si="34"/>
        <v>1390115.9838052324</v>
      </c>
      <c r="K130" s="184"/>
    </row>
    <row r="131" spans="1:11" x14ac:dyDescent="0.25">
      <c r="A131" s="127" t="str">
        <f t="shared" si="29"/>
        <v>GS 3,000 - 4,999</v>
      </c>
      <c r="B131" s="128"/>
      <c r="C131" s="123"/>
      <c r="D131" s="146">
        <f t="shared" si="30"/>
        <v>9345803.1897141319</v>
      </c>
      <c r="E131" s="147">
        <f t="shared" si="35"/>
        <v>1.5E-3</v>
      </c>
      <c r="F131" s="148">
        <f t="shared" si="31"/>
        <v>14018.704784571199</v>
      </c>
      <c r="H131" s="146">
        <f t="shared" si="32"/>
        <v>343007076.00911933</v>
      </c>
      <c r="I131" s="147">
        <f t="shared" si="33"/>
        <v>1.5E-3</v>
      </c>
      <c r="J131" s="148">
        <f t="shared" si="34"/>
        <v>514510.61401367903</v>
      </c>
      <c r="K131" s="184"/>
    </row>
    <row r="132" spans="1:11" x14ac:dyDescent="0.25">
      <c r="A132" s="127" t="str">
        <f t="shared" si="29"/>
        <v>Large Use</v>
      </c>
      <c r="B132" s="128"/>
      <c r="C132" s="123"/>
      <c r="D132" s="146">
        <f t="shared" si="30"/>
        <v>0</v>
      </c>
      <c r="E132" s="147">
        <f t="shared" si="35"/>
        <v>1.5E-3</v>
      </c>
      <c r="F132" s="148">
        <f>D132*E132</f>
        <v>0</v>
      </c>
      <c r="H132" s="146">
        <f t="shared" si="32"/>
        <v>634624587.29492271</v>
      </c>
      <c r="I132" s="147">
        <f t="shared" si="33"/>
        <v>1.5E-3</v>
      </c>
      <c r="J132" s="148">
        <f t="shared" si="34"/>
        <v>951936.88094238413</v>
      </c>
      <c r="K132" s="184"/>
    </row>
    <row r="133" spans="1:11" x14ac:dyDescent="0.25">
      <c r="A133" s="127" t="str">
        <f>IF(A118="","",A118)</f>
        <v>Street Light</v>
      </c>
      <c r="B133" s="128"/>
      <c r="C133" s="123"/>
      <c r="D133" s="146">
        <f t="shared" si="30"/>
        <v>0</v>
      </c>
      <c r="E133" s="147">
        <f t="shared" si="35"/>
        <v>1.5E-3</v>
      </c>
      <c r="F133" s="148">
        <f t="shared" si="31"/>
        <v>0</v>
      </c>
      <c r="H133" s="146">
        <f t="shared" si="32"/>
        <v>16894670.216188662</v>
      </c>
      <c r="I133" s="147">
        <f t="shared" si="33"/>
        <v>1.5E-3</v>
      </c>
      <c r="J133" s="148">
        <f t="shared" si="34"/>
        <v>25342.005324282993</v>
      </c>
      <c r="K133" s="184"/>
    </row>
    <row r="134" spans="1:11" x14ac:dyDescent="0.25">
      <c r="A134" s="127" t="str">
        <f>IF(A119="","",A119)</f>
        <v>Sentinel Light</v>
      </c>
      <c r="B134" s="128"/>
      <c r="C134" s="123"/>
      <c r="D134" s="146">
        <f t="shared" si="30"/>
        <v>86504.665740097887</v>
      </c>
      <c r="E134" s="147">
        <f t="shared" si="35"/>
        <v>1.5E-3</v>
      </c>
      <c r="F134" s="148">
        <f t="shared" si="31"/>
        <v>129.75699861014684</v>
      </c>
      <c r="H134" s="146">
        <f t="shared" si="32"/>
        <v>0</v>
      </c>
      <c r="I134" s="147">
        <f t="shared" si="33"/>
        <v>1.5E-3</v>
      </c>
      <c r="J134" s="148">
        <f t="shared" si="34"/>
        <v>0</v>
      </c>
      <c r="K134" s="184"/>
    </row>
    <row r="135" spans="1:11" x14ac:dyDescent="0.25">
      <c r="A135" s="127" t="str">
        <f>IF(A120="","",A120)</f>
        <v>USL</v>
      </c>
      <c r="B135" s="128"/>
      <c r="C135" s="123"/>
      <c r="D135" s="146">
        <f t="shared" si="30"/>
        <v>6654151.4505973849</v>
      </c>
      <c r="E135" s="147">
        <f t="shared" si="35"/>
        <v>1.5E-3</v>
      </c>
      <c r="F135" s="148">
        <f t="shared" si="31"/>
        <v>9981.2271758960778</v>
      </c>
      <c r="H135" s="146">
        <f t="shared" si="32"/>
        <v>4222.7594749306163</v>
      </c>
      <c r="I135" s="147">
        <f t="shared" si="33"/>
        <v>1.5E-3</v>
      </c>
      <c r="J135" s="148">
        <f t="shared" si="34"/>
        <v>6.3341392123959244</v>
      </c>
      <c r="K135" s="184"/>
    </row>
    <row r="136" spans="1:11" x14ac:dyDescent="0.25">
      <c r="A136" s="127" t="str">
        <f>IF(A121="","",A121)</f>
        <v/>
      </c>
      <c r="B136" s="128"/>
      <c r="C136" s="123"/>
      <c r="D136" s="150"/>
      <c r="E136" s="150"/>
      <c r="F136" s="148">
        <f t="shared" si="31"/>
        <v>0</v>
      </c>
      <c r="H136" s="150"/>
      <c r="I136" s="150"/>
      <c r="J136" s="148">
        <f>H136*I136</f>
        <v>0</v>
      </c>
      <c r="K136" s="184"/>
    </row>
    <row r="137" spans="1:11" x14ac:dyDescent="0.25">
      <c r="A137" s="127" t="str">
        <f>IF(A122="","",A122)</f>
        <v/>
      </c>
      <c r="B137" s="128"/>
      <c r="C137" s="123"/>
      <c r="D137" s="150"/>
      <c r="E137" s="150"/>
      <c r="F137" s="148">
        <f>D137*E137</f>
        <v>0</v>
      </c>
      <c r="H137" s="150"/>
      <c r="I137" s="150"/>
      <c r="J137" s="148">
        <f>H137*I137</f>
        <v>0</v>
      </c>
      <c r="K137" s="184"/>
    </row>
    <row r="138" spans="1:11" x14ac:dyDescent="0.25">
      <c r="A138" s="122" t="s">
        <v>61</v>
      </c>
      <c r="B138" s="143"/>
      <c r="C138" s="131"/>
      <c r="D138" s="144"/>
      <c r="E138" s="127"/>
      <c r="F138" s="144">
        <f>SUM(F127:F137)</f>
        <v>3682934.0115903574</v>
      </c>
      <c r="G138" s="127"/>
      <c r="H138" s="127"/>
      <c r="I138" s="127"/>
      <c r="J138" s="144">
        <f>SUM(J127:J137)</f>
        <v>2987334.0761425556</v>
      </c>
      <c r="K138" s="148">
        <f>F138+J138</f>
        <v>6670268.087732913</v>
      </c>
    </row>
    <row r="139" spans="1:11" ht="6.75" customHeight="1" x14ac:dyDescent="0.25"/>
    <row r="140" spans="1:11" ht="15.75" customHeight="1" x14ac:dyDescent="0.25">
      <c r="A140" s="118" t="s">
        <v>71</v>
      </c>
      <c r="B140" s="189"/>
      <c r="C140" s="119"/>
      <c r="D140" s="191"/>
      <c r="E140" s="190"/>
      <c r="F140" s="184"/>
      <c r="G140" s="8"/>
      <c r="H140" s="193"/>
      <c r="I140" s="190"/>
      <c r="J140" s="184" t="s">
        <v>58</v>
      </c>
      <c r="K140" s="189" t="s">
        <v>53</v>
      </c>
    </row>
    <row r="141" spans="1:11" x14ac:dyDescent="0.25">
      <c r="A141" s="122" t="s">
        <v>63</v>
      </c>
      <c r="B141" s="195"/>
      <c r="C141" s="119"/>
      <c r="D141" s="192"/>
      <c r="E141" s="196"/>
      <c r="F141" s="184"/>
      <c r="G141" s="8"/>
      <c r="H141" s="197"/>
      <c r="I141" s="196"/>
      <c r="J141" s="184"/>
      <c r="K141" s="195"/>
    </row>
    <row r="142" spans="1:11" x14ac:dyDescent="0.25">
      <c r="A142" s="127" t="str">
        <f t="shared" ref="A142:A147" si="36">IF(A127="","",A127)</f>
        <v>Residential</v>
      </c>
      <c r="B142" s="128"/>
      <c r="C142" s="123"/>
      <c r="D142" s="146">
        <v>1558688913.2478151</v>
      </c>
      <c r="E142" s="147">
        <v>1.6999999999999999E-3</v>
      </c>
      <c r="F142" s="148">
        <f>D142*E142</f>
        <v>2649771.1525212857</v>
      </c>
      <c r="H142" s="146">
        <v>19330692.545105234</v>
      </c>
      <c r="I142" s="147">
        <f>E142</f>
        <v>1.6999999999999999E-3</v>
      </c>
      <c r="J142" s="148">
        <f>H142*I142</f>
        <v>32862.177326678895</v>
      </c>
      <c r="K142" s="184"/>
    </row>
    <row r="143" spans="1:11" x14ac:dyDescent="0.25">
      <c r="A143" s="127" t="str">
        <f t="shared" si="36"/>
        <v>Residential Seasonal</v>
      </c>
      <c r="B143" s="128"/>
      <c r="C143" s="123"/>
      <c r="D143" s="146">
        <v>14215924.394457059</v>
      </c>
      <c r="E143" s="147">
        <v>2E-3</v>
      </c>
      <c r="F143" s="148">
        <f t="shared" ref="F143:F152" si="37">D143*E143</f>
        <v>28431.848788914118</v>
      </c>
      <c r="H143" s="146">
        <v>176304.3679710961</v>
      </c>
      <c r="I143" s="147">
        <f t="shared" ref="I143:I150" si="38">E143</f>
        <v>2E-3</v>
      </c>
      <c r="J143" s="148">
        <f t="shared" ref="J143:J150" si="39">H143*I143</f>
        <v>352.6087359421922</v>
      </c>
      <c r="K143" s="184"/>
    </row>
    <row r="144" spans="1:11" x14ac:dyDescent="0.25">
      <c r="A144" s="127" t="str">
        <f t="shared" si="36"/>
        <v>GS&lt;50</v>
      </c>
      <c r="B144" s="128"/>
      <c r="C144" s="123"/>
      <c r="D144" s="146">
        <v>307378460.56325406</v>
      </c>
      <c r="E144" s="147">
        <v>1.6000000000000001E-3</v>
      </c>
      <c r="F144" s="148">
        <f t="shared" si="37"/>
        <v>491805.53690120653</v>
      </c>
      <c r="H144" s="146">
        <v>47974045.121018261</v>
      </c>
      <c r="I144" s="147">
        <f t="shared" si="38"/>
        <v>1.6000000000000001E-3</v>
      </c>
      <c r="J144" s="148">
        <f t="shared" si="39"/>
        <v>76758.472193629219</v>
      </c>
      <c r="K144" s="184"/>
    </row>
    <row r="145" spans="1:12" x14ac:dyDescent="0.25">
      <c r="A145" s="127" t="str">
        <f t="shared" si="36"/>
        <v>GS 50 - 2,999</v>
      </c>
      <c r="B145" s="128"/>
      <c r="C145" s="123"/>
      <c r="D145" s="146">
        <v>1148281.0822761594</v>
      </c>
      <c r="E145" s="147">
        <v>0.65629999999999999</v>
      </c>
      <c r="F145" s="148">
        <f t="shared" si="37"/>
        <v>753616.87429784343</v>
      </c>
      <c r="H145" s="146">
        <v>2212912.3090463248</v>
      </c>
      <c r="I145" s="147">
        <f t="shared" si="38"/>
        <v>0.65629999999999999</v>
      </c>
      <c r="J145" s="148">
        <f t="shared" si="39"/>
        <v>1452334.3484271029</v>
      </c>
      <c r="K145" s="184"/>
    </row>
    <row r="146" spans="1:12" x14ac:dyDescent="0.25">
      <c r="A146" s="127" t="str">
        <f t="shared" si="36"/>
        <v>GS 3,000 - 4,999</v>
      </c>
      <c r="B146" s="128"/>
      <c r="C146" s="123"/>
      <c r="D146" s="146">
        <v>19733.862475906062</v>
      </c>
      <c r="E146" s="147">
        <v>0.46610000000000001</v>
      </c>
      <c r="F146" s="148">
        <f t="shared" si="37"/>
        <v>9197.9533000198153</v>
      </c>
      <c r="H146" s="146">
        <v>724266.74613438582</v>
      </c>
      <c r="I146" s="147">
        <f t="shared" si="38"/>
        <v>0.46610000000000001</v>
      </c>
      <c r="J146" s="148">
        <f t="shared" si="39"/>
        <v>337580.73037323722</v>
      </c>
      <c r="K146" s="184"/>
    </row>
    <row r="147" spans="1:12" x14ac:dyDescent="0.25">
      <c r="A147" s="127" t="str">
        <f t="shared" si="36"/>
        <v>Large Use</v>
      </c>
      <c r="B147" s="128"/>
      <c r="C147" s="123"/>
      <c r="D147" s="146">
        <v>0</v>
      </c>
      <c r="E147" s="147">
        <v>0.72009999999999996</v>
      </c>
      <c r="F147" s="148">
        <f t="shared" si="37"/>
        <v>0</v>
      </c>
      <c r="H147" s="146">
        <v>1100817.9804563508</v>
      </c>
      <c r="I147" s="147">
        <f t="shared" si="38"/>
        <v>0.72009999999999996</v>
      </c>
      <c r="J147" s="148">
        <f t="shared" si="39"/>
        <v>792699.02772661822</v>
      </c>
      <c r="K147" s="184"/>
    </row>
    <row r="148" spans="1:12" x14ac:dyDescent="0.25">
      <c r="A148" s="127" t="str">
        <f>IF(A133="","",A133)</f>
        <v>Street Light</v>
      </c>
      <c r="B148" s="128"/>
      <c r="C148" s="156"/>
      <c r="D148" s="146">
        <v>0</v>
      </c>
      <c r="E148" s="147">
        <v>0.45150000000000001</v>
      </c>
      <c r="F148" s="148">
        <f t="shared" si="37"/>
        <v>0</v>
      </c>
      <c r="H148" s="146">
        <v>45205.829194696213</v>
      </c>
      <c r="I148" s="147">
        <f t="shared" si="38"/>
        <v>0.45150000000000001</v>
      </c>
      <c r="J148" s="148">
        <f t="shared" si="39"/>
        <v>20410.43188140534</v>
      </c>
      <c r="K148" s="184"/>
    </row>
    <row r="149" spans="1:12" x14ac:dyDescent="0.25">
      <c r="A149" s="127" t="str">
        <f>IF(A134="","",A134)</f>
        <v>Sentinel Light</v>
      </c>
      <c r="B149" s="128"/>
      <c r="C149" s="156"/>
      <c r="D149" s="146">
        <v>625.44345118936644</v>
      </c>
      <c r="E149" s="147">
        <v>0.42749999999999999</v>
      </c>
      <c r="F149" s="148">
        <f t="shared" si="37"/>
        <v>267.37707538345416</v>
      </c>
      <c r="H149" s="146">
        <v>0</v>
      </c>
      <c r="I149" s="147">
        <f t="shared" si="38"/>
        <v>0.42749999999999999</v>
      </c>
      <c r="J149" s="148">
        <f t="shared" si="39"/>
        <v>0</v>
      </c>
      <c r="K149" s="184"/>
    </row>
    <row r="150" spans="1:12" x14ac:dyDescent="0.25">
      <c r="A150" s="127" t="str">
        <f>IF(A135="","",A135)</f>
        <v>USL</v>
      </c>
      <c r="B150" s="128"/>
      <c r="C150" s="156"/>
      <c r="D150" s="146">
        <v>6389007.6337948963</v>
      </c>
      <c r="E150" s="147">
        <v>1.6000000000000001E-3</v>
      </c>
      <c r="F150" s="148">
        <f t="shared" si="37"/>
        <v>10222.412214071835</v>
      </c>
      <c r="H150" s="146">
        <v>4054.4978155838849</v>
      </c>
      <c r="I150" s="147">
        <f t="shared" si="38"/>
        <v>1.6000000000000001E-3</v>
      </c>
      <c r="J150" s="148">
        <f t="shared" si="39"/>
        <v>6.4871965049342162</v>
      </c>
      <c r="K150" s="184"/>
    </row>
    <row r="151" spans="1:12" ht="14.25" customHeight="1" x14ac:dyDescent="0.25">
      <c r="A151" s="127" t="str">
        <f>IF(A136="","",A136)</f>
        <v/>
      </c>
      <c r="B151" s="128"/>
      <c r="C151" s="123"/>
      <c r="D151" s="150"/>
      <c r="E151" s="150"/>
      <c r="F151" s="148">
        <f>D151*E151</f>
        <v>0</v>
      </c>
      <c r="H151" s="150"/>
      <c r="I151" s="150"/>
      <c r="J151" s="148">
        <f>H151*I151</f>
        <v>0</v>
      </c>
      <c r="K151" s="184"/>
    </row>
    <row r="152" spans="1:12" x14ac:dyDescent="0.25">
      <c r="A152" s="127" t="str">
        <f>IF(A137="","",A137)</f>
        <v/>
      </c>
      <c r="B152" s="128"/>
      <c r="C152" s="123"/>
      <c r="D152" s="150"/>
      <c r="E152" s="150"/>
      <c r="F152" s="148">
        <f t="shared" si="37"/>
        <v>0</v>
      </c>
      <c r="H152" s="150"/>
      <c r="I152" s="150"/>
      <c r="J152" s="148">
        <f>H152*I152</f>
        <v>0</v>
      </c>
      <c r="K152" s="184"/>
    </row>
    <row r="153" spans="1:12" x14ac:dyDescent="0.25">
      <c r="A153" s="122" t="s">
        <v>61</v>
      </c>
      <c r="B153" s="143"/>
      <c r="C153" s="123"/>
      <c r="D153" s="141"/>
      <c r="E153" s="127"/>
      <c r="F153" s="148">
        <f>SUM(F142:F152)</f>
        <v>3943313.1550987251</v>
      </c>
      <c r="G153" s="127"/>
      <c r="H153" s="127"/>
      <c r="I153" s="127"/>
      <c r="J153" s="148">
        <f>SUM(J142:J152)</f>
        <v>2713004.2838611193</v>
      </c>
      <c r="K153" s="135">
        <f>F153+J153</f>
        <v>6656317.4389598444</v>
      </c>
    </row>
    <row r="155" spans="1:12" x14ac:dyDescent="0.25">
      <c r="A155" s="118" t="s">
        <v>72</v>
      </c>
      <c r="B155" s="190"/>
      <c r="C155" s="119"/>
      <c r="D155" s="191"/>
      <c r="E155" s="190"/>
      <c r="F155" s="184"/>
      <c r="G155" s="8"/>
      <c r="H155" s="189"/>
      <c r="I155" s="190"/>
      <c r="J155" s="184" t="s">
        <v>58</v>
      </c>
      <c r="K155" s="191" t="s">
        <v>53</v>
      </c>
    </row>
    <row r="156" spans="1:12" x14ac:dyDescent="0.25">
      <c r="A156" s="122" t="s">
        <v>63</v>
      </c>
      <c r="B156" s="196"/>
      <c r="C156" s="119"/>
      <c r="D156" s="192"/>
      <c r="E156" s="196"/>
      <c r="F156" s="184"/>
      <c r="G156" s="8"/>
      <c r="H156" s="195"/>
      <c r="I156" s="196"/>
      <c r="J156" s="184"/>
      <c r="K156" s="182"/>
      <c r="L156" s="131"/>
    </row>
    <row r="157" spans="1:12" x14ac:dyDescent="0.25">
      <c r="A157" s="157" t="str">
        <f>A142</f>
        <v>Residential</v>
      </c>
      <c r="B157" s="143"/>
      <c r="C157" s="123"/>
      <c r="D157" s="146">
        <v>175346.76133941306</v>
      </c>
      <c r="E157" s="158">
        <v>0.43</v>
      </c>
      <c r="F157" s="148">
        <f>D157*E157*12</f>
        <v>904789.28851137136</v>
      </c>
      <c r="H157" s="150">
        <v>2174.6317070860132</v>
      </c>
      <c r="I157" s="159">
        <f>E157</f>
        <v>0.43</v>
      </c>
      <c r="J157" s="148">
        <f>H157*I157*12</f>
        <v>11221.099608563827</v>
      </c>
      <c r="K157" s="182"/>
      <c r="L157" s="131"/>
    </row>
    <row r="158" spans="1:12" x14ac:dyDescent="0.25">
      <c r="A158" s="157" t="str">
        <f t="shared" ref="A158:A159" si="40">A143</f>
        <v>Residential Seasonal</v>
      </c>
      <c r="B158" s="143"/>
      <c r="C158" s="123"/>
      <c r="D158" s="146">
        <v>1517.0564498892688</v>
      </c>
      <c r="E158" s="158">
        <f>E157</f>
        <v>0.43</v>
      </c>
      <c r="F158" s="148">
        <f t="shared" ref="F158:F164" si="41">D158*E158*12</f>
        <v>7828.0112814286267</v>
      </c>
      <c r="H158" s="150">
        <v>18.814371204625239</v>
      </c>
      <c r="I158" s="159">
        <f>E158</f>
        <v>0.43</v>
      </c>
      <c r="J158" s="148">
        <f t="shared" ref="J158:J163" si="42">H158*I158*12</f>
        <v>97.082155415866225</v>
      </c>
      <c r="K158" s="182"/>
      <c r="L158" s="131"/>
    </row>
    <row r="159" spans="1:12" x14ac:dyDescent="0.25">
      <c r="A159" s="157" t="str">
        <f t="shared" si="40"/>
        <v>GS&lt;50</v>
      </c>
      <c r="B159" s="143"/>
      <c r="C159" s="123"/>
      <c r="D159" s="146">
        <v>10856.097138399868</v>
      </c>
      <c r="E159" s="158">
        <f>E158</f>
        <v>0.43</v>
      </c>
      <c r="F159" s="148">
        <f t="shared" si="41"/>
        <v>56017.461234143317</v>
      </c>
      <c r="H159" s="150">
        <v>1694.3636616612475</v>
      </c>
      <c r="I159" s="159">
        <f>E159</f>
        <v>0.43</v>
      </c>
      <c r="J159" s="148">
        <f t="shared" si="42"/>
        <v>8742.9164941720373</v>
      </c>
      <c r="K159" s="182"/>
      <c r="L159" s="131"/>
    </row>
    <row r="160" spans="1:12" x14ac:dyDescent="0.25">
      <c r="A160" s="160"/>
      <c r="B160" s="143"/>
      <c r="C160" s="123"/>
      <c r="D160" s="150"/>
      <c r="E160" s="150"/>
      <c r="F160" s="148">
        <f t="shared" si="41"/>
        <v>0</v>
      </c>
      <c r="H160" s="150"/>
      <c r="I160" s="150"/>
      <c r="J160" s="148">
        <f t="shared" si="42"/>
        <v>0</v>
      </c>
      <c r="K160" s="182"/>
      <c r="L160" s="131"/>
    </row>
    <row r="161" spans="1:12" x14ac:dyDescent="0.25">
      <c r="A161" s="160"/>
      <c r="B161" s="143"/>
      <c r="C161" s="123"/>
      <c r="D161" s="150"/>
      <c r="E161" s="150"/>
      <c r="F161" s="148">
        <f t="shared" si="41"/>
        <v>0</v>
      </c>
      <c r="H161" s="150"/>
      <c r="I161" s="150"/>
      <c r="J161" s="148">
        <f t="shared" si="42"/>
        <v>0</v>
      </c>
      <c r="K161" s="182"/>
      <c r="L161" s="131"/>
    </row>
    <row r="162" spans="1:12" x14ac:dyDescent="0.25">
      <c r="A162" s="160"/>
      <c r="B162" s="143"/>
      <c r="C162" s="123"/>
      <c r="D162" s="150"/>
      <c r="E162" s="150"/>
      <c r="F162" s="148">
        <f t="shared" si="41"/>
        <v>0</v>
      </c>
      <c r="H162" s="150"/>
      <c r="I162" s="150"/>
      <c r="J162" s="148">
        <f t="shared" si="42"/>
        <v>0</v>
      </c>
      <c r="K162" s="182"/>
      <c r="L162" s="131"/>
    </row>
    <row r="163" spans="1:12" x14ac:dyDescent="0.25">
      <c r="A163" s="160"/>
      <c r="B163" s="143"/>
      <c r="C163" s="123"/>
      <c r="D163" s="150"/>
      <c r="E163" s="150"/>
      <c r="F163" s="148">
        <f t="shared" si="41"/>
        <v>0</v>
      </c>
      <c r="H163" s="150"/>
      <c r="I163" s="150"/>
      <c r="J163" s="148">
        <f t="shared" si="42"/>
        <v>0</v>
      </c>
      <c r="K163" s="182"/>
      <c r="L163" s="131"/>
    </row>
    <row r="164" spans="1:12" x14ac:dyDescent="0.25">
      <c r="A164" s="160"/>
      <c r="B164" s="143"/>
      <c r="C164" s="123"/>
      <c r="D164" s="150"/>
      <c r="E164" s="150"/>
      <c r="F164" s="148">
        <f t="shared" si="41"/>
        <v>0</v>
      </c>
      <c r="H164" s="150"/>
      <c r="I164" s="150"/>
      <c r="J164" s="148">
        <f>H164*I164*12</f>
        <v>0</v>
      </c>
      <c r="K164" s="161"/>
      <c r="L164" s="131"/>
    </row>
    <row r="165" spans="1:12" x14ac:dyDescent="0.25">
      <c r="A165" s="122" t="s">
        <v>61</v>
      </c>
      <c r="B165" s="143"/>
      <c r="C165" s="123"/>
      <c r="D165" s="127"/>
      <c r="E165" s="127"/>
      <c r="F165" s="148">
        <f>SUM(F157:F164)</f>
        <v>968634.76102694334</v>
      </c>
      <c r="G165" s="127"/>
      <c r="H165" s="127"/>
      <c r="I165" s="127"/>
      <c r="J165" s="148">
        <f>SUM(J157:J164)</f>
        <v>20061.098258151731</v>
      </c>
      <c r="K165" s="148">
        <f>F165+J165</f>
        <v>988695.85928509501</v>
      </c>
    </row>
    <row r="166" spans="1:12" x14ac:dyDescent="0.25">
      <c r="A166" s="127"/>
      <c r="B166" s="127"/>
      <c r="C166" s="123"/>
      <c r="D166" s="127"/>
      <c r="E166" s="127"/>
      <c r="F166" s="127"/>
      <c r="G166" s="127"/>
      <c r="H166" s="127"/>
      <c r="I166" s="127"/>
      <c r="J166" s="127"/>
    </row>
    <row r="167" spans="1:12" x14ac:dyDescent="0.25">
      <c r="A167" s="122" t="s">
        <v>73</v>
      </c>
      <c r="B167" s="127"/>
      <c r="C167" s="123"/>
      <c r="D167" s="127"/>
      <c r="E167" s="127"/>
      <c r="F167" s="148">
        <f>SUM(F24+F61+F78+F93+F138+F153+F165+F123)</f>
        <v>455861419.39885741</v>
      </c>
      <c r="G167" s="127"/>
      <c r="H167" s="127"/>
      <c r="I167" s="127"/>
      <c r="J167" s="148">
        <f>J24+J44+J61+J78+J93+J108+J123+J138+J153+J165</f>
        <v>194559140.90962589</v>
      </c>
      <c r="K167" s="135">
        <f>+F167+J167</f>
        <v>650420560.30848336</v>
      </c>
    </row>
    <row r="168" spans="1:12" ht="15.75" thickBot="1" x14ac:dyDescent="0.3">
      <c r="A168" s="122" t="s">
        <v>74</v>
      </c>
      <c r="B168" s="162">
        <v>0.23499999999999999</v>
      </c>
      <c r="C168" s="123"/>
      <c r="D168" s="150"/>
      <c r="E168" s="150"/>
      <c r="F168" s="163">
        <f>-F167*B168</f>
        <v>-107127433.55873148</v>
      </c>
      <c r="G168" s="127"/>
      <c r="H168" s="150"/>
      <c r="I168" s="150"/>
      <c r="J168" s="127">
        <v>0</v>
      </c>
      <c r="K168" s="135">
        <f>+F168+J168</f>
        <v>-107127433.55873148</v>
      </c>
    </row>
    <row r="169" spans="1:12" ht="15.75" thickBot="1" x14ac:dyDescent="0.3">
      <c r="A169" s="122" t="s">
        <v>38</v>
      </c>
      <c r="B169" s="164"/>
      <c r="C169" s="165"/>
      <c r="D169" s="122"/>
      <c r="E169" s="122"/>
      <c r="F169" s="166">
        <f>+F167+F168</f>
        <v>348733985.84012592</v>
      </c>
      <c r="G169" s="122"/>
      <c r="H169" s="122"/>
      <c r="I169" s="122"/>
      <c r="J169" s="166">
        <f>+J167+J168</f>
        <v>194559140.90962589</v>
      </c>
      <c r="K169" s="166">
        <f>+K167+K168</f>
        <v>543293126.74975193</v>
      </c>
    </row>
    <row r="170" spans="1:12" ht="15.75" thickTop="1" x14ac:dyDescent="0.25">
      <c r="A170" s="165"/>
      <c r="B170" s="167"/>
      <c r="C170" s="116"/>
      <c r="D170" s="116"/>
      <c r="E170" s="116"/>
      <c r="F170" s="168"/>
      <c r="G170" s="116"/>
      <c r="H170" s="116"/>
      <c r="I170" s="116"/>
      <c r="J170" s="168"/>
      <c r="K170" s="168"/>
    </row>
    <row r="171" spans="1:12" x14ac:dyDescent="0.25">
      <c r="A171" s="123" t="s">
        <v>75</v>
      </c>
    </row>
    <row r="172" spans="1:12" x14ac:dyDescent="0.25">
      <c r="A172" s="123" t="s">
        <v>76</v>
      </c>
    </row>
    <row r="173" spans="1:12" x14ac:dyDescent="0.25">
      <c r="A173" s="116"/>
    </row>
    <row r="174" spans="1:12" x14ac:dyDescent="0.25">
      <c r="D174" s="198" t="str">
        <f>D10 &amp; " - Cop"</f>
        <v>2030 Test Year - Cop</v>
      </c>
      <c r="E174" s="198"/>
    </row>
    <row r="175" spans="1:12" x14ac:dyDescent="0.25">
      <c r="B175" s="1" t="str">
        <f>LEFT(D175,4)</f>
        <v>4705</v>
      </c>
      <c r="D175" s="127" t="s">
        <v>77</v>
      </c>
      <c r="E175" s="169">
        <f>K24</f>
        <v>400626572.11443764</v>
      </c>
    </row>
    <row r="176" spans="1:12" x14ac:dyDescent="0.25">
      <c r="B176" s="1" t="str">
        <f t="shared" ref="B176:B181" si="43">LEFT(D176,4)</f>
        <v>4707</v>
      </c>
      <c r="D176" s="127" t="s">
        <v>78</v>
      </c>
      <c r="E176" s="136">
        <f>K44</f>
        <v>101958333.8644349</v>
      </c>
    </row>
    <row r="177" spans="2:5" x14ac:dyDescent="0.25">
      <c r="B177" s="1" t="str">
        <f t="shared" si="43"/>
        <v>4708</v>
      </c>
      <c r="D177" s="127" t="s">
        <v>79</v>
      </c>
      <c r="E177" s="136">
        <f>(K93+K108+K123+K138)</f>
        <v>29584967.80261606</v>
      </c>
    </row>
    <row r="178" spans="2:5" x14ac:dyDescent="0.25">
      <c r="B178" s="1" t="str">
        <f t="shared" si="43"/>
        <v>4714</v>
      </c>
      <c r="D178" s="127" t="s">
        <v>80</v>
      </c>
      <c r="E178" s="136">
        <f>K61</f>
        <v>65201066.227737561</v>
      </c>
    </row>
    <row r="179" spans="2:5" x14ac:dyDescent="0.25">
      <c r="B179" s="1" t="str">
        <f t="shared" si="43"/>
        <v>4716</v>
      </c>
      <c r="D179" s="127" t="s">
        <v>81</v>
      </c>
      <c r="E179" s="136">
        <f>K78</f>
        <v>45404607.001012146</v>
      </c>
    </row>
    <row r="180" spans="2:5" x14ac:dyDescent="0.25">
      <c r="B180" s="1" t="str">
        <f t="shared" si="43"/>
        <v>4750</v>
      </c>
      <c r="D180" s="127" t="s">
        <v>82</v>
      </c>
      <c r="E180" s="136">
        <f>K153</f>
        <v>6656317.4389598444</v>
      </c>
    </row>
    <row r="181" spans="2:5" x14ac:dyDescent="0.25">
      <c r="B181" s="1" t="str">
        <f t="shared" si="43"/>
        <v>4751</v>
      </c>
      <c r="D181" s="127" t="s">
        <v>83</v>
      </c>
      <c r="E181" s="136">
        <f>K165</f>
        <v>988695.85928509501</v>
      </c>
    </row>
    <row r="182" spans="2:5" x14ac:dyDescent="0.25">
      <c r="D182" s="127" t="s">
        <v>84</v>
      </c>
      <c r="E182" s="136">
        <f>+K168</f>
        <v>-107127433.55873148</v>
      </c>
    </row>
    <row r="183" spans="2:5" x14ac:dyDescent="0.25">
      <c r="D183" s="122" t="s">
        <v>38</v>
      </c>
      <c r="E183" s="170">
        <f>SUM(E175:E182)</f>
        <v>543293126.74975193</v>
      </c>
    </row>
    <row r="184" spans="2:5" x14ac:dyDescent="0.25">
      <c r="E184" s="111">
        <f>+E183-K169</f>
        <v>0</v>
      </c>
    </row>
  </sheetData>
  <mergeCells count="90">
    <mergeCell ref="K157:K163"/>
    <mergeCell ref="D174:E174"/>
    <mergeCell ref="K142:K152"/>
    <mergeCell ref="B155:B156"/>
    <mergeCell ref="D155:D156"/>
    <mergeCell ref="E155:E156"/>
    <mergeCell ref="F155:F156"/>
    <mergeCell ref="H155:H156"/>
    <mergeCell ref="I155:I156"/>
    <mergeCell ref="J155:J156"/>
    <mergeCell ref="K155:K156"/>
    <mergeCell ref="K127:K137"/>
    <mergeCell ref="B140:B141"/>
    <mergeCell ref="D140:D141"/>
    <mergeCell ref="E140:E141"/>
    <mergeCell ref="F140:F141"/>
    <mergeCell ref="H140:H141"/>
    <mergeCell ref="I140:I141"/>
    <mergeCell ref="J140:J141"/>
    <mergeCell ref="K140:K141"/>
    <mergeCell ref="K112:K122"/>
    <mergeCell ref="B125:B126"/>
    <mergeCell ref="D125:D126"/>
    <mergeCell ref="E125:E126"/>
    <mergeCell ref="F125:F126"/>
    <mergeCell ref="H125:H126"/>
    <mergeCell ref="I125:I126"/>
    <mergeCell ref="J125:J126"/>
    <mergeCell ref="K125:K126"/>
    <mergeCell ref="K97:K107"/>
    <mergeCell ref="B110:B111"/>
    <mergeCell ref="D110:D111"/>
    <mergeCell ref="E110:E111"/>
    <mergeCell ref="F110:F111"/>
    <mergeCell ref="H110:H111"/>
    <mergeCell ref="I110:I111"/>
    <mergeCell ref="J110:J111"/>
    <mergeCell ref="K110:K111"/>
    <mergeCell ref="K82:K92"/>
    <mergeCell ref="B95:B96"/>
    <mergeCell ref="D95:D96"/>
    <mergeCell ref="E95:E96"/>
    <mergeCell ref="F95:F96"/>
    <mergeCell ref="H95:H96"/>
    <mergeCell ref="I95:I96"/>
    <mergeCell ref="J95:J96"/>
    <mergeCell ref="K95:K96"/>
    <mergeCell ref="K65:K77"/>
    <mergeCell ref="B80:B81"/>
    <mergeCell ref="D80:D81"/>
    <mergeCell ref="E80:E81"/>
    <mergeCell ref="F80:F81"/>
    <mergeCell ref="H80:H81"/>
    <mergeCell ref="I80:I81"/>
    <mergeCell ref="J80:J81"/>
    <mergeCell ref="K80:K81"/>
    <mergeCell ref="K48:K60"/>
    <mergeCell ref="B63:B64"/>
    <mergeCell ref="D63:D64"/>
    <mergeCell ref="E63:E64"/>
    <mergeCell ref="F63:F64"/>
    <mergeCell ref="H63:H64"/>
    <mergeCell ref="I63:I64"/>
    <mergeCell ref="J63:J64"/>
    <mergeCell ref="K63:K64"/>
    <mergeCell ref="K28:K43"/>
    <mergeCell ref="B46:B47"/>
    <mergeCell ref="D46:D47"/>
    <mergeCell ref="E46:E47"/>
    <mergeCell ref="F46:F47"/>
    <mergeCell ref="H46:H47"/>
    <mergeCell ref="I46:I47"/>
    <mergeCell ref="J46:J47"/>
    <mergeCell ref="K46:K47"/>
    <mergeCell ref="K12:K23"/>
    <mergeCell ref="I25:J25"/>
    <mergeCell ref="B26:B27"/>
    <mergeCell ref="D26:D27"/>
    <mergeCell ref="E26:E27"/>
    <mergeCell ref="F26:F27"/>
    <mergeCell ref="H26:H27"/>
    <mergeCell ref="I26:I27"/>
    <mergeCell ref="J26:J27"/>
    <mergeCell ref="K26:K27"/>
    <mergeCell ref="B11:B12"/>
    <mergeCell ref="A1:J1"/>
    <mergeCell ref="E9:F9"/>
    <mergeCell ref="I9:J9"/>
    <mergeCell ref="E10:F10"/>
    <mergeCell ref="I10:J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77237-68FF-4FD8-AFD0-34D6B3872054}">
  <sheetPr codeName="Sheet10"/>
  <dimension ref="A1:AA72"/>
  <sheetViews>
    <sheetView topLeftCell="B1" workbookViewId="0">
      <selection activeCell="L8" sqref="L8"/>
    </sheetView>
  </sheetViews>
  <sheetFormatPr defaultColWidth="9.28515625" defaultRowHeight="15" outlineLevelRow="1" x14ac:dyDescent="0.25"/>
  <cols>
    <col min="1" max="1" width="9.28515625" style="1"/>
    <col min="2" max="2" width="43.28515625" style="1" customWidth="1"/>
    <col min="3" max="3" width="7.28515625" style="1" customWidth="1"/>
    <col min="4" max="4" width="10.28515625" style="1" customWidth="1"/>
    <col min="5" max="5" width="7.5703125" style="1" customWidth="1"/>
    <col min="6" max="6" width="20.28515625" style="1" customWidth="1"/>
    <col min="7" max="7" width="14.5703125" style="1" customWidth="1"/>
    <col min="8" max="10" width="17.42578125" style="1" customWidth="1"/>
    <col min="11" max="11" width="21.28515625" style="1" customWidth="1"/>
    <col min="12" max="12" width="16.5703125" style="1" customWidth="1"/>
    <col min="13" max="13" width="12.42578125" style="1" bestFit="1" customWidth="1"/>
    <col min="14" max="14" width="12" style="1" bestFit="1" customWidth="1"/>
    <col min="15" max="16384" width="9.28515625" style="1"/>
  </cols>
  <sheetData>
    <row r="1" spans="1:27" x14ac:dyDescent="0.25">
      <c r="B1" s="2"/>
    </row>
    <row r="2" spans="1:27" x14ac:dyDescent="0.25">
      <c r="A2" s="3"/>
      <c r="B2" s="3"/>
      <c r="C2" s="3"/>
      <c r="D2" s="3"/>
      <c r="E2" s="3"/>
      <c r="K2" s="4" t="s">
        <v>1</v>
      </c>
      <c r="L2" s="5" t="s">
        <v>96</v>
      </c>
    </row>
    <row r="3" spans="1:27" ht="18" x14ac:dyDescent="0.25">
      <c r="A3" s="3"/>
      <c r="C3" s="6"/>
      <c r="D3" s="6"/>
      <c r="E3" s="6"/>
      <c r="F3" s="6"/>
      <c r="G3" s="6"/>
      <c r="H3" s="6"/>
      <c r="I3" s="6"/>
      <c r="J3" s="6"/>
      <c r="K3" s="4" t="s">
        <v>2</v>
      </c>
      <c r="L3" s="7" t="s">
        <v>98</v>
      </c>
    </row>
    <row r="4" spans="1:27" x14ac:dyDescent="0.25">
      <c r="B4" s="174" t="s">
        <v>3</v>
      </c>
      <c r="C4" s="174"/>
      <c r="D4" s="174"/>
      <c r="E4" s="174"/>
      <c r="F4" s="174"/>
      <c r="G4" s="174"/>
      <c r="H4" s="174"/>
      <c r="I4" s="174"/>
      <c r="K4" s="4" t="s">
        <v>4</v>
      </c>
      <c r="L4" s="7">
        <v>3</v>
      </c>
    </row>
    <row r="5" spans="1:27" ht="18" customHeight="1" x14ac:dyDescent="0.25">
      <c r="B5" s="174"/>
      <c r="C5" s="174"/>
      <c r="D5" s="174"/>
      <c r="E5" s="174"/>
      <c r="F5" s="174"/>
      <c r="G5" s="174"/>
      <c r="H5" s="174"/>
      <c r="I5" s="174"/>
      <c r="J5" s="6"/>
      <c r="K5" s="4" t="s">
        <v>5</v>
      </c>
      <c r="L5" s="7">
        <v>1</v>
      </c>
    </row>
    <row r="6" spans="1:27" ht="15" customHeight="1" x14ac:dyDescent="0.25">
      <c r="B6" s="174"/>
      <c r="C6" s="174"/>
      <c r="D6" s="174"/>
      <c r="E6" s="174"/>
      <c r="F6" s="174"/>
      <c r="G6" s="174"/>
      <c r="H6" s="174"/>
      <c r="I6" s="174"/>
      <c r="J6" s="6"/>
      <c r="K6" s="4" t="s">
        <v>6</v>
      </c>
      <c r="L6" s="5"/>
    </row>
    <row r="7" spans="1:27" x14ac:dyDescent="0.25">
      <c r="B7" s="8"/>
      <c r="K7" s="4"/>
      <c r="L7" s="9" t="s">
        <v>97</v>
      </c>
    </row>
    <row r="8" spans="1:27" x14ac:dyDescent="0.25">
      <c r="B8" s="8"/>
      <c r="K8" s="4" t="s">
        <v>7</v>
      </c>
      <c r="L8" s="199">
        <v>46283</v>
      </c>
    </row>
    <row r="9" spans="1:27" x14ac:dyDescent="0.25">
      <c r="B9" s="8"/>
    </row>
    <row r="10" spans="1:27" ht="15.75" thickBot="1" x14ac:dyDescent="0.3">
      <c r="A10" s="10"/>
      <c r="B10" s="11"/>
      <c r="C10" s="12"/>
      <c r="D10" s="13"/>
      <c r="E10" s="13"/>
      <c r="F10" s="13"/>
      <c r="G10" s="10"/>
      <c r="H10" s="10"/>
      <c r="I10" s="10"/>
      <c r="J10" s="10"/>
      <c r="K10" s="10"/>
      <c r="L10" s="13"/>
      <c r="Q10" s="14"/>
      <c r="R10" s="14"/>
      <c r="S10" s="14"/>
      <c r="T10" s="14"/>
      <c r="U10" s="14"/>
      <c r="V10" s="14"/>
      <c r="Y10" s="15"/>
      <c r="Z10" s="15"/>
      <c r="AA10" s="15"/>
    </row>
    <row r="11" spans="1:27" ht="15.75" x14ac:dyDescent="0.25">
      <c r="A11" s="16"/>
      <c r="B11" s="17"/>
      <c r="C11" s="14"/>
      <c r="D11" s="14"/>
      <c r="E11" s="14"/>
      <c r="F11" s="14"/>
      <c r="G11" s="15"/>
      <c r="H11" s="14"/>
      <c r="I11" s="14"/>
      <c r="J11" s="14"/>
      <c r="K11" s="14"/>
      <c r="L11" s="18"/>
      <c r="M11" s="19"/>
      <c r="N11" s="17"/>
      <c r="O11" s="14"/>
      <c r="P11" s="14"/>
      <c r="Q11" s="14"/>
      <c r="R11" s="14"/>
      <c r="S11" s="14"/>
      <c r="T11" s="14"/>
      <c r="U11" s="14"/>
      <c r="V11" s="14"/>
      <c r="Y11" s="15"/>
      <c r="Z11" s="15"/>
      <c r="AA11" s="15"/>
    </row>
    <row r="12" spans="1:27" ht="15.75" x14ac:dyDescent="0.25">
      <c r="A12" s="18" t="s">
        <v>8</v>
      </c>
      <c r="B12" s="19" t="s">
        <v>9</v>
      </c>
      <c r="C12" s="17"/>
      <c r="D12" s="14"/>
      <c r="E12" s="14"/>
      <c r="F12" s="14"/>
      <c r="G12" s="15"/>
      <c r="H12" s="14"/>
      <c r="I12" s="14"/>
      <c r="J12" s="14"/>
      <c r="K12" s="14"/>
      <c r="L12" s="18"/>
      <c r="M12" s="19"/>
      <c r="N12" s="17"/>
      <c r="O12" s="14"/>
      <c r="P12" s="14"/>
      <c r="Q12" s="14"/>
      <c r="R12" s="14"/>
      <c r="S12" s="14"/>
      <c r="T12" s="14"/>
      <c r="U12" s="14"/>
      <c r="V12" s="14"/>
      <c r="Y12" s="15"/>
      <c r="Z12" s="15"/>
      <c r="AA12" s="15"/>
    </row>
    <row r="13" spans="1:27" ht="16.5" thickBot="1" x14ac:dyDescent="0.3">
      <c r="A13" s="16"/>
      <c r="B13" s="17"/>
      <c r="C13" s="14"/>
      <c r="D13" s="14"/>
      <c r="E13" s="14"/>
      <c r="F13" s="14"/>
      <c r="G13" s="15"/>
      <c r="H13" s="14"/>
      <c r="I13" s="14"/>
      <c r="J13" s="14"/>
      <c r="K13" s="14"/>
      <c r="L13" s="18"/>
      <c r="M13" s="19"/>
      <c r="N13" s="17"/>
      <c r="O13" s="14"/>
      <c r="P13" s="14"/>
      <c r="Q13" s="14"/>
      <c r="R13" s="14"/>
      <c r="S13" s="14"/>
      <c r="T13" s="14"/>
      <c r="U13" s="14"/>
      <c r="V13" s="14"/>
      <c r="Y13" s="15"/>
      <c r="Z13" s="15"/>
      <c r="AA13" s="15"/>
    </row>
    <row r="14" spans="1:27" ht="15.75" thickBot="1" x14ac:dyDescent="0.3">
      <c r="A14" s="15"/>
      <c r="B14" s="15" t="s">
        <v>10</v>
      </c>
      <c r="C14" s="15"/>
      <c r="D14" s="15"/>
      <c r="E14" s="15"/>
      <c r="F14" s="15"/>
      <c r="G14" s="20"/>
      <c r="H14" s="21"/>
      <c r="J14" s="22"/>
      <c r="K14" s="22"/>
      <c r="N14" s="23"/>
      <c r="O14" s="23"/>
      <c r="P14" s="15"/>
    </row>
    <row r="15" spans="1:27" x14ac:dyDescent="0.25">
      <c r="A15" s="18"/>
      <c r="B15" s="24" t="s">
        <v>11</v>
      </c>
      <c r="C15" s="15" t="s">
        <v>12</v>
      </c>
      <c r="D15" s="15"/>
      <c r="E15" s="15"/>
      <c r="F15" s="15"/>
      <c r="G15" s="25" t="s">
        <v>13</v>
      </c>
      <c r="H15" s="26" t="s">
        <v>14</v>
      </c>
      <c r="J15" s="27"/>
      <c r="K15" s="27"/>
      <c r="N15" s="23"/>
      <c r="O15" s="23"/>
      <c r="P15" s="15"/>
    </row>
    <row r="16" spans="1:27" ht="15.75" thickBot="1" x14ac:dyDescent="0.3">
      <c r="A16" s="15"/>
      <c r="B16" s="28"/>
      <c r="C16" s="15"/>
      <c r="D16" s="15"/>
      <c r="E16" s="15"/>
      <c r="F16" s="15"/>
      <c r="G16" s="29"/>
      <c r="H16" s="30"/>
      <c r="J16" s="27"/>
      <c r="K16" s="27"/>
      <c r="N16" s="23"/>
      <c r="O16" s="23"/>
      <c r="P16" s="15"/>
    </row>
    <row r="17" spans="1:16" ht="29.25" customHeight="1" x14ac:dyDescent="0.25">
      <c r="A17" s="15"/>
      <c r="B17" s="31" t="s">
        <v>15</v>
      </c>
      <c r="C17" s="175" t="s">
        <v>16</v>
      </c>
      <c r="D17" s="176"/>
      <c r="E17" s="177"/>
      <c r="F17" s="32"/>
      <c r="G17" s="33">
        <v>61.627009789787998</v>
      </c>
      <c r="H17" s="34">
        <f>G17</f>
        <v>61.627009789787998</v>
      </c>
      <c r="J17" s="35"/>
      <c r="K17" s="35"/>
      <c r="N17" s="15"/>
      <c r="O17" s="15"/>
      <c r="P17" s="15"/>
    </row>
    <row r="18" spans="1:16" ht="32.25" customHeight="1" x14ac:dyDescent="0.25">
      <c r="A18" s="15"/>
      <c r="B18" s="31" t="s">
        <v>17</v>
      </c>
      <c r="C18" s="175" t="s">
        <v>18</v>
      </c>
      <c r="D18" s="176"/>
      <c r="E18" s="177"/>
      <c r="F18" s="36"/>
      <c r="G18" s="37">
        <v>69.336182383883013</v>
      </c>
      <c r="H18" s="38">
        <f>G18</f>
        <v>69.336182383883013</v>
      </c>
      <c r="J18" s="35"/>
      <c r="K18" s="35"/>
      <c r="N18" s="15"/>
      <c r="O18" s="15"/>
      <c r="P18" s="15"/>
    </row>
    <row r="19" spans="1:16" x14ac:dyDescent="0.25">
      <c r="A19" s="15"/>
      <c r="B19" s="31" t="s">
        <v>19</v>
      </c>
      <c r="C19" s="178"/>
      <c r="D19" s="179"/>
      <c r="E19" s="180"/>
      <c r="F19" s="36"/>
      <c r="G19" s="39"/>
      <c r="H19" s="38">
        <v>10.59</v>
      </c>
      <c r="J19" s="40"/>
      <c r="K19" s="35"/>
      <c r="N19" s="15"/>
      <c r="O19" s="15"/>
      <c r="P19" s="15"/>
    </row>
    <row r="20" spans="1:16" ht="40.9" customHeight="1" x14ac:dyDescent="0.25">
      <c r="A20" s="15"/>
      <c r="B20" s="41" t="s">
        <v>20</v>
      </c>
      <c r="C20" s="175" t="s">
        <v>21</v>
      </c>
      <c r="D20" s="176"/>
      <c r="E20" s="177"/>
      <c r="F20" s="36"/>
      <c r="G20" s="42"/>
      <c r="H20" s="43">
        <f>SUM(H17:H19)</f>
        <v>141.55319217367102</v>
      </c>
      <c r="J20" s="44"/>
      <c r="K20" s="44"/>
      <c r="N20" s="15"/>
      <c r="O20" s="15"/>
      <c r="P20" s="15"/>
    </row>
    <row r="21" spans="1:16" ht="15.75" thickBo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5"/>
      <c r="N21" s="15"/>
      <c r="O21" s="15"/>
      <c r="P21" s="15"/>
    </row>
    <row r="22" spans="1:16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5.75" customHeight="1" outlineLevel="1" x14ac:dyDescent="0.25">
      <c r="A23" s="18" t="s">
        <v>22</v>
      </c>
      <c r="B23" s="19" t="s">
        <v>23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5" customHeight="1" outlineLevel="1" x14ac:dyDescent="0.25">
      <c r="A24" s="15"/>
      <c r="B24" s="45" t="s">
        <v>24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5" customHeight="1" outlineLevel="1" x14ac:dyDescent="0.25">
      <c r="A25" s="15"/>
      <c r="B25" s="4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5" customHeight="1" outlineLevel="1" x14ac:dyDescent="0.25">
      <c r="A26" s="15"/>
      <c r="B26" s="46" t="s">
        <v>0</v>
      </c>
      <c r="E26" s="47"/>
      <c r="F26" s="48"/>
      <c r="G26" s="173" t="s">
        <v>95</v>
      </c>
      <c r="H26" s="173"/>
      <c r="I26" s="173"/>
      <c r="J26" s="173"/>
      <c r="K26" s="173"/>
      <c r="L26" s="173"/>
      <c r="M26" s="15"/>
      <c r="N26" s="15"/>
      <c r="O26" s="15"/>
      <c r="P26" s="15"/>
    </row>
    <row r="27" spans="1:16" ht="15" customHeight="1" outlineLevel="1" x14ac:dyDescent="0.25">
      <c r="A27" s="15"/>
      <c r="B27" s="49" t="s">
        <v>25</v>
      </c>
      <c r="C27" s="50"/>
      <c r="D27" s="50" t="s">
        <v>26</v>
      </c>
      <c r="E27" s="51" t="s">
        <v>27</v>
      </c>
      <c r="F27" s="52"/>
      <c r="G27" s="52"/>
      <c r="H27" s="52"/>
      <c r="I27" s="52"/>
      <c r="J27" s="52"/>
      <c r="K27" s="52"/>
      <c r="L27" s="52"/>
      <c r="M27" s="15"/>
      <c r="N27" s="15"/>
      <c r="O27" s="15"/>
      <c r="P27" s="15"/>
    </row>
    <row r="28" spans="1:16" ht="42.75" customHeight="1" outlineLevel="1" x14ac:dyDescent="0.25">
      <c r="A28" s="15"/>
      <c r="B28" s="53" t="s">
        <v>28</v>
      </c>
      <c r="C28" s="54" t="s">
        <v>29</v>
      </c>
      <c r="D28" s="54" t="s">
        <v>30</v>
      </c>
      <c r="E28" s="55" t="s">
        <v>30</v>
      </c>
      <c r="F28" s="56" t="s">
        <v>31</v>
      </c>
      <c r="G28" s="56"/>
      <c r="H28" s="56" t="s">
        <v>32</v>
      </c>
      <c r="I28" s="56" t="s">
        <v>33</v>
      </c>
      <c r="J28" s="56" t="s">
        <v>34</v>
      </c>
      <c r="K28" s="56" t="s">
        <v>35</v>
      </c>
      <c r="L28" s="57" t="s">
        <v>36</v>
      </c>
      <c r="M28" s="15"/>
      <c r="N28" s="15"/>
      <c r="O28" s="15"/>
      <c r="P28" s="15"/>
    </row>
    <row r="29" spans="1:16" ht="15" customHeight="1" outlineLevel="1" x14ac:dyDescent="0.25">
      <c r="A29" s="15"/>
      <c r="B29" s="58" t="s">
        <v>85</v>
      </c>
      <c r="C29" s="59" t="s">
        <v>37</v>
      </c>
      <c r="D29" s="59">
        <v>4006</v>
      </c>
      <c r="E29" s="60">
        <v>4705</v>
      </c>
      <c r="F29" s="61">
        <v>0</v>
      </c>
      <c r="G29" s="62"/>
      <c r="H29" s="61">
        <v>20563849.970325798</v>
      </c>
      <c r="I29" s="61">
        <v>1658121916.1004322</v>
      </c>
      <c r="J29" s="63">
        <f t="shared" ref="J29:J39" si="0">+$G$17/1000</f>
        <v>6.1627009789787995E-2</v>
      </c>
      <c r="K29" s="63">
        <f t="shared" ref="K29:K39" si="1">+$H$20/1000</f>
        <v>0.14155319217367102</v>
      </c>
      <c r="L29" s="64">
        <f t="shared" ref="L29:L39" si="2">(+F29+H29)*J29+(I29*K29)</f>
        <v>235979738.82057709</v>
      </c>
      <c r="M29" s="15"/>
      <c r="N29" s="15"/>
      <c r="O29" s="15"/>
      <c r="P29" s="15"/>
    </row>
    <row r="30" spans="1:16" ht="15" customHeight="1" outlineLevel="1" x14ac:dyDescent="0.25">
      <c r="A30" s="15"/>
      <c r="B30" s="58" t="s">
        <v>86</v>
      </c>
      <c r="C30" s="59" t="s">
        <v>37</v>
      </c>
      <c r="D30" s="59">
        <v>4010</v>
      </c>
      <c r="E30" s="60">
        <v>4705</v>
      </c>
      <c r="F30" s="61">
        <v>0</v>
      </c>
      <c r="G30" s="62"/>
      <c r="H30" s="61">
        <v>189657.30906596681</v>
      </c>
      <c r="I30" s="61">
        <v>15292610.146675296</v>
      </c>
      <c r="J30" s="63">
        <f t="shared" si="0"/>
        <v>6.1627009789787995E-2</v>
      </c>
      <c r="K30" s="63">
        <f t="shared" si="1"/>
        <v>0.14155319217367102</v>
      </c>
      <c r="L30" s="64">
        <f t="shared" si="2"/>
        <v>2176405.7957718726</v>
      </c>
      <c r="M30" s="15"/>
      <c r="N30" s="15"/>
      <c r="O30" s="15"/>
      <c r="P30" s="15"/>
    </row>
    <row r="31" spans="1:16" ht="15" customHeight="1" outlineLevel="1" x14ac:dyDescent="0.25">
      <c r="A31" s="15"/>
      <c r="B31" s="58" t="s">
        <v>87</v>
      </c>
      <c r="C31" s="59" t="s">
        <v>37</v>
      </c>
      <c r="D31" s="59">
        <v>4035</v>
      </c>
      <c r="E31" s="60">
        <v>4705</v>
      </c>
      <c r="F31" s="61">
        <v>47972.281247874424</v>
      </c>
      <c r="G31" s="62"/>
      <c r="H31" s="61">
        <v>50061220.055465534</v>
      </c>
      <c r="I31" s="61">
        <v>321058738.3588981</v>
      </c>
      <c r="J31" s="63">
        <f t="shared" si="0"/>
        <v>6.1627009789787995E-2</v>
      </c>
      <c r="K31" s="63">
        <f t="shared" si="1"/>
        <v>0.14155319217367102</v>
      </c>
      <c r="L31" s="64">
        <f t="shared" si="2"/>
        <v>48534968.976646468</v>
      </c>
      <c r="M31" s="15"/>
      <c r="N31" s="15"/>
      <c r="O31" s="15"/>
      <c r="P31" s="15"/>
    </row>
    <row r="32" spans="1:16" ht="15" customHeight="1" outlineLevel="1" x14ac:dyDescent="0.25">
      <c r="A32" s="15"/>
      <c r="B32" s="58" t="s">
        <v>88</v>
      </c>
      <c r="C32" s="59" t="s">
        <v>37</v>
      </c>
      <c r="D32" s="59">
        <v>4010</v>
      </c>
      <c r="E32" s="60">
        <v>4705</v>
      </c>
      <c r="F32" s="61">
        <v>102213613.96734188</v>
      </c>
      <c r="G32" s="62"/>
      <c r="H32" s="61">
        <v>825416168.51070237</v>
      </c>
      <c r="I32" s="61">
        <v>481347465.15759414</v>
      </c>
      <c r="J32" s="63">
        <f t="shared" si="0"/>
        <v>6.1627009789787995E-2</v>
      </c>
      <c r="K32" s="63">
        <f t="shared" si="1"/>
        <v>0.14155319217367102</v>
      </c>
      <c r="L32" s="64">
        <f t="shared" si="2"/>
        <v>125303319.92383566</v>
      </c>
      <c r="M32" s="15"/>
      <c r="N32" s="15"/>
      <c r="O32" s="15"/>
      <c r="P32" s="15"/>
    </row>
    <row r="33" spans="1:16" ht="15" customHeight="1" outlineLevel="1" x14ac:dyDescent="0.25">
      <c r="A33" s="15"/>
      <c r="B33" s="58" t="s">
        <v>89</v>
      </c>
      <c r="C33" s="59" t="s">
        <v>37</v>
      </c>
      <c r="D33" s="59">
        <v>4025</v>
      </c>
      <c r="E33" s="60">
        <v>4705</v>
      </c>
      <c r="F33" s="61">
        <v>296054867.83515757</v>
      </c>
      <c r="G33" s="62"/>
      <c r="H33" s="61">
        <v>58807201.193634532</v>
      </c>
      <c r="I33" s="61">
        <v>9668812.361613404</v>
      </c>
      <c r="J33" s="63">
        <f t="shared" si="0"/>
        <v>6.1627009789787995E-2</v>
      </c>
      <c r="K33" s="63">
        <f t="shared" si="1"/>
        <v>0.14155319217367102</v>
      </c>
      <c r="L33" s="64">
        <f t="shared" si="2"/>
        <v>23237739.456376422</v>
      </c>
      <c r="M33" s="15"/>
      <c r="N33" s="15"/>
      <c r="O33" s="15"/>
      <c r="P33" s="15"/>
    </row>
    <row r="34" spans="1:16" ht="15" customHeight="1" outlineLevel="1" x14ac:dyDescent="0.25">
      <c r="A34" s="15"/>
      <c r="B34" s="58" t="s">
        <v>90</v>
      </c>
      <c r="C34" s="59" t="s">
        <v>37</v>
      </c>
      <c r="D34" s="59">
        <v>4025</v>
      </c>
      <c r="E34" s="60">
        <v>4705</v>
      </c>
      <c r="F34" s="61">
        <v>566255661.25350714</v>
      </c>
      <c r="G34" s="62"/>
      <c r="H34" s="61">
        <v>75835405.562189132</v>
      </c>
      <c r="I34" s="61">
        <v>0</v>
      </c>
      <c r="J34" s="63">
        <f t="shared" si="0"/>
        <v>6.1627009789787995E-2</v>
      </c>
      <c r="K34" s="63">
        <f t="shared" si="1"/>
        <v>0.14155319217367102</v>
      </c>
      <c r="L34" s="64">
        <f t="shared" si="2"/>
        <v>39570152.460586332</v>
      </c>
      <c r="M34" s="15"/>
      <c r="N34" s="15"/>
      <c r="O34" s="15"/>
      <c r="P34" s="15"/>
    </row>
    <row r="35" spans="1:16" ht="15" customHeight="1" outlineLevel="1" x14ac:dyDescent="0.25">
      <c r="A35" s="15"/>
      <c r="B35" s="58" t="s">
        <v>91</v>
      </c>
      <c r="C35" s="59" t="s">
        <v>37</v>
      </c>
      <c r="D35" s="59">
        <v>4025</v>
      </c>
      <c r="E35" s="60">
        <v>4705</v>
      </c>
      <c r="F35" s="61">
        <v>0</v>
      </c>
      <c r="G35" s="62"/>
      <c r="H35" s="61">
        <v>17107205.673963737</v>
      </c>
      <c r="I35" s="61">
        <v>0</v>
      </c>
      <c r="J35" s="63">
        <f t="shared" si="0"/>
        <v>6.1627009789787995E-2</v>
      </c>
      <c r="K35" s="63">
        <f t="shared" si="1"/>
        <v>0.14155319217367102</v>
      </c>
      <c r="L35" s="64">
        <f t="shared" si="2"/>
        <v>1054265.9315452799</v>
      </c>
      <c r="M35" s="15"/>
      <c r="N35" s="15"/>
      <c r="O35" s="15"/>
      <c r="P35" s="15"/>
    </row>
    <row r="36" spans="1:16" ht="15" customHeight="1" outlineLevel="1" x14ac:dyDescent="0.25">
      <c r="A36" s="15"/>
      <c r="B36" s="58" t="s">
        <v>92</v>
      </c>
      <c r="C36" s="59" t="s">
        <v>37</v>
      </c>
      <c r="D36" s="59">
        <v>4025</v>
      </c>
      <c r="E36" s="60">
        <v>4705</v>
      </c>
      <c r="F36" s="61">
        <v>0</v>
      </c>
      <c r="G36" s="62"/>
      <c r="H36" s="61">
        <v>0</v>
      </c>
      <c r="I36" s="61">
        <v>85043.081691055369</v>
      </c>
      <c r="J36" s="63">
        <f t="shared" si="0"/>
        <v>6.1627009789787995E-2</v>
      </c>
      <c r="K36" s="63">
        <f t="shared" si="1"/>
        <v>0.14155319217367102</v>
      </c>
      <c r="L36" s="64">
        <f t="shared" si="2"/>
        <v>12038.119685655163</v>
      </c>
      <c r="M36" s="15"/>
      <c r="N36" s="15"/>
      <c r="O36" s="15"/>
      <c r="P36" s="15"/>
    </row>
    <row r="37" spans="1:16" ht="15" customHeight="1" outlineLevel="1" x14ac:dyDescent="0.25">
      <c r="A37" s="15"/>
      <c r="B37" s="58" t="s">
        <v>93</v>
      </c>
      <c r="C37" s="59" t="s">
        <v>37</v>
      </c>
      <c r="D37" s="59">
        <v>4025</v>
      </c>
      <c r="E37" s="60">
        <v>4705</v>
      </c>
      <c r="F37" s="61">
        <v>0</v>
      </c>
      <c r="G37" s="62"/>
      <c r="H37" s="61">
        <v>4204.1748041201463</v>
      </c>
      <c r="I37" s="61">
        <v>6624866.0473044589</v>
      </c>
      <c r="J37" s="63">
        <f t="shared" si="0"/>
        <v>6.1627009789787995E-2</v>
      </c>
      <c r="K37" s="63">
        <f t="shared" si="1"/>
        <v>0.14155319217367102</v>
      </c>
      <c r="L37" s="64">
        <f t="shared" si="2"/>
        <v>938030.02744072792</v>
      </c>
      <c r="M37" s="15"/>
      <c r="N37" s="15"/>
      <c r="O37" s="15"/>
      <c r="P37" s="15"/>
    </row>
    <row r="38" spans="1:16" ht="15" customHeight="1" outlineLevel="1" x14ac:dyDescent="0.25">
      <c r="A38" s="15"/>
      <c r="B38" s="58"/>
      <c r="C38" s="59" t="s">
        <v>37</v>
      </c>
      <c r="D38" s="59">
        <v>4025</v>
      </c>
      <c r="E38" s="60">
        <v>4705</v>
      </c>
      <c r="F38" s="61"/>
      <c r="G38" s="62"/>
      <c r="H38" s="61"/>
      <c r="I38" s="61"/>
      <c r="J38" s="63">
        <f t="shared" si="0"/>
        <v>6.1627009789787995E-2</v>
      </c>
      <c r="K38" s="63">
        <f t="shared" si="1"/>
        <v>0.14155319217367102</v>
      </c>
      <c r="L38" s="64">
        <f t="shared" si="2"/>
        <v>0</v>
      </c>
      <c r="M38" s="15"/>
      <c r="N38" s="15"/>
      <c r="O38" s="15"/>
      <c r="P38" s="15"/>
    </row>
    <row r="39" spans="1:16" ht="15" customHeight="1" outlineLevel="1" x14ac:dyDescent="0.25">
      <c r="A39" s="15"/>
      <c r="B39" s="58"/>
      <c r="C39" s="59" t="s">
        <v>37</v>
      </c>
      <c r="D39" s="59">
        <v>4025</v>
      </c>
      <c r="E39" s="60">
        <v>4705</v>
      </c>
      <c r="F39" s="61"/>
      <c r="G39" s="62"/>
      <c r="H39" s="61"/>
      <c r="I39" s="61"/>
      <c r="J39" s="63">
        <f t="shared" si="0"/>
        <v>6.1627009789787995E-2</v>
      </c>
      <c r="K39" s="63">
        <f t="shared" si="1"/>
        <v>0.14155319217367102</v>
      </c>
      <c r="L39" s="64">
        <f t="shared" si="2"/>
        <v>0</v>
      </c>
      <c r="M39" s="15"/>
      <c r="N39" s="15"/>
      <c r="O39" s="15"/>
      <c r="P39" s="15"/>
    </row>
    <row r="40" spans="1:16" ht="15" customHeight="1" outlineLevel="1" x14ac:dyDescent="0.25">
      <c r="A40" s="15"/>
      <c r="B40" s="65" t="s">
        <v>38</v>
      </c>
      <c r="C40" s="66"/>
      <c r="D40" s="67"/>
      <c r="E40" s="68"/>
      <c r="F40" s="69"/>
      <c r="G40" s="70"/>
      <c r="H40" s="69"/>
      <c r="I40" s="71"/>
      <c r="J40" s="71"/>
      <c r="K40" s="69"/>
      <c r="L40" s="72">
        <f>SUM(L29:L39)</f>
        <v>476806659.51246542</v>
      </c>
      <c r="M40" s="15"/>
      <c r="N40" s="15"/>
      <c r="O40" s="15"/>
      <c r="P40" s="15"/>
    </row>
    <row r="41" spans="1:16" ht="15" customHeight="1" outlineLevel="1" x14ac:dyDescent="0.25">
      <c r="A41" s="15"/>
      <c r="B41" s="4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15" customHeight="1" outlineLevel="1" x14ac:dyDescent="0.25">
      <c r="A42" s="15"/>
      <c r="B42" s="28"/>
      <c r="C42" s="15"/>
      <c r="D42" s="15"/>
      <c r="E42" s="15"/>
      <c r="F42" s="73"/>
      <c r="G42" s="73"/>
      <c r="H42" s="15"/>
      <c r="I42" s="15"/>
      <c r="J42" s="15"/>
      <c r="K42" s="15"/>
      <c r="L42" s="15"/>
      <c r="M42" s="15"/>
      <c r="N42" s="15"/>
      <c r="O42" s="15"/>
      <c r="P42" s="15"/>
    </row>
    <row r="43" spans="1:16" ht="15.75" customHeight="1" outlineLevel="1" x14ac:dyDescent="0.25">
      <c r="A43" s="15"/>
      <c r="B43" s="46" t="s">
        <v>39</v>
      </c>
      <c r="E43" s="47"/>
      <c r="F43" s="74"/>
      <c r="G43" s="173" t="s">
        <v>95</v>
      </c>
      <c r="H43" s="173"/>
      <c r="I43" s="173"/>
      <c r="J43" s="173"/>
      <c r="K43" s="173"/>
      <c r="L43" s="173"/>
      <c r="M43" s="15"/>
      <c r="N43" s="15"/>
      <c r="O43" s="15"/>
      <c r="P43" s="15"/>
    </row>
    <row r="44" spans="1:16" ht="15" customHeight="1" outlineLevel="1" x14ac:dyDescent="0.25">
      <c r="A44" s="15"/>
      <c r="B44" s="49" t="s">
        <v>25</v>
      </c>
      <c r="C44" s="54"/>
      <c r="D44" s="50" t="s">
        <v>26</v>
      </c>
      <c r="E44" s="51" t="s">
        <v>27</v>
      </c>
      <c r="F44" s="75"/>
      <c r="G44" s="76" t="s">
        <v>40</v>
      </c>
      <c r="H44" s="77"/>
      <c r="I44" s="77"/>
      <c r="J44" s="78"/>
      <c r="K44" s="79" t="s">
        <v>41</v>
      </c>
      <c r="L44" s="80" t="s">
        <v>36</v>
      </c>
      <c r="M44" s="15"/>
      <c r="N44" s="15"/>
      <c r="O44" s="15"/>
      <c r="P44" s="15"/>
    </row>
    <row r="45" spans="1:16" ht="15" customHeight="1" outlineLevel="1" x14ac:dyDescent="0.25">
      <c r="A45" s="15"/>
      <c r="B45" s="58"/>
      <c r="C45" s="59"/>
      <c r="D45" s="59">
        <v>4035</v>
      </c>
      <c r="E45" s="60">
        <v>4707</v>
      </c>
      <c r="F45" s="81"/>
      <c r="G45" s="82">
        <f>F31</f>
        <v>47972.281247874424</v>
      </c>
      <c r="H45" s="77"/>
      <c r="I45" s="77"/>
      <c r="J45" s="83"/>
      <c r="K45" s="172">
        <v>3.445239243806307E-2</v>
      </c>
      <c r="L45" s="85">
        <f>+K45*G45</f>
        <v>1652.7598597009037</v>
      </c>
      <c r="M45" s="15"/>
      <c r="N45" s="15"/>
      <c r="O45" s="15"/>
      <c r="P45" s="15"/>
    </row>
    <row r="46" spans="1:16" ht="15" customHeight="1" outlineLevel="1" x14ac:dyDescent="0.25">
      <c r="A46" s="15"/>
      <c r="B46" s="58"/>
      <c r="C46" s="59"/>
      <c r="D46" s="59">
        <v>4010</v>
      </c>
      <c r="E46" s="60">
        <v>4707</v>
      </c>
      <c r="F46" s="81"/>
      <c r="G46" s="82">
        <f t="shared" ref="G46:G48" si="3">F32</f>
        <v>102213613.96734188</v>
      </c>
      <c r="H46" s="77"/>
      <c r="I46" s="77"/>
      <c r="J46" s="83"/>
      <c r="K46" s="84">
        <f>K45</f>
        <v>3.445239243806307E-2</v>
      </c>
      <c r="L46" s="85">
        <f>+K46*G46</f>
        <v>3521503.5409155474</v>
      </c>
      <c r="M46" s="15"/>
      <c r="N46" s="15"/>
      <c r="O46" s="15"/>
      <c r="P46" s="15"/>
    </row>
    <row r="47" spans="1:16" ht="15" customHeight="1" outlineLevel="1" x14ac:dyDescent="0.25">
      <c r="A47" s="15"/>
      <c r="B47" s="58"/>
      <c r="C47" s="59"/>
      <c r="D47" s="59">
        <v>4010</v>
      </c>
      <c r="E47" s="60">
        <v>4707</v>
      </c>
      <c r="F47" s="81"/>
      <c r="G47" s="82">
        <f t="shared" si="3"/>
        <v>296054867.83515757</v>
      </c>
      <c r="H47" s="77"/>
      <c r="I47" s="77"/>
      <c r="J47" s="83"/>
      <c r="K47" s="84">
        <f t="shared" ref="K47:K48" si="4">K46</f>
        <v>3.445239243806307E-2</v>
      </c>
      <c r="L47" s="85">
        <f>+K47*G47</f>
        <v>10199798.489855744</v>
      </c>
      <c r="M47" s="15"/>
      <c r="N47" s="15"/>
      <c r="O47" s="15"/>
      <c r="P47" s="15"/>
    </row>
    <row r="48" spans="1:16" ht="15" customHeight="1" outlineLevel="1" x14ac:dyDescent="0.25">
      <c r="A48" s="15"/>
      <c r="B48" s="58"/>
      <c r="C48" s="59"/>
      <c r="D48" s="59">
        <v>4010</v>
      </c>
      <c r="E48" s="60">
        <v>4707</v>
      </c>
      <c r="F48" s="81"/>
      <c r="G48" s="82">
        <f t="shared" si="3"/>
        <v>566255661.25350714</v>
      </c>
      <c r="H48" s="77"/>
      <c r="I48" s="77"/>
      <c r="J48" s="83"/>
      <c r="K48" s="84">
        <f t="shared" si="4"/>
        <v>3.445239243806307E-2</v>
      </c>
      <c r="L48" s="85">
        <f>+K48*G48</f>
        <v>19508862.261780731</v>
      </c>
      <c r="M48" s="15"/>
      <c r="N48" s="15"/>
      <c r="O48" s="15"/>
      <c r="P48" s="15"/>
    </row>
    <row r="49" spans="1:16" ht="15" customHeight="1" outlineLevel="1" x14ac:dyDescent="0.25">
      <c r="A49" s="15"/>
      <c r="B49" s="58"/>
      <c r="C49" s="59"/>
      <c r="D49" s="59">
        <v>4010</v>
      </c>
      <c r="E49" s="60">
        <v>4707</v>
      </c>
      <c r="F49" s="81"/>
      <c r="G49" s="82"/>
      <c r="H49" s="77"/>
      <c r="I49" s="77"/>
      <c r="J49" s="86"/>
      <c r="K49" s="58"/>
      <c r="L49" s="85">
        <f>+K49*G49</f>
        <v>0</v>
      </c>
      <c r="M49" s="15"/>
      <c r="N49" s="15"/>
      <c r="O49" s="15"/>
      <c r="P49" s="15"/>
    </row>
    <row r="50" spans="1:16" ht="15" customHeight="1" outlineLevel="1" x14ac:dyDescent="0.25">
      <c r="A50" s="15"/>
      <c r="F50" s="87">
        <f>+F45+F46</f>
        <v>0</v>
      </c>
      <c r="G50" s="88">
        <f>SUM(G45:G49)</f>
        <v>964572115.33725452</v>
      </c>
      <c r="H50" s="77"/>
      <c r="I50" s="77"/>
      <c r="J50" s="89"/>
      <c r="K50" s="90"/>
      <c r="L50" s="91">
        <f>SUM(L45:L49)</f>
        <v>33231817.052411724</v>
      </c>
      <c r="M50" s="15"/>
      <c r="N50" s="15"/>
      <c r="O50" s="15"/>
      <c r="P50" s="15"/>
    </row>
    <row r="51" spans="1:16" ht="15" customHeight="1" outlineLevel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5.75" customHeight="1" outlineLevel="1" x14ac:dyDescent="0.25">
      <c r="B52" s="46" t="s">
        <v>42</v>
      </c>
      <c r="E52" s="47"/>
      <c r="F52" s="48"/>
      <c r="G52" s="173" t="s">
        <v>95</v>
      </c>
      <c r="H52" s="173"/>
      <c r="I52" s="173"/>
      <c r="J52" s="173"/>
      <c r="K52" s="173"/>
      <c r="L52" s="173"/>
    </row>
    <row r="53" spans="1:16" ht="15" customHeight="1" outlineLevel="1" x14ac:dyDescent="0.25">
      <c r="A53" s="92"/>
      <c r="B53" s="49" t="s">
        <v>25</v>
      </c>
      <c r="C53" s="50"/>
      <c r="D53" s="50" t="s">
        <v>26</v>
      </c>
      <c r="E53" s="51" t="s">
        <v>27</v>
      </c>
      <c r="F53" s="52"/>
      <c r="G53" s="52"/>
      <c r="H53" s="52"/>
      <c r="I53" s="52"/>
      <c r="J53" s="52"/>
      <c r="K53" s="52"/>
      <c r="L53" s="57" t="s">
        <v>36</v>
      </c>
      <c r="M53" s="92"/>
      <c r="N53" s="92"/>
      <c r="O53" s="92"/>
      <c r="P53" s="92"/>
    </row>
    <row r="54" spans="1:16" ht="30.75" customHeight="1" outlineLevel="1" x14ac:dyDescent="0.25">
      <c r="B54" s="53" t="s">
        <v>28</v>
      </c>
      <c r="C54" s="54" t="s">
        <v>29</v>
      </c>
      <c r="D54" s="54" t="s">
        <v>30</v>
      </c>
      <c r="E54" s="54" t="s">
        <v>30</v>
      </c>
      <c r="F54" s="93"/>
      <c r="G54" s="93"/>
      <c r="H54" s="56" t="s">
        <v>43</v>
      </c>
      <c r="I54" s="94"/>
      <c r="J54" s="94"/>
      <c r="K54" s="93" t="s">
        <v>44</v>
      </c>
    </row>
    <row r="55" spans="1:16" ht="15" customHeight="1" outlineLevel="1" x14ac:dyDescent="0.25">
      <c r="B55" s="95" t="str">
        <f>IF(B29=0,"",B29)</f>
        <v>Residential</v>
      </c>
      <c r="C55" s="59" t="s">
        <v>37</v>
      </c>
      <c r="D55" s="59">
        <v>4006</v>
      </c>
      <c r="E55" s="59">
        <v>4707</v>
      </c>
      <c r="F55" s="96"/>
      <c r="G55" s="96"/>
      <c r="H55" s="97">
        <f>+H29</f>
        <v>20563849.970325798</v>
      </c>
      <c r="I55" s="96"/>
      <c r="J55" s="96"/>
      <c r="K55" s="98">
        <f>+$G$18/1000</f>
        <v>6.9336182383883019E-2</v>
      </c>
      <c r="L55" s="64">
        <f t="shared" ref="L55:L65" si="5">+K55*H55</f>
        <v>1425818.8520573168</v>
      </c>
    </row>
    <row r="56" spans="1:16" ht="15" customHeight="1" outlineLevel="1" x14ac:dyDescent="0.25">
      <c r="B56" s="95" t="str">
        <f t="shared" ref="B56:B65" si="6">IF(B30=0,"",B30)</f>
        <v>Residential Seasonal</v>
      </c>
      <c r="C56" s="59" t="s">
        <v>37</v>
      </c>
      <c r="D56" s="59">
        <v>4010</v>
      </c>
      <c r="E56" s="59">
        <v>4707</v>
      </c>
      <c r="F56" s="96"/>
      <c r="G56" s="96"/>
      <c r="H56" s="97">
        <f t="shared" ref="H56:H63" si="7">+H30</f>
        <v>189657.30906596681</v>
      </c>
      <c r="I56" s="96"/>
      <c r="J56" s="96"/>
      <c r="K56" s="98">
        <f>+$G$18/1000</f>
        <v>6.9336182383883019E-2</v>
      </c>
      <c r="L56" s="64">
        <f t="shared" si="5"/>
        <v>13150.113771834345</v>
      </c>
    </row>
    <row r="57" spans="1:16" ht="15" customHeight="1" outlineLevel="1" x14ac:dyDescent="0.25">
      <c r="B57" s="95" t="str">
        <f t="shared" si="6"/>
        <v>GS&lt;50</v>
      </c>
      <c r="C57" s="59" t="s">
        <v>37</v>
      </c>
      <c r="D57" s="59">
        <v>4035</v>
      </c>
      <c r="E57" s="59">
        <v>4707</v>
      </c>
      <c r="F57" s="96"/>
      <c r="G57" s="96"/>
      <c r="H57" s="97">
        <f>+H31</f>
        <v>50061220.055465534</v>
      </c>
      <c r="I57" s="96"/>
      <c r="J57" s="96"/>
      <c r="K57" s="98">
        <f>+$G$18/1000</f>
        <v>6.9336182383883019E-2</v>
      </c>
      <c r="L57" s="64">
        <f>+K57*H57</f>
        <v>3471053.8841254609</v>
      </c>
    </row>
    <row r="58" spans="1:16" ht="15" customHeight="1" outlineLevel="1" x14ac:dyDescent="0.25">
      <c r="B58" s="95" t="str">
        <f>IF(B32=0,"",B32)</f>
        <v>GS 50 - 2,999</v>
      </c>
      <c r="C58" s="59" t="s">
        <v>37</v>
      </c>
      <c r="D58" s="59">
        <v>4010</v>
      </c>
      <c r="E58" s="59">
        <v>4707</v>
      </c>
      <c r="F58" s="96"/>
      <c r="G58" s="96"/>
      <c r="H58" s="97">
        <f t="shared" si="7"/>
        <v>825416168.51070237</v>
      </c>
      <c r="I58" s="96"/>
      <c r="J58" s="96"/>
      <c r="K58" s="98">
        <f t="shared" ref="K58:K65" si="8">+$G$18/1000</f>
        <v>6.9336182383883019E-2</v>
      </c>
      <c r="L58" s="64">
        <f t="shared" si="5"/>
        <v>57231206.002463982</v>
      </c>
    </row>
    <row r="59" spans="1:16" ht="15" customHeight="1" outlineLevel="1" x14ac:dyDescent="0.25">
      <c r="B59" s="95" t="str">
        <f>IF(B33=0,"",B33)</f>
        <v>GS 3,000 - 4,999</v>
      </c>
      <c r="C59" s="59" t="s">
        <v>37</v>
      </c>
      <c r="D59" s="59">
        <v>4025</v>
      </c>
      <c r="E59" s="59">
        <v>4707</v>
      </c>
      <c r="F59" s="96"/>
      <c r="G59" s="96"/>
      <c r="H59" s="97">
        <f>+H33</f>
        <v>58807201.193634532</v>
      </c>
      <c r="I59" s="96"/>
      <c r="J59" s="96"/>
      <c r="K59" s="98">
        <f>+$G$18/1000</f>
        <v>6.9336182383883019E-2</v>
      </c>
      <c r="L59" s="64">
        <f t="shared" si="5"/>
        <v>4077466.8274475471</v>
      </c>
    </row>
    <row r="60" spans="1:16" ht="15" customHeight="1" outlineLevel="1" x14ac:dyDescent="0.25">
      <c r="B60" s="95" t="str">
        <f t="shared" si="6"/>
        <v>Large Use</v>
      </c>
      <c r="C60" s="59" t="s">
        <v>37</v>
      </c>
      <c r="D60" s="59">
        <v>4025</v>
      </c>
      <c r="E60" s="59">
        <v>4707</v>
      </c>
      <c r="F60" s="96"/>
      <c r="G60" s="96"/>
      <c r="H60" s="97">
        <f t="shared" si="7"/>
        <v>75835405.562189132</v>
      </c>
      <c r="I60" s="96"/>
      <c r="J60" s="96"/>
      <c r="K60" s="98">
        <f t="shared" si="8"/>
        <v>6.9336182383883019E-2</v>
      </c>
      <c r="L60" s="64">
        <f t="shared" si="5"/>
        <v>5258137.5112156821</v>
      </c>
    </row>
    <row r="61" spans="1:16" ht="15" customHeight="1" outlineLevel="1" x14ac:dyDescent="0.25">
      <c r="B61" s="95" t="str">
        <f t="shared" si="6"/>
        <v>Street Light</v>
      </c>
      <c r="C61" s="59" t="s">
        <v>37</v>
      </c>
      <c r="D61" s="59">
        <v>4025</v>
      </c>
      <c r="E61" s="59">
        <v>4707</v>
      </c>
      <c r="F61" s="96"/>
      <c r="G61" s="96"/>
      <c r="H61" s="97">
        <f t="shared" si="7"/>
        <v>17107205.673963737</v>
      </c>
      <c r="I61" s="96"/>
      <c r="J61" s="96"/>
      <c r="K61" s="98">
        <f t="shared" si="8"/>
        <v>6.9336182383883019E-2</v>
      </c>
      <c r="L61" s="64">
        <f t="shared" si="5"/>
        <v>1186148.3326885481</v>
      </c>
    </row>
    <row r="62" spans="1:16" ht="15" customHeight="1" outlineLevel="1" x14ac:dyDescent="0.25">
      <c r="B62" s="95" t="str">
        <f>IF(B36=0,"",B36)</f>
        <v>Sentinel Light</v>
      </c>
      <c r="C62" s="59" t="s">
        <v>37</v>
      </c>
      <c r="D62" s="59">
        <v>4025</v>
      </c>
      <c r="E62" s="59">
        <v>4707</v>
      </c>
      <c r="F62" s="96"/>
      <c r="G62" s="96"/>
      <c r="H62" s="97">
        <f>+H36</f>
        <v>0</v>
      </c>
      <c r="I62" s="96"/>
      <c r="J62" s="96"/>
      <c r="K62" s="98">
        <f t="shared" si="8"/>
        <v>6.9336182383883019E-2</v>
      </c>
      <c r="L62" s="64">
        <f t="shared" si="5"/>
        <v>0</v>
      </c>
    </row>
    <row r="63" spans="1:16" ht="15" customHeight="1" outlineLevel="1" x14ac:dyDescent="0.25">
      <c r="B63" s="95" t="str">
        <f t="shared" si="6"/>
        <v>USL</v>
      </c>
      <c r="C63" s="59" t="s">
        <v>37</v>
      </c>
      <c r="D63" s="59">
        <v>4025</v>
      </c>
      <c r="E63" s="59">
        <v>4707</v>
      </c>
      <c r="F63" s="96"/>
      <c r="G63" s="96"/>
      <c r="H63" s="97">
        <f t="shared" si="7"/>
        <v>4204.1748041201463</v>
      </c>
      <c r="I63" s="96"/>
      <c r="J63" s="96"/>
      <c r="K63" s="98">
        <f t="shared" si="8"/>
        <v>6.9336182383883019E-2</v>
      </c>
      <c r="L63" s="64">
        <f t="shared" si="5"/>
        <v>291.50143099220014</v>
      </c>
    </row>
    <row r="64" spans="1:16" ht="15" customHeight="1" outlineLevel="1" x14ac:dyDescent="0.25">
      <c r="B64" s="95" t="str">
        <f t="shared" si="6"/>
        <v/>
      </c>
      <c r="C64" s="59" t="s">
        <v>37</v>
      </c>
      <c r="D64" s="59">
        <v>4025</v>
      </c>
      <c r="E64" s="59">
        <v>4707</v>
      </c>
      <c r="F64" s="96"/>
      <c r="G64" s="96"/>
      <c r="H64" s="97">
        <f>+H38</f>
        <v>0</v>
      </c>
      <c r="I64" s="96"/>
      <c r="J64" s="96"/>
      <c r="K64" s="98">
        <f t="shared" si="8"/>
        <v>6.9336182383883019E-2</v>
      </c>
      <c r="L64" s="64">
        <f>+K64*H64</f>
        <v>0</v>
      </c>
    </row>
    <row r="65" spans="1:16" ht="15" customHeight="1" outlineLevel="1" x14ac:dyDescent="0.25">
      <c r="B65" s="95" t="str">
        <f t="shared" si="6"/>
        <v/>
      </c>
      <c r="C65" s="59" t="s">
        <v>37</v>
      </c>
      <c r="D65" s="59">
        <v>4025</v>
      </c>
      <c r="E65" s="59">
        <v>4707</v>
      </c>
      <c r="F65" s="96"/>
      <c r="G65" s="96"/>
      <c r="H65" s="97">
        <f>+H39</f>
        <v>0</v>
      </c>
      <c r="I65" s="96"/>
      <c r="J65" s="96"/>
      <c r="K65" s="98">
        <f t="shared" si="8"/>
        <v>6.9336182383883019E-2</v>
      </c>
      <c r="L65" s="64">
        <f t="shared" si="5"/>
        <v>0</v>
      </c>
    </row>
    <row r="66" spans="1:16" ht="15" customHeight="1" outlineLevel="1" x14ac:dyDescent="0.25">
      <c r="B66" s="95" t="s">
        <v>45</v>
      </c>
      <c r="C66" s="54"/>
      <c r="D66" s="54"/>
      <c r="E66" s="55"/>
      <c r="F66" s="99"/>
      <c r="G66" s="99"/>
      <c r="H66" s="100">
        <f>SUM(H55:H65)</f>
        <v>1047984912.4501512</v>
      </c>
      <c r="I66" s="99"/>
      <c r="J66" s="99"/>
      <c r="K66" s="101"/>
      <c r="L66" s="72"/>
      <c r="P66" s="102"/>
    </row>
    <row r="67" spans="1:16" ht="15" customHeight="1" outlineLevel="1" x14ac:dyDescent="0.25">
      <c r="B67" s="49" t="s">
        <v>38</v>
      </c>
      <c r="C67" s="103"/>
      <c r="D67" s="50"/>
      <c r="E67" s="51"/>
      <c r="F67" s="104"/>
      <c r="G67" s="104"/>
      <c r="H67" s="104"/>
      <c r="I67" s="104"/>
      <c r="J67" s="104"/>
      <c r="K67" s="69"/>
      <c r="L67" s="105">
        <f>SUM(L55:L65)</f>
        <v>72663273.025201365</v>
      </c>
    </row>
    <row r="68" spans="1:16" ht="15" customHeight="1" outlineLevel="1" x14ac:dyDescent="0.25">
      <c r="B68" s="92"/>
      <c r="C68" s="106"/>
      <c r="D68" s="107"/>
      <c r="E68" s="107"/>
      <c r="F68" s="108"/>
      <c r="G68" s="108"/>
      <c r="H68" s="108"/>
      <c r="I68" s="108"/>
      <c r="J68" s="108"/>
      <c r="K68" s="108"/>
      <c r="L68" s="8"/>
    </row>
    <row r="69" spans="1:16" ht="15" customHeight="1" outlineLevel="1" x14ac:dyDescent="0.25">
      <c r="L69" s="109"/>
    </row>
    <row r="70" spans="1:16" ht="21" x14ac:dyDescent="0.55000000000000004">
      <c r="A70" s="1" t="s">
        <v>46</v>
      </c>
      <c r="F70" s="110"/>
      <c r="G70" s="110"/>
      <c r="H70" s="110"/>
      <c r="I70" s="110"/>
      <c r="J70" s="110"/>
      <c r="K70" s="110"/>
    </row>
    <row r="71" spans="1:16" x14ac:dyDescent="0.25">
      <c r="A71" s="1" t="s">
        <v>47</v>
      </c>
      <c r="G71" s="111"/>
      <c r="H71" s="111"/>
      <c r="I71" s="111"/>
      <c r="J71" s="111"/>
      <c r="K71" s="111"/>
    </row>
    <row r="72" spans="1:16" x14ac:dyDescent="0.25">
      <c r="A72" s="1" t="s">
        <v>48</v>
      </c>
    </row>
  </sheetData>
  <mergeCells count="8">
    <mergeCell ref="G43:L43"/>
    <mergeCell ref="G52:L52"/>
    <mergeCell ref="B4:I6"/>
    <mergeCell ref="C17:E17"/>
    <mergeCell ref="C18:E18"/>
    <mergeCell ref="C19:E19"/>
    <mergeCell ref="C20:E20"/>
    <mergeCell ref="G26:L26"/>
  </mergeCells>
  <conditionalFormatting sqref="B1">
    <cfRule type="expression" dxfId="0" priority="1" stopIfTrue="1">
      <formula>LEFT($C1,6)="Macros"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F302C-785A-4C11-9A31-F7A2736C2DD3}">
  <sheetPr codeName="Sheet11"/>
  <dimension ref="A1:L184"/>
  <sheetViews>
    <sheetView workbookViewId="0">
      <selection activeCell="L20" sqref="L20"/>
    </sheetView>
  </sheetViews>
  <sheetFormatPr defaultColWidth="9.28515625" defaultRowHeight="15" x14ac:dyDescent="0.25"/>
  <cols>
    <col min="1" max="1" width="37" style="1" customWidth="1"/>
    <col min="2" max="2" width="8" style="1" bestFit="1" customWidth="1"/>
    <col min="3" max="3" width="1.5703125" style="1" customWidth="1"/>
    <col min="4" max="4" width="23.28515625" style="1" bestFit="1" customWidth="1"/>
    <col min="5" max="5" width="15.28515625" style="1" bestFit="1" customWidth="1"/>
    <col min="6" max="6" width="12.7109375" style="1" bestFit="1" customWidth="1"/>
    <col min="7" max="7" width="2.28515625" style="1" customWidth="1"/>
    <col min="8" max="8" width="19.28515625" style="1" customWidth="1"/>
    <col min="9" max="9" width="11.28515625" style="1" customWidth="1"/>
    <col min="10" max="10" width="13.28515625" style="1" customWidth="1"/>
    <col min="11" max="11" width="16.28515625" style="1" bestFit="1" customWidth="1"/>
    <col min="12" max="12" width="12" style="1" bestFit="1" customWidth="1"/>
    <col min="13" max="16384" width="9.28515625" style="1"/>
  </cols>
  <sheetData>
    <row r="1" spans="1:11" ht="21" x14ac:dyDescent="0.35">
      <c r="A1" s="181" t="s">
        <v>49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1" x14ac:dyDescent="0.25">
      <c r="A2" s="112"/>
      <c r="B2" s="112"/>
      <c r="C2" s="112"/>
      <c r="D2" s="112"/>
      <c r="E2" s="112"/>
      <c r="F2" s="112"/>
      <c r="G2" s="112"/>
      <c r="H2" s="112"/>
      <c r="I2" s="112"/>
      <c r="J2" s="4" t="s">
        <v>1</v>
      </c>
      <c r="K2" s="5" t="s">
        <v>96</v>
      </c>
    </row>
    <row r="3" spans="1:11" x14ac:dyDescent="0.25">
      <c r="A3" s="112"/>
      <c r="B3" s="112"/>
      <c r="C3" s="112"/>
      <c r="D3" s="112"/>
      <c r="E3" s="112"/>
      <c r="F3" s="112"/>
      <c r="G3" s="112"/>
      <c r="H3" s="112"/>
      <c r="I3" s="112"/>
      <c r="J3" s="4" t="s">
        <v>2</v>
      </c>
      <c r="K3" s="7" t="s">
        <v>98</v>
      </c>
    </row>
    <row r="4" spans="1:1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4" t="s">
        <v>4</v>
      </c>
      <c r="K4" s="7">
        <v>3</v>
      </c>
    </row>
    <row r="5" spans="1:1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4" t="s">
        <v>5</v>
      </c>
      <c r="K5" s="7">
        <v>1</v>
      </c>
    </row>
    <row r="6" spans="1:11" x14ac:dyDescent="0.25">
      <c r="A6" s="112"/>
      <c r="B6" s="112"/>
      <c r="C6" s="112"/>
      <c r="D6" s="112"/>
      <c r="E6" s="112"/>
      <c r="F6" s="112"/>
      <c r="G6" s="112"/>
      <c r="H6" s="112"/>
      <c r="I6" s="112"/>
      <c r="J6" s="4" t="s">
        <v>6</v>
      </c>
      <c r="K6" s="5"/>
    </row>
    <row r="7" spans="1:11" x14ac:dyDescent="0.25">
      <c r="A7" s="1" t="s">
        <v>50</v>
      </c>
      <c r="J7" s="4"/>
      <c r="K7" s="9" t="s">
        <v>97</v>
      </c>
    </row>
    <row r="8" spans="1:11" x14ac:dyDescent="0.25">
      <c r="A8" s="1" t="s">
        <v>51</v>
      </c>
      <c r="J8" s="4" t="s">
        <v>7</v>
      </c>
      <c r="K8" s="199">
        <v>46283</v>
      </c>
    </row>
    <row r="9" spans="1:11" x14ac:dyDescent="0.25">
      <c r="A9" s="1" t="s">
        <v>52</v>
      </c>
      <c r="E9" s="182"/>
      <c r="F9" s="182"/>
      <c r="G9" s="8"/>
      <c r="H9" s="8"/>
      <c r="I9" s="182"/>
      <c r="J9" s="182"/>
    </row>
    <row r="10" spans="1:11" x14ac:dyDescent="0.25">
      <c r="B10" s="113"/>
      <c r="C10" s="114"/>
      <c r="D10" s="115" t="s">
        <v>95</v>
      </c>
      <c r="E10" s="183" t="s">
        <v>14</v>
      </c>
      <c r="F10" s="183"/>
      <c r="G10" s="116"/>
      <c r="H10" s="115" t="str">
        <f>D10</f>
        <v>2031 Test Year</v>
      </c>
      <c r="I10" s="183" t="s">
        <v>13</v>
      </c>
      <c r="J10" s="183"/>
      <c r="K10" s="117" t="s">
        <v>53</v>
      </c>
    </row>
    <row r="11" spans="1:11" x14ac:dyDescent="0.25">
      <c r="A11" s="118" t="s">
        <v>54</v>
      </c>
      <c r="B11" s="187" t="s">
        <v>55</v>
      </c>
      <c r="C11" s="119"/>
      <c r="D11" s="120" t="s">
        <v>56</v>
      </c>
      <c r="E11" s="120" t="s">
        <v>57</v>
      </c>
      <c r="F11" s="57" t="s">
        <v>58</v>
      </c>
      <c r="G11" s="8"/>
      <c r="H11" s="120" t="s">
        <v>56</v>
      </c>
      <c r="I11" s="120" t="s">
        <v>57</v>
      </c>
      <c r="J11" s="57" t="s">
        <v>58</v>
      </c>
      <c r="K11" s="121" t="s">
        <v>59</v>
      </c>
    </row>
    <row r="12" spans="1:11" x14ac:dyDescent="0.25">
      <c r="A12" s="122" t="s">
        <v>60</v>
      </c>
      <c r="B12" s="188"/>
      <c r="C12" s="123"/>
      <c r="D12" s="124"/>
      <c r="E12" s="125"/>
      <c r="F12" s="126"/>
      <c r="H12" s="124"/>
      <c r="I12" s="125"/>
      <c r="J12" s="126"/>
      <c r="K12" s="184"/>
    </row>
    <row r="13" spans="1:11" x14ac:dyDescent="0.25">
      <c r="A13" s="127" t="s">
        <v>85</v>
      </c>
      <c r="B13" s="128"/>
      <c r="C13" s="123"/>
      <c r="D13" s="124">
        <f>'App.2-ZA_Com. Exp. (2031)'!I29</f>
        <v>1658121916.1004322</v>
      </c>
      <c r="E13" s="171"/>
      <c r="F13" s="129">
        <f>D13*'App.2-ZA_Com. Exp. (2031)'!K29</f>
        <v>234712450.23714009</v>
      </c>
      <c r="H13" s="124">
        <f>'App.2-ZA_Com. Exp. (2031)'!H29</f>
        <v>20563849.970325798</v>
      </c>
      <c r="I13" s="130"/>
      <c r="J13" s="126">
        <f>H13*'App.2-ZA_Com. Exp. (2031)'!J29</f>
        <v>1267288.5834369995</v>
      </c>
      <c r="K13" s="184"/>
    </row>
    <row r="14" spans="1:11" x14ac:dyDescent="0.25">
      <c r="A14" s="127" t="s">
        <v>86</v>
      </c>
      <c r="B14" s="128"/>
      <c r="C14" s="123"/>
      <c r="D14" s="124">
        <f>'App.2-ZA_Com. Exp. (2031)'!I30</f>
        <v>15292610.146675296</v>
      </c>
      <c r="E14" s="171"/>
      <c r="F14" s="129">
        <f>D14*'App.2-ZA_Com. Exp. (2031)'!K30</f>
        <v>2164717.7829293595</v>
      </c>
      <c r="H14" s="124">
        <f>'App.2-ZA_Com. Exp. (2031)'!H30</f>
        <v>189657.30906596681</v>
      </c>
      <c r="I14" s="130"/>
      <c r="J14" s="126">
        <f>H14*'App.2-ZA_Com. Exp. (2031)'!J30</f>
        <v>11688.012842513184</v>
      </c>
      <c r="K14" s="184"/>
    </row>
    <row r="15" spans="1:11" x14ac:dyDescent="0.25">
      <c r="A15" s="127" t="s">
        <v>87</v>
      </c>
      <c r="B15" s="128"/>
      <c r="C15" s="123"/>
      <c r="D15" s="124">
        <f>'App.2-ZA_Com. Exp. (2031)'!I31</f>
        <v>321058738.3588981</v>
      </c>
      <c r="E15" s="171"/>
      <c r="F15" s="129">
        <f>D15*'App.2-ZA_Com. Exp. (2031)'!K31</f>
        <v>45446889.289953463</v>
      </c>
      <c r="H15" s="124">
        <f>'App.2-ZA_Com. Exp. (2031)'!H31</f>
        <v>50061220.055465534</v>
      </c>
      <c r="I15" s="130"/>
      <c r="J15" s="126">
        <f>H15*'App.2-ZA_Com. Exp. (2031)'!J31</f>
        <v>3085123.2984469058</v>
      </c>
      <c r="K15" s="184"/>
    </row>
    <row r="16" spans="1:11" x14ac:dyDescent="0.25">
      <c r="A16" s="127" t="s">
        <v>88</v>
      </c>
      <c r="B16" s="128"/>
      <c r="C16" s="123"/>
      <c r="D16" s="124">
        <f>'App.2-ZA_Com. Exp. (2031)'!I32</f>
        <v>481347465.15759414</v>
      </c>
      <c r="E16" s="171"/>
      <c r="F16" s="129">
        <f>D16*'App.2-ZA_Com. Exp. (2031)'!K32</f>
        <v>68136270.237762332</v>
      </c>
      <c r="H16" s="124">
        <f>'App.2-ZA_Com. Exp. (2031)'!H32</f>
        <v>825416168.51070237</v>
      </c>
      <c r="I16" s="130"/>
      <c r="J16" s="126">
        <f>H16*'App.2-ZA_Com. Exp. (2031)'!J32</f>
        <v>50867930.297458351</v>
      </c>
      <c r="K16" s="184"/>
    </row>
    <row r="17" spans="1:11" x14ac:dyDescent="0.25">
      <c r="A17" s="127" t="s">
        <v>89</v>
      </c>
      <c r="B17" s="128"/>
      <c r="C17" s="123"/>
      <c r="D17" s="124">
        <f>'App.2-ZA_Com. Exp. (2031)'!I33</f>
        <v>9668812.361613404</v>
      </c>
      <c r="E17" s="171"/>
      <c r="F17" s="129">
        <f>D17*'App.2-ZA_Com. Exp. (2031)'!K33</f>
        <v>1368651.254314628</v>
      </c>
      <c r="H17" s="124">
        <f>'App.2-ZA_Com. Exp. (2031)'!H33</f>
        <v>58807201.193634532</v>
      </c>
      <c r="I17" s="130"/>
      <c r="J17" s="126">
        <f>H17*'App.2-ZA_Com. Exp. (2031)'!J33</f>
        <v>3624111.9636701476</v>
      </c>
      <c r="K17" s="184"/>
    </row>
    <row r="18" spans="1:11" x14ac:dyDescent="0.25">
      <c r="A18" s="127" t="s">
        <v>90</v>
      </c>
      <c r="B18" s="128"/>
      <c r="C18" s="123"/>
      <c r="D18" s="124">
        <f>'App.2-ZA_Com. Exp. (2031)'!I34</f>
        <v>0</v>
      </c>
      <c r="E18" s="171"/>
      <c r="F18" s="129">
        <f>D18*'App.2-ZA_Com. Exp. (2031)'!K34</f>
        <v>0</v>
      </c>
      <c r="H18" s="124">
        <f>'App.2-ZA_Com. Exp. (2031)'!H34</f>
        <v>75835405.562189132</v>
      </c>
      <c r="I18" s="130"/>
      <c r="J18" s="126">
        <f>H18*'App.2-ZA_Com. Exp. (2031)'!J34</f>
        <v>4673509.2809935724</v>
      </c>
      <c r="K18" s="184"/>
    </row>
    <row r="19" spans="1:11" x14ac:dyDescent="0.25">
      <c r="A19" s="127" t="s">
        <v>91</v>
      </c>
      <c r="B19" s="128"/>
      <c r="C19" s="123"/>
      <c r="D19" s="124">
        <f>'App.2-ZA_Com. Exp. (2031)'!I35</f>
        <v>0</v>
      </c>
      <c r="E19" s="171"/>
      <c r="F19" s="129">
        <f>D19*'App.2-ZA_Com. Exp. (2031)'!K35</f>
        <v>0</v>
      </c>
      <c r="H19" s="124">
        <f>'App.2-ZA_Com. Exp. (2031)'!H35</f>
        <v>17107205.673963737</v>
      </c>
      <c r="I19" s="130"/>
      <c r="J19" s="126">
        <f>H19*'App.2-ZA_Com. Exp. (2031)'!J35</f>
        <v>1054265.9315452799</v>
      </c>
      <c r="K19" s="184"/>
    </row>
    <row r="20" spans="1:11" x14ac:dyDescent="0.25">
      <c r="A20" s="127" t="s">
        <v>92</v>
      </c>
      <c r="B20" s="128"/>
      <c r="C20" s="123"/>
      <c r="D20" s="124">
        <f>'App.2-ZA_Com. Exp. (2031)'!I36</f>
        <v>85043.081691055369</v>
      </c>
      <c r="E20" s="171"/>
      <c r="F20" s="129">
        <f>D20*'App.2-ZA_Com. Exp. (2031)'!K36</f>
        <v>12038.119685655163</v>
      </c>
      <c r="H20" s="124">
        <f>'App.2-ZA_Com. Exp. (2031)'!H36</f>
        <v>0</v>
      </c>
      <c r="I20" s="130"/>
      <c r="J20" s="126">
        <f>H20*'App.2-ZA_Com. Exp. (2031)'!J36</f>
        <v>0</v>
      </c>
      <c r="K20" s="184"/>
    </row>
    <row r="21" spans="1:11" x14ac:dyDescent="0.25">
      <c r="A21" s="127" t="s">
        <v>93</v>
      </c>
      <c r="B21" s="128"/>
      <c r="C21" s="123"/>
      <c r="D21" s="124">
        <f>'App.2-ZA_Com. Exp. (2031)'!I37</f>
        <v>6624866.0473044589</v>
      </c>
      <c r="E21" s="171"/>
      <c r="F21" s="129">
        <f>D21*'App.2-ZA_Com. Exp. (2031)'!K37</f>
        <v>937770.9367189164</v>
      </c>
      <c r="H21" s="124">
        <f>'App.2-ZA_Com. Exp. (2031)'!H37</f>
        <v>4204.1748041201463</v>
      </c>
      <c r="I21" s="130"/>
      <c r="J21" s="126">
        <f>H21*'App.2-ZA_Com. Exp. (2031)'!J37</f>
        <v>259.0907218114923</v>
      </c>
      <c r="K21" s="184"/>
    </row>
    <row r="22" spans="1:11" x14ac:dyDescent="0.25">
      <c r="A22" s="127" t="s">
        <v>94</v>
      </c>
      <c r="B22" s="128"/>
      <c r="C22" s="131"/>
      <c r="D22" s="124">
        <v>0</v>
      </c>
      <c r="E22" s="171"/>
      <c r="F22" s="129">
        <v>0</v>
      </c>
      <c r="H22" s="124">
        <f>'App.2-ZA_Com. Exp. (2031)'!H38</f>
        <v>0</v>
      </c>
      <c r="I22" s="130"/>
      <c r="J22" s="126">
        <v>0</v>
      </c>
      <c r="K22" s="184"/>
    </row>
    <row r="23" spans="1:11" x14ac:dyDescent="0.25">
      <c r="A23" s="127" t="s">
        <v>94</v>
      </c>
      <c r="B23" s="132"/>
      <c r="C23" s="123"/>
      <c r="D23" s="124">
        <v>0</v>
      </c>
      <c r="E23" s="171"/>
      <c r="F23" s="129">
        <v>0</v>
      </c>
      <c r="H23" s="124">
        <f>'App.2-ZA_Com. Exp. (2031)'!H39</f>
        <v>0</v>
      </c>
      <c r="I23" s="130"/>
      <c r="J23" s="126">
        <v>0</v>
      </c>
      <c r="K23" s="184"/>
    </row>
    <row r="24" spans="1:11" x14ac:dyDescent="0.25">
      <c r="A24" s="122" t="s">
        <v>61</v>
      </c>
      <c r="B24" s="127"/>
      <c r="C24" s="123"/>
      <c r="D24" s="124"/>
      <c r="E24" s="133"/>
      <c r="F24" s="129">
        <f>SUM(F13:F23)</f>
        <v>352778787.85850441</v>
      </c>
      <c r="G24" s="127"/>
      <c r="H24" s="124"/>
      <c r="I24" s="134"/>
      <c r="J24" s="135">
        <f>SUM(J13:J23)</f>
        <v>64584176.45911558</v>
      </c>
      <c r="K24" s="136">
        <f>F24+J24</f>
        <v>417362964.31761998</v>
      </c>
    </row>
    <row r="25" spans="1:11" ht="7.5" customHeight="1" x14ac:dyDescent="0.25">
      <c r="D25" s="137"/>
      <c r="I25" s="185"/>
      <c r="J25" s="186"/>
    </row>
    <row r="26" spans="1:11" x14ac:dyDescent="0.25">
      <c r="A26" s="118" t="s">
        <v>62</v>
      </c>
      <c r="B26" s="187" t="s">
        <v>55</v>
      </c>
      <c r="C26" s="119"/>
      <c r="D26" s="189" t="s">
        <v>56</v>
      </c>
      <c r="E26" s="190" t="s">
        <v>57</v>
      </c>
      <c r="F26" s="191" t="s">
        <v>58</v>
      </c>
      <c r="G26" s="8"/>
      <c r="H26" s="193" t="s">
        <v>56</v>
      </c>
      <c r="I26" s="190" t="s">
        <v>57</v>
      </c>
      <c r="J26" s="191" t="s">
        <v>58</v>
      </c>
      <c r="K26" s="189" t="s">
        <v>53</v>
      </c>
    </row>
    <row r="27" spans="1:11" x14ac:dyDescent="0.25">
      <c r="A27" s="122" t="s">
        <v>63</v>
      </c>
      <c r="B27" s="188"/>
      <c r="C27" s="119"/>
      <c r="D27" s="185"/>
      <c r="E27" s="186"/>
      <c r="F27" s="192"/>
      <c r="G27" s="8"/>
      <c r="H27" s="194"/>
      <c r="I27" s="186"/>
      <c r="J27" s="192"/>
      <c r="K27" s="195"/>
    </row>
    <row r="28" spans="1:11" x14ac:dyDescent="0.25">
      <c r="A28" s="127" t="str">
        <f>IF(A13="","",A13 &amp; " - Class B")</f>
        <v>Residential - Class B</v>
      </c>
      <c r="B28" s="128"/>
      <c r="C28" s="123"/>
      <c r="D28" s="77"/>
      <c r="E28" s="77"/>
      <c r="F28" s="141">
        <f>D28*E28</f>
        <v>0</v>
      </c>
      <c r="H28" s="142"/>
      <c r="I28" s="77"/>
      <c r="J28" s="126">
        <f>'App.2-ZA_Com. Exp. (2031)'!L55</f>
        <v>1425818.8520573168</v>
      </c>
      <c r="K28" s="184"/>
    </row>
    <row r="29" spans="1:11" x14ac:dyDescent="0.25">
      <c r="A29" s="127" t="str">
        <f t="shared" ref="A29:A38" si="0">IF(A14="","",A14 &amp; " - Class B")</f>
        <v>Residential Seasonal - Class B</v>
      </c>
      <c r="B29" s="128"/>
      <c r="C29" s="123"/>
      <c r="D29" s="77"/>
      <c r="E29" s="77"/>
      <c r="F29" s="141">
        <f t="shared" ref="F29:F38" si="1">D29*E29</f>
        <v>0</v>
      </c>
      <c r="H29" s="142"/>
      <c r="I29" s="77"/>
      <c r="J29" s="126">
        <f>'App.2-ZA_Com. Exp. (2031)'!L56</f>
        <v>13150.113771834345</v>
      </c>
      <c r="K29" s="184"/>
    </row>
    <row r="30" spans="1:11" x14ac:dyDescent="0.25">
      <c r="A30" s="127" t="str">
        <f t="shared" si="0"/>
        <v>GS&lt;50 - Class B</v>
      </c>
      <c r="B30" s="128"/>
      <c r="C30" s="123"/>
      <c r="D30" s="77"/>
      <c r="E30" s="77"/>
      <c r="F30" s="141">
        <f t="shared" si="1"/>
        <v>0</v>
      </c>
      <c r="H30" s="142"/>
      <c r="I30" s="77"/>
      <c r="J30" s="126">
        <f>'App.2-ZA_Com. Exp. (2031)'!L57</f>
        <v>3471053.8841254609</v>
      </c>
      <c r="K30" s="184"/>
    </row>
    <row r="31" spans="1:11" x14ac:dyDescent="0.25">
      <c r="A31" s="127" t="str">
        <f t="shared" si="0"/>
        <v>GS 50 - 2,999 - Class B</v>
      </c>
      <c r="B31" s="128"/>
      <c r="C31" s="123"/>
      <c r="D31" s="77"/>
      <c r="E31" s="77"/>
      <c r="F31" s="141">
        <f t="shared" si="1"/>
        <v>0</v>
      </c>
      <c r="H31" s="142"/>
      <c r="I31" s="77"/>
      <c r="J31" s="126">
        <f>'App.2-ZA_Com. Exp. (2031)'!L58</f>
        <v>57231206.002463982</v>
      </c>
      <c r="K31" s="184"/>
    </row>
    <row r="32" spans="1:11" x14ac:dyDescent="0.25">
      <c r="A32" s="127" t="str">
        <f t="shared" si="0"/>
        <v>GS 3,000 - 4,999 - Class B</v>
      </c>
      <c r="B32" s="128"/>
      <c r="C32" s="123"/>
      <c r="D32" s="77"/>
      <c r="E32" s="77"/>
      <c r="F32" s="141">
        <f t="shared" si="1"/>
        <v>0</v>
      </c>
      <c r="H32" s="142"/>
      <c r="I32" s="77"/>
      <c r="J32" s="126">
        <f>'App.2-ZA_Com. Exp. (2031)'!L59</f>
        <v>4077466.8274475471</v>
      </c>
      <c r="K32" s="184"/>
    </row>
    <row r="33" spans="1:12" x14ac:dyDescent="0.25">
      <c r="A33" s="127" t="str">
        <f t="shared" si="0"/>
        <v>Large Use - Class B</v>
      </c>
      <c r="B33" s="128"/>
      <c r="C33" s="123"/>
      <c r="D33" s="77"/>
      <c r="E33" s="77"/>
      <c r="F33" s="141">
        <f t="shared" si="1"/>
        <v>0</v>
      </c>
      <c r="H33" s="142"/>
      <c r="I33" s="77"/>
      <c r="J33" s="126">
        <f>'App.2-ZA_Com. Exp. (2031)'!L60</f>
        <v>5258137.5112156821</v>
      </c>
      <c r="K33" s="184"/>
    </row>
    <row r="34" spans="1:12" x14ac:dyDescent="0.25">
      <c r="A34" s="127" t="str">
        <f t="shared" si="0"/>
        <v>Street Light - Class B</v>
      </c>
      <c r="B34" s="128"/>
      <c r="C34" s="123"/>
      <c r="D34" s="77"/>
      <c r="E34" s="77"/>
      <c r="F34" s="141">
        <f t="shared" si="1"/>
        <v>0</v>
      </c>
      <c r="H34" s="142"/>
      <c r="I34" s="77"/>
      <c r="J34" s="126">
        <f>'App.2-ZA_Com. Exp. (2031)'!L61</f>
        <v>1186148.3326885481</v>
      </c>
      <c r="K34" s="184"/>
    </row>
    <row r="35" spans="1:12" x14ac:dyDescent="0.25">
      <c r="A35" s="127" t="str">
        <f t="shared" si="0"/>
        <v>Sentinel Light - Class B</v>
      </c>
      <c r="B35" s="128"/>
      <c r="C35" s="123"/>
      <c r="D35" s="77"/>
      <c r="E35" s="77"/>
      <c r="F35" s="141">
        <f t="shared" si="1"/>
        <v>0</v>
      </c>
      <c r="H35" s="142"/>
      <c r="I35" s="77"/>
      <c r="J35" s="126">
        <f>'App.2-ZA_Com. Exp. (2031)'!L62</f>
        <v>0</v>
      </c>
      <c r="K35" s="184"/>
    </row>
    <row r="36" spans="1:12" x14ac:dyDescent="0.25">
      <c r="A36" s="127" t="str">
        <f t="shared" si="0"/>
        <v>USL - Class B</v>
      </c>
      <c r="B36" s="128"/>
      <c r="C36" s="123"/>
      <c r="D36" s="77"/>
      <c r="E36" s="77"/>
      <c r="F36" s="141">
        <f t="shared" si="1"/>
        <v>0</v>
      </c>
      <c r="H36" s="142"/>
      <c r="I36" s="77"/>
      <c r="J36" s="126">
        <f>'App.2-ZA_Com. Exp. (2031)'!L63</f>
        <v>291.50143099220014</v>
      </c>
      <c r="K36" s="184"/>
    </row>
    <row r="37" spans="1:12" x14ac:dyDescent="0.25">
      <c r="A37" s="127" t="str">
        <f t="shared" si="0"/>
        <v/>
      </c>
      <c r="B37" s="128"/>
      <c r="C37" s="123"/>
      <c r="D37" s="77"/>
      <c r="E37" s="77"/>
      <c r="F37" s="141">
        <f t="shared" si="1"/>
        <v>0</v>
      </c>
      <c r="H37" s="142"/>
      <c r="I37" s="77"/>
      <c r="J37" s="126">
        <v>0</v>
      </c>
      <c r="K37" s="184"/>
    </row>
    <row r="38" spans="1:12" x14ac:dyDescent="0.25">
      <c r="A38" s="127" t="str">
        <f t="shared" si="0"/>
        <v/>
      </c>
      <c r="B38" s="128"/>
      <c r="C38" s="123"/>
      <c r="D38" s="77"/>
      <c r="E38" s="77"/>
      <c r="F38" s="141">
        <f t="shared" si="1"/>
        <v>0</v>
      </c>
      <c r="H38" s="142"/>
      <c r="I38" s="77"/>
      <c r="J38" s="126">
        <v>0</v>
      </c>
      <c r="K38" s="184"/>
    </row>
    <row r="39" spans="1:12" x14ac:dyDescent="0.25">
      <c r="A39" s="127" t="s">
        <v>94</v>
      </c>
      <c r="B39" s="128"/>
      <c r="C39" s="123"/>
      <c r="D39" s="77"/>
      <c r="E39" s="77"/>
      <c r="F39" s="141">
        <f>D39*E39</f>
        <v>0</v>
      </c>
      <c r="H39" s="142"/>
      <c r="I39" s="77"/>
      <c r="J39" s="126">
        <f>'App.2-ZA_Com. Exp. (2031)'!L45</f>
        <v>1652.7598597009037</v>
      </c>
      <c r="K39" s="184"/>
    </row>
    <row r="40" spans="1:12" x14ac:dyDescent="0.25">
      <c r="A40" s="127" t="s">
        <v>94</v>
      </c>
      <c r="B40" s="128"/>
      <c r="C40" s="123"/>
      <c r="D40" s="77"/>
      <c r="E40" s="77"/>
      <c r="F40" s="141">
        <f>D40*E40</f>
        <v>0</v>
      </c>
      <c r="H40" s="142"/>
      <c r="I40" s="77"/>
      <c r="J40" s="126">
        <f>'App.2-ZA_Com. Exp. (2031)'!L46</f>
        <v>3521503.5409155474</v>
      </c>
      <c r="K40" s="184"/>
    </row>
    <row r="41" spans="1:12" x14ac:dyDescent="0.25">
      <c r="A41" s="127" t="s">
        <v>94</v>
      </c>
      <c r="B41" s="128"/>
      <c r="C41" s="123"/>
      <c r="D41" s="77"/>
      <c r="E41" s="77"/>
      <c r="F41" s="141">
        <f>D41*E41</f>
        <v>0</v>
      </c>
      <c r="H41" s="142"/>
      <c r="I41" s="77"/>
      <c r="J41" s="126">
        <f>'App.2-ZA_Com. Exp. (2031)'!L47</f>
        <v>10199798.489855744</v>
      </c>
      <c r="K41" s="184"/>
      <c r="L41" s="8"/>
    </row>
    <row r="42" spans="1:12" x14ac:dyDescent="0.25">
      <c r="A42" s="127" t="s">
        <v>94</v>
      </c>
      <c r="B42" s="128"/>
      <c r="C42" s="123"/>
      <c r="D42" s="77"/>
      <c r="E42" s="77"/>
      <c r="F42" s="141">
        <f>D42*E42</f>
        <v>0</v>
      </c>
      <c r="H42" s="142"/>
      <c r="I42" s="77"/>
      <c r="J42" s="126">
        <f>'App.2-ZA_Com. Exp. (2031)'!L48</f>
        <v>19508862.261780731</v>
      </c>
      <c r="K42" s="184"/>
    </row>
    <row r="43" spans="1:12" x14ac:dyDescent="0.25">
      <c r="A43" s="127" t="s">
        <v>94</v>
      </c>
      <c r="B43" s="128"/>
      <c r="C43" s="123"/>
      <c r="D43" s="77"/>
      <c r="E43" s="77"/>
      <c r="F43" s="141">
        <f>D43*E43</f>
        <v>0</v>
      </c>
      <c r="H43" s="142"/>
      <c r="I43" s="77"/>
      <c r="J43" s="126">
        <v>0</v>
      </c>
      <c r="K43" s="184"/>
    </row>
    <row r="44" spans="1:12" x14ac:dyDescent="0.25">
      <c r="A44" s="122" t="s">
        <v>61</v>
      </c>
      <c r="B44" s="143"/>
      <c r="C44" s="123"/>
      <c r="D44" s="134"/>
      <c r="E44" s="133"/>
      <c r="F44" s="127">
        <f>SUM(F28:F43)</f>
        <v>0</v>
      </c>
      <c r="G44" s="127"/>
      <c r="H44" s="133"/>
      <c r="I44" s="133"/>
      <c r="J44" s="144">
        <f>SUM(J28:J43)</f>
        <v>105895090.07761309</v>
      </c>
      <c r="K44" s="136">
        <f>F44+J44</f>
        <v>105895090.07761309</v>
      </c>
      <c r="L44" s="145"/>
    </row>
    <row r="45" spans="1:12" ht="8.25" customHeight="1" x14ac:dyDescent="0.25">
      <c r="B45" s="137"/>
      <c r="D45" s="137"/>
    </row>
    <row r="46" spans="1:12" x14ac:dyDescent="0.25">
      <c r="A46" s="118" t="s">
        <v>64</v>
      </c>
      <c r="B46" s="186"/>
      <c r="C46" s="119"/>
      <c r="D46" s="185" t="s">
        <v>65</v>
      </c>
      <c r="E46" s="184" t="s">
        <v>57</v>
      </c>
      <c r="F46" s="191" t="s">
        <v>58</v>
      </c>
      <c r="G46" s="8"/>
      <c r="H46" s="193" t="s">
        <v>56</v>
      </c>
      <c r="I46" s="184" t="s">
        <v>57</v>
      </c>
      <c r="J46" s="191" t="s">
        <v>58</v>
      </c>
      <c r="K46" s="189" t="s">
        <v>53</v>
      </c>
    </row>
    <row r="47" spans="1:12" x14ac:dyDescent="0.25">
      <c r="A47" s="122" t="s">
        <v>63</v>
      </c>
      <c r="B47" s="196"/>
      <c r="C47" s="139"/>
      <c r="D47" s="195"/>
      <c r="E47" s="184"/>
      <c r="F47" s="192"/>
      <c r="G47" s="8"/>
      <c r="H47" s="197"/>
      <c r="I47" s="184"/>
      <c r="J47" s="192"/>
      <c r="K47" s="195"/>
    </row>
    <row r="48" spans="1:12" x14ac:dyDescent="0.25">
      <c r="A48" s="127" t="str">
        <f>IF(A13="","",A13)</f>
        <v>Residential</v>
      </c>
      <c r="B48" s="128"/>
      <c r="C48" s="123"/>
      <c r="D48" s="146">
        <v>1658121916.1004322</v>
      </c>
      <c r="E48" s="147">
        <v>1.61E-2</v>
      </c>
      <c r="F48" s="148">
        <f>D48*E48</f>
        <v>26695762.849216957</v>
      </c>
      <c r="H48" s="146">
        <v>20563849.970325798</v>
      </c>
      <c r="I48" s="147">
        <f>E48</f>
        <v>1.61E-2</v>
      </c>
      <c r="J48" s="148">
        <f>H48*I48</f>
        <v>331077.98452224536</v>
      </c>
      <c r="K48" s="184"/>
    </row>
    <row r="49" spans="1:11" x14ac:dyDescent="0.25">
      <c r="A49" s="127" t="str">
        <f t="shared" ref="A49:A51" si="2">IF(A14="","",A14)</f>
        <v>Residential Seasonal</v>
      </c>
      <c r="B49" s="128"/>
      <c r="C49" s="131"/>
      <c r="D49" s="146">
        <v>15292610.146675296</v>
      </c>
      <c r="E49" s="147">
        <v>1.6199999999999999E-2</v>
      </c>
      <c r="F49" s="148">
        <f t="shared" ref="F49:F60" si="3">D49*E49</f>
        <v>247740.28437613978</v>
      </c>
      <c r="H49" s="146">
        <v>189657.30906596681</v>
      </c>
      <c r="I49" s="147">
        <f t="shared" ref="I49:I58" si="4">E49</f>
        <v>1.6199999999999999E-2</v>
      </c>
      <c r="J49" s="148">
        <f t="shared" ref="J49:J59" si="5">H49*I49</f>
        <v>3072.448406868662</v>
      </c>
      <c r="K49" s="184"/>
    </row>
    <row r="50" spans="1:11" x14ac:dyDescent="0.25">
      <c r="A50" s="127" t="str">
        <f t="shared" si="2"/>
        <v>GS&lt;50</v>
      </c>
      <c r="B50" s="128"/>
      <c r="C50" s="131"/>
      <c r="D50" s="146">
        <v>321058738.3588981</v>
      </c>
      <c r="E50" s="147">
        <v>1.47E-2</v>
      </c>
      <c r="F50" s="148">
        <f t="shared" si="3"/>
        <v>4719563.4538758015</v>
      </c>
      <c r="H50" s="146">
        <v>50109192.336713411</v>
      </c>
      <c r="I50" s="147">
        <f t="shared" si="4"/>
        <v>1.47E-2</v>
      </c>
      <c r="J50" s="148">
        <f t="shared" si="5"/>
        <v>736605.12734968716</v>
      </c>
      <c r="K50" s="184"/>
    </row>
    <row r="51" spans="1:11" x14ac:dyDescent="0.25">
      <c r="A51" s="127" t="str">
        <f t="shared" si="2"/>
        <v>GS 50 - 2,999</v>
      </c>
      <c r="B51" s="128"/>
      <c r="C51" s="131"/>
      <c r="D51" s="146">
        <v>2227648.2532407218</v>
      </c>
      <c r="E51" s="147">
        <v>6.7652999999999999</v>
      </c>
      <c r="F51" s="148">
        <f t="shared" si="3"/>
        <v>15070708.727649454</v>
      </c>
      <c r="H51" s="146">
        <v>1111494.9963906661</v>
      </c>
      <c r="I51" s="147">
        <f t="shared" si="4"/>
        <v>6.7652999999999999</v>
      </c>
      <c r="J51" s="148">
        <f t="shared" si="5"/>
        <v>7519597.0990817733</v>
      </c>
      <c r="K51" s="184"/>
    </row>
    <row r="52" spans="1:11" x14ac:dyDescent="0.25">
      <c r="A52" s="127" t="str">
        <f>A51&amp;" EV"</f>
        <v>GS 50 - 2,999 EV</v>
      </c>
      <c r="B52" s="128"/>
      <c r="C52" s="131"/>
      <c r="D52" s="146"/>
      <c r="E52" s="147">
        <v>1.1541999999999999</v>
      </c>
      <c r="F52" s="148"/>
      <c r="H52" s="146">
        <v>44432.573221991399</v>
      </c>
      <c r="I52" s="147">
        <f t="shared" si="4"/>
        <v>1.1541999999999999</v>
      </c>
      <c r="J52" s="148">
        <f t="shared" si="5"/>
        <v>51284.076012822465</v>
      </c>
      <c r="K52" s="184"/>
    </row>
    <row r="53" spans="1:11" x14ac:dyDescent="0.25">
      <c r="A53" s="127" t="str">
        <f>IF(A17="","",A17)</f>
        <v>GS 3,000 - 4,999</v>
      </c>
      <c r="B53" s="128"/>
      <c r="C53" s="131"/>
      <c r="D53" s="146">
        <v>754070.56452903384</v>
      </c>
      <c r="E53" s="147">
        <v>7.1700999999999997</v>
      </c>
      <c r="F53" s="148">
        <f t="shared" si="3"/>
        <v>5406761.3547296254</v>
      </c>
      <c r="H53" s="146">
        <v>20545.917504796944</v>
      </c>
      <c r="I53" s="147">
        <f t="shared" si="4"/>
        <v>7.1700999999999997</v>
      </c>
      <c r="J53" s="148">
        <f t="shared" si="5"/>
        <v>147316.28310114457</v>
      </c>
      <c r="K53" s="184"/>
    </row>
    <row r="54" spans="1:11" x14ac:dyDescent="0.25">
      <c r="A54" s="127" t="str">
        <f>A53&amp;" EV"</f>
        <v>GS 3,000 - 4,999 EV</v>
      </c>
      <c r="B54" s="128"/>
      <c r="C54" s="131"/>
      <c r="D54" s="146"/>
      <c r="E54" s="147">
        <v>1.218917</v>
      </c>
      <c r="F54" s="148"/>
      <c r="H54" s="146"/>
      <c r="I54" s="147">
        <f t="shared" si="4"/>
        <v>1.218917</v>
      </c>
      <c r="J54" s="148">
        <f t="shared" si="5"/>
        <v>0</v>
      </c>
      <c r="K54" s="184"/>
    </row>
    <row r="55" spans="1:11" x14ac:dyDescent="0.25">
      <c r="A55" s="127" t="str">
        <f t="shared" ref="A55:A60" si="6">IF(A18="","",A18)</f>
        <v>Large Use</v>
      </c>
      <c r="B55" s="128"/>
      <c r="C55" s="131"/>
      <c r="D55" s="146">
        <v>1121410.858591649</v>
      </c>
      <c r="E55" s="147">
        <v>7.6406000000000001</v>
      </c>
      <c r="F55" s="148">
        <f t="shared" si="3"/>
        <v>8568251.8061553538</v>
      </c>
      <c r="H55" s="146">
        <v>0</v>
      </c>
      <c r="I55" s="147">
        <f t="shared" si="4"/>
        <v>7.6406000000000001</v>
      </c>
      <c r="J55" s="148">
        <f t="shared" si="5"/>
        <v>0</v>
      </c>
      <c r="K55" s="184"/>
    </row>
    <row r="56" spans="1:11" x14ac:dyDescent="0.25">
      <c r="A56" s="127" t="str">
        <f t="shared" si="6"/>
        <v>Street Light</v>
      </c>
      <c r="B56" s="128"/>
      <c r="C56" s="123"/>
      <c r="D56" s="146">
        <v>45774.320408562664</v>
      </c>
      <c r="E56" s="147">
        <v>4.6024000000000003</v>
      </c>
      <c r="F56" s="148">
        <f t="shared" si="3"/>
        <v>210671.73224836882</v>
      </c>
      <c r="H56" s="146">
        <v>0</v>
      </c>
      <c r="I56" s="147">
        <f t="shared" si="4"/>
        <v>4.6024000000000003</v>
      </c>
      <c r="J56" s="148">
        <f t="shared" si="5"/>
        <v>0</v>
      </c>
      <c r="K56" s="184"/>
    </row>
    <row r="57" spans="1:11" x14ac:dyDescent="0.25">
      <c r="A57" s="127" t="str">
        <f t="shared" si="6"/>
        <v>Sentinel Light</v>
      </c>
      <c r="B57" s="128"/>
      <c r="C57" s="123"/>
      <c r="D57" s="146">
        <v>0</v>
      </c>
      <c r="E57" s="147">
        <v>4.3849</v>
      </c>
      <c r="F57" s="148">
        <f t="shared" si="3"/>
        <v>0</v>
      </c>
      <c r="H57" s="146">
        <v>616.25346374616186</v>
      </c>
      <c r="I57" s="147">
        <f t="shared" si="4"/>
        <v>4.3849</v>
      </c>
      <c r="J57" s="148">
        <f t="shared" si="5"/>
        <v>2702.2098131805451</v>
      </c>
      <c r="K57" s="184"/>
    </row>
    <row r="58" spans="1:11" x14ac:dyDescent="0.25">
      <c r="A58" s="127" t="str">
        <f t="shared" si="6"/>
        <v>USL</v>
      </c>
      <c r="B58" s="128"/>
      <c r="C58" s="123"/>
      <c r="D58" s="146">
        <v>6624866.0473044589</v>
      </c>
      <c r="E58" s="147">
        <v>1.47E-2</v>
      </c>
      <c r="F58" s="148">
        <f t="shared" si="3"/>
        <v>97385.530895375545</v>
      </c>
      <c r="H58" s="146">
        <v>4204.1748041201463</v>
      </c>
      <c r="I58" s="147">
        <f t="shared" si="4"/>
        <v>1.47E-2</v>
      </c>
      <c r="J58" s="148">
        <f t="shared" si="5"/>
        <v>61.801369620566149</v>
      </c>
      <c r="K58" s="184"/>
    </row>
    <row r="59" spans="1:11" x14ac:dyDescent="0.25">
      <c r="A59" s="127" t="str">
        <f t="shared" si="6"/>
        <v/>
      </c>
      <c r="B59" s="128"/>
      <c r="C59" s="123"/>
      <c r="D59" s="150"/>
      <c r="E59" s="149"/>
      <c r="F59" s="148">
        <f t="shared" si="3"/>
        <v>0</v>
      </c>
      <c r="H59" s="150"/>
      <c r="I59" s="150"/>
      <c r="J59" s="148">
        <f t="shared" si="5"/>
        <v>0</v>
      </c>
      <c r="K59" s="184"/>
    </row>
    <row r="60" spans="1:11" x14ac:dyDescent="0.25">
      <c r="A60" s="127" t="str">
        <f t="shared" si="6"/>
        <v/>
      </c>
      <c r="B60" s="128"/>
      <c r="C60" s="123"/>
      <c r="D60" s="150"/>
      <c r="E60" s="149"/>
      <c r="F60" s="148">
        <f t="shared" si="3"/>
        <v>0</v>
      </c>
      <c r="H60" s="150"/>
      <c r="I60" s="150"/>
      <c r="J60" s="148">
        <f>H60*I60</f>
        <v>0</v>
      </c>
      <c r="K60" s="184"/>
    </row>
    <row r="61" spans="1:11" x14ac:dyDescent="0.25">
      <c r="A61" s="122" t="s">
        <v>61</v>
      </c>
      <c r="B61" s="143"/>
      <c r="C61" s="123"/>
      <c r="D61" s="144"/>
      <c r="E61" s="151"/>
      <c r="F61" s="144">
        <f>SUM(F48:F60)</f>
        <v>61016845.739147075</v>
      </c>
      <c r="G61" s="127"/>
      <c r="H61" s="124"/>
      <c r="I61" s="127"/>
      <c r="J61" s="144">
        <f>SUM(J48:J60)</f>
        <v>8791717.0296573434</v>
      </c>
      <c r="K61" s="148">
        <f>F61+J61</f>
        <v>69808562.768804416</v>
      </c>
    </row>
    <row r="62" spans="1:11" ht="5.25" customHeight="1" x14ac:dyDescent="0.25"/>
    <row r="63" spans="1:11" x14ac:dyDescent="0.25">
      <c r="A63" s="118" t="s">
        <v>66</v>
      </c>
      <c r="B63" s="190"/>
      <c r="C63" s="119"/>
      <c r="D63" s="189"/>
      <c r="E63" s="184"/>
      <c r="F63" s="191"/>
      <c r="G63" s="8"/>
      <c r="H63" s="193"/>
      <c r="I63" s="184"/>
      <c r="J63" s="191" t="s">
        <v>58</v>
      </c>
      <c r="K63" s="189" t="s">
        <v>53</v>
      </c>
    </row>
    <row r="64" spans="1:11" x14ac:dyDescent="0.25">
      <c r="A64" s="122" t="s">
        <v>63</v>
      </c>
      <c r="B64" s="196"/>
      <c r="C64" s="139"/>
      <c r="D64" s="195"/>
      <c r="E64" s="184"/>
      <c r="F64" s="192"/>
      <c r="G64" s="8"/>
      <c r="H64" s="197"/>
      <c r="I64" s="184"/>
      <c r="J64" s="192"/>
      <c r="K64" s="195"/>
    </row>
    <row r="65" spans="1:11" x14ac:dyDescent="0.25">
      <c r="A65" s="127" t="str">
        <f>IF(A48="","",A48)</f>
        <v>Residential</v>
      </c>
      <c r="B65" s="128"/>
      <c r="C65" s="123"/>
      <c r="D65" s="146">
        <f>D48</f>
        <v>1658121916.1004322</v>
      </c>
      <c r="E65" s="147">
        <v>1.17E-2</v>
      </c>
      <c r="F65" s="148">
        <f>D65*E65</f>
        <v>19400026.418375056</v>
      </c>
      <c r="H65" s="146">
        <f t="shared" ref="H65:H70" si="7">H48</f>
        <v>20563849.970325798</v>
      </c>
      <c r="I65" s="147">
        <f>E65</f>
        <v>1.17E-2</v>
      </c>
      <c r="J65" s="148">
        <f>H65*I65</f>
        <v>240597.04465281183</v>
      </c>
      <c r="K65" s="184"/>
    </row>
    <row r="66" spans="1:11" x14ac:dyDescent="0.25">
      <c r="A66" s="127" t="str">
        <f>IF(A49="","",A49)</f>
        <v>Residential Seasonal</v>
      </c>
      <c r="B66" s="128"/>
      <c r="C66" s="123"/>
      <c r="D66" s="146">
        <f>D49</f>
        <v>15292610.146675296</v>
      </c>
      <c r="E66" s="147">
        <v>1.41E-2</v>
      </c>
      <c r="F66" s="148">
        <f>D66*E66</f>
        <v>215625.80306812166</v>
      </c>
      <c r="H66" s="146">
        <f t="shared" si="7"/>
        <v>189657.30906596681</v>
      </c>
      <c r="I66" s="147">
        <f t="shared" ref="I66:I75" si="8">E66</f>
        <v>1.41E-2</v>
      </c>
      <c r="J66" s="148">
        <f t="shared" ref="J66:J74" si="9">H66*I66</f>
        <v>2674.1680578301321</v>
      </c>
      <c r="K66" s="184"/>
    </row>
    <row r="67" spans="1:11" x14ac:dyDescent="0.25">
      <c r="A67" s="127" t="str">
        <f>IF(A50="","",A50)</f>
        <v>GS&lt;50</v>
      </c>
      <c r="B67" s="128"/>
      <c r="C67" s="123"/>
      <c r="D67" s="146">
        <f>D50</f>
        <v>321058738.3588981</v>
      </c>
      <c r="E67" s="147">
        <v>1.0800000000000001E-2</v>
      </c>
      <c r="F67" s="148">
        <f t="shared" ref="F67:F75" si="10">D67*E67</f>
        <v>3467434.3742760997</v>
      </c>
      <c r="H67" s="146">
        <f t="shared" si="7"/>
        <v>50109192.336713411</v>
      </c>
      <c r="I67" s="147">
        <f t="shared" si="8"/>
        <v>1.0800000000000001E-2</v>
      </c>
      <c r="J67" s="148">
        <f t="shared" si="9"/>
        <v>541179.27723650483</v>
      </c>
      <c r="K67" s="184"/>
    </row>
    <row r="68" spans="1:11" x14ac:dyDescent="0.25">
      <c r="A68" s="127" t="str">
        <f>IF(A51="","",A51)</f>
        <v>GS 50 - 2,999</v>
      </c>
      <c r="B68" s="128"/>
      <c r="C68" s="123"/>
      <c r="D68" s="146">
        <f>D51</f>
        <v>2227648.2532407218</v>
      </c>
      <c r="E68" s="147">
        <v>4.7752999999999997</v>
      </c>
      <c r="F68" s="148">
        <f t="shared" si="10"/>
        <v>10637688.703700418</v>
      </c>
      <c r="H68" s="146">
        <f t="shared" si="7"/>
        <v>1111494.9963906661</v>
      </c>
      <c r="I68" s="147">
        <f t="shared" si="8"/>
        <v>4.7752999999999997</v>
      </c>
      <c r="J68" s="148">
        <f t="shared" si="9"/>
        <v>5307722.0562643474</v>
      </c>
      <c r="K68" s="184"/>
    </row>
    <row r="69" spans="1:11" x14ac:dyDescent="0.25">
      <c r="A69" s="127" t="str">
        <f>A68&amp;" EV"</f>
        <v>GS 50 - 2,999 EV</v>
      </c>
      <c r="B69" s="128"/>
      <c r="C69" s="123"/>
      <c r="D69" s="146"/>
      <c r="E69" s="147">
        <v>0.81100000000000005</v>
      </c>
      <c r="F69" s="148"/>
      <c r="H69" s="146">
        <f t="shared" si="7"/>
        <v>44432.573221991399</v>
      </c>
      <c r="I69" s="147">
        <f t="shared" si="8"/>
        <v>0.81100000000000005</v>
      </c>
      <c r="J69" s="148">
        <f t="shared" si="9"/>
        <v>36034.816883035026</v>
      </c>
      <c r="K69" s="184"/>
    </row>
    <row r="70" spans="1:11" x14ac:dyDescent="0.25">
      <c r="A70" s="127" t="str">
        <f>IF(A53="","",A53)</f>
        <v>GS 3,000 - 4,999</v>
      </c>
      <c r="B70" s="128"/>
      <c r="C70" s="123"/>
      <c r="D70" s="146">
        <f>D53</f>
        <v>754070.56452903384</v>
      </c>
      <c r="E70" s="147">
        <v>3.3740000000000001</v>
      </c>
      <c r="F70" s="148">
        <f t="shared" si="10"/>
        <v>2544234.0847209604</v>
      </c>
      <c r="H70" s="146">
        <f t="shared" si="7"/>
        <v>20545.917504796944</v>
      </c>
      <c r="I70" s="147">
        <f t="shared" si="8"/>
        <v>3.3740000000000001</v>
      </c>
      <c r="J70" s="148">
        <f t="shared" si="9"/>
        <v>69321.925661184898</v>
      </c>
      <c r="K70" s="184"/>
    </row>
    <row r="71" spans="1:11" x14ac:dyDescent="0.25">
      <c r="A71" s="127" t="str">
        <f>A70&amp;" EV"</f>
        <v>GS 3,000 - 4,999 EV</v>
      </c>
      <c r="B71" s="128"/>
      <c r="C71" s="123"/>
      <c r="D71" s="146"/>
      <c r="E71" s="147">
        <v>0.57358000000000009</v>
      </c>
      <c r="F71" s="148"/>
      <c r="H71" s="146"/>
      <c r="I71" s="147">
        <f t="shared" si="8"/>
        <v>0.57358000000000009</v>
      </c>
      <c r="J71" s="148">
        <f t="shared" si="9"/>
        <v>0</v>
      </c>
      <c r="K71" s="184"/>
    </row>
    <row r="72" spans="1:11" x14ac:dyDescent="0.25">
      <c r="A72" s="127" t="str">
        <f t="shared" ref="A72:A77" si="11">IF(A55="","",A55)</f>
        <v>Large Use</v>
      </c>
      <c r="B72" s="128"/>
      <c r="C72" s="133"/>
      <c r="D72" s="146">
        <f>D55</f>
        <v>1121410.858591649</v>
      </c>
      <c r="E72" s="147">
        <v>5.2130999999999998</v>
      </c>
      <c r="F72" s="148">
        <f t="shared" si="10"/>
        <v>5846026.9469241248</v>
      </c>
      <c r="H72" s="146">
        <f>H55</f>
        <v>0</v>
      </c>
      <c r="I72" s="147">
        <f t="shared" si="8"/>
        <v>5.2130999999999998</v>
      </c>
      <c r="J72" s="148">
        <f t="shared" si="9"/>
        <v>0</v>
      </c>
      <c r="K72" s="184"/>
    </row>
    <row r="73" spans="1:11" x14ac:dyDescent="0.25">
      <c r="A73" s="127" t="str">
        <f t="shared" si="11"/>
        <v>Street Light</v>
      </c>
      <c r="B73" s="128"/>
      <c r="C73" s="152"/>
      <c r="D73" s="146">
        <f>D56</f>
        <v>45774.320408562664</v>
      </c>
      <c r="E73" s="147">
        <v>3.2682000000000002</v>
      </c>
      <c r="F73" s="148">
        <f t="shared" si="10"/>
        <v>149599.63395926449</v>
      </c>
      <c r="H73" s="146">
        <f>H56</f>
        <v>0</v>
      </c>
      <c r="I73" s="147">
        <f t="shared" si="8"/>
        <v>3.2682000000000002</v>
      </c>
      <c r="J73" s="148">
        <f t="shared" si="9"/>
        <v>0</v>
      </c>
      <c r="K73" s="184"/>
    </row>
    <row r="74" spans="1:11" x14ac:dyDescent="0.25">
      <c r="A74" s="127" t="str">
        <f t="shared" si="11"/>
        <v>Sentinel Light</v>
      </c>
      <c r="B74" s="128"/>
      <c r="C74" s="152"/>
      <c r="D74" s="146">
        <f>D57</f>
        <v>0</v>
      </c>
      <c r="E74" s="147">
        <v>3.0943999999999998</v>
      </c>
      <c r="F74" s="148">
        <f t="shared" si="10"/>
        <v>0</v>
      </c>
      <c r="H74" s="146">
        <f>H57</f>
        <v>616.25346374616186</v>
      </c>
      <c r="I74" s="147">
        <f t="shared" si="8"/>
        <v>3.0943999999999998</v>
      </c>
      <c r="J74" s="148">
        <f t="shared" si="9"/>
        <v>1906.9347182161232</v>
      </c>
      <c r="K74" s="184"/>
    </row>
    <row r="75" spans="1:11" x14ac:dyDescent="0.25">
      <c r="A75" s="127" t="str">
        <f t="shared" si="11"/>
        <v>USL</v>
      </c>
      <c r="B75" s="128"/>
      <c r="C75" s="152"/>
      <c r="D75" s="146">
        <f>D58</f>
        <v>6624866.0473044589</v>
      </c>
      <c r="E75" s="147">
        <v>1.0999999999999999E-2</v>
      </c>
      <c r="F75" s="148">
        <f t="shared" si="10"/>
        <v>72873.526520349042</v>
      </c>
      <c r="H75" s="146">
        <f>H58</f>
        <v>4204.1748041201463</v>
      </c>
      <c r="I75" s="147">
        <f t="shared" si="8"/>
        <v>1.0999999999999999E-2</v>
      </c>
      <c r="J75" s="148">
        <f>H75*I75</f>
        <v>46.245922845321608</v>
      </c>
      <c r="K75" s="184"/>
    </row>
    <row r="76" spans="1:11" x14ac:dyDescent="0.25">
      <c r="A76" s="127" t="str">
        <f t="shared" si="11"/>
        <v/>
      </c>
      <c r="B76" s="128"/>
      <c r="C76" s="152"/>
      <c r="D76" s="150"/>
      <c r="E76" s="150"/>
      <c r="F76" s="148">
        <f>D76*E76</f>
        <v>0</v>
      </c>
      <c r="H76" s="150"/>
      <c r="I76" s="150"/>
      <c r="J76" s="148">
        <f>H76*I76</f>
        <v>0</v>
      </c>
      <c r="K76" s="184"/>
    </row>
    <row r="77" spans="1:11" x14ac:dyDescent="0.25">
      <c r="A77" s="127" t="str">
        <f t="shared" si="11"/>
        <v/>
      </c>
      <c r="B77" s="128"/>
      <c r="C77" s="152"/>
      <c r="D77" s="150"/>
      <c r="E77" s="150"/>
      <c r="F77" s="148">
        <f t="shared" ref="F77" si="12">D77*E77</f>
        <v>0</v>
      </c>
      <c r="H77" s="150"/>
      <c r="I77" s="150"/>
      <c r="J77" s="148">
        <f>H77*I77</f>
        <v>0</v>
      </c>
      <c r="K77" s="184"/>
    </row>
    <row r="78" spans="1:11" x14ac:dyDescent="0.25">
      <c r="A78" s="122" t="s">
        <v>61</v>
      </c>
      <c r="B78" s="143"/>
      <c r="C78" s="153"/>
      <c r="D78" s="144"/>
      <c r="E78" s="127"/>
      <c r="F78" s="144">
        <f>SUM(F65:F77)</f>
        <v>42333509.491544396</v>
      </c>
      <c r="G78" s="127"/>
      <c r="H78" s="127"/>
      <c r="I78" s="127"/>
      <c r="J78" s="144">
        <f>SUM(J65:J77)</f>
        <v>6199482.4693967747</v>
      </c>
      <c r="K78" s="148">
        <f>F78+J78</f>
        <v>48532991.960941173</v>
      </c>
    </row>
    <row r="79" spans="1:11" ht="7.5" customHeight="1" x14ac:dyDescent="0.25"/>
    <row r="80" spans="1:11" x14ac:dyDescent="0.25">
      <c r="A80" s="118" t="s">
        <v>67</v>
      </c>
      <c r="B80" s="189"/>
      <c r="C80" s="138"/>
      <c r="D80" s="189"/>
      <c r="E80" s="184"/>
      <c r="F80" s="191"/>
      <c r="G80" s="8"/>
      <c r="H80" s="193"/>
      <c r="I80" s="184"/>
      <c r="J80" s="184" t="s">
        <v>58</v>
      </c>
      <c r="K80" s="189" t="s">
        <v>53</v>
      </c>
    </row>
    <row r="81" spans="1:11" x14ac:dyDescent="0.25">
      <c r="A81" s="122" t="s">
        <v>63</v>
      </c>
      <c r="B81" s="195"/>
      <c r="C81" s="8"/>
      <c r="D81" s="195"/>
      <c r="E81" s="184"/>
      <c r="F81" s="192"/>
      <c r="G81" s="8"/>
      <c r="H81" s="197"/>
      <c r="I81" s="184"/>
      <c r="J81" s="184"/>
      <c r="K81" s="195"/>
    </row>
    <row r="82" spans="1:11" x14ac:dyDescent="0.25">
      <c r="A82" s="127" t="str">
        <f>IF(A65="","",A65)</f>
        <v>Residential</v>
      </c>
      <c r="B82" s="128"/>
      <c r="C82" s="123"/>
      <c r="D82" s="146">
        <v>1658121916.1004322</v>
      </c>
      <c r="E82" s="147">
        <f>0.0041*1.03^6</f>
        <v>4.8956144157688997E-3</v>
      </c>
      <c r="F82" s="148">
        <f>D82*E82</f>
        <v>8117525.5555636259</v>
      </c>
      <c r="H82" s="146">
        <v>20563849.970325798</v>
      </c>
      <c r="I82" s="147">
        <f>E82</f>
        <v>4.8956144157688997E-3</v>
      </c>
      <c r="J82" s="148">
        <f>H82*I82</f>
        <v>100672.68035843584</v>
      </c>
      <c r="K82" s="184"/>
    </row>
    <row r="83" spans="1:11" x14ac:dyDescent="0.25">
      <c r="A83" s="127" t="str">
        <f>IF(A66="","",A66)</f>
        <v>Residential Seasonal</v>
      </c>
      <c r="B83" s="128"/>
      <c r="C83" s="123"/>
      <c r="D83" s="146">
        <v>15292610.146675296</v>
      </c>
      <c r="E83" s="147">
        <f>E82</f>
        <v>4.8956144157688997E-3</v>
      </c>
      <c r="F83" s="148">
        <f t="shared" ref="F83:F90" si="13">D83*E83</f>
        <v>74866.722688797323</v>
      </c>
      <c r="H83" s="146">
        <v>189657.30906596681</v>
      </c>
      <c r="I83" s="147">
        <f t="shared" ref="I83:I90" si="14">E83</f>
        <v>4.8956144157688997E-3</v>
      </c>
      <c r="J83" s="148">
        <f t="shared" ref="J83:J90" si="15">H83*I83</f>
        <v>928.48905631928471</v>
      </c>
      <c r="K83" s="184"/>
    </row>
    <row r="84" spans="1:11" x14ac:dyDescent="0.25">
      <c r="A84" s="127" t="str">
        <f>IF(A67="","",A67)</f>
        <v>GS&lt;50</v>
      </c>
      <c r="B84" s="128"/>
      <c r="C84" s="123"/>
      <c r="D84" s="146">
        <v>321058738.3588981</v>
      </c>
      <c r="E84" s="147">
        <f t="shared" ref="E84:E90" si="16">E83</f>
        <v>4.8956144157688997E-3</v>
      </c>
      <c r="F84" s="148">
        <f t="shared" si="13"/>
        <v>1571779.7878183969</v>
      </c>
      <c r="H84" s="146">
        <v>50109192.336713411</v>
      </c>
      <c r="I84" s="147">
        <f t="shared" si="14"/>
        <v>4.8956144157688997E-3</v>
      </c>
      <c r="J84" s="148">
        <f t="shared" si="15"/>
        <v>245315.28436615065</v>
      </c>
      <c r="K84" s="184"/>
    </row>
    <row r="85" spans="1:11" x14ac:dyDescent="0.25">
      <c r="A85" s="127" t="str">
        <f>IF(A68="","",A68)</f>
        <v>GS 50 - 2,999</v>
      </c>
      <c r="B85" s="128"/>
      <c r="C85" s="123"/>
      <c r="D85" s="146">
        <v>481347465.15759414</v>
      </c>
      <c r="E85" s="147">
        <f t="shared" si="16"/>
        <v>4.8956144157688997E-3</v>
      </c>
      <c r="F85" s="148">
        <f>D85*E85</f>
        <v>2356491.5894193361</v>
      </c>
      <c r="H85" s="146">
        <v>927629782.47804427</v>
      </c>
      <c r="I85" s="147">
        <f t="shared" si="14"/>
        <v>4.8956144157688997E-3</v>
      </c>
      <c r="J85" s="148">
        <f t="shared" si="15"/>
        <v>4541317.7355960822</v>
      </c>
      <c r="K85" s="184"/>
    </row>
    <row r="86" spans="1:11" x14ac:dyDescent="0.25">
      <c r="A86" s="127" t="str">
        <f>IF(A70="","",A70)</f>
        <v>GS 3,000 - 4,999</v>
      </c>
      <c r="B86" s="128"/>
      <c r="C86" s="123"/>
      <c r="D86" s="146">
        <v>9668812.361613404</v>
      </c>
      <c r="E86" s="147">
        <f t="shared" si="16"/>
        <v>4.8956144157688997E-3</v>
      </c>
      <c r="F86" s="148">
        <f t="shared" si="13"/>
        <v>47334.777180879122</v>
      </c>
      <c r="H86" s="146">
        <v>354862069.02879208</v>
      </c>
      <c r="I86" s="147">
        <f t="shared" si="14"/>
        <v>4.8956144157688997E-3</v>
      </c>
      <c r="J86" s="148">
        <f t="shared" si="15"/>
        <v>1737267.8607469329</v>
      </c>
      <c r="K86" s="184"/>
    </row>
    <row r="87" spans="1:11" x14ac:dyDescent="0.25">
      <c r="A87" s="127" t="str">
        <f t="shared" ref="A87" si="17">IF(A72="","",A72)</f>
        <v>Large Use</v>
      </c>
      <c r="B87" s="128"/>
      <c r="C87" s="123"/>
      <c r="D87" s="146">
        <v>0</v>
      </c>
      <c r="E87" s="147">
        <f t="shared" si="16"/>
        <v>4.8956144157688997E-3</v>
      </c>
      <c r="F87" s="148">
        <f t="shared" si="13"/>
        <v>0</v>
      </c>
      <c r="H87" s="146">
        <v>642091066.81569624</v>
      </c>
      <c r="I87" s="147">
        <f t="shared" si="14"/>
        <v>4.8956144157688997E-3</v>
      </c>
      <c r="J87" s="148">
        <f t="shared" si="15"/>
        <v>3143430.2829393544</v>
      </c>
      <c r="K87" s="184"/>
    </row>
    <row r="88" spans="1:11" x14ac:dyDescent="0.25">
      <c r="A88" s="127" t="str">
        <f>IF(A73="","",A73)</f>
        <v>Street Light</v>
      </c>
      <c r="B88" s="128"/>
      <c r="C88" s="123"/>
      <c r="D88" s="146">
        <v>0</v>
      </c>
      <c r="E88" s="147">
        <f t="shared" si="16"/>
        <v>4.8956144157688997E-3</v>
      </c>
      <c r="F88" s="148">
        <f t="shared" si="13"/>
        <v>0</v>
      </c>
      <c r="H88" s="146">
        <v>17107205.673963737</v>
      </c>
      <c r="I88" s="147">
        <f t="shared" si="14"/>
        <v>4.8956144157688997E-3</v>
      </c>
      <c r="J88" s="148">
        <f t="shared" si="15"/>
        <v>83750.282710980391</v>
      </c>
      <c r="K88" s="184"/>
    </row>
    <row r="89" spans="1:11" x14ac:dyDescent="0.25">
      <c r="A89" s="127" t="str">
        <f>IF(A74="","",A74)</f>
        <v>Sentinel Light</v>
      </c>
      <c r="B89" s="128"/>
      <c r="C89" s="123"/>
      <c r="D89" s="146">
        <v>85043.081691055369</v>
      </c>
      <c r="E89" s="147">
        <f t="shared" si="16"/>
        <v>4.8956144157688997E-3</v>
      </c>
      <c r="F89" s="148">
        <f t="shared" si="13"/>
        <v>416.33813668814287</v>
      </c>
      <c r="H89" s="146">
        <v>0</v>
      </c>
      <c r="I89" s="147">
        <f t="shared" si="14"/>
        <v>4.8956144157688997E-3</v>
      </c>
      <c r="J89" s="148">
        <f t="shared" si="15"/>
        <v>0</v>
      </c>
      <c r="K89" s="184"/>
    </row>
    <row r="90" spans="1:11" x14ac:dyDescent="0.25">
      <c r="A90" s="127" t="str">
        <f>IF(A75="","",A75)</f>
        <v>USL</v>
      </c>
      <c r="B90" s="128"/>
      <c r="C90" s="123"/>
      <c r="D90" s="146">
        <v>6624866.0473044589</v>
      </c>
      <c r="E90" s="147">
        <f t="shared" si="16"/>
        <v>4.8956144157688997E-3</v>
      </c>
      <c r="F90" s="148">
        <f t="shared" si="13"/>
        <v>32432.789723721638</v>
      </c>
      <c r="H90" s="146">
        <v>4204.1748041201463</v>
      </c>
      <c r="I90" s="147">
        <f t="shared" si="14"/>
        <v>4.8956144157688997E-3</v>
      </c>
      <c r="J90" s="148">
        <f t="shared" si="15"/>
        <v>20.582018777462977</v>
      </c>
      <c r="K90" s="184"/>
    </row>
    <row r="91" spans="1:11" x14ac:dyDescent="0.25">
      <c r="A91" s="127" t="str">
        <f>IF(A76="","",A76)</f>
        <v/>
      </c>
      <c r="B91" s="128"/>
      <c r="C91" s="123"/>
      <c r="D91" s="150"/>
      <c r="E91" s="150"/>
      <c r="F91" s="148">
        <f>D91*E91</f>
        <v>0</v>
      </c>
      <c r="H91" s="150"/>
      <c r="I91" s="150"/>
      <c r="J91" s="148">
        <f>H91*I91</f>
        <v>0</v>
      </c>
      <c r="K91" s="184"/>
    </row>
    <row r="92" spans="1:11" x14ac:dyDescent="0.25">
      <c r="A92" s="127" t="str">
        <f>IF(A77="","",A77)</f>
        <v/>
      </c>
      <c r="B92" s="128"/>
      <c r="C92" s="123"/>
      <c r="D92" s="150"/>
      <c r="E92" s="150"/>
      <c r="F92" s="148">
        <f t="shared" ref="F92" si="18">D92*E92</f>
        <v>0</v>
      </c>
      <c r="H92" s="150"/>
      <c r="I92" s="150"/>
      <c r="J92" s="148">
        <f>H92*I92</f>
        <v>0</v>
      </c>
      <c r="K92" s="184"/>
    </row>
    <row r="93" spans="1:11" x14ac:dyDescent="0.25">
      <c r="A93" s="122" t="s">
        <v>61</v>
      </c>
      <c r="B93" s="143"/>
      <c r="C93" s="123"/>
      <c r="D93" s="144"/>
      <c r="E93" s="127"/>
      <c r="F93" s="144">
        <f>SUM(F82:F92)</f>
        <v>12200847.560531445</v>
      </c>
      <c r="G93" s="127"/>
      <c r="H93" s="127"/>
      <c r="I93" s="127"/>
      <c r="J93" s="144">
        <f>SUM(J82:J92)</f>
        <v>9852703.197793033</v>
      </c>
      <c r="K93" s="148">
        <f>F93+J93</f>
        <v>22053550.758324478</v>
      </c>
    </row>
    <row r="94" spans="1:11" ht="6.75" customHeight="1" x14ac:dyDescent="0.25"/>
    <row r="95" spans="1:11" x14ac:dyDescent="0.25">
      <c r="A95" s="118" t="s">
        <v>68</v>
      </c>
      <c r="B95" s="189"/>
      <c r="C95" s="138"/>
      <c r="D95" s="189"/>
      <c r="E95" s="184"/>
      <c r="F95" s="191"/>
      <c r="G95" s="8"/>
      <c r="H95" s="193"/>
      <c r="I95" s="184"/>
      <c r="J95" s="184" t="s">
        <v>58</v>
      </c>
      <c r="K95" s="189" t="s">
        <v>53</v>
      </c>
    </row>
    <row r="96" spans="1:11" x14ac:dyDescent="0.25">
      <c r="A96" s="122" t="s">
        <v>63</v>
      </c>
      <c r="B96" s="195"/>
      <c r="C96" s="8"/>
      <c r="D96" s="195"/>
      <c r="E96" s="184"/>
      <c r="F96" s="192"/>
      <c r="G96" s="8"/>
      <c r="H96" s="197"/>
      <c r="I96" s="184"/>
      <c r="J96" s="184"/>
      <c r="K96" s="195"/>
    </row>
    <row r="97" spans="1:11" x14ac:dyDescent="0.25">
      <c r="A97" s="127" t="str">
        <f t="shared" ref="A97:A102" si="19">IF(A82="","",A82)</f>
        <v>Residential</v>
      </c>
      <c r="B97" s="128"/>
      <c r="C97" s="123"/>
      <c r="D97" s="150"/>
      <c r="E97" s="150"/>
      <c r="F97" s="148">
        <f>D97*E97</f>
        <v>0</v>
      </c>
      <c r="H97" s="150"/>
      <c r="I97" s="149">
        <v>4.0000000000000002E-4</v>
      </c>
      <c r="J97" s="148">
        <f>H97*I97</f>
        <v>0</v>
      </c>
      <c r="K97" s="184"/>
    </row>
    <row r="98" spans="1:11" x14ac:dyDescent="0.25">
      <c r="A98" s="127" t="str">
        <f t="shared" si="19"/>
        <v>Residential Seasonal</v>
      </c>
      <c r="B98" s="128"/>
      <c r="C98" s="123"/>
      <c r="D98" s="150"/>
      <c r="E98" s="150"/>
      <c r="F98" s="148">
        <f t="shared" ref="F98:F107" si="20">D98*E98</f>
        <v>0</v>
      </c>
      <c r="H98" s="150"/>
      <c r="I98" s="149">
        <f>I97</f>
        <v>4.0000000000000002E-4</v>
      </c>
      <c r="J98" s="148">
        <f t="shared" ref="J98:J105" si="21">H98*I98</f>
        <v>0</v>
      </c>
      <c r="K98" s="184"/>
    </row>
    <row r="99" spans="1:11" x14ac:dyDescent="0.25">
      <c r="A99" s="127" t="str">
        <f t="shared" si="19"/>
        <v>GS&lt;50</v>
      </c>
      <c r="B99" s="128"/>
      <c r="C99" s="123"/>
      <c r="D99" s="150"/>
      <c r="E99" s="150"/>
      <c r="F99" s="148">
        <f t="shared" si="20"/>
        <v>0</v>
      </c>
      <c r="H99" s="146"/>
      <c r="I99" s="149">
        <f t="shared" ref="I99:I105" si="22">I98</f>
        <v>4.0000000000000002E-4</v>
      </c>
      <c r="J99" s="148">
        <f t="shared" si="21"/>
        <v>0</v>
      </c>
      <c r="K99" s="184"/>
    </row>
    <row r="100" spans="1:11" x14ac:dyDescent="0.25">
      <c r="A100" s="127" t="str">
        <f t="shared" si="19"/>
        <v>GS 50 - 2,999</v>
      </c>
      <c r="B100" s="128"/>
      <c r="C100" s="123"/>
      <c r="D100" s="150"/>
      <c r="E100" s="150"/>
      <c r="F100" s="148">
        <f t="shared" si="20"/>
        <v>0</v>
      </c>
      <c r="H100" s="150">
        <v>47972.281247874424</v>
      </c>
      <c r="I100" s="149">
        <f t="shared" si="22"/>
        <v>4.0000000000000002E-4</v>
      </c>
      <c r="J100" s="148">
        <f t="shared" si="21"/>
        <v>19.188912499149769</v>
      </c>
      <c r="K100" s="184"/>
    </row>
    <row r="101" spans="1:11" x14ac:dyDescent="0.25">
      <c r="A101" s="127" t="str">
        <f t="shared" si="19"/>
        <v>GS 3,000 - 4,999</v>
      </c>
      <c r="B101" s="128"/>
      <c r="C101" s="123"/>
      <c r="D101" s="150"/>
      <c r="E101" s="150"/>
      <c r="F101" s="148">
        <f t="shared" si="20"/>
        <v>0</v>
      </c>
      <c r="H101" s="150">
        <v>102213613.96734188</v>
      </c>
      <c r="I101" s="149">
        <f t="shared" si="22"/>
        <v>4.0000000000000002E-4</v>
      </c>
      <c r="J101" s="148">
        <f t="shared" si="21"/>
        <v>40885.445586936759</v>
      </c>
      <c r="K101" s="184"/>
    </row>
    <row r="102" spans="1:11" x14ac:dyDescent="0.25">
      <c r="A102" s="127" t="str">
        <f t="shared" si="19"/>
        <v>Large Use</v>
      </c>
      <c r="B102" s="128"/>
      <c r="C102" s="123"/>
      <c r="D102" s="150"/>
      <c r="E102" s="150"/>
      <c r="F102" s="148">
        <f t="shared" si="20"/>
        <v>0</v>
      </c>
      <c r="H102" s="150">
        <v>296054867.83515757</v>
      </c>
      <c r="I102" s="149">
        <f t="shared" si="22"/>
        <v>4.0000000000000002E-4</v>
      </c>
      <c r="J102" s="148">
        <f t="shared" si="21"/>
        <v>118421.94713406304</v>
      </c>
      <c r="K102" s="184"/>
    </row>
    <row r="103" spans="1:11" x14ac:dyDescent="0.25">
      <c r="A103" s="127" t="str">
        <f>IF(A88="","",A88)</f>
        <v>Street Light</v>
      </c>
      <c r="B103" s="128"/>
      <c r="C103" s="123"/>
      <c r="D103" s="150"/>
      <c r="E103" s="150"/>
      <c r="F103" s="148">
        <f t="shared" si="20"/>
        <v>0</v>
      </c>
      <c r="H103" s="150">
        <v>566255661.25350714</v>
      </c>
      <c r="I103" s="149">
        <f t="shared" si="22"/>
        <v>4.0000000000000002E-4</v>
      </c>
      <c r="J103" s="148">
        <f t="shared" si="21"/>
        <v>226502.26450140285</v>
      </c>
      <c r="K103" s="184"/>
    </row>
    <row r="104" spans="1:11" x14ac:dyDescent="0.25">
      <c r="A104" s="127" t="str">
        <f>IF(A89="","",A89)</f>
        <v>Sentinel Light</v>
      </c>
      <c r="B104" s="128"/>
      <c r="C104" s="123"/>
      <c r="D104" s="150"/>
      <c r="E104" s="150"/>
      <c r="F104" s="148">
        <f t="shared" si="20"/>
        <v>0</v>
      </c>
      <c r="H104" s="150"/>
      <c r="I104" s="149">
        <f t="shared" si="22"/>
        <v>4.0000000000000002E-4</v>
      </c>
      <c r="J104" s="148">
        <f t="shared" si="21"/>
        <v>0</v>
      </c>
      <c r="K104" s="184"/>
    </row>
    <row r="105" spans="1:11" x14ac:dyDescent="0.25">
      <c r="A105" s="127" t="str">
        <f>IF(A90="","",A90)</f>
        <v>USL</v>
      </c>
      <c r="B105" s="128"/>
      <c r="C105" s="123"/>
      <c r="D105" s="150"/>
      <c r="E105" s="150"/>
      <c r="F105" s="148">
        <f t="shared" si="20"/>
        <v>0</v>
      </c>
      <c r="H105" s="150"/>
      <c r="I105" s="149">
        <f t="shared" si="22"/>
        <v>4.0000000000000002E-4</v>
      </c>
      <c r="J105" s="148">
        <f t="shared" si="21"/>
        <v>0</v>
      </c>
      <c r="K105" s="184"/>
    </row>
    <row r="106" spans="1:11" x14ac:dyDescent="0.25">
      <c r="A106" s="127" t="str">
        <f>IF(A91="","",A91)</f>
        <v/>
      </c>
      <c r="B106" s="128"/>
      <c r="C106" s="123"/>
      <c r="D106" s="150"/>
      <c r="E106" s="150"/>
      <c r="F106" s="148">
        <f t="shared" si="20"/>
        <v>0</v>
      </c>
      <c r="H106" s="150"/>
      <c r="I106" s="150"/>
      <c r="J106" s="148">
        <f>H106*I106</f>
        <v>0</v>
      </c>
      <c r="K106" s="184"/>
    </row>
    <row r="107" spans="1:11" x14ac:dyDescent="0.25">
      <c r="A107" s="127" t="str">
        <f>IF(A92="","",A92)</f>
        <v/>
      </c>
      <c r="B107" s="128"/>
      <c r="C107" s="123"/>
      <c r="D107" s="150"/>
      <c r="E107" s="150"/>
      <c r="F107" s="148">
        <f t="shared" si="20"/>
        <v>0</v>
      </c>
      <c r="H107" s="150"/>
      <c r="I107" s="150"/>
      <c r="J107" s="148">
        <f>H107*I107</f>
        <v>0</v>
      </c>
      <c r="K107" s="184"/>
    </row>
    <row r="108" spans="1:11" x14ac:dyDescent="0.25">
      <c r="A108" s="122" t="s">
        <v>61</v>
      </c>
      <c r="B108" s="143"/>
      <c r="C108" s="123"/>
      <c r="D108" s="144"/>
      <c r="E108" s="127"/>
      <c r="F108" s="144">
        <f>SUM(F97:F107)</f>
        <v>0</v>
      </c>
      <c r="G108" s="127"/>
      <c r="H108" s="127"/>
      <c r="I108" s="127"/>
      <c r="J108" s="144">
        <f>SUM(J97:J107)</f>
        <v>385828.8461349018</v>
      </c>
      <c r="K108" s="148">
        <f>F108+J108</f>
        <v>385828.8461349018</v>
      </c>
    </row>
    <row r="109" spans="1:11" ht="6.75" customHeight="1" x14ac:dyDescent="0.25">
      <c r="A109" s="122"/>
      <c r="B109" s="140"/>
      <c r="C109" s="123"/>
      <c r="D109" s="154"/>
      <c r="E109" s="153"/>
      <c r="F109" s="144"/>
      <c r="H109" s="125"/>
      <c r="I109" s="153"/>
      <c r="J109" s="144"/>
      <c r="K109" s="155"/>
    </row>
    <row r="110" spans="1:11" x14ac:dyDescent="0.25">
      <c r="A110" s="118" t="s">
        <v>69</v>
      </c>
      <c r="B110" s="189"/>
      <c r="C110" s="138"/>
      <c r="D110" s="189"/>
      <c r="E110" s="184"/>
      <c r="F110" s="191"/>
      <c r="G110" s="8"/>
      <c r="H110" s="193"/>
      <c r="I110" s="184"/>
      <c r="J110" s="184" t="s">
        <v>58</v>
      </c>
      <c r="K110" s="189" t="s">
        <v>53</v>
      </c>
    </row>
    <row r="111" spans="1:11" x14ac:dyDescent="0.25">
      <c r="A111" s="122" t="s">
        <v>63</v>
      </c>
      <c r="B111" s="195"/>
      <c r="C111" s="8"/>
      <c r="D111" s="195"/>
      <c r="E111" s="184"/>
      <c r="F111" s="192"/>
      <c r="G111" s="8"/>
      <c r="H111" s="197"/>
      <c r="I111" s="184"/>
      <c r="J111" s="184"/>
      <c r="K111" s="195"/>
    </row>
    <row r="112" spans="1:11" x14ac:dyDescent="0.25">
      <c r="A112" s="127" t="str">
        <f t="shared" ref="A112:A117" si="23">IF(A97="","",A97)</f>
        <v>Residential</v>
      </c>
      <c r="B112" s="128"/>
      <c r="C112" s="123"/>
      <c r="D112" s="146">
        <v>1658121916.1004322</v>
      </c>
      <c r="E112" s="147">
        <f>I112</f>
        <v>4.0000000000000002E-4</v>
      </c>
      <c r="F112" s="148">
        <f>D112*E112</f>
        <v>663248.76644017291</v>
      </c>
      <c r="H112" s="146">
        <v>20563849.970325798</v>
      </c>
      <c r="I112" s="147">
        <f>I97</f>
        <v>4.0000000000000002E-4</v>
      </c>
      <c r="J112" s="148">
        <f>H112*I112</f>
        <v>8225.5399881303201</v>
      </c>
      <c r="K112" s="184"/>
    </row>
    <row r="113" spans="1:11" x14ac:dyDescent="0.25">
      <c r="A113" s="127" t="str">
        <f t="shared" si="23"/>
        <v>Residential Seasonal</v>
      </c>
      <c r="B113" s="128"/>
      <c r="C113" s="123"/>
      <c r="D113" s="146">
        <v>15292610.146675296</v>
      </c>
      <c r="E113" s="147">
        <f t="shared" ref="E113:E120" si="24">I113</f>
        <v>4.0000000000000002E-4</v>
      </c>
      <c r="F113" s="148">
        <f t="shared" ref="F113:F122" si="25">D113*E113</f>
        <v>6117.0440586701188</v>
      </c>
      <c r="H113" s="146">
        <v>189657.30906596681</v>
      </c>
      <c r="I113" s="147">
        <f t="shared" ref="I113:I120" si="26">I98</f>
        <v>4.0000000000000002E-4</v>
      </c>
      <c r="J113" s="148">
        <f t="shared" ref="J113:J120" si="27">H113*I113</f>
        <v>75.862923626386731</v>
      </c>
      <c r="K113" s="184"/>
    </row>
    <row r="114" spans="1:11" x14ac:dyDescent="0.25">
      <c r="A114" s="127" t="str">
        <f t="shared" si="23"/>
        <v>GS&lt;50</v>
      </c>
      <c r="B114" s="128"/>
      <c r="C114" s="123"/>
      <c r="D114" s="146">
        <v>321058738.3588981</v>
      </c>
      <c r="E114" s="147">
        <f t="shared" si="24"/>
        <v>4.0000000000000002E-4</v>
      </c>
      <c r="F114" s="148">
        <f t="shared" si="25"/>
        <v>128423.49534355925</v>
      </c>
      <c r="H114" s="146">
        <v>50061220.055465534</v>
      </c>
      <c r="I114" s="147">
        <f t="shared" si="26"/>
        <v>4.0000000000000002E-4</v>
      </c>
      <c r="J114" s="148">
        <f t="shared" si="27"/>
        <v>20024.488022186215</v>
      </c>
      <c r="K114" s="184"/>
    </row>
    <row r="115" spans="1:11" x14ac:dyDescent="0.25">
      <c r="A115" s="127" t="str">
        <f t="shared" si="23"/>
        <v>GS 50 - 2,999</v>
      </c>
      <c r="B115" s="128"/>
      <c r="C115" s="123"/>
      <c r="D115" s="146">
        <v>481347465.15759414</v>
      </c>
      <c r="E115" s="147">
        <f t="shared" si="24"/>
        <v>4.0000000000000002E-4</v>
      </c>
      <c r="F115" s="148">
        <f t="shared" si="25"/>
        <v>192538.98606303768</v>
      </c>
      <c r="H115" s="146">
        <v>825416168.51070237</v>
      </c>
      <c r="I115" s="147">
        <f t="shared" si="26"/>
        <v>4.0000000000000002E-4</v>
      </c>
      <c r="J115" s="148">
        <f t="shared" si="27"/>
        <v>330166.46740428096</v>
      </c>
      <c r="K115" s="184"/>
    </row>
    <row r="116" spans="1:11" x14ac:dyDescent="0.25">
      <c r="A116" s="127" t="str">
        <f t="shared" si="23"/>
        <v>GS 3,000 - 4,999</v>
      </c>
      <c r="B116" s="128"/>
      <c r="C116" s="123"/>
      <c r="D116" s="146">
        <v>9668812.361613404</v>
      </c>
      <c r="E116" s="147">
        <f t="shared" si="24"/>
        <v>4.0000000000000002E-4</v>
      </c>
      <c r="F116" s="148">
        <f t="shared" si="25"/>
        <v>3867.5249446453618</v>
      </c>
      <c r="H116" s="146">
        <v>58807201.193634532</v>
      </c>
      <c r="I116" s="147">
        <f t="shared" si="26"/>
        <v>4.0000000000000002E-4</v>
      </c>
      <c r="J116" s="148">
        <f t="shared" si="27"/>
        <v>23522.880477453815</v>
      </c>
      <c r="K116" s="184"/>
    </row>
    <row r="117" spans="1:11" x14ac:dyDescent="0.25">
      <c r="A117" s="127" t="str">
        <f t="shared" si="23"/>
        <v>Large Use</v>
      </c>
      <c r="B117" s="128"/>
      <c r="C117" s="123"/>
      <c r="D117" s="146">
        <v>0</v>
      </c>
      <c r="E117" s="147">
        <f t="shared" si="24"/>
        <v>4.0000000000000002E-4</v>
      </c>
      <c r="F117" s="148">
        <f t="shared" si="25"/>
        <v>0</v>
      </c>
      <c r="H117" s="146">
        <v>75835405.562189132</v>
      </c>
      <c r="I117" s="147">
        <f t="shared" si="26"/>
        <v>4.0000000000000002E-4</v>
      </c>
      <c r="J117" s="148">
        <f t="shared" si="27"/>
        <v>30334.162224875654</v>
      </c>
      <c r="K117" s="184"/>
    </row>
    <row r="118" spans="1:11" x14ac:dyDescent="0.25">
      <c r="A118" s="127" t="str">
        <f>IF(A103="","",A103)</f>
        <v>Street Light</v>
      </c>
      <c r="B118" s="128"/>
      <c r="C118" s="123"/>
      <c r="D118" s="146">
        <v>0</v>
      </c>
      <c r="E118" s="147">
        <f t="shared" si="24"/>
        <v>4.0000000000000002E-4</v>
      </c>
      <c r="F118" s="148">
        <f t="shared" si="25"/>
        <v>0</v>
      </c>
      <c r="H118" s="146">
        <v>17107205.673963737</v>
      </c>
      <c r="I118" s="147">
        <f t="shared" si="26"/>
        <v>4.0000000000000002E-4</v>
      </c>
      <c r="J118" s="148">
        <f t="shared" si="27"/>
        <v>6842.8822695854951</v>
      </c>
      <c r="K118" s="184"/>
    </row>
    <row r="119" spans="1:11" x14ac:dyDescent="0.25">
      <c r="A119" s="127" t="str">
        <f>IF(A104="","",A104)</f>
        <v>Sentinel Light</v>
      </c>
      <c r="B119" s="128"/>
      <c r="C119" s="123"/>
      <c r="D119" s="146">
        <v>85043.081691055369</v>
      </c>
      <c r="E119" s="147">
        <f t="shared" si="24"/>
        <v>4.0000000000000002E-4</v>
      </c>
      <c r="F119" s="148">
        <f t="shared" si="25"/>
        <v>34.017232676422147</v>
      </c>
      <c r="H119" s="146">
        <v>0</v>
      </c>
      <c r="I119" s="147">
        <f t="shared" si="26"/>
        <v>4.0000000000000002E-4</v>
      </c>
      <c r="J119" s="148">
        <f t="shared" si="27"/>
        <v>0</v>
      </c>
      <c r="K119" s="184"/>
    </row>
    <row r="120" spans="1:11" x14ac:dyDescent="0.25">
      <c r="A120" s="127" t="str">
        <f>IF(A105="","",A105)</f>
        <v>USL</v>
      </c>
      <c r="B120" s="128"/>
      <c r="C120" s="123"/>
      <c r="D120" s="146">
        <v>6624866.0473044589</v>
      </c>
      <c r="E120" s="147">
        <f t="shared" si="24"/>
        <v>4.0000000000000002E-4</v>
      </c>
      <c r="F120" s="148">
        <f t="shared" si="25"/>
        <v>2649.9464189217838</v>
      </c>
      <c r="H120" s="146">
        <v>4204.1748041201463</v>
      </c>
      <c r="I120" s="147">
        <f t="shared" si="26"/>
        <v>4.0000000000000002E-4</v>
      </c>
      <c r="J120" s="148">
        <f t="shared" si="27"/>
        <v>1.6816699216480586</v>
      </c>
      <c r="K120" s="184"/>
    </row>
    <row r="121" spans="1:11" x14ac:dyDescent="0.25">
      <c r="A121" s="127" t="str">
        <f>IF(A106="","",A106)</f>
        <v/>
      </c>
      <c r="B121" s="128"/>
      <c r="C121" s="123"/>
      <c r="D121" s="150"/>
      <c r="E121" s="150"/>
      <c r="F121" s="148">
        <f>D121*E121</f>
        <v>0</v>
      </c>
      <c r="H121" s="150"/>
      <c r="I121" s="150"/>
      <c r="J121" s="148">
        <f>H121*I121</f>
        <v>0</v>
      </c>
      <c r="K121" s="184"/>
    </row>
    <row r="122" spans="1:11" x14ac:dyDescent="0.25">
      <c r="A122" s="127" t="str">
        <f>IF(A107="","",A107)</f>
        <v/>
      </c>
      <c r="B122" s="128"/>
      <c r="C122" s="123"/>
      <c r="D122" s="150"/>
      <c r="E122" s="150"/>
      <c r="F122" s="148">
        <f t="shared" si="25"/>
        <v>0</v>
      </c>
      <c r="H122" s="150"/>
      <c r="I122" s="150"/>
      <c r="J122" s="148">
        <f>H122*I122</f>
        <v>0</v>
      </c>
      <c r="K122" s="184"/>
    </row>
    <row r="123" spans="1:11" x14ac:dyDescent="0.25">
      <c r="A123" s="122" t="s">
        <v>61</v>
      </c>
      <c r="B123" s="143"/>
      <c r="C123" s="123"/>
      <c r="D123" s="144"/>
      <c r="E123" s="127"/>
      <c r="F123" s="144">
        <f>SUM(F112:F122)</f>
        <v>996879.78050168359</v>
      </c>
      <c r="G123" s="127"/>
      <c r="H123" s="127"/>
      <c r="I123" s="127"/>
      <c r="J123" s="144">
        <f>SUM(J112:J122)</f>
        <v>419193.96498006053</v>
      </c>
      <c r="K123" s="148">
        <f>F123+J123</f>
        <v>1416073.7454817442</v>
      </c>
    </row>
    <row r="124" spans="1:11" ht="6.75" customHeight="1" x14ac:dyDescent="0.25">
      <c r="A124" s="122"/>
      <c r="B124" s="140"/>
      <c r="C124" s="123"/>
      <c r="D124" s="154"/>
      <c r="E124" s="153"/>
      <c r="F124" s="144"/>
      <c r="H124" s="125"/>
      <c r="I124" s="153"/>
      <c r="J124" s="144"/>
      <c r="K124" s="155"/>
    </row>
    <row r="125" spans="1:11" ht="15" customHeight="1" x14ac:dyDescent="0.25">
      <c r="A125" s="118" t="s">
        <v>70</v>
      </c>
      <c r="B125" s="189"/>
      <c r="C125" s="119"/>
      <c r="D125" s="191"/>
      <c r="E125" s="190"/>
      <c r="F125" s="184"/>
      <c r="G125" s="8"/>
      <c r="H125" s="193"/>
      <c r="I125" s="190"/>
      <c r="J125" s="184" t="s">
        <v>58</v>
      </c>
      <c r="K125" s="189" t="s">
        <v>53</v>
      </c>
    </row>
    <row r="126" spans="1:11" x14ac:dyDescent="0.25">
      <c r="A126" s="122" t="s">
        <v>63</v>
      </c>
      <c r="B126" s="195"/>
      <c r="C126" s="119"/>
      <c r="D126" s="192"/>
      <c r="E126" s="196"/>
      <c r="F126" s="184"/>
      <c r="G126" s="8"/>
      <c r="H126" s="197"/>
      <c r="I126" s="196"/>
      <c r="J126" s="184"/>
      <c r="K126" s="195"/>
    </row>
    <row r="127" spans="1:11" x14ac:dyDescent="0.25">
      <c r="A127" s="127" t="str">
        <f t="shared" ref="A127:A132" si="28">IF(A112="","",A112)</f>
        <v>Residential</v>
      </c>
      <c r="B127" s="128"/>
      <c r="C127" s="123"/>
      <c r="D127" s="146">
        <f>D112</f>
        <v>1658121916.1004322</v>
      </c>
      <c r="E127" s="147">
        <v>1.5E-3</v>
      </c>
      <c r="F127" s="148">
        <f>D127*E127</f>
        <v>2487182.8741506482</v>
      </c>
      <c r="H127" s="146">
        <f>H82</f>
        <v>20563849.970325798</v>
      </c>
      <c r="I127" s="147">
        <f>E127</f>
        <v>1.5E-3</v>
      </c>
      <c r="J127" s="148">
        <f>H127*I127</f>
        <v>30845.774955488698</v>
      </c>
      <c r="K127" s="184"/>
    </row>
    <row r="128" spans="1:11" x14ac:dyDescent="0.25">
      <c r="A128" s="127" t="str">
        <f t="shared" si="28"/>
        <v>Residential Seasonal</v>
      </c>
      <c r="B128" s="128"/>
      <c r="C128" s="123"/>
      <c r="D128" s="146">
        <f t="shared" ref="D128:D135" si="29">D113</f>
        <v>15292610.146675296</v>
      </c>
      <c r="E128" s="147">
        <f>E127</f>
        <v>1.5E-3</v>
      </c>
      <c r="F128" s="148">
        <f t="shared" ref="F128:F136" si="30">D128*E128</f>
        <v>22938.915220012943</v>
      </c>
      <c r="H128" s="146">
        <f t="shared" ref="H128:H135" si="31">H83</f>
        <v>189657.30906596681</v>
      </c>
      <c r="I128" s="147">
        <f t="shared" ref="I128:I135" si="32">E128</f>
        <v>1.5E-3</v>
      </c>
      <c r="J128" s="148">
        <f t="shared" ref="J128:J135" si="33">H128*I128</f>
        <v>284.48596359895021</v>
      </c>
      <c r="K128" s="184"/>
    </row>
    <row r="129" spans="1:11" x14ac:dyDescent="0.25">
      <c r="A129" s="127" t="str">
        <f t="shared" si="28"/>
        <v>GS&lt;50</v>
      </c>
      <c r="B129" s="128"/>
      <c r="C129" s="123"/>
      <c r="D129" s="146">
        <f t="shared" si="29"/>
        <v>321058738.3588981</v>
      </c>
      <c r="E129" s="147">
        <f t="shared" ref="E129:E135" si="34">E128</f>
        <v>1.5E-3</v>
      </c>
      <c r="F129" s="148">
        <f t="shared" si="30"/>
        <v>481588.10753834719</v>
      </c>
      <c r="H129" s="146">
        <f t="shared" si="31"/>
        <v>50109192.336713411</v>
      </c>
      <c r="I129" s="147">
        <f t="shared" si="32"/>
        <v>1.5E-3</v>
      </c>
      <c r="J129" s="148">
        <f t="shared" si="33"/>
        <v>75163.788505070115</v>
      </c>
      <c r="K129" s="184"/>
    </row>
    <row r="130" spans="1:11" x14ac:dyDescent="0.25">
      <c r="A130" s="127" t="str">
        <f t="shared" si="28"/>
        <v>GS 50 - 2,999</v>
      </c>
      <c r="B130" s="128"/>
      <c r="C130" s="123"/>
      <c r="D130" s="146">
        <f t="shared" si="29"/>
        <v>481347465.15759414</v>
      </c>
      <c r="E130" s="147">
        <f t="shared" si="34"/>
        <v>1.5E-3</v>
      </c>
      <c r="F130" s="148">
        <f t="shared" si="30"/>
        <v>722021.19773639122</v>
      </c>
      <c r="H130" s="146">
        <f t="shared" si="31"/>
        <v>927629782.47804427</v>
      </c>
      <c r="I130" s="147">
        <f t="shared" si="32"/>
        <v>1.5E-3</v>
      </c>
      <c r="J130" s="148">
        <f t="shared" si="33"/>
        <v>1391444.6737170664</v>
      </c>
      <c r="K130" s="184"/>
    </row>
    <row r="131" spans="1:11" x14ac:dyDescent="0.25">
      <c r="A131" s="127" t="str">
        <f t="shared" si="28"/>
        <v>GS 3,000 - 4,999</v>
      </c>
      <c r="B131" s="128"/>
      <c r="C131" s="123"/>
      <c r="D131" s="146">
        <f t="shared" si="29"/>
        <v>9668812.361613404</v>
      </c>
      <c r="E131" s="147">
        <f t="shared" si="34"/>
        <v>1.5E-3</v>
      </c>
      <c r="F131" s="148">
        <f t="shared" si="30"/>
        <v>14503.218542420107</v>
      </c>
      <c r="H131" s="146">
        <f t="shared" si="31"/>
        <v>354862069.02879208</v>
      </c>
      <c r="I131" s="147">
        <f t="shared" si="32"/>
        <v>1.5E-3</v>
      </c>
      <c r="J131" s="148">
        <f t="shared" si="33"/>
        <v>532293.10354318819</v>
      </c>
      <c r="K131" s="184"/>
    </row>
    <row r="132" spans="1:11" x14ac:dyDescent="0.25">
      <c r="A132" s="127" t="str">
        <f t="shared" si="28"/>
        <v>Large Use</v>
      </c>
      <c r="B132" s="128"/>
      <c r="C132" s="123"/>
      <c r="D132" s="146">
        <f t="shared" si="29"/>
        <v>0</v>
      </c>
      <c r="E132" s="147">
        <f t="shared" si="34"/>
        <v>1.5E-3</v>
      </c>
      <c r="F132" s="148">
        <f>D132*E132</f>
        <v>0</v>
      </c>
      <c r="H132" s="146">
        <f t="shared" si="31"/>
        <v>642091066.81569624</v>
      </c>
      <c r="I132" s="147">
        <f t="shared" si="32"/>
        <v>1.5E-3</v>
      </c>
      <c r="J132" s="148">
        <f t="shared" si="33"/>
        <v>963136.6002235444</v>
      </c>
      <c r="K132" s="184"/>
    </row>
    <row r="133" spans="1:11" x14ac:dyDescent="0.25">
      <c r="A133" s="127" t="str">
        <f>IF(A118="","",A118)</f>
        <v>Street Light</v>
      </c>
      <c r="B133" s="128"/>
      <c r="C133" s="123"/>
      <c r="D133" s="146">
        <f t="shared" si="29"/>
        <v>0</v>
      </c>
      <c r="E133" s="147">
        <f t="shared" si="34"/>
        <v>1.5E-3</v>
      </c>
      <c r="F133" s="148">
        <f t="shared" si="30"/>
        <v>0</v>
      </c>
      <c r="H133" s="146">
        <f t="shared" si="31"/>
        <v>17107205.673963737</v>
      </c>
      <c r="I133" s="147">
        <f t="shared" si="32"/>
        <v>1.5E-3</v>
      </c>
      <c r="J133" s="148">
        <f t="shared" si="33"/>
        <v>25660.808510945604</v>
      </c>
      <c r="K133" s="184"/>
    </row>
    <row r="134" spans="1:11" x14ac:dyDescent="0.25">
      <c r="A134" s="127" t="str">
        <f>IF(A119="","",A119)</f>
        <v>Sentinel Light</v>
      </c>
      <c r="B134" s="128"/>
      <c r="C134" s="123"/>
      <c r="D134" s="146">
        <f t="shared" si="29"/>
        <v>85043.081691055369</v>
      </c>
      <c r="E134" s="147">
        <f t="shared" si="34"/>
        <v>1.5E-3</v>
      </c>
      <c r="F134" s="148">
        <f t="shared" si="30"/>
        <v>127.56462253658306</v>
      </c>
      <c r="H134" s="146">
        <f t="shared" si="31"/>
        <v>0</v>
      </c>
      <c r="I134" s="147">
        <f t="shared" si="32"/>
        <v>1.5E-3</v>
      </c>
      <c r="J134" s="148">
        <f t="shared" si="33"/>
        <v>0</v>
      </c>
      <c r="K134" s="184"/>
    </row>
    <row r="135" spans="1:11" x14ac:dyDescent="0.25">
      <c r="A135" s="127" t="str">
        <f>IF(A120="","",A120)</f>
        <v>USL</v>
      </c>
      <c r="B135" s="128"/>
      <c r="C135" s="123"/>
      <c r="D135" s="146">
        <f t="shared" si="29"/>
        <v>6624866.0473044589</v>
      </c>
      <c r="E135" s="147">
        <f t="shared" si="34"/>
        <v>1.5E-3</v>
      </c>
      <c r="F135" s="148">
        <f t="shared" si="30"/>
        <v>9937.2990709566893</v>
      </c>
      <c r="H135" s="146">
        <f t="shared" si="31"/>
        <v>4204.1748041201463</v>
      </c>
      <c r="I135" s="147">
        <f t="shared" si="32"/>
        <v>1.5E-3</v>
      </c>
      <c r="J135" s="148">
        <f t="shared" si="33"/>
        <v>6.3062622061802198</v>
      </c>
      <c r="K135" s="184"/>
    </row>
    <row r="136" spans="1:11" x14ac:dyDescent="0.25">
      <c r="A136" s="127" t="str">
        <f>IF(A121="","",A121)</f>
        <v/>
      </c>
      <c r="B136" s="128"/>
      <c r="C136" s="123"/>
      <c r="D136" s="150"/>
      <c r="E136" s="150"/>
      <c r="F136" s="148">
        <f t="shared" si="30"/>
        <v>0</v>
      </c>
      <c r="H136" s="150"/>
      <c r="I136" s="150"/>
      <c r="J136" s="148">
        <f>H136*I136</f>
        <v>0</v>
      </c>
      <c r="K136" s="184"/>
    </row>
    <row r="137" spans="1:11" x14ac:dyDescent="0.25">
      <c r="A137" s="127" t="str">
        <f>IF(A122="","",A122)</f>
        <v/>
      </c>
      <c r="B137" s="128"/>
      <c r="C137" s="123"/>
      <c r="D137" s="150"/>
      <c r="E137" s="150"/>
      <c r="F137" s="148">
        <f>D137*E137</f>
        <v>0</v>
      </c>
      <c r="H137" s="150"/>
      <c r="I137" s="150"/>
      <c r="J137" s="148">
        <f>H137*I137</f>
        <v>0</v>
      </c>
      <c r="K137" s="184"/>
    </row>
    <row r="138" spans="1:11" x14ac:dyDescent="0.25">
      <c r="A138" s="122" t="s">
        <v>61</v>
      </c>
      <c r="B138" s="143"/>
      <c r="C138" s="131"/>
      <c r="D138" s="144"/>
      <c r="E138" s="127"/>
      <c r="F138" s="144">
        <f>SUM(F127:F137)</f>
        <v>3738299.1768813133</v>
      </c>
      <c r="G138" s="127"/>
      <c r="H138" s="127"/>
      <c r="I138" s="127"/>
      <c r="J138" s="144">
        <f>SUM(J127:J137)</f>
        <v>3018835.5416811085</v>
      </c>
      <c r="K138" s="148">
        <f>F138+J138</f>
        <v>6757134.7185624223</v>
      </c>
    </row>
    <row r="139" spans="1:11" ht="6.75" customHeight="1" x14ac:dyDescent="0.25"/>
    <row r="140" spans="1:11" ht="15.75" customHeight="1" x14ac:dyDescent="0.25">
      <c r="A140" s="118" t="s">
        <v>71</v>
      </c>
      <c r="B140" s="189"/>
      <c r="C140" s="119"/>
      <c r="D140" s="191"/>
      <c r="E140" s="190"/>
      <c r="F140" s="184"/>
      <c r="G140" s="8"/>
      <c r="H140" s="193"/>
      <c r="I140" s="190"/>
      <c r="J140" s="184" t="s">
        <v>58</v>
      </c>
      <c r="K140" s="189" t="s">
        <v>53</v>
      </c>
    </row>
    <row r="141" spans="1:11" x14ac:dyDescent="0.25">
      <c r="A141" s="122" t="s">
        <v>63</v>
      </c>
      <c r="B141" s="195"/>
      <c r="C141" s="119"/>
      <c r="D141" s="192"/>
      <c r="E141" s="196"/>
      <c r="F141" s="184"/>
      <c r="G141" s="8"/>
      <c r="H141" s="197"/>
      <c r="I141" s="196"/>
      <c r="J141" s="184"/>
      <c r="K141" s="195"/>
    </row>
    <row r="142" spans="1:11" x14ac:dyDescent="0.25">
      <c r="A142" s="127" t="str">
        <f t="shared" ref="A142:A147" si="35">IF(A127="","",A127)</f>
        <v>Residential</v>
      </c>
      <c r="B142" s="128"/>
      <c r="C142" s="123"/>
      <c r="D142" s="146">
        <v>1592051767.739253</v>
      </c>
      <c r="E142" s="147">
        <v>1.8E-3</v>
      </c>
      <c r="F142" s="148">
        <f>D142*E142</f>
        <v>2865693.1819306556</v>
      </c>
      <c r="H142" s="146">
        <v>19744455.084326256</v>
      </c>
      <c r="I142" s="147">
        <f>E142</f>
        <v>1.8E-3</v>
      </c>
      <c r="J142" s="148">
        <f>H142*I142</f>
        <v>35540.019151787259</v>
      </c>
      <c r="K142" s="184"/>
    </row>
    <row r="143" spans="1:11" x14ac:dyDescent="0.25">
      <c r="A143" s="127" t="str">
        <f t="shared" si="35"/>
        <v>Residential Seasonal</v>
      </c>
      <c r="B143" s="128"/>
      <c r="C143" s="123"/>
      <c r="D143" s="146">
        <v>14683255.061618144</v>
      </c>
      <c r="E143" s="147">
        <v>2.0999999999999999E-3</v>
      </c>
      <c r="F143" s="148">
        <f t="shared" ref="F143:F152" si="36">D143*E143</f>
        <v>30834.835629398101</v>
      </c>
      <c r="H143" s="146">
        <v>182100.15272776457</v>
      </c>
      <c r="I143" s="147">
        <f t="shared" ref="I143:I150" si="37">E143</f>
        <v>2.0999999999999999E-3</v>
      </c>
      <c r="J143" s="148">
        <f t="shared" ref="J143:J150" si="38">H143*I143</f>
        <v>382.41032072830558</v>
      </c>
      <c r="K143" s="184"/>
    </row>
    <row r="144" spans="1:11" x14ac:dyDescent="0.25">
      <c r="A144" s="127" t="str">
        <f t="shared" si="35"/>
        <v>GS&lt;50</v>
      </c>
      <c r="B144" s="128"/>
      <c r="C144" s="123"/>
      <c r="D144" s="146">
        <v>308265711.33835626</v>
      </c>
      <c r="E144" s="147">
        <v>1.6000000000000001E-3</v>
      </c>
      <c r="F144" s="148">
        <f t="shared" si="36"/>
        <v>493225.13814137003</v>
      </c>
      <c r="H144" s="146">
        <v>48112522.646868363</v>
      </c>
      <c r="I144" s="147">
        <f t="shared" si="37"/>
        <v>1.6000000000000001E-3</v>
      </c>
      <c r="J144" s="148">
        <f t="shared" si="38"/>
        <v>76980.036234989384</v>
      </c>
      <c r="K144" s="184"/>
    </row>
    <row r="145" spans="1:12" x14ac:dyDescent="0.25">
      <c r="A145" s="127" t="str">
        <f t="shared" si="35"/>
        <v>GS 50 - 2,999</v>
      </c>
      <c r="B145" s="128"/>
      <c r="C145" s="123"/>
      <c r="D145" s="146">
        <v>1155927.5696126574</v>
      </c>
      <c r="E145" s="147">
        <v>0.68630000000000002</v>
      </c>
      <c r="F145" s="148">
        <f t="shared" si="36"/>
        <v>793313.0910251668</v>
      </c>
      <c r="H145" s="146">
        <v>2227648.2532407218</v>
      </c>
      <c r="I145" s="147">
        <f t="shared" si="37"/>
        <v>0.68630000000000002</v>
      </c>
      <c r="J145" s="148">
        <f t="shared" si="38"/>
        <v>1528834.9961991075</v>
      </c>
      <c r="K145" s="184"/>
    </row>
    <row r="146" spans="1:12" x14ac:dyDescent="0.25">
      <c r="A146" s="127" t="str">
        <f t="shared" si="35"/>
        <v>GS 3,000 - 4,999</v>
      </c>
      <c r="B146" s="128"/>
      <c r="C146" s="123"/>
      <c r="D146" s="146">
        <v>20545.917504796944</v>
      </c>
      <c r="E146" s="147">
        <v>0.4874</v>
      </c>
      <c r="F146" s="148">
        <f t="shared" si="36"/>
        <v>10014.080191838031</v>
      </c>
      <c r="H146" s="146">
        <v>754070.56452903384</v>
      </c>
      <c r="I146" s="147">
        <f t="shared" si="37"/>
        <v>0.4874</v>
      </c>
      <c r="J146" s="148">
        <f t="shared" si="38"/>
        <v>367533.99315145111</v>
      </c>
      <c r="K146" s="184"/>
    </row>
    <row r="147" spans="1:12" x14ac:dyDescent="0.25">
      <c r="A147" s="127" t="str">
        <f t="shared" si="35"/>
        <v>Large Use</v>
      </c>
      <c r="B147" s="128"/>
      <c r="C147" s="123"/>
      <c r="D147" s="146">
        <v>0</v>
      </c>
      <c r="E147" s="147">
        <v>0.75309999999999999</v>
      </c>
      <c r="F147" s="148">
        <f t="shared" si="36"/>
        <v>0</v>
      </c>
      <c r="H147" s="146">
        <v>1121410.858591649</v>
      </c>
      <c r="I147" s="147">
        <f t="shared" si="37"/>
        <v>0.75309999999999999</v>
      </c>
      <c r="J147" s="148">
        <f t="shared" si="38"/>
        <v>844534.51760537084</v>
      </c>
      <c r="K147" s="184"/>
    </row>
    <row r="148" spans="1:12" x14ac:dyDescent="0.25">
      <c r="A148" s="127" t="str">
        <f>IF(A133="","",A133)</f>
        <v>Street Light</v>
      </c>
      <c r="B148" s="128"/>
      <c r="C148" s="156"/>
      <c r="D148" s="146">
        <v>0</v>
      </c>
      <c r="E148" s="147">
        <v>0.47210000000000002</v>
      </c>
      <c r="F148" s="148">
        <f t="shared" si="36"/>
        <v>0</v>
      </c>
      <c r="H148" s="146">
        <v>45774.320408562664</v>
      </c>
      <c r="I148" s="147">
        <f t="shared" si="37"/>
        <v>0.47210000000000002</v>
      </c>
      <c r="J148" s="148">
        <f t="shared" si="38"/>
        <v>21610.056664882435</v>
      </c>
      <c r="K148" s="184"/>
    </row>
    <row r="149" spans="1:12" x14ac:dyDescent="0.25">
      <c r="A149" s="127" t="str">
        <f>IF(A134="","",A134)</f>
        <v>Sentinel Light</v>
      </c>
      <c r="B149" s="128"/>
      <c r="C149" s="156"/>
      <c r="D149" s="146">
        <v>616.25346374616186</v>
      </c>
      <c r="E149" s="147">
        <v>0.44700000000000001</v>
      </c>
      <c r="F149" s="148">
        <f t="shared" si="36"/>
        <v>275.46529829453436</v>
      </c>
      <c r="H149" s="146">
        <v>0</v>
      </c>
      <c r="I149" s="147">
        <f t="shared" si="37"/>
        <v>0.44700000000000001</v>
      </c>
      <c r="J149" s="148">
        <f t="shared" si="38"/>
        <v>0</v>
      </c>
      <c r="K149" s="184"/>
    </row>
    <row r="150" spans="1:12" x14ac:dyDescent="0.25">
      <c r="A150" s="127" t="str">
        <f>IF(A135="","",A135)</f>
        <v>USL</v>
      </c>
      <c r="B150" s="128"/>
      <c r="C150" s="156"/>
      <c r="D150" s="146">
        <v>6360889.1476759082</v>
      </c>
      <c r="E150" s="147">
        <v>1.6999999999999999E-3</v>
      </c>
      <c r="F150" s="148">
        <f t="shared" si="36"/>
        <v>10813.511551049043</v>
      </c>
      <c r="H150" s="146">
        <v>4036.6536765435867</v>
      </c>
      <c r="I150" s="147">
        <f t="shared" si="37"/>
        <v>1.6999999999999999E-3</v>
      </c>
      <c r="J150" s="148">
        <f t="shared" si="38"/>
        <v>6.8623112501240966</v>
      </c>
      <c r="K150" s="184"/>
    </row>
    <row r="151" spans="1:12" ht="14.25" customHeight="1" x14ac:dyDescent="0.25">
      <c r="A151" s="127" t="str">
        <f>IF(A136="","",A136)</f>
        <v/>
      </c>
      <c r="B151" s="128"/>
      <c r="C151" s="123"/>
      <c r="D151" s="150"/>
      <c r="E151" s="150"/>
      <c r="F151" s="148">
        <f>D151*E151</f>
        <v>0</v>
      </c>
      <c r="H151" s="150"/>
      <c r="I151" s="150"/>
      <c r="J151" s="148">
        <f>H151*I151</f>
        <v>0</v>
      </c>
      <c r="K151" s="184"/>
    </row>
    <row r="152" spans="1:12" x14ac:dyDescent="0.25">
      <c r="A152" s="127" t="str">
        <f>IF(A137="","",A137)</f>
        <v/>
      </c>
      <c r="B152" s="128"/>
      <c r="C152" s="123"/>
      <c r="D152" s="150"/>
      <c r="E152" s="150"/>
      <c r="F152" s="148">
        <f t="shared" si="36"/>
        <v>0</v>
      </c>
      <c r="H152" s="150"/>
      <c r="I152" s="150"/>
      <c r="J152" s="148">
        <f>H152*I152</f>
        <v>0</v>
      </c>
      <c r="K152" s="184"/>
    </row>
    <row r="153" spans="1:12" x14ac:dyDescent="0.25">
      <c r="A153" s="122" t="s">
        <v>61</v>
      </c>
      <c r="B153" s="143"/>
      <c r="C153" s="123"/>
      <c r="D153" s="141"/>
      <c r="E153" s="127"/>
      <c r="F153" s="148">
        <f>SUM(F142:F152)</f>
        <v>4204169.3037677715</v>
      </c>
      <c r="G153" s="127"/>
      <c r="H153" s="127"/>
      <c r="I153" s="127"/>
      <c r="J153" s="148">
        <f>SUM(J142:J152)</f>
        <v>2875422.8916395665</v>
      </c>
      <c r="K153" s="135">
        <f>F153+J153</f>
        <v>7079592.1954073384</v>
      </c>
    </row>
    <row r="155" spans="1:12" x14ac:dyDescent="0.25">
      <c r="A155" s="118" t="s">
        <v>72</v>
      </c>
      <c r="B155" s="190"/>
      <c r="C155" s="119"/>
      <c r="D155" s="191"/>
      <c r="E155" s="190"/>
      <c r="F155" s="184"/>
      <c r="G155" s="8"/>
      <c r="H155" s="189"/>
      <c r="I155" s="190"/>
      <c r="J155" s="184" t="s">
        <v>58</v>
      </c>
      <c r="K155" s="191" t="s">
        <v>53</v>
      </c>
    </row>
    <row r="156" spans="1:12" x14ac:dyDescent="0.25">
      <c r="A156" s="122" t="s">
        <v>63</v>
      </c>
      <c r="B156" s="196"/>
      <c r="C156" s="119"/>
      <c r="D156" s="192"/>
      <c r="E156" s="196"/>
      <c r="F156" s="184"/>
      <c r="G156" s="8"/>
      <c r="H156" s="195"/>
      <c r="I156" s="196"/>
      <c r="J156" s="184"/>
      <c r="K156" s="182"/>
      <c r="L156" s="131"/>
    </row>
    <row r="157" spans="1:12" x14ac:dyDescent="0.25">
      <c r="A157" s="157" t="str">
        <f>A142</f>
        <v>Residential</v>
      </c>
      <c r="B157" s="143"/>
      <c r="C157" s="123"/>
      <c r="D157" s="146">
        <v>177961.77906487815</v>
      </c>
      <c r="E157" s="158">
        <v>0.43</v>
      </c>
      <c r="F157" s="148">
        <f>D157*E157*12</f>
        <v>918282.7799747712</v>
      </c>
      <c r="H157" s="150">
        <v>2207.0628761418293</v>
      </c>
      <c r="I157" s="159">
        <f>E157</f>
        <v>0.43</v>
      </c>
      <c r="J157" s="148">
        <f>H157*I157*12</f>
        <v>11388.444440891839</v>
      </c>
      <c r="K157" s="182"/>
      <c r="L157" s="131"/>
    </row>
    <row r="158" spans="1:12" x14ac:dyDescent="0.25">
      <c r="A158" s="157" t="str">
        <f t="shared" ref="A158:A159" si="39">A143</f>
        <v>Residential Seasonal</v>
      </c>
      <c r="B158" s="143"/>
      <c r="C158" s="123"/>
      <c r="D158" s="146">
        <v>1513.5969551958658</v>
      </c>
      <c r="E158" s="158">
        <f>E157</f>
        <v>0.43</v>
      </c>
      <c r="F158" s="148">
        <f t="shared" ref="F158:F164" si="40">D158*E158*12</f>
        <v>7810.1602888106681</v>
      </c>
      <c r="H158" s="150">
        <v>18.771466922884855</v>
      </c>
      <c r="I158" s="159">
        <f>E158</f>
        <v>0.43</v>
      </c>
      <c r="J158" s="148">
        <f t="shared" ref="J158:J163" si="41">H158*I158*12</f>
        <v>96.860769322085844</v>
      </c>
      <c r="K158" s="182"/>
      <c r="L158" s="131"/>
    </row>
    <row r="159" spans="1:12" x14ac:dyDescent="0.25">
      <c r="A159" s="157" t="str">
        <f t="shared" si="39"/>
        <v>GS&lt;50</v>
      </c>
      <c r="B159" s="143"/>
      <c r="C159" s="123"/>
      <c r="D159" s="146">
        <v>10957.91872886539</v>
      </c>
      <c r="E159" s="158">
        <f>E158</f>
        <v>0.43</v>
      </c>
      <c r="F159" s="148">
        <f t="shared" si="40"/>
        <v>56542.860640945415</v>
      </c>
      <c r="H159" s="150">
        <v>1710.255450455868</v>
      </c>
      <c r="I159" s="159">
        <f>E159</f>
        <v>0.43</v>
      </c>
      <c r="J159" s="148">
        <f t="shared" si="41"/>
        <v>8824.9181243522798</v>
      </c>
      <c r="K159" s="182"/>
      <c r="L159" s="131"/>
    </row>
    <row r="160" spans="1:12" x14ac:dyDescent="0.25">
      <c r="A160" s="160"/>
      <c r="B160" s="143"/>
      <c r="C160" s="123"/>
      <c r="D160" s="150"/>
      <c r="E160" s="150"/>
      <c r="F160" s="148">
        <f t="shared" si="40"/>
        <v>0</v>
      </c>
      <c r="H160" s="150"/>
      <c r="I160" s="150"/>
      <c r="J160" s="148">
        <f t="shared" si="41"/>
        <v>0</v>
      </c>
      <c r="K160" s="182"/>
      <c r="L160" s="131"/>
    </row>
    <row r="161" spans="1:12" x14ac:dyDescent="0.25">
      <c r="A161" s="160"/>
      <c r="B161" s="143"/>
      <c r="C161" s="123"/>
      <c r="D161" s="150"/>
      <c r="E161" s="150"/>
      <c r="F161" s="148">
        <f t="shared" si="40"/>
        <v>0</v>
      </c>
      <c r="H161" s="150"/>
      <c r="I161" s="150"/>
      <c r="J161" s="148">
        <f t="shared" si="41"/>
        <v>0</v>
      </c>
      <c r="K161" s="182"/>
      <c r="L161" s="131"/>
    </row>
    <row r="162" spans="1:12" x14ac:dyDescent="0.25">
      <c r="A162" s="160"/>
      <c r="B162" s="143"/>
      <c r="C162" s="123"/>
      <c r="D162" s="150"/>
      <c r="E162" s="150"/>
      <c r="F162" s="148">
        <f t="shared" si="40"/>
        <v>0</v>
      </c>
      <c r="H162" s="150"/>
      <c r="I162" s="150"/>
      <c r="J162" s="148">
        <f t="shared" si="41"/>
        <v>0</v>
      </c>
      <c r="K162" s="182"/>
      <c r="L162" s="131"/>
    </row>
    <row r="163" spans="1:12" x14ac:dyDescent="0.25">
      <c r="A163" s="160"/>
      <c r="B163" s="143"/>
      <c r="C163" s="123"/>
      <c r="D163" s="150"/>
      <c r="E163" s="150"/>
      <c r="F163" s="148">
        <f t="shared" si="40"/>
        <v>0</v>
      </c>
      <c r="H163" s="150"/>
      <c r="I163" s="150"/>
      <c r="J163" s="148">
        <f t="shared" si="41"/>
        <v>0</v>
      </c>
      <c r="K163" s="182"/>
      <c r="L163" s="131"/>
    </row>
    <row r="164" spans="1:12" x14ac:dyDescent="0.25">
      <c r="A164" s="160"/>
      <c r="B164" s="143"/>
      <c r="C164" s="123"/>
      <c r="D164" s="150"/>
      <c r="E164" s="150"/>
      <c r="F164" s="148">
        <f t="shared" si="40"/>
        <v>0</v>
      </c>
      <c r="H164" s="150"/>
      <c r="I164" s="150"/>
      <c r="J164" s="148">
        <f>H164*I164*12</f>
        <v>0</v>
      </c>
      <c r="K164" s="161"/>
      <c r="L164" s="131"/>
    </row>
    <row r="165" spans="1:12" x14ac:dyDescent="0.25">
      <c r="A165" s="122" t="s">
        <v>61</v>
      </c>
      <c r="B165" s="143"/>
      <c r="C165" s="123"/>
      <c r="D165" s="127"/>
      <c r="E165" s="127"/>
      <c r="F165" s="148">
        <f>SUM(F157:F164)</f>
        <v>982635.80090452719</v>
      </c>
      <c r="G165" s="127"/>
      <c r="H165" s="127"/>
      <c r="I165" s="127"/>
      <c r="J165" s="148">
        <f>SUM(J157:J164)</f>
        <v>20310.223334566203</v>
      </c>
      <c r="K165" s="148">
        <f>F165+J165</f>
        <v>1002946.0242390934</v>
      </c>
    </row>
    <row r="166" spans="1:12" x14ac:dyDescent="0.25">
      <c r="A166" s="127"/>
      <c r="B166" s="127"/>
      <c r="C166" s="123"/>
      <c r="D166" s="127"/>
      <c r="E166" s="127"/>
      <c r="F166" s="127"/>
      <c r="G166" s="127"/>
      <c r="H166" s="127"/>
      <c r="I166" s="127"/>
      <c r="J166" s="127"/>
    </row>
    <row r="167" spans="1:12" x14ac:dyDescent="0.25">
      <c r="A167" s="122" t="s">
        <v>73</v>
      </c>
      <c r="B167" s="127"/>
      <c r="C167" s="123"/>
      <c r="D167" s="127"/>
      <c r="E167" s="127"/>
      <c r="F167" s="148">
        <f>SUM(F24+F61+F78+F93+F138+F153+F165+F123)</f>
        <v>478251974.71178257</v>
      </c>
      <c r="G167" s="127"/>
      <c r="H167" s="127"/>
      <c r="I167" s="127"/>
      <c r="J167" s="148">
        <f>J24+J44+J61+J78+J93+J108+J123+J138+J153+J165</f>
        <v>202042760.70134604</v>
      </c>
      <c r="K167" s="135">
        <f>+F167+J167</f>
        <v>680294735.41312861</v>
      </c>
    </row>
    <row r="168" spans="1:12" ht="15.75" thickBot="1" x14ac:dyDescent="0.3">
      <c r="A168" s="122" t="s">
        <v>74</v>
      </c>
      <c r="B168" s="162">
        <v>0.23499999999999999</v>
      </c>
      <c r="C168" s="123"/>
      <c r="D168" s="150"/>
      <c r="E168" s="150"/>
      <c r="F168" s="163">
        <f>-F167*B168</f>
        <v>-112389214.0572689</v>
      </c>
      <c r="G168" s="127"/>
      <c r="H168" s="150"/>
      <c r="I168" s="150"/>
      <c r="J168" s="127">
        <v>0</v>
      </c>
      <c r="K168" s="135">
        <f>+F168+J168</f>
        <v>-112389214.0572689</v>
      </c>
    </row>
    <row r="169" spans="1:12" ht="15.75" thickBot="1" x14ac:dyDescent="0.3">
      <c r="A169" s="122" t="s">
        <v>38</v>
      </c>
      <c r="B169" s="164"/>
      <c r="C169" s="165"/>
      <c r="D169" s="122"/>
      <c r="E169" s="122"/>
      <c r="F169" s="166">
        <f>+F167+F168</f>
        <v>365862760.65451366</v>
      </c>
      <c r="G169" s="122"/>
      <c r="H169" s="122"/>
      <c r="I169" s="122"/>
      <c r="J169" s="166">
        <f>+J167+J168</f>
        <v>202042760.70134604</v>
      </c>
      <c r="K169" s="166">
        <f>+K167+K168</f>
        <v>567905521.35585976</v>
      </c>
    </row>
    <row r="170" spans="1:12" ht="15.75" thickTop="1" x14ac:dyDescent="0.25">
      <c r="A170" s="165"/>
      <c r="B170" s="167"/>
      <c r="C170" s="116"/>
      <c r="D170" s="116"/>
      <c r="E170" s="116"/>
      <c r="F170" s="168"/>
      <c r="G170" s="116"/>
      <c r="H170" s="116"/>
      <c r="I170" s="116"/>
      <c r="J170" s="168"/>
      <c r="K170" s="168"/>
    </row>
    <row r="171" spans="1:12" x14ac:dyDescent="0.25">
      <c r="A171" s="123" t="s">
        <v>75</v>
      </c>
    </row>
    <row r="172" spans="1:12" x14ac:dyDescent="0.25">
      <c r="A172" s="123" t="s">
        <v>76</v>
      </c>
    </row>
    <row r="173" spans="1:12" x14ac:dyDescent="0.25">
      <c r="A173" s="116"/>
    </row>
    <row r="174" spans="1:12" x14ac:dyDescent="0.25">
      <c r="D174" s="198" t="str">
        <f>D10 &amp; " - Cop"</f>
        <v>2031 Test Year - Cop</v>
      </c>
      <c r="E174" s="198"/>
    </row>
    <row r="175" spans="1:12" x14ac:dyDescent="0.25">
      <c r="B175" s="1" t="str">
        <f>LEFT(D175,4)</f>
        <v>4705</v>
      </c>
      <c r="D175" s="127" t="s">
        <v>77</v>
      </c>
      <c r="E175" s="169">
        <f>K24</f>
        <v>417362964.31761998</v>
      </c>
    </row>
    <row r="176" spans="1:12" x14ac:dyDescent="0.25">
      <c r="B176" s="1" t="str">
        <f t="shared" ref="B176:B181" si="42">LEFT(D176,4)</f>
        <v>4707</v>
      </c>
      <c r="D176" s="127" t="s">
        <v>78</v>
      </c>
      <c r="E176" s="136">
        <f>K44</f>
        <v>105895090.07761309</v>
      </c>
    </row>
    <row r="177" spans="2:5" x14ac:dyDescent="0.25">
      <c r="B177" s="1" t="str">
        <f t="shared" si="42"/>
        <v>4708</v>
      </c>
      <c r="D177" s="127" t="s">
        <v>79</v>
      </c>
      <c r="E177" s="136">
        <f>(K93+K108+K123+K138)</f>
        <v>30612588.068503544</v>
      </c>
    </row>
    <row r="178" spans="2:5" x14ac:dyDescent="0.25">
      <c r="B178" s="1" t="str">
        <f t="shared" si="42"/>
        <v>4714</v>
      </c>
      <c r="D178" s="127" t="s">
        <v>80</v>
      </c>
      <c r="E178" s="136">
        <f>K61</f>
        <v>69808562.768804416</v>
      </c>
    </row>
    <row r="179" spans="2:5" x14ac:dyDescent="0.25">
      <c r="B179" s="1" t="str">
        <f t="shared" si="42"/>
        <v>4716</v>
      </c>
      <c r="D179" s="127" t="s">
        <v>81</v>
      </c>
      <c r="E179" s="136">
        <f>K78</f>
        <v>48532991.960941173</v>
      </c>
    </row>
    <row r="180" spans="2:5" x14ac:dyDescent="0.25">
      <c r="B180" s="1" t="str">
        <f t="shared" si="42"/>
        <v>4750</v>
      </c>
      <c r="D180" s="127" t="s">
        <v>82</v>
      </c>
      <c r="E180" s="136">
        <f>K153</f>
        <v>7079592.1954073384</v>
      </c>
    </row>
    <row r="181" spans="2:5" x14ac:dyDescent="0.25">
      <c r="B181" s="1" t="str">
        <f t="shared" si="42"/>
        <v>4751</v>
      </c>
      <c r="D181" s="127" t="s">
        <v>83</v>
      </c>
      <c r="E181" s="136">
        <f>K165</f>
        <v>1002946.0242390934</v>
      </c>
    </row>
    <row r="182" spans="2:5" x14ac:dyDescent="0.25">
      <c r="D182" s="127" t="s">
        <v>84</v>
      </c>
      <c r="E182" s="136">
        <f>+K168</f>
        <v>-112389214.0572689</v>
      </c>
    </row>
    <row r="183" spans="2:5" x14ac:dyDescent="0.25">
      <c r="D183" s="122" t="s">
        <v>38</v>
      </c>
      <c r="E183" s="170">
        <f>SUM(E175:E182)</f>
        <v>567905521.35585976</v>
      </c>
    </row>
    <row r="184" spans="2:5" x14ac:dyDescent="0.25">
      <c r="E184" s="111">
        <f>+E183-K169</f>
        <v>0</v>
      </c>
    </row>
  </sheetData>
  <mergeCells count="90">
    <mergeCell ref="K157:K163"/>
    <mergeCell ref="D174:E174"/>
    <mergeCell ref="K142:K152"/>
    <mergeCell ref="B155:B156"/>
    <mergeCell ref="D155:D156"/>
    <mergeCell ref="E155:E156"/>
    <mergeCell ref="F155:F156"/>
    <mergeCell ref="H155:H156"/>
    <mergeCell ref="I155:I156"/>
    <mergeCell ref="J155:J156"/>
    <mergeCell ref="K155:K156"/>
    <mergeCell ref="K127:K137"/>
    <mergeCell ref="B140:B141"/>
    <mergeCell ref="D140:D141"/>
    <mergeCell ref="E140:E141"/>
    <mergeCell ref="F140:F141"/>
    <mergeCell ref="H140:H141"/>
    <mergeCell ref="I140:I141"/>
    <mergeCell ref="J140:J141"/>
    <mergeCell ref="K140:K141"/>
    <mergeCell ref="K112:K122"/>
    <mergeCell ref="B125:B126"/>
    <mergeCell ref="D125:D126"/>
    <mergeCell ref="E125:E126"/>
    <mergeCell ref="F125:F126"/>
    <mergeCell ref="H125:H126"/>
    <mergeCell ref="I125:I126"/>
    <mergeCell ref="J125:J126"/>
    <mergeCell ref="K125:K126"/>
    <mergeCell ref="K97:K107"/>
    <mergeCell ref="B110:B111"/>
    <mergeCell ref="D110:D111"/>
    <mergeCell ref="E110:E111"/>
    <mergeCell ref="F110:F111"/>
    <mergeCell ref="H110:H111"/>
    <mergeCell ref="I110:I111"/>
    <mergeCell ref="J110:J111"/>
    <mergeCell ref="K110:K111"/>
    <mergeCell ref="K82:K92"/>
    <mergeCell ref="B95:B96"/>
    <mergeCell ref="D95:D96"/>
    <mergeCell ref="E95:E96"/>
    <mergeCell ref="F95:F96"/>
    <mergeCell ref="H95:H96"/>
    <mergeCell ref="I95:I96"/>
    <mergeCell ref="J95:J96"/>
    <mergeCell ref="K95:K96"/>
    <mergeCell ref="K65:K77"/>
    <mergeCell ref="B80:B81"/>
    <mergeCell ref="D80:D81"/>
    <mergeCell ref="E80:E81"/>
    <mergeCell ref="F80:F81"/>
    <mergeCell ref="H80:H81"/>
    <mergeCell ref="I80:I81"/>
    <mergeCell ref="J80:J81"/>
    <mergeCell ref="K80:K81"/>
    <mergeCell ref="K48:K60"/>
    <mergeCell ref="B63:B64"/>
    <mergeCell ref="D63:D64"/>
    <mergeCell ref="E63:E64"/>
    <mergeCell ref="F63:F64"/>
    <mergeCell ref="H63:H64"/>
    <mergeCell ref="I63:I64"/>
    <mergeCell ref="J63:J64"/>
    <mergeCell ref="K63:K64"/>
    <mergeCell ref="K28:K43"/>
    <mergeCell ref="B46:B47"/>
    <mergeCell ref="D46:D47"/>
    <mergeCell ref="E46:E47"/>
    <mergeCell ref="F46:F47"/>
    <mergeCell ref="H46:H47"/>
    <mergeCell ref="I46:I47"/>
    <mergeCell ref="J46:J47"/>
    <mergeCell ref="K46:K47"/>
    <mergeCell ref="K12:K23"/>
    <mergeCell ref="I25:J25"/>
    <mergeCell ref="B26:B27"/>
    <mergeCell ref="D26:D27"/>
    <mergeCell ref="E26:E27"/>
    <mergeCell ref="F26:F27"/>
    <mergeCell ref="H26:H27"/>
    <mergeCell ref="I26:I27"/>
    <mergeCell ref="J26:J27"/>
    <mergeCell ref="K26:K27"/>
    <mergeCell ref="B11:B12"/>
    <mergeCell ref="A1:J1"/>
    <mergeCell ref="E9:F9"/>
    <mergeCell ref="I9:J9"/>
    <mergeCell ref="E10:F10"/>
    <mergeCell ref="I10:J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adPen xmlns="1ebb5cdf-5803-4e55-8f90-2858ffc370dd">
      <UserInfo>
        <DisplayName/>
        <AccountId xsi:nil="true"/>
        <AccountType/>
      </UserInfo>
    </LeadPen>
    <Strategic xmlns="1ebb5cdf-5803-4e55-8f90-2858ffc370dd">false</Strategic>
    <DRP_x0028_Elexicon_x0029_ xmlns="1ebb5cdf-5803-4e55-8f90-2858ffc370dd">
      <UserInfo>
        <DisplayName/>
        <AccountId xsi:nil="true"/>
        <AccountType/>
      </UserInfo>
    </DRP_x0028_Elexicon_x0029_>
    <Status xmlns="1ebb5cdf-5803-4e55-8f90-2858ffc370dd">Not Started</Status>
    <Witness xmlns="1ebb5cdf-5803-4e55-8f90-2858ffc370dd" xsi:nil="true"/>
    <lcf76f155ced4ddcb4097134ff3c332f xmlns="1ebb5cdf-5803-4e55-8f90-2858ffc370dd">
      <Terms xmlns="http://schemas.microsoft.com/office/infopath/2007/PartnerControls"/>
    </lcf76f155ced4ddcb4097134ff3c332f>
    <MovedtoToIntervenorFolder xmlns="1ebb5cdf-5803-4e55-8f90-2858ffc370dd">false</MovedtoToIntervenorFold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20" ma:contentTypeDescription="Create a new document." ma:contentTypeScope="" ma:versionID="b42dc9c6fe0c11b9cced4537e972f96b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93e45b9a295e43cd27049b96bff41f5d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ovedtoToIntervenor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ovedtoToIntervenorFolder" ma:index="26" nillable="true" ma:displayName="Moved to &quot;To Intervenor Folder&quot;" ma:default="0" ma:format="Dropdown" ma:internalName="MovedtoToIntervenorFold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FB0DAC-BC3C-4072-B185-F754092645A7}">
  <ds:schemaRefs>
    <ds:schemaRef ds:uri="http://purl.org/dc/elements/1.1/"/>
    <ds:schemaRef ds:uri="1ebb5cdf-5803-4e55-8f90-2858ffc370dd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B491A69-0277-47AF-AB1B-280E466C9A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2633B1-8CF1-44F8-9C71-1C2758CED4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App.2-ZA_Com. Exp. (2027)</vt:lpstr>
      <vt:lpstr>App.2-ZB_Cost of Power (2027)</vt:lpstr>
      <vt:lpstr>App.2-ZA_Com. Exp. (2028)</vt:lpstr>
      <vt:lpstr>App.2-ZB_Cost of Power (2028)</vt:lpstr>
      <vt:lpstr>App.2-ZA_Com. Exp. (2029)</vt:lpstr>
      <vt:lpstr>App.2-ZB_Cost of Power (2029)</vt:lpstr>
      <vt:lpstr>App.2-ZA_Com. Exp. (2030)</vt:lpstr>
      <vt:lpstr>App.2-ZB_Cost of Power (2030)</vt:lpstr>
      <vt:lpstr>App.2-ZA_Com. Exp. (2031)</vt:lpstr>
      <vt:lpstr>App.2-ZB_Cost of Power (2031)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Blair</dc:creator>
  <cp:lastModifiedBy>Susan Kim</cp:lastModifiedBy>
  <dcterms:created xsi:type="dcterms:W3CDTF">2025-07-03T14:11:39Z</dcterms:created>
  <dcterms:modified xsi:type="dcterms:W3CDTF">2026-09-18T21:38:21Z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