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193" documentId="8_{8203DB99-D9BB-4458-B545-314B1EE0B801}" xr6:coauthVersionLast="47" xr6:coauthVersionMax="47" xr10:uidLastSave="{AEA6B1B3-47E5-4137-B14D-F9C631909617}"/>
  <bookViews>
    <workbookView xWindow="-120" yWindow="-120" windowWidth="29040" windowHeight="15720" xr2:uid="{DF978D85-C938-4B37-B792-5A95C7E48303}"/>
  </bookViews>
  <sheets>
    <sheet name="App.2-JA OM&amp;A Summary Analys" sheetId="1" r:id="rId1"/>
    <sheet name="App.2-JB OM&amp;A Cost Drivers" sheetId="2" r:id="rId2"/>
    <sheet name="App2.-JC OM&amp;A Programs" sheetId="3" r:id="rId3"/>
  </sheets>
  <definedNames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4" i="1" l="1"/>
  <c r="AK22" i="1"/>
  <c r="AL22" i="1"/>
  <c r="AM22" i="1"/>
  <c r="AN22" i="1"/>
  <c r="AJ22" i="1"/>
  <c r="AR21" i="1"/>
  <c r="AP21" i="1"/>
  <c r="AK21" i="1"/>
  <c r="AL21" i="1"/>
  <c r="AM21" i="1"/>
  <c r="AN21" i="1"/>
  <c r="AU21" i="1"/>
  <c r="AV21" i="1"/>
  <c r="AW21" i="1"/>
  <c r="AJ21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I20" i="1"/>
  <c r="S17" i="2" l="1"/>
  <c r="S18" i="2"/>
  <c r="S20" i="2"/>
  <c r="S21" i="2"/>
  <c r="S24" i="2"/>
  <c r="S25" i="2"/>
  <c r="S26" i="2"/>
  <c r="S27" i="2"/>
  <c r="S28" i="2"/>
  <c r="S30" i="2"/>
  <c r="S31" i="2"/>
  <c r="S32" i="2"/>
  <c r="S33" i="2"/>
  <c r="S35" i="2"/>
  <c r="S36" i="2"/>
  <c r="S37" i="2"/>
  <c r="S38" i="2"/>
  <c r="S39" i="2"/>
  <c r="S40" i="2"/>
  <c r="S41" i="2"/>
  <c r="S43" i="2"/>
  <c r="S44" i="2"/>
  <c r="S15" i="2"/>
  <c r="A11" i="2"/>
  <c r="AU15" i="1"/>
  <c r="AV15" i="1"/>
  <c r="AW15" i="1"/>
  <c r="AU16" i="1"/>
  <c r="AV16" i="1"/>
  <c r="AW16" i="1"/>
  <c r="AU17" i="1"/>
  <c r="AV17" i="1"/>
  <c r="AW17" i="1"/>
  <c r="AT17" i="1"/>
  <c r="AT16" i="1"/>
  <c r="AR17" i="1"/>
  <c r="AR16" i="1"/>
  <c r="AR15" i="1"/>
  <c r="AT15" i="1"/>
  <c r="AU14" i="1"/>
  <c r="AV14" i="1"/>
  <c r="AW14" i="1"/>
  <c r="AT14" i="1"/>
  <c r="AU13" i="1"/>
  <c r="AV13" i="1"/>
  <c r="AW13" i="1"/>
  <c r="AR13" i="1"/>
  <c r="AT13" i="1"/>
  <c r="P12" i="1"/>
  <c r="A49" i="2"/>
  <c r="Y48" i="3" l="1"/>
  <c r="O44" i="2"/>
  <c r="Q44" i="2"/>
  <c r="R44" i="2"/>
  <c r="T44" i="2"/>
  <c r="W49" i="3"/>
  <c r="L43" i="2"/>
  <c r="O43" i="2"/>
  <c r="V43" i="2"/>
  <c r="P43" i="2"/>
  <c r="P44" i="2"/>
  <c r="Q43" i="2"/>
  <c r="O49" i="3"/>
  <c r="N49" i="3"/>
  <c r="M49" i="3"/>
  <c r="M44" i="2"/>
  <c r="N43" i="2"/>
  <c r="M43" i="2"/>
  <c r="L44" i="2"/>
  <c r="N44" i="2"/>
  <c r="T49" i="3"/>
  <c r="T43" i="2"/>
  <c r="S49" i="3"/>
  <c r="X48" i="3"/>
  <c r="R49" i="3"/>
  <c r="R43" i="2"/>
  <c r="X47" i="3"/>
  <c r="Q49" i="3"/>
  <c r="U43" i="2"/>
  <c r="P49" i="3"/>
  <c r="Y47" i="3" l="1"/>
  <c r="U44" i="2"/>
  <c r="V49" i="3"/>
  <c r="U49" i="3"/>
  <c r="V44" i="2"/>
  <c r="L49" i="3"/>
  <c r="X49" i="3"/>
  <c r="Y49" i="3" l="1"/>
  <c r="V41" i="2" l="1"/>
  <c r="M41" i="2"/>
  <c r="N41" i="2"/>
  <c r="O41" i="2"/>
  <c r="U41" i="2" l="1"/>
  <c r="P41" i="2"/>
  <c r="Y44" i="3"/>
  <c r="T41" i="2"/>
  <c r="L41" i="2"/>
  <c r="Q41" i="2"/>
  <c r="R41" i="2"/>
  <c r="X44" i="3"/>
  <c r="K18" i="3"/>
  <c r="J18" i="3"/>
  <c r="I18" i="3"/>
  <c r="H18" i="3"/>
  <c r="G18" i="3"/>
  <c r="F18" i="3"/>
  <c r="E18" i="3"/>
  <c r="D18" i="3"/>
  <c r="C18" i="3"/>
  <c r="B18" i="3"/>
  <c r="K22" i="3"/>
  <c r="J22" i="3"/>
  <c r="I22" i="3"/>
  <c r="H22" i="3"/>
  <c r="G22" i="3"/>
  <c r="F22" i="3"/>
  <c r="E22" i="3"/>
  <c r="D22" i="3"/>
  <c r="C22" i="3"/>
  <c r="B22" i="3"/>
  <c r="K36" i="3"/>
  <c r="J36" i="3"/>
  <c r="I36" i="3"/>
  <c r="H36" i="3"/>
  <c r="G36" i="3"/>
  <c r="F36" i="3"/>
  <c r="E36" i="3"/>
  <c r="D36" i="3"/>
  <c r="C36" i="3"/>
  <c r="B36" i="3"/>
  <c r="K45" i="3"/>
  <c r="J45" i="3"/>
  <c r="I45" i="3"/>
  <c r="H45" i="3"/>
  <c r="G45" i="3"/>
  <c r="F45" i="3"/>
  <c r="E45" i="3"/>
  <c r="D45" i="3"/>
  <c r="C45" i="3"/>
  <c r="B45" i="3"/>
  <c r="V45" i="3"/>
  <c r="U45" i="3"/>
  <c r="T45" i="3"/>
  <c r="P45" i="3"/>
  <c r="K13" i="3"/>
  <c r="J13" i="3"/>
  <c r="I13" i="3"/>
  <c r="H13" i="3"/>
  <c r="G13" i="3"/>
  <c r="F13" i="3"/>
  <c r="E13" i="3"/>
  <c r="D13" i="3"/>
  <c r="C13" i="3"/>
  <c r="B13" i="3"/>
  <c r="Q12" i="3"/>
  <c r="P12" i="3" s="1"/>
  <c r="O12" i="3" s="1"/>
  <c r="N12" i="3" s="1"/>
  <c r="M12" i="3" s="1"/>
  <c r="L12" i="3" s="1"/>
  <c r="K12" i="3" s="1"/>
  <c r="J12" i="3" s="1"/>
  <c r="I12" i="3" s="1"/>
  <c r="H12" i="3" s="1"/>
  <c r="G12" i="3" s="1"/>
  <c r="F12" i="3" s="1"/>
  <c r="E12" i="3" s="1"/>
  <c r="D12" i="3" s="1"/>
  <c r="C12" i="3" s="1"/>
  <c r="B12" i="3"/>
  <c r="B49" i="2"/>
  <c r="C15" i="2" s="1"/>
  <c r="C49" i="2" s="1"/>
  <c r="D15" i="2" s="1"/>
  <c r="D49" i="2" s="1"/>
  <c r="E15" i="2" s="1"/>
  <c r="E49" i="2" s="1"/>
  <c r="F15" i="2" s="1"/>
  <c r="F49" i="2" s="1"/>
  <c r="G15" i="2" s="1"/>
  <c r="G49" i="2" s="1"/>
  <c r="H15" i="2" s="1"/>
  <c r="H49" i="2" s="1"/>
  <c r="I15" i="2" s="1"/>
  <c r="I49" i="2" s="1"/>
  <c r="J15" i="2" s="1"/>
  <c r="J49" i="2" s="1"/>
  <c r="K15" i="2" s="1"/>
  <c r="K49" i="2" s="1"/>
  <c r="V13" i="2"/>
  <c r="U13" i="2"/>
  <c r="T13" i="2"/>
  <c r="S13" i="2"/>
  <c r="J13" i="2"/>
  <c r="I13" i="2"/>
  <c r="H13" i="2"/>
  <c r="G13" i="2"/>
  <c r="F13" i="2"/>
  <c r="E13" i="2"/>
  <c r="D13" i="2"/>
  <c r="C13" i="2"/>
  <c r="B13" i="2"/>
  <c r="P12" i="2"/>
  <c r="O12" i="2" s="1"/>
  <c r="N12" i="2" s="1"/>
  <c r="M12" i="2" s="1"/>
  <c r="L12" i="2" s="1"/>
  <c r="K12" i="2" s="1"/>
  <c r="J12" i="2" s="1"/>
  <c r="I12" i="2" s="1"/>
  <c r="H12" i="2" s="1"/>
  <c r="G12" i="2" s="1"/>
  <c r="F12" i="2" s="1"/>
  <c r="E12" i="2" s="1"/>
  <c r="D12" i="2" s="1"/>
  <c r="C12" i="2" s="1"/>
  <c r="B12" i="2" s="1"/>
  <c r="B34" i="1"/>
  <c r="B33" i="1"/>
  <c r="B32" i="1"/>
  <c r="B31" i="1"/>
  <c r="B30" i="1"/>
  <c r="V29" i="1"/>
  <c r="V38" i="1" s="1"/>
  <c r="U29" i="1"/>
  <c r="U38" i="1" s="1"/>
  <c r="T29" i="1"/>
  <c r="T38" i="1" s="1"/>
  <c r="S29" i="1"/>
  <c r="S38" i="1" s="1"/>
  <c r="R29" i="1"/>
  <c r="R38" i="1" s="1"/>
  <c r="Q29" i="1"/>
  <c r="Q38" i="1" s="1"/>
  <c r="B22" i="1"/>
  <c r="B16" i="1"/>
  <c r="AW12" i="1"/>
  <c r="AV12" i="1"/>
  <c r="AU12" i="1"/>
  <c r="AT12" i="1"/>
  <c r="AS12" i="1"/>
  <c r="P38" i="1"/>
  <c r="B29" i="1"/>
  <c r="AP11" i="1"/>
  <c r="P11" i="1"/>
  <c r="AN11" i="1" s="1"/>
  <c r="AM11" i="1"/>
  <c r="AJ11" i="1"/>
  <c r="AI11" i="1"/>
  <c r="AH11" i="1"/>
  <c r="AG11" i="1"/>
  <c r="AF11" i="1"/>
  <c r="AE11" i="1"/>
  <c r="AD11" i="1"/>
  <c r="AC11" i="1"/>
  <c r="AB11" i="1"/>
  <c r="AA11" i="1"/>
  <c r="Z11" i="1"/>
  <c r="W45" i="3" l="1"/>
  <c r="R45" i="3"/>
  <c r="O45" i="3"/>
  <c r="N45" i="3"/>
  <c r="M45" i="3"/>
  <c r="Q45" i="3"/>
  <c r="L45" i="3"/>
  <c r="T30" i="3"/>
  <c r="Y16" i="3"/>
  <c r="W30" i="3"/>
  <c r="S45" i="3"/>
  <c r="U30" i="3"/>
  <c r="V30" i="3"/>
  <c r="Y21" i="3"/>
  <c r="N27" i="2"/>
  <c r="L30" i="3"/>
  <c r="M30" i="3"/>
  <c r="N30" i="3"/>
  <c r="O30" i="3"/>
  <c r="P30" i="3"/>
  <c r="Q30" i="3"/>
  <c r="R30" i="3"/>
  <c r="S30" i="3"/>
  <c r="Y42" i="3"/>
  <c r="Y25" i="3"/>
  <c r="O39" i="2"/>
  <c r="P27" i="2"/>
  <c r="M36" i="2"/>
  <c r="Y29" i="3"/>
  <c r="Y41" i="3"/>
  <c r="Y24" i="3"/>
  <c r="Y40" i="3"/>
  <c r="V39" i="2"/>
  <c r="Y35" i="3"/>
  <c r="Y43" i="3"/>
  <c r="Y26" i="3"/>
  <c r="Q27" i="2"/>
  <c r="N36" i="2"/>
  <c r="Y32" i="3"/>
  <c r="Y28" i="3"/>
  <c r="Y20" i="3"/>
  <c r="Y38" i="3"/>
  <c r="Y39" i="3"/>
  <c r="M21" i="2"/>
  <c r="Y27" i="3"/>
  <c r="Y33" i="3"/>
  <c r="Y34" i="3"/>
  <c r="Y17" i="3"/>
  <c r="B25" i="1"/>
  <c r="P36" i="2"/>
  <c r="X38" i="3"/>
  <c r="Q36" i="2"/>
  <c r="X39" i="3"/>
  <c r="R36" i="2"/>
  <c r="U36" i="2"/>
  <c r="U20" i="2"/>
  <c r="Z12" i="1"/>
  <c r="AA12" i="1"/>
  <c r="AB12" i="1"/>
  <c r="AC12" i="1"/>
  <c r="AD12" i="1"/>
  <c r="AE12" i="1"/>
  <c r="AF12" i="1"/>
  <c r="AG12" i="1"/>
  <c r="AH12" i="1"/>
  <c r="O18" i="3"/>
  <c r="X41" i="3"/>
  <c r="Q18" i="3"/>
  <c r="L36" i="2"/>
  <c r="O36" i="2"/>
  <c r="T36" i="2"/>
  <c r="X42" i="3"/>
  <c r="V36" i="2"/>
  <c r="L25" i="2"/>
  <c r="M25" i="2"/>
  <c r="L40" i="2"/>
  <c r="N25" i="2"/>
  <c r="M40" i="2"/>
  <c r="N40" i="2"/>
  <c r="Q35" i="2"/>
  <c r="V37" i="2"/>
  <c r="V35" i="2"/>
  <c r="M27" i="2"/>
  <c r="P35" i="2"/>
  <c r="L21" i="2"/>
  <c r="V18" i="2"/>
  <c r="N30" i="2"/>
  <c r="P18" i="3"/>
  <c r="U37" i="2"/>
  <c r="R17" i="2"/>
  <c r="W18" i="3"/>
  <c r="V18" i="3"/>
  <c r="V30" i="2"/>
  <c r="O27" i="2"/>
  <c r="C50" i="3" a="1"/>
  <c r="K50" i="3" a="1"/>
  <c r="D50" i="3" a="1"/>
  <c r="E50" i="3" a="1"/>
  <c r="O28" i="2"/>
  <c r="M24" i="2"/>
  <c r="P28" i="2"/>
  <c r="N32" i="2"/>
  <c r="O32" i="2"/>
  <c r="L38" i="2"/>
  <c r="P38" i="2"/>
  <c r="M38" i="2"/>
  <c r="N17" i="2"/>
  <c r="N38" i="2"/>
  <c r="T17" i="2"/>
  <c r="O17" i="2"/>
  <c r="O38" i="2"/>
  <c r="R30" i="2"/>
  <c r="V21" i="2"/>
  <c r="Q38" i="2"/>
  <c r="O25" i="2"/>
  <c r="P25" i="2"/>
  <c r="O22" i="3"/>
  <c r="Q25" i="2"/>
  <c r="P22" i="3"/>
  <c r="M28" i="2"/>
  <c r="R35" i="2"/>
  <c r="L39" i="2"/>
  <c r="Q32" i="2"/>
  <c r="Q28" i="2"/>
  <c r="L30" i="2"/>
  <c r="P39" i="2"/>
  <c r="M30" i="2"/>
  <c r="Q24" i="2"/>
  <c r="M33" i="2"/>
  <c r="R20" i="2"/>
  <c r="N35" i="2"/>
  <c r="O18" i="2"/>
  <c r="N24" i="2"/>
  <c r="P18" i="2"/>
  <c r="O24" i="2"/>
  <c r="X28" i="3"/>
  <c r="P24" i="2"/>
  <c r="W22" i="3"/>
  <c r="R32" i="2"/>
  <c r="R38" i="2"/>
  <c r="L31" i="2"/>
  <c r="O40" i="2"/>
  <c r="X34" i="3"/>
  <c r="N33" i="2"/>
  <c r="L28" i="2"/>
  <c r="V40" i="2"/>
  <c r="T31" i="2"/>
  <c r="N20" i="2"/>
  <c r="M39" i="2"/>
  <c r="L18" i="2"/>
  <c r="O20" i="2"/>
  <c r="R33" i="2"/>
  <c r="M18" i="2"/>
  <c r="N18" i="2"/>
  <c r="T18" i="3"/>
  <c r="O35" i="2"/>
  <c r="N28" i="2"/>
  <c r="V33" i="2"/>
  <c r="P32" i="2"/>
  <c r="L24" i="2"/>
  <c r="X29" i="3"/>
  <c r="N22" i="3"/>
  <c r="B50" i="3" a="1"/>
  <c r="H50" i="3" a="1"/>
  <c r="T26" i="2"/>
  <c r="P21" i="2"/>
  <c r="I50" i="3" a="1"/>
  <c r="U26" i="2"/>
  <c r="J50" i="3" a="1"/>
  <c r="V26" i="2"/>
  <c r="R25" i="2"/>
  <c r="L33" i="2"/>
  <c r="S36" i="3"/>
  <c r="L27" i="2"/>
  <c r="U17" i="2"/>
  <c r="T18" i="2"/>
  <c r="Q39" i="2"/>
  <c r="N21" i="2"/>
  <c r="N39" i="2"/>
  <c r="T33" i="2"/>
  <c r="M18" i="3"/>
  <c r="R22" i="3"/>
  <c r="V25" i="2"/>
  <c r="U31" i="2"/>
  <c r="X26" i="3"/>
  <c r="L26" i="2"/>
  <c r="U38" i="2"/>
  <c r="Q40" i="2"/>
  <c r="V28" i="2"/>
  <c r="R24" i="2"/>
  <c r="X20" i="3"/>
  <c r="P26" i="2"/>
  <c r="O33" i="2"/>
  <c r="V17" i="2"/>
  <c r="N18" i="3"/>
  <c r="L22" i="3"/>
  <c r="P17" i="2"/>
  <c r="U35" i="2"/>
  <c r="U30" i="2"/>
  <c r="Q17" i="2"/>
  <c r="L36" i="3"/>
  <c r="M34" i="1"/>
  <c r="T34" i="1"/>
  <c r="U34" i="1"/>
  <c r="AN14" i="1"/>
  <c r="T30" i="1"/>
  <c r="T31" i="1"/>
  <c r="U31" i="1"/>
  <c r="U33" i="1"/>
  <c r="M32" i="1"/>
  <c r="R34" i="1"/>
  <c r="V34" i="1"/>
  <c r="R33" i="1"/>
  <c r="AL16" i="1"/>
  <c r="AJ15" i="1"/>
  <c r="U32" i="1"/>
  <c r="V32" i="1"/>
  <c r="V33" i="1"/>
  <c r="M33" i="1"/>
  <c r="AK16" i="1"/>
  <c r="U32" i="2"/>
  <c r="N31" i="2"/>
  <c r="L12" i="1"/>
  <c r="L29" i="1" s="1"/>
  <c r="L38" i="1" s="1"/>
  <c r="L17" i="2"/>
  <c r="J12" i="1"/>
  <c r="I12" i="1"/>
  <c r="K12" i="1"/>
  <c r="K29" i="1" s="1"/>
  <c r="K38" i="1" s="1"/>
  <c r="F12" i="1"/>
  <c r="AM12" i="1"/>
  <c r="L37" i="2"/>
  <c r="X21" i="3"/>
  <c r="C12" i="1"/>
  <c r="N37" i="2"/>
  <c r="T32" i="2"/>
  <c r="U36" i="3"/>
  <c r="L20" i="2"/>
  <c r="M20" i="2"/>
  <c r="M22" i="3"/>
  <c r="T21" i="2"/>
  <c r="D12" i="1"/>
  <c r="O37" i="2"/>
  <c r="T40" i="2"/>
  <c r="U21" i="2"/>
  <c r="P37" i="2"/>
  <c r="M31" i="2"/>
  <c r="V32" i="2"/>
  <c r="Q37" i="2"/>
  <c r="R37" i="2"/>
  <c r="X33" i="3"/>
  <c r="P36" i="3"/>
  <c r="O31" i="2"/>
  <c r="T37" i="2"/>
  <c r="L35" i="2"/>
  <c r="M35" i="2"/>
  <c r="P31" i="2"/>
  <c r="Q36" i="3"/>
  <c r="Q31" i="2"/>
  <c r="R31" i="2"/>
  <c r="Q21" i="2"/>
  <c r="V31" i="1"/>
  <c r="R21" i="2"/>
  <c r="X40" i="3"/>
  <c r="R39" i="2"/>
  <c r="O12" i="1"/>
  <c r="O29" i="1" s="1"/>
  <c r="O38" i="1" s="1"/>
  <c r="V38" i="2"/>
  <c r="AI12" i="1"/>
  <c r="AJ12" i="1"/>
  <c r="S22" i="3"/>
  <c r="R18" i="3"/>
  <c r="Q18" i="2"/>
  <c r="X17" i="3"/>
  <c r="R18" i="2"/>
  <c r="S18" i="3"/>
  <c r="H12" i="1"/>
  <c r="X25" i="3"/>
  <c r="X27" i="3"/>
  <c r="R26" i="2"/>
  <c r="V22" i="3"/>
  <c r="V20" i="2"/>
  <c r="U27" i="2"/>
  <c r="M26" i="2"/>
  <c r="V27" i="2"/>
  <c r="Q20" i="2"/>
  <c r="Q22" i="3"/>
  <c r="P20" i="2"/>
  <c r="T24" i="2"/>
  <c r="N26" i="2"/>
  <c r="G12" i="1"/>
  <c r="AQ12" i="1"/>
  <c r="AP12" i="1"/>
  <c r="L32" i="2"/>
  <c r="M32" i="2"/>
  <c r="U24" i="2"/>
  <c r="O26" i="2"/>
  <c r="Q30" i="2"/>
  <c r="R36" i="3"/>
  <c r="V24" i="2"/>
  <c r="Q26" i="2"/>
  <c r="U22" i="3"/>
  <c r="T20" i="2"/>
  <c r="E12" i="1"/>
  <c r="T38" i="2"/>
  <c r="P40" i="2"/>
  <c r="M37" i="2"/>
  <c r="X43" i="3"/>
  <c r="R40" i="2"/>
  <c r="G50" i="3" a="1"/>
  <c r="X24" i="3"/>
  <c r="U39" i="2"/>
  <c r="T39" i="2"/>
  <c r="M36" i="3"/>
  <c r="T33" i="1"/>
  <c r="N36" i="3"/>
  <c r="V31" i="2"/>
  <c r="P33" i="2"/>
  <c r="O36" i="3"/>
  <c r="Q33" i="2"/>
  <c r="R28" i="2"/>
  <c r="P30" i="2"/>
  <c r="O30" i="2"/>
  <c r="X35" i="3"/>
  <c r="R27" i="2"/>
  <c r="O21" i="2"/>
  <c r="R31" i="1"/>
  <c r="T35" i="2"/>
  <c r="AK11" i="1"/>
  <c r="AK12" i="1" s="1"/>
  <c r="M12" i="1"/>
  <c r="M29" i="1" s="1"/>
  <c r="M38" i="1" s="1"/>
  <c r="B35" i="1"/>
  <c r="T36" i="3"/>
  <c r="AL11" i="1"/>
  <c r="N12" i="1"/>
  <c r="N29" i="1" s="1"/>
  <c r="N38" i="1" s="1"/>
  <c r="X16" i="3"/>
  <c r="U33" i="2"/>
  <c r="T25" i="2"/>
  <c r="U25" i="2"/>
  <c r="U18" i="3"/>
  <c r="W36" i="3"/>
  <c r="T28" i="2"/>
  <c r="U28" i="2"/>
  <c r="T27" i="2"/>
  <c r="M17" i="2"/>
  <c r="U40" i="2"/>
  <c r="F50" i="3" a="1"/>
  <c r="L18" i="3"/>
  <c r="L50" i="3" s="1" a="1"/>
  <c r="X32" i="3"/>
  <c r="U18" i="2"/>
  <c r="T30" i="2"/>
  <c r="T22" i="3"/>
  <c r="V36" i="3"/>
  <c r="S31" i="1" l="1"/>
  <c r="AI15" i="1"/>
  <c r="K32" i="1"/>
  <c r="AJ14" i="1"/>
  <c r="L31" i="1"/>
  <c r="AJ16" i="1"/>
  <c r="L33" i="1"/>
  <c r="S50" i="3" a="1"/>
  <c r="R40" i="1" s="1"/>
  <c r="U50" i="3" a="1"/>
  <c r="W50" i="3" a="1"/>
  <c r="P50" i="3" a="1"/>
  <c r="O40" i="1" s="1"/>
  <c r="M50" i="3" a="1"/>
  <c r="L40" i="1" s="1"/>
  <c r="R50" i="3" a="1"/>
  <c r="Q40" i="1" s="1"/>
  <c r="O50" i="3" a="1"/>
  <c r="N40" i="1" s="1"/>
  <c r="N50" i="3" a="1"/>
  <c r="V50" i="3" a="1"/>
  <c r="T50" i="3" a="1"/>
  <c r="Q50" i="3" a="1"/>
  <c r="P40" i="1" s="1"/>
  <c r="X45" i="3"/>
  <c r="X30" i="3"/>
  <c r="L15" i="2"/>
  <c r="L49" i="2" s="1"/>
  <c r="Y22" i="3"/>
  <c r="Y36" i="3"/>
  <c r="Y45" i="3"/>
  <c r="Y18" i="3"/>
  <c r="AK17" i="1"/>
  <c r="M22" i="1"/>
  <c r="AK15" i="1"/>
  <c r="T16" i="1"/>
  <c r="T18" i="1" s="1"/>
  <c r="P31" i="1"/>
  <c r="N33" i="1"/>
  <c r="V22" i="1"/>
  <c r="V24" i="1" s="1"/>
  <c r="AM16" i="1"/>
  <c r="O33" i="1"/>
  <c r="L32" i="1"/>
  <c r="U22" i="1"/>
  <c r="S16" i="1"/>
  <c r="S30" i="1"/>
  <c r="I29" i="1"/>
  <c r="I38" i="1" s="1"/>
  <c r="AF16" i="1"/>
  <c r="AF13" i="1"/>
  <c r="AF17" i="1"/>
  <c r="AF14" i="1"/>
  <c r="AF15" i="1"/>
  <c r="J29" i="1"/>
  <c r="J38" i="1" s="1"/>
  <c r="AG17" i="1"/>
  <c r="AG14" i="1"/>
  <c r="AG16" i="1"/>
  <c r="AG15" i="1"/>
  <c r="AG13" i="1"/>
  <c r="U30" i="1"/>
  <c r="U35" i="1" s="1"/>
  <c r="U16" i="1"/>
  <c r="Q31" i="1"/>
  <c r="AP14" i="1"/>
  <c r="AQ14" i="1" s="1"/>
  <c r="AP17" i="1"/>
  <c r="Q34" i="1"/>
  <c r="AJ17" i="1"/>
  <c r="L34" i="1"/>
  <c r="AI17" i="1"/>
  <c r="K34" i="1"/>
  <c r="AI16" i="1"/>
  <c r="K33" i="1"/>
  <c r="K22" i="1"/>
  <c r="AD13" i="1"/>
  <c r="AD14" i="1"/>
  <c r="AD15" i="1"/>
  <c r="AD17" i="1"/>
  <c r="G29" i="1"/>
  <c r="G38" i="1" s="1"/>
  <c r="AD16" i="1"/>
  <c r="S34" i="1"/>
  <c r="AC13" i="1"/>
  <c r="AC15" i="1"/>
  <c r="AC17" i="1"/>
  <c r="F29" i="1"/>
  <c r="F38" i="1" s="1"/>
  <c r="AC14" i="1"/>
  <c r="AC16" i="1"/>
  <c r="X36" i="3"/>
  <c r="R30" i="1"/>
  <c r="R16" i="1"/>
  <c r="AN17" i="1"/>
  <c r="AO17" i="1" s="1"/>
  <c r="P34" i="1"/>
  <c r="V16" i="1"/>
  <c r="V30" i="1"/>
  <c r="V35" i="1" s="1"/>
  <c r="AP16" i="1"/>
  <c r="Q33" i="1"/>
  <c r="N16" i="1"/>
  <c r="N30" i="1"/>
  <c r="AL13" i="1"/>
  <c r="AJ13" i="1"/>
  <c r="L30" i="1"/>
  <c r="L16" i="1"/>
  <c r="P22" i="1"/>
  <c r="P32" i="1"/>
  <c r="AN15" i="1"/>
  <c r="AO15" i="1" s="1"/>
  <c r="Q32" i="1"/>
  <c r="AP15" i="1"/>
  <c r="Q22" i="1"/>
  <c r="AB13" i="1"/>
  <c r="AB17" i="1"/>
  <c r="E29" i="1"/>
  <c r="E38" i="1" s="1"/>
  <c r="AB14" i="1"/>
  <c r="AB16" i="1"/>
  <c r="AB15" i="1"/>
  <c r="O22" i="1"/>
  <c r="O32" i="1"/>
  <c r="AM15" i="1"/>
  <c r="AH17" i="1"/>
  <c r="AH14" i="1"/>
  <c r="AH16" i="1"/>
  <c r="AH15" i="1"/>
  <c r="AH13" i="1"/>
  <c r="Q30" i="1"/>
  <c r="AP13" i="1"/>
  <c r="Q16" i="1"/>
  <c r="AK14" i="1"/>
  <c r="M31" i="1"/>
  <c r="AN16" i="1"/>
  <c r="AO16" i="1" s="1"/>
  <c r="P33" i="1"/>
  <c r="N34" i="1"/>
  <c r="AL17" i="1"/>
  <c r="S33" i="1"/>
  <c r="T32" i="1"/>
  <c r="T35" i="1" s="1"/>
  <c r="T22" i="1"/>
  <c r="Z13" i="1"/>
  <c r="Z16" i="1"/>
  <c r="Z17" i="1"/>
  <c r="C29" i="1"/>
  <c r="C38" i="1" s="1"/>
  <c r="Z14" i="1"/>
  <c r="Z15" i="1"/>
  <c r="AI13" i="1"/>
  <c r="K30" i="1"/>
  <c r="K16" i="1"/>
  <c r="M16" i="1"/>
  <c r="M30" i="1"/>
  <c r="AK13" i="1"/>
  <c r="AL12" i="1"/>
  <c r="AE15" i="1"/>
  <c r="AE14" i="1"/>
  <c r="AE13" i="1"/>
  <c r="AE17" i="1"/>
  <c r="H29" i="1"/>
  <c r="H38" i="1" s="1"/>
  <c r="AE16" i="1"/>
  <c r="P30" i="1"/>
  <c r="P16" i="1"/>
  <c r="AN13" i="1"/>
  <c r="AO13" i="1" s="1"/>
  <c r="X18" i="3"/>
  <c r="AI14" i="1"/>
  <c r="K31" i="1"/>
  <c r="N32" i="1"/>
  <c r="AL15" i="1"/>
  <c r="N22" i="1"/>
  <c r="O30" i="1"/>
  <c r="O16" i="1"/>
  <c r="AM13" i="1"/>
  <c r="AA16" i="1"/>
  <c r="AA17" i="1"/>
  <c r="AA14" i="1"/>
  <c r="D29" i="1"/>
  <c r="D38" i="1" s="1"/>
  <c r="AA13" i="1"/>
  <c r="AA15" i="1"/>
  <c r="R32" i="1"/>
  <c r="R22" i="1"/>
  <c r="S32" i="1"/>
  <c r="S22" i="1"/>
  <c r="N31" i="1"/>
  <c r="AL14" i="1"/>
  <c r="X22" i="3"/>
  <c r="AM17" i="1"/>
  <c r="O34" i="1"/>
  <c r="L22" i="1"/>
  <c r="O31" i="1"/>
  <c r="AM14" i="1"/>
  <c r="AO14" i="1" s="1"/>
  <c r="X50" i="3" l="1" a="1"/>
  <c r="K40" i="1"/>
  <c r="T17" i="1"/>
  <c r="M15" i="2"/>
  <c r="M49" i="2" s="1"/>
  <c r="L39" i="1"/>
  <c r="AS14" i="1"/>
  <c r="V23" i="1"/>
  <c r="AQ13" i="1"/>
  <c r="AQ17" i="1"/>
  <c r="K35" i="1"/>
  <c r="N35" i="1"/>
  <c r="V36" i="1"/>
  <c r="AS16" i="1"/>
  <c r="U24" i="1"/>
  <c r="U25" i="1"/>
  <c r="AV18" i="1" s="1"/>
  <c r="M17" i="1"/>
  <c r="AQ15" i="1"/>
  <c r="O17" i="1"/>
  <c r="L35" i="1"/>
  <c r="F33" i="1"/>
  <c r="K23" i="1"/>
  <c r="F34" i="1"/>
  <c r="L25" i="1"/>
  <c r="L23" i="1"/>
  <c r="F22" i="1"/>
  <c r="F32" i="1"/>
  <c r="D31" i="1"/>
  <c r="AQ16" i="1"/>
  <c r="F30" i="1"/>
  <c r="F35" i="1" s="1"/>
  <c r="F16" i="1"/>
  <c r="U18" i="1"/>
  <c r="U17" i="1"/>
  <c r="D34" i="1"/>
  <c r="AS17" i="1"/>
  <c r="U36" i="1"/>
  <c r="D22" i="1"/>
  <c r="D32" i="1"/>
  <c r="H31" i="1"/>
  <c r="T23" i="1"/>
  <c r="T25" i="1"/>
  <c r="AU18" i="1" s="1"/>
  <c r="T24" i="1"/>
  <c r="N17" i="1"/>
  <c r="J30" i="1"/>
  <c r="J35" i="1" s="1"/>
  <c r="J16" i="1"/>
  <c r="R25" i="1"/>
  <c r="AR18" i="1" s="1"/>
  <c r="R24" i="1"/>
  <c r="R23" i="1"/>
  <c r="F31" i="1"/>
  <c r="H30" i="1"/>
  <c r="H35" i="1" s="1"/>
  <c r="H16" i="1"/>
  <c r="D30" i="1"/>
  <c r="D35" i="1" s="1"/>
  <c r="D16" i="1"/>
  <c r="H22" i="1"/>
  <c r="H32" i="1"/>
  <c r="D33" i="1"/>
  <c r="O25" i="1"/>
  <c r="O23" i="1"/>
  <c r="V18" i="1"/>
  <c r="V17" i="1"/>
  <c r="E22" i="1"/>
  <c r="E32" i="1"/>
  <c r="J32" i="1"/>
  <c r="J22" i="1"/>
  <c r="E33" i="1"/>
  <c r="J33" i="1"/>
  <c r="G33" i="1"/>
  <c r="O35" i="1"/>
  <c r="M35" i="1"/>
  <c r="E31" i="1"/>
  <c r="U23" i="1"/>
  <c r="J31" i="1"/>
  <c r="J34" i="1"/>
  <c r="G22" i="1"/>
  <c r="G32" i="1"/>
  <c r="I32" i="1"/>
  <c r="I22" i="1"/>
  <c r="I31" i="1"/>
  <c r="I34" i="1"/>
  <c r="E34" i="1"/>
  <c r="Q17" i="1"/>
  <c r="Q18" i="1"/>
  <c r="G31" i="1"/>
  <c r="Q23" i="1"/>
  <c r="Q24" i="1"/>
  <c r="Q25" i="1"/>
  <c r="I30" i="1"/>
  <c r="I35" i="1" s="1"/>
  <c r="I16" i="1"/>
  <c r="G34" i="1"/>
  <c r="E30" i="1"/>
  <c r="E35" i="1" s="1"/>
  <c r="E16" i="1"/>
  <c r="I33" i="1"/>
  <c r="H34" i="1"/>
  <c r="N25" i="1"/>
  <c r="N23" i="1"/>
  <c r="C34" i="1"/>
  <c r="M25" i="1"/>
  <c r="C33" i="1"/>
  <c r="P23" i="1"/>
  <c r="P25" i="1"/>
  <c r="R17" i="1"/>
  <c r="R18" i="1"/>
  <c r="S35" i="1"/>
  <c r="C30" i="1"/>
  <c r="C35" i="1" s="1"/>
  <c r="C36" i="1" s="1"/>
  <c r="C16" i="1"/>
  <c r="C17" i="1" s="1"/>
  <c r="L17" i="1"/>
  <c r="R35" i="1"/>
  <c r="S18" i="1"/>
  <c r="S17" i="1"/>
  <c r="G30" i="1"/>
  <c r="G35" i="1" s="1"/>
  <c r="G16" i="1"/>
  <c r="C22" i="1"/>
  <c r="C32" i="1"/>
  <c r="Q35" i="1"/>
  <c r="V25" i="1"/>
  <c r="AW18" i="1" s="1"/>
  <c r="K25" i="1"/>
  <c r="C31" i="1"/>
  <c r="M23" i="1"/>
  <c r="S25" i="1"/>
  <c r="AT18" i="1" s="1"/>
  <c r="S24" i="1"/>
  <c r="S23" i="1"/>
  <c r="P17" i="1"/>
  <c r="AS15" i="1"/>
  <c r="P35" i="1"/>
  <c r="H33" i="1"/>
  <c r="AS13" i="1"/>
  <c r="I17" i="1" l="1"/>
  <c r="F17" i="1"/>
  <c r="G36" i="1"/>
  <c r="D36" i="1"/>
  <c r="L36" i="1"/>
  <c r="K36" i="1"/>
  <c r="N15" i="2"/>
  <c r="N49" i="2" s="1"/>
  <c r="M39" i="1"/>
  <c r="F36" i="1"/>
  <c r="I36" i="1"/>
  <c r="V26" i="1"/>
  <c r="Q36" i="1"/>
  <c r="O36" i="1"/>
  <c r="R26" i="1"/>
  <c r="P36" i="1"/>
  <c r="S36" i="1"/>
  <c r="M36" i="1"/>
  <c r="J36" i="1"/>
  <c r="T26" i="1"/>
  <c r="S26" i="1"/>
  <c r="G23" i="1"/>
  <c r="G25" i="1"/>
  <c r="AD18" i="1" s="1"/>
  <c r="AD20" i="1" s="1"/>
  <c r="J17" i="1"/>
  <c r="AP18" i="1"/>
  <c r="Q26" i="1"/>
  <c r="C25" i="1"/>
  <c r="Z18" i="1" s="1"/>
  <c r="Z20" i="1" s="1"/>
  <c r="C23" i="1"/>
  <c r="N26" i="1"/>
  <c r="AL18" i="1"/>
  <c r="H23" i="1"/>
  <c r="H25" i="1"/>
  <c r="AE18" i="1" s="1"/>
  <c r="AE20" i="1" s="1"/>
  <c r="F23" i="1"/>
  <c r="F25" i="1"/>
  <c r="AC18" i="1" s="1"/>
  <c r="AC20" i="1" s="1"/>
  <c r="J25" i="1"/>
  <c r="AG18" i="1" s="1"/>
  <c r="AG20" i="1" s="1"/>
  <c r="J23" i="1"/>
  <c r="P26" i="1"/>
  <c r="AN18" i="1"/>
  <c r="AO18" i="1" s="1"/>
  <c r="E25" i="1"/>
  <c r="AB18" i="1" s="1"/>
  <c r="AB20" i="1" s="1"/>
  <c r="E23" i="1"/>
  <c r="AI18" i="1"/>
  <c r="M26" i="1"/>
  <c r="AK18" i="1"/>
  <c r="AM18" i="1"/>
  <c r="O26" i="1"/>
  <c r="G17" i="1"/>
  <c r="D17" i="1"/>
  <c r="N36" i="1"/>
  <c r="L26" i="1"/>
  <c r="AJ18" i="1"/>
  <c r="E17" i="1"/>
  <c r="H17" i="1"/>
  <c r="R36" i="1"/>
  <c r="E36" i="1"/>
  <c r="I23" i="1"/>
  <c r="I25" i="1"/>
  <c r="AF18" i="1" s="1"/>
  <c r="AF20" i="1" s="1"/>
  <c r="U26" i="1"/>
  <c r="H36" i="1"/>
  <c r="D23" i="1"/>
  <c r="D25" i="1"/>
  <c r="AA18" i="1" s="1"/>
  <c r="AA20" i="1" s="1"/>
  <c r="K17" i="1"/>
  <c r="T36" i="1"/>
  <c r="AF21" i="1" l="1"/>
  <c r="AF22" i="1" s="1"/>
  <c r="AA21" i="1"/>
  <c r="AA22" i="1" s="1"/>
  <c r="AE21" i="1"/>
  <c r="AE22" i="1" s="1"/>
  <c r="AC21" i="1"/>
  <c r="AC22" i="1" s="1"/>
  <c r="AB21" i="1"/>
  <c r="AB22" i="1" s="1"/>
  <c r="K26" i="1"/>
  <c r="AH18" i="1"/>
  <c r="AH20" i="1" s="1"/>
  <c r="AH21" i="1" s="1"/>
  <c r="AH22" i="1" s="1"/>
  <c r="AG21" i="1"/>
  <c r="AG22" i="1" s="1"/>
  <c r="AD21" i="1"/>
  <c r="AD22" i="1" s="1"/>
  <c r="O15" i="2"/>
  <c r="O49" i="2" s="1"/>
  <c r="N39" i="1"/>
  <c r="D26" i="1"/>
  <c r="E26" i="1"/>
  <c r="I26" i="1"/>
  <c r="J26" i="1"/>
  <c r="F26" i="1"/>
  <c r="H26" i="1"/>
  <c r="C26" i="1"/>
  <c r="AQ18" i="1"/>
  <c r="G26" i="1"/>
  <c r="AS18" i="1"/>
  <c r="AS25" i="1" l="1"/>
  <c r="AR23" i="1"/>
  <c r="P15" i="2"/>
  <c r="P49" i="2" s="1"/>
  <c r="O39" i="1"/>
  <c r="AR24" i="1" l="1"/>
  <c r="AP24" i="1"/>
  <c r="Q15" i="2"/>
  <c r="Q49" i="2" s="1"/>
  <c r="P39" i="1"/>
  <c r="R15" i="2" l="1"/>
  <c r="R49" i="2" s="1"/>
  <c r="Q39" i="1"/>
  <c r="S49" i="2" l="1"/>
  <c r="R39" i="1"/>
  <c r="T15" i="2" l="1"/>
  <c r="T49" i="2" s="1"/>
  <c r="S39" i="1"/>
  <c r="U15" i="2" l="1"/>
  <c r="U49" i="2" s="1"/>
  <c r="T39" i="1"/>
  <c r="V15" i="2" l="1"/>
  <c r="V49" i="2" s="1"/>
  <c r="V39" i="1" s="1"/>
  <c r="U39" i="1"/>
  <c r="M40" i="1" l="1"/>
  <c r="Y30" i="3"/>
  <c r="Y50" i="3" s="1" a="1"/>
  <c r="Y50" i="3" l="1"/>
  <c r="X50" i="3"/>
  <c r="W50" i="3"/>
  <c r="V40" i="1" s="1"/>
  <c r="V50" i="3"/>
  <c r="U40" i="1" s="1"/>
  <c r="U50" i="3"/>
  <c r="T40" i="1" s="1"/>
  <c r="T50" i="3"/>
  <c r="S40" i="1" s="1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<sst xmlns="http://schemas.openxmlformats.org/spreadsheetml/2006/main" count="239" uniqueCount="128">
  <si>
    <t>File Number:</t>
  </si>
  <si>
    <t>Last Rebasing Year</t>
  </si>
  <si>
    <t>Column</t>
  </si>
  <si>
    <t>Exhibit:</t>
  </si>
  <si>
    <t>B</t>
  </si>
  <si>
    <t>ae</t>
  </si>
  <si>
    <t>Tab:</t>
  </si>
  <si>
    <t>D</t>
  </si>
  <si>
    <t>ah</t>
  </si>
  <si>
    <t>Schedule:</t>
  </si>
  <si>
    <t>G</t>
  </si>
  <si>
    <t>ak</t>
  </si>
  <si>
    <t>Show RRR data</t>
  </si>
  <si>
    <t>Page:</t>
  </si>
  <si>
    <t>J</t>
  </si>
  <si>
    <t>an</t>
  </si>
  <si>
    <t>Yes</t>
  </si>
  <si>
    <t>M</t>
  </si>
  <si>
    <t>aq</t>
  </si>
  <si>
    <t>Date:</t>
  </si>
  <si>
    <t>P</t>
  </si>
  <si>
    <t>at</t>
  </si>
  <si>
    <t>S</t>
  </si>
  <si>
    <t>aw</t>
  </si>
  <si>
    <t>Appendix 2-JA</t>
  </si>
  <si>
    <t>V</t>
  </si>
  <si>
    <t>az</t>
  </si>
  <si>
    <t>2026 Bridge Year</t>
  </si>
  <si>
    <t>2027 Test Year</t>
  </si>
  <si>
    <t>2028 Forecast</t>
  </si>
  <si>
    <t>2029 Forecast</t>
  </si>
  <si>
    <t>2030 Forecast</t>
  </si>
  <si>
    <t>2031 Forecast</t>
  </si>
  <si>
    <t>Reporting Basis</t>
  </si>
  <si>
    <t>MIFRS</t>
  </si>
  <si>
    <t>Operations</t>
  </si>
  <si>
    <t xml:space="preserve">Maintenance </t>
  </si>
  <si>
    <t>Maintenance</t>
  </si>
  <si>
    <t xml:space="preserve">Billing and Collecting </t>
  </si>
  <si>
    <t>SubTotal</t>
  </si>
  <si>
    <t xml:space="preserve">Community Relations </t>
  </si>
  <si>
    <t>%Change (year over year)</t>
  </si>
  <si>
    <t xml:space="preserve">Administrative and General </t>
  </si>
  <si>
    <t>%Change (Test Year vs 
Last Rebasing Year - Actual)</t>
  </si>
  <si>
    <t xml:space="preserve">Total OM&amp;A Expenses </t>
  </si>
  <si>
    <t>Billing and Collecting</t>
  </si>
  <si>
    <r>
      <t>Adjustments for Total non-recoverable items</t>
    </r>
    <r>
      <rPr>
        <b/>
        <vertAlign val="superscript"/>
        <sz val="9"/>
        <color theme="1"/>
        <rFont val="Arial"/>
        <family val="2"/>
      </rPr>
      <t>3</t>
    </r>
  </si>
  <si>
    <t>Community Relations</t>
  </si>
  <si>
    <t xml:space="preserve">Total Recoverable OM&amp;A Expenses </t>
  </si>
  <si>
    <t>Administrative and General</t>
  </si>
  <si>
    <t xml:space="preserve">Variance from previous year </t>
  </si>
  <si>
    <t xml:space="preserve">Percent change (year over year) </t>
  </si>
  <si>
    <t xml:space="preserve">Percent Change:
Test year vs. Most Current Actual </t>
  </si>
  <si>
    <t>Simple average of % variance for all years</t>
  </si>
  <si>
    <t>Total</t>
  </si>
  <si>
    <t>Compound Annual Growth Rate for all years</t>
  </si>
  <si>
    <t>Integrity Check - 2-JB: Total OM&amp;A</t>
  </si>
  <si>
    <t>Integrity Check - 2-JC: Total OM&amp;A (if applicable)</t>
  </si>
  <si>
    <t>Note:</t>
  </si>
  <si>
    <t>Appendix 2-JB</t>
  </si>
  <si>
    <t>OM&amp;A</t>
  </si>
  <si>
    <t>Opening Balance²</t>
  </si>
  <si>
    <t>System Planning and Design</t>
  </si>
  <si>
    <t xml:space="preserve">   Asset Planning &amp; System Engineering</t>
  </si>
  <si>
    <t xml:space="preserve">   Design Services &amp; Connections</t>
  </si>
  <si>
    <t>System Operations</t>
  </si>
  <si>
    <t xml:space="preserve">   Control Centre</t>
  </si>
  <si>
    <t xml:space="preserve">   Operations</t>
  </si>
  <si>
    <t>Sustainment</t>
  </si>
  <si>
    <t xml:space="preserve">   Maintenance</t>
  </si>
  <si>
    <t xml:space="preserve">      Maintenance - Distribution System</t>
  </si>
  <si>
    <t xml:space="preserve">      Maintenance - Substations</t>
  </si>
  <si>
    <t xml:space="preserve">   Restoration (storms, trouble calls)</t>
  </si>
  <si>
    <t xml:space="preserve">   Vegetation Management</t>
  </si>
  <si>
    <t xml:space="preserve">   Locates</t>
  </si>
  <si>
    <t>Customer Care</t>
  </si>
  <si>
    <t xml:space="preserve">   Billing</t>
  </si>
  <si>
    <t xml:space="preserve">   Customer Experience/Contact Centre</t>
  </si>
  <si>
    <t xml:space="preserve">   Payments &amp; Collections</t>
  </si>
  <si>
    <t xml:space="preserve">   Metering &amp; Wholesale Settlements</t>
  </si>
  <si>
    <t>Common Corporate</t>
  </si>
  <si>
    <t xml:space="preserve">   Technology</t>
  </si>
  <si>
    <t xml:space="preserve">   People &amp; Culture</t>
  </si>
  <si>
    <t xml:space="preserve">   Finance</t>
  </si>
  <si>
    <t xml:space="preserve">   Procurement &amp; Facilities</t>
  </si>
  <si>
    <t xml:space="preserve">   Regulatory Affairs</t>
  </si>
  <si>
    <t xml:space="preserve">   Stakeholder Relations</t>
  </si>
  <si>
    <t xml:space="preserve">   Legal and Corporate Secretariat</t>
  </si>
  <si>
    <t xml:space="preserve">   Sustainment/Locates</t>
  </si>
  <si>
    <t xml:space="preserve">   Common Corporate/Regulatory</t>
  </si>
  <si>
    <t>Notes:</t>
  </si>
  <si>
    <t xml:space="preserve">To align with MIFRS, Elexicon has included both total costs and net costs. Net costs are the segment costs less the operational amounts of that segment which were tracked in a deferral or variance account (DVA). </t>
  </si>
  <si>
    <t>Utilities with less than 30,000 customers have a choice to complete 2-JC or 2-JD.</t>
  </si>
  <si>
    <t>Appendix 2-JC</t>
  </si>
  <si>
    <t>OM&amp;A Programs Table</t>
  </si>
  <si>
    <t>Programs</t>
  </si>
  <si>
    <t>Sub-Total</t>
  </si>
  <si>
    <t>EB-2025-0312</t>
  </si>
  <si>
    <t xml:space="preserve">1   To align with MIFRS, Elexicon has included both total costs and net costs. Net costs are the segment costs less the operational amounts of that segment which were tracked in a deferral or variance account (DVA). </t>
  </si>
  <si>
    <t>Detailed explanation for each program cost driver and associated amount is provided in Exhibit 4.</t>
  </si>
  <si>
    <t>1     USoA included in Operations: 5005, 5010, 5012, 5014, 5015, 5016, 5017, 5020, 5025, 5030, 5035, 5040, 5045, 5050, 5055, 5060, 5065, 5070, 5075, 5085, 5090, 5095, 5096</t>
  </si>
  <si>
    <t>2     USoA included in Maintenance: 5105, 5110, 5112, 5114, 5120, 5125, 5130, 5135, 5145, 5150, 5155, 5160, 5165, 5170, 5172, 5175, 5178, 5195</t>
  </si>
  <si>
    <t>3     USoA included in Billing and Collecting: 5305, 5310, 5315, 5320, 5325, 5330, 5335, 5340</t>
  </si>
  <si>
    <t>4     USoA included in Community Relations: 5405, 5410, 5415, 5420, 5425</t>
  </si>
  <si>
    <t>5     USoA included in Administrative and General: 5505, 5510, 5515, 5520, 5605, 5610, 5615, 5620, 5625, 5630, 5635, 5640, 5645, 5646, 5647,
 5650, 5655, 5660, 5665, 5670, 5672, 5675, 5680, 5681, 5685, 5695 &amp; 6205 (sub-account LEAP funding)</t>
  </si>
  <si>
    <t>6       Non recoverable items have been removed from OM&amp;A.</t>
  </si>
  <si>
    <t>N/A</t>
  </si>
  <si>
    <r>
      <t xml:space="preserve">Summary of </t>
    </r>
    <r>
      <rPr>
        <b/>
        <u/>
        <sz val="14"/>
        <color indexed="10"/>
        <rFont val="Arial"/>
        <family val="2"/>
      </rPr>
      <t>Recoverable</t>
    </r>
    <r>
      <rPr>
        <b/>
        <sz val="14"/>
        <rFont val="Arial"/>
        <family val="2"/>
      </rPr>
      <t xml:space="preserve"> OM&amp;A Expenses</t>
    </r>
    <r>
      <rPr>
        <b/>
        <vertAlign val="superscript"/>
        <sz val="14"/>
        <rFont val="Arial"/>
        <family val="2"/>
      </rPr>
      <t>6</t>
    </r>
  </si>
  <si>
    <r>
      <t>Operations</t>
    </r>
    <r>
      <rPr>
        <vertAlign val="superscript"/>
        <sz val="9"/>
        <rFont val="Arial"/>
        <family val="2"/>
      </rPr>
      <t>1</t>
    </r>
  </si>
  <si>
    <r>
      <t>Maintenance</t>
    </r>
    <r>
      <rPr>
        <vertAlign val="superscript"/>
        <sz val="9"/>
        <rFont val="Arial"/>
        <family val="2"/>
      </rPr>
      <t>2</t>
    </r>
  </si>
  <si>
    <r>
      <t>Billing and Collecting</t>
    </r>
    <r>
      <rPr>
        <vertAlign val="superscript"/>
        <sz val="9"/>
        <rFont val="Arial"/>
        <family val="2"/>
      </rPr>
      <t>3</t>
    </r>
  </si>
  <si>
    <r>
      <t>Community Relations</t>
    </r>
    <r>
      <rPr>
        <vertAlign val="superscript"/>
        <sz val="9"/>
        <rFont val="Arial"/>
        <family val="2"/>
      </rPr>
      <t>4</t>
    </r>
  </si>
  <si>
    <r>
      <t>Administrative and General</t>
    </r>
    <r>
      <rPr>
        <vertAlign val="superscript"/>
        <sz val="9"/>
        <rFont val="Arial"/>
        <family val="2"/>
      </rPr>
      <t>5</t>
    </r>
  </si>
  <si>
    <r>
      <t>DVA Adjustments</t>
    </r>
    <r>
      <rPr>
        <b/>
        <vertAlign val="superscript"/>
        <sz val="10"/>
        <rFont val="Arial"/>
        <family val="2"/>
      </rPr>
      <t>2</t>
    </r>
  </si>
  <si>
    <r>
      <t>DVA Adjustments</t>
    </r>
    <r>
      <rPr>
        <b/>
        <vertAlign val="superscript"/>
        <sz val="10"/>
        <rFont val="Arial"/>
        <family val="2"/>
      </rPr>
      <t>1</t>
    </r>
  </si>
  <si>
    <t>Settlement Proposal</t>
  </si>
  <si>
    <t xml:space="preserve"> Last Rebasing Year OEB Approved</t>
  </si>
  <si>
    <t/>
  </si>
  <si>
    <t>2025 Bridge Year (Actuals)</t>
  </si>
  <si>
    <t>2025 Bridge Year</t>
  </si>
  <si>
    <t>Variance 2025 Bridge vs. 2024 Actuals</t>
  </si>
  <si>
    <t>2020 Actuals</t>
  </si>
  <si>
    <t>2021 Actuals</t>
  </si>
  <si>
    <t>2022 Actuals</t>
  </si>
  <si>
    <t>2023 Actuals</t>
  </si>
  <si>
    <t>2024 Actuals</t>
  </si>
  <si>
    <t>Variance 
(Test Year vs. 2024 Actuals)</t>
  </si>
  <si>
    <t>Variance 
(Test Year vs. 2020 Actuals)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</si>
</sst>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0.0%"/>
    <numFmt numFmtId="167" formatCode="_-* #,##0_-;\-* #,##0_-;_-* &quot;-&quot;??_-;_-@_-"/>
    <numFmt numFmtId="168" formatCode="_-&quot;$&quot;* #,##0.0_-;\-&quot;$&quot;* #,##0.0_-;_-&quot;$&quot;* &quot;-&quot;??_-;_-@_-"/>
    <numFmt numFmtId="169" formatCode="_(&quot;$&quot;* #,##0_);_(&quot;$&quot;* \(\ #,##0\);_(&quot;$&quot;* &quot;-&quot;_);_(@_)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u/>
      <sz val="14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i/>
      <sz val="9"/>
      <color rgb="FFFF000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9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  <font>
      <sz val="10"/>
      <color theme="2"/>
      <name val="Arial"/>
      <family val="2"/>
    </font>
    <font>
      <b/>
      <i/>
      <sz val="10"/>
      <name val="Arial"/>
      <family val="2"/>
    </font>
    <font>
      <b/>
      <sz val="12"/>
      <name val="Aharoni"/>
      <charset val="177"/>
    </font>
    <font>
      <sz val="10"/>
      <color theme="1"/>
      <name val="Arial"/>
      <family val="2"/>
    </font>
    <font>
      <b/>
      <vertAlign val="superscript"/>
      <sz val="14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  <xf numFmtId="0" fontId="24" fillId="0" borderId="0"/>
  </cellStyleXfs>
  <cellXfs count="19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 vertical="top"/>
    </xf>
    <xf numFmtId="0" fontId="7" fillId="0" borderId="0" xfId="4" applyFont="1"/>
    <xf numFmtId="0" fontId="8" fillId="0" borderId="0" xfId="0" applyFont="1"/>
    <xf numFmtId="165" fontId="0" fillId="0" borderId="0" xfId="0" applyNumberForma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2" fillId="0" borderId="4" xfId="4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5" fillId="0" borderId="7" xfId="4" applyFont="1" applyBorder="1" applyAlignment="1">
      <alignment vertical="center" wrapText="1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6" fillId="0" borderId="11" xfId="5" applyFont="1" applyBorder="1" applyAlignment="1">
      <alignment vertical="center" wrapText="1"/>
    </xf>
    <xf numFmtId="165" fontId="16" fillId="0" borderId="12" xfId="5" applyNumberFormat="1" applyFont="1" applyBorder="1" applyAlignment="1">
      <alignment vertical="center" wrapText="1"/>
    </xf>
    <xf numFmtId="165" fontId="16" fillId="0" borderId="13" xfId="5" applyNumberFormat="1" applyFont="1" applyBorder="1" applyAlignment="1">
      <alignment vertical="center" wrapText="1"/>
    </xf>
    <xf numFmtId="0" fontId="12" fillId="0" borderId="14" xfId="4" applyFont="1" applyBorder="1" applyAlignment="1">
      <alignment vertical="center" wrapText="1"/>
    </xf>
    <xf numFmtId="165" fontId="12" fillId="3" borderId="2" xfId="2" applyNumberFormat="1" applyFont="1" applyFill="1" applyBorder="1" applyAlignment="1" applyProtection="1">
      <alignment vertical="center" wrapText="1"/>
      <protection locked="0"/>
    </xf>
    <xf numFmtId="165" fontId="12" fillId="4" borderId="2" xfId="2" applyNumberFormat="1" applyFont="1" applyFill="1" applyBorder="1" applyAlignment="1" applyProtection="1">
      <alignment vertical="center" wrapText="1"/>
    </xf>
    <xf numFmtId="3" fontId="12" fillId="0" borderId="0" xfId="4" applyNumberFormat="1" applyFont="1" applyAlignment="1">
      <alignment vertical="center" wrapText="1"/>
    </xf>
    <xf numFmtId="0" fontId="16" fillId="0" borderId="16" xfId="5" applyFont="1" applyBorder="1" applyAlignment="1">
      <alignment vertical="center" wrapText="1"/>
    </xf>
    <xf numFmtId="165" fontId="16" fillId="0" borderId="17" xfId="5" applyNumberFormat="1" applyFont="1" applyBorder="1" applyAlignment="1">
      <alignment vertical="center" wrapText="1"/>
    </xf>
    <xf numFmtId="0" fontId="12" fillId="0" borderId="16" xfId="4" applyFont="1" applyBorder="1" applyAlignment="1">
      <alignment vertical="center" wrapText="1"/>
    </xf>
    <xf numFmtId="0" fontId="13" fillId="0" borderId="16" xfId="4" applyFont="1" applyBorder="1" applyAlignment="1">
      <alignment vertical="center" wrapText="1"/>
    </xf>
    <xf numFmtId="165" fontId="13" fillId="0" borderId="2" xfId="2" applyNumberFormat="1" applyFont="1" applyBorder="1" applyAlignment="1" applyProtection="1">
      <alignment vertical="center" wrapText="1"/>
    </xf>
    <xf numFmtId="165" fontId="13" fillId="0" borderId="15" xfId="2" applyNumberFormat="1" applyFont="1" applyBorder="1" applyAlignment="1" applyProtection="1">
      <alignment vertical="center" wrapText="1"/>
    </xf>
    <xf numFmtId="3" fontId="13" fillId="0" borderId="0" xfId="1" applyNumberFormat="1" applyFont="1" applyFill="1" applyBorder="1" applyAlignment="1" applyProtection="1">
      <alignment vertical="center" wrapText="1"/>
    </xf>
    <xf numFmtId="165" fontId="12" fillId="0" borderId="2" xfId="2" applyNumberFormat="1" applyFont="1" applyFill="1" applyBorder="1" applyAlignment="1" applyProtection="1">
      <alignment vertical="center" wrapText="1"/>
      <protection locked="0"/>
    </xf>
    <xf numFmtId="166" fontId="12" fillId="0" borderId="2" xfId="3" applyNumberFormat="1" applyFont="1" applyBorder="1" applyAlignment="1" applyProtection="1">
      <alignment vertical="center" wrapText="1"/>
    </xf>
    <xf numFmtId="166" fontId="12" fillId="0" borderId="18" xfId="3" applyNumberFormat="1" applyFont="1" applyBorder="1" applyAlignment="1" applyProtection="1">
      <alignment vertical="center" wrapText="1"/>
    </xf>
    <xf numFmtId="3" fontId="12" fillId="0" borderId="19" xfId="3" applyNumberFormat="1" applyFont="1" applyFill="1" applyBorder="1" applyAlignment="1" applyProtection="1">
      <alignment vertical="center" wrapText="1"/>
    </xf>
    <xf numFmtId="3" fontId="12" fillId="0" borderId="0" xfId="3" applyNumberFormat="1" applyFont="1" applyFill="1" applyBorder="1" applyAlignment="1" applyProtection="1">
      <alignment vertical="center" wrapText="1"/>
    </xf>
    <xf numFmtId="0" fontId="12" fillId="0" borderId="20" xfId="4" applyFont="1" applyBorder="1" applyAlignment="1">
      <alignment vertical="center" wrapText="1"/>
    </xf>
    <xf numFmtId="166" fontId="12" fillId="0" borderId="0" xfId="3" applyNumberFormat="1" applyFont="1" applyBorder="1" applyAlignment="1" applyProtection="1">
      <alignment vertical="center" wrapText="1"/>
    </xf>
    <xf numFmtId="166" fontId="12" fillId="0" borderId="21" xfId="3" applyNumberFormat="1" applyFont="1" applyBorder="1" applyAlignment="1" applyProtection="1">
      <alignment vertical="center" wrapText="1"/>
    </xf>
    <xf numFmtId="3" fontId="12" fillId="0" borderId="19" xfId="4" applyNumberFormat="1" applyFont="1" applyBorder="1" applyAlignment="1">
      <alignment vertical="center" wrapText="1"/>
    </xf>
    <xf numFmtId="0" fontId="16" fillId="0" borderId="17" xfId="5" applyFont="1" applyBorder="1" applyAlignment="1">
      <alignment vertical="center" wrapText="1"/>
    </xf>
    <xf numFmtId="0" fontId="16" fillId="0" borderId="23" xfId="5" applyFont="1" applyBorder="1" applyAlignment="1">
      <alignment vertical="center" wrapText="1"/>
    </xf>
    <xf numFmtId="0" fontId="12" fillId="5" borderId="16" xfId="4" applyFont="1" applyFill="1" applyBorder="1" applyAlignment="1">
      <alignment vertical="center" wrapText="1"/>
    </xf>
    <xf numFmtId="0" fontId="16" fillId="5" borderId="16" xfId="5" applyFont="1" applyFill="1" applyBorder="1" applyAlignment="1">
      <alignment vertical="center" wrapText="1"/>
    </xf>
    <xf numFmtId="165" fontId="14" fillId="5" borderId="2" xfId="2" applyNumberFormat="1" applyFont="1" applyFill="1" applyBorder="1" applyAlignment="1" applyProtection="1">
      <alignment vertical="center" wrapText="1"/>
    </xf>
    <xf numFmtId="0" fontId="16" fillId="5" borderId="15" xfId="5" applyFont="1" applyFill="1" applyBorder="1" applyAlignment="1">
      <alignment vertical="center" wrapText="1"/>
    </xf>
    <xf numFmtId="0" fontId="0" fillId="5" borderId="0" xfId="0" applyFill="1"/>
    <xf numFmtId="0" fontId="13" fillId="5" borderId="16" xfId="4" applyFont="1" applyFill="1" applyBorder="1" applyAlignment="1">
      <alignment vertical="center" wrapText="1"/>
    </xf>
    <xf numFmtId="165" fontId="13" fillId="5" borderId="2" xfId="2" applyNumberFormat="1" applyFont="1" applyFill="1" applyBorder="1" applyAlignment="1" applyProtection="1">
      <alignment vertical="center" wrapText="1"/>
    </xf>
    <xf numFmtId="165" fontId="13" fillId="5" borderId="15" xfId="2" applyNumberFormat="1" applyFont="1" applyFill="1" applyBorder="1" applyAlignment="1" applyProtection="1">
      <alignment vertical="center" wrapText="1"/>
    </xf>
    <xf numFmtId="9" fontId="14" fillId="5" borderId="24" xfId="3" applyFont="1" applyFill="1" applyBorder="1" applyAlignment="1" applyProtection="1">
      <alignment vertical="center" wrapText="1"/>
    </xf>
    <xf numFmtId="0" fontId="16" fillId="0" borderId="2" xfId="5" applyFont="1" applyBorder="1" applyAlignment="1">
      <alignment vertical="center" wrapText="1"/>
    </xf>
    <xf numFmtId="10" fontId="14" fillId="0" borderId="2" xfId="5" applyNumberFormat="1" applyFont="1" applyBorder="1" applyAlignment="1">
      <alignment vertical="center" wrapText="1"/>
    </xf>
    <xf numFmtId="0" fontId="16" fillId="0" borderId="15" xfId="5" applyFont="1" applyBorder="1" applyAlignment="1">
      <alignment vertical="center" wrapText="1"/>
    </xf>
    <xf numFmtId="166" fontId="12" fillId="0" borderId="22" xfId="3" applyNumberFormat="1" applyFont="1" applyBorder="1" applyAlignment="1" applyProtection="1">
      <alignment vertical="center" wrapText="1"/>
    </xf>
    <xf numFmtId="0" fontId="16" fillId="0" borderId="25" xfId="5" applyFont="1" applyBorder="1" applyAlignment="1">
      <alignment vertical="center" wrapText="1"/>
    </xf>
    <xf numFmtId="166" fontId="14" fillId="0" borderId="15" xfId="3" applyNumberFormat="1" applyFont="1" applyFill="1" applyBorder="1" applyAlignment="1" applyProtection="1">
      <alignment vertical="center" wrapText="1"/>
    </xf>
    <xf numFmtId="0" fontId="12" fillId="0" borderId="26" xfId="4" applyFont="1" applyBorder="1" applyAlignment="1">
      <alignment vertical="center" wrapText="1"/>
    </xf>
    <xf numFmtId="165" fontId="12" fillId="0" borderId="27" xfId="2" applyNumberFormat="1" applyFont="1" applyFill="1" applyBorder="1" applyAlignment="1" applyProtection="1">
      <alignment vertical="center" wrapText="1"/>
      <protection locked="0"/>
    </xf>
    <xf numFmtId="166" fontId="12" fillId="0" borderId="28" xfId="3" applyNumberFormat="1" applyFont="1" applyBorder="1" applyAlignment="1" applyProtection="1">
      <alignment vertical="center" wrapText="1"/>
    </xf>
    <xf numFmtId="166" fontId="12" fillId="0" borderId="29" xfId="3" applyNumberFormat="1" applyFont="1" applyBorder="1" applyAlignment="1" applyProtection="1">
      <alignment vertical="center" wrapText="1"/>
    </xf>
    <xf numFmtId="0" fontId="6" fillId="0" borderId="0" xfId="4" applyAlignment="1">
      <alignment vertical="center" wrapText="1"/>
    </xf>
    <xf numFmtId="167" fontId="6" fillId="0" borderId="0" xfId="1" applyNumberFormat="1" applyFont="1" applyAlignment="1" applyProtection="1">
      <alignment vertical="center" wrapText="1"/>
    </xf>
    <xf numFmtId="167" fontId="5" fillId="0" borderId="0" xfId="1" applyNumberFormat="1" applyFont="1" applyAlignment="1" applyProtection="1">
      <alignment vertical="center" wrapText="1"/>
    </xf>
    <xf numFmtId="0" fontId="0" fillId="0" borderId="0" xfId="0" applyAlignment="1">
      <alignment vertical="center" wrapText="1"/>
    </xf>
    <xf numFmtId="165" fontId="12" fillId="0" borderId="2" xfId="2" applyNumberFormat="1" applyFont="1" applyBorder="1" applyAlignment="1" applyProtection="1">
      <alignment vertical="center" wrapText="1"/>
    </xf>
    <xf numFmtId="165" fontId="12" fillId="0" borderId="15" xfId="2" applyNumberFormat="1" applyFont="1" applyBorder="1" applyAlignment="1" applyProtection="1">
      <alignment vertical="center" wrapText="1"/>
    </xf>
    <xf numFmtId="164" fontId="0" fillId="0" borderId="0" xfId="0" applyNumberFormat="1" applyAlignment="1">
      <alignment vertical="center" wrapText="1"/>
    </xf>
    <xf numFmtId="166" fontId="12" fillId="0" borderId="27" xfId="3" applyNumberFormat="1" applyFont="1" applyBorder="1" applyAlignment="1" applyProtection="1">
      <alignment vertical="center" wrapText="1"/>
    </xf>
    <xf numFmtId="166" fontId="12" fillId="0" borderId="30" xfId="3" applyNumberFormat="1" applyFont="1" applyBorder="1" applyAlignment="1" applyProtection="1">
      <alignment vertical="center" wrapText="1"/>
    </xf>
    <xf numFmtId="166" fontId="12" fillId="0" borderId="31" xfId="3" applyNumberFormat="1" applyFont="1" applyBorder="1" applyAlignment="1" applyProtection="1">
      <alignment vertical="center" wrapText="1"/>
    </xf>
    <xf numFmtId="165" fontId="0" fillId="0" borderId="0" xfId="0" applyNumberFormat="1" applyAlignment="1">
      <alignment vertical="center" wrapText="1"/>
    </xf>
    <xf numFmtId="0" fontId="0" fillId="0" borderId="19" xfId="0" applyBorder="1"/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6" fillId="0" borderId="0" xfId="0" applyFont="1" applyAlignment="1">
      <alignment vertical="center"/>
    </xf>
    <xf numFmtId="3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15" fillId="0" borderId="7" xfId="4" applyFont="1" applyBorder="1" applyAlignment="1" applyProtection="1">
      <alignment vertic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4" fillId="0" borderId="20" xfId="0" applyFont="1" applyBorder="1"/>
    <xf numFmtId="165" fontId="0" fillId="3" borderId="32" xfId="2" applyNumberFormat="1" applyFont="1" applyFill="1" applyBorder="1" applyProtection="1"/>
    <xf numFmtId="165" fontId="0" fillId="4" borderId="17" xfId="2" applyNumberFormat="1" applyFont="1" applyFill="1" applyBorder="1" applyProtection="1"/>
    <xf numFmtId="165" fontId="0" fillId="4" borderId="2" xfId="2" applyNumberFormat="1" applyFont="1" applyFill="1" applyBorder="1" applyProtection="1"/>
    <xf numFmtId="165" fontId="0" fillId="4" borderId="23" xfId="2" applyNumberFormat="1" applyFont="1" applyFill="1" applyBorder="1" applyProtection="1"/>
    <xf numFmtId="0" fontId="4" fillId="0" borderId="37" xfId="0" applyFont="1" applyBorder="1"/>
    <xf numFmtId="165" fontId="0" fillId="0" borderId="38" xfId="2" applyNumberFormat="1" applyFont="1" applyBorder="1" applyProtection="1"/>
    <xf numFmtId="165" fontId="0" fillId="0" borderId="39" xfId="2" applyNumberFormat="1" applyFont="1" applyBorder="1" applyProtection="1"/>
    <xf numFmtId="165" fontId="0" fillId="0" borderId="40" xfId="2" applyNumberFormat="1" applyFont="1" applyBorder="1" applyProtection="1"/>
    <xf numFmtId="0" fontId="19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21" fillId="0" borderId="0" xfId="0" applyFont="1" applyAlignment="1" applyProtection="1">
      <alignment horizontal="left" wrapText="1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Protection="1">
      <protection locked="0"/>
    </xf>
    <xf numFmtId="3" fontId="4" fillId="0" borderId="41" xfId="0" applyNumberFormat="1" applyFont="1" applyBorder="1" applyProtection="1">
      <protection locked="0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0" fillId="0" borderId="0" xfId="0" applyNumberFormat="1" applyProtection="1">
      <protection locked="0"/>
    </xf>
    <xf numFmtId="3" fontId="15" fillId="0" borderId="7" xfId="4" applyNumberFormat="1" applyFont="1" applyBorder="1" applyAlignment="1" applyProtection="1">
      <alignment vertical="center" wrapText="1"/>
      <protection locked="0"/>
    </xf>
    <xf numFmtId="3" fontId="0" fillId="0" borderId="2" xfId="2" applyNumberFormat="1" applyFont="1" applyFill="1" applyBorder="1" applyProtection="1"/>
    <xf numFmtId="3" fontId="0" fillId="0" borderId="2" xfId="2" applyNumberFormat="1" applyFont="1" applyFill="1" applyBorder="1" applyProtection="1">
      <protection locked="0"/>
    </xf>
    <xf numFmtId="3" fontId="0" fillId="0" borderId="2" xfId="0" applyNumberFormat="1" applyBorder="1" applyProtection="1">
      <protection locked="0"/>
    </xf>
    <xf numFmtId="3" fontId="0" fillId="5" borderId="2" xfId="2" applyNumberFormat="1" applyFont="1" applyFill="1" applyBorder="1" applyProtection="1"/>
    <xf numFmtId="3" fontId="6" fillId="6" borderId="17" xfId="0" applyNumberFormat="1" applyFont="1" applyFill="1" applyBorder="1" applyProtection="1">
      <protection locked="0"/>
    </xf>
    <xf numFmtId="3" fontId="0" fillId="6" borderId="24" xfId="0" applyNumberFormat="1" applyFill="1" applyBorder="1" applyProtection="1">
      <protection locked="0"/>
    </xf>
    <xf numFmtId="3" fontId="0" fillId="6" borderId="24" xfId="2" applyNumberFormat="1" applyFont="1" applyFill="1" applyBorder="1" applyProtection="1">
      <protection locked="0"/>
    </xf>
    <xf numFmtId="3" fontId="4" fillId="0" borderId="17" xfId="0" applyNumberFormat="1" applyFont="1" applyBorder="1" applyProtection="1">
      <protection locked="0"/>
    </xf>
    <xf numFmtId="3" fontId="0" fillId="0" borderId="2" xfId="0" applyNumberFormat="1" applyBorder="1"/>
    <xf numFmtId="3" fontId="0" fillId="0" borderId="33" xfId="0" applyNumberFormat="1" applyBorder="1" applyProtection="1">
      <protection locked="0"/>
    </xf>
    <xf numFmtId="3" fontId="0" fillId="0" borderId="33" xfId="2" applyNumberFormat="1" applyFont="1" applyFill="1" applyBorder="1" applyProtection="1">
      <protection locked="0"/>
    </xf>
    <xf numFmtId="3" fontId="4" fillId="0" borderId="38" xfId="0" applyNumberFormat="1" applyFont="1" applyBorder="1" applyProtection="1">
      <protection locked="0"/>
    </xf>
    <xf numFmtId="3" fontId="4" fillId="0" borderId="38" xfId="0" applyNumberFormat="1" applyFont="1" applyBorder="1"/>
    <xf numFmtId="3" fontId="22" fillId="0" borderId="0" xfId="0" applyNumberFormat="1" applyFont="1" applyAlignment="1" applyProtection="1">
      <alignment horizontal="left" vertical="top"/>
      <protection locked="0"/>
    </xf>
    <xf numFmtId="3" fontId="23" fillId="0" borderId="0" xfId="0" applyNumberFormat="1" applyFont="1" applyAlignment="1" applyProtection="1">
      <alignment horizontal="left" wrapText="1"/>
      <protection locked="0"/>
    </xf>
    <xf numFmtId="3" fontId="4" fillId="0" borderId="0" xfId="0" applyNumberFormat="1" applyFont="1" applyAlignment="1" applyProtection="1">
      <alignment horizontal="left" wrapText="1"/>
      <protection locked="0"/>
    </xf>
    <xf numFmtId="3" fontId="4" fillId="0" borderId="0" xfId="0" applyNumberFormat="1" applyFont="1" applyProtection="1">
      <protection locked="0"/>
    </xf>
    <xf numFmtId="167" fontId="0" fillId="0" borderId="2" xfId="1" applyNumberFormat="1" applyFont="1" applyBorder="1" applyAlignment="1">
      <alignment vertical="center" wrapText="1"/>
    </xf>
    <xf numFmtId="0" fontId="2" fillId="3" borderId="16" xfId="0" applyFont="1" applyFill="1" applyBorder="1" applyProtection="1">
      <protection locked="0"/>
    </xf>
    <xf numFmtId="165" fontId="0" fillId="3" borderId="33" xfId="2" applyNumberFormat="1" applyFont="1" applyFill="1" applyBorder="1" applyProtection="1">
      <protection locked="0"/>
    </xf>
    <xf numFmtId="165" fontId="0" fillId="3" borderId="2" xfId="2" applyNumberFormat="1" applyFont="1" applyFill="1" applyBorder="1" applyProtection="1">
      <protection locked="0"/>
    </xf>
    <xf numFmtId="165" fontId="0" fillId="3" borderId="15" xfId="2" applyNumberFormat="1" applyFont="1" applyFill="1" applyBorder="1" applyProtection="1">
      <protection locked="0"/>
    </xf>
    <xf numFmtId="168" fontId="0" fillId="3" borderId="2" xfId="2" applyNumberFormat="1" applyFont="1" applyFill="1" applyBorder="1" applyProtection="1">
      <protection locked="0"/>
    </xf>
    <xf numFmtId="0" fontId="6" fillId="3" borderId="16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34" xfId="0" applyFill="1" applyBorder="1" applyProtection="1">
      <protection locked="0"/>
    </xf>
    <xf numFmtId="165" fontId="0" fillId="3" borderId="24" xfId="2" applyNumberFormat="1" applyFont="1" applyFill="1" applyBorder="1" applyProtection="1">
      <protection locked="0"/>
    </xf>
    <xf numFmtId="165" fontId="0" fillId="3" borderId="35" xfId="2" applyNumberFormat="1" applyFont="1" applyFill="1" applyBorder="1" applyProtection="1">
      <protection locked="0"/>
    </xf>
    <xf numFmtId="165" fontId="0" fillId="3" borderId="36" xfId="2" applyNumberFormat="1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/>
      <protection locked="0"/>
    </xf>
    <xf numFmtId="0" fontId="5" fillId="3" borderId="0" xfId="0" applyFont="1" applyFill="1" applyAlignment="1" applyProtection="1">
      <alignment horizontal="right" vertical="top"/>
      <protection locked="0"/>
    </xf>
    <xf numFmtId="3" fontId="4" fillId="3" borderId="17" xfId="0" applyNumberFormat="1" applyFont="1" applyFill="1" applyBorder="1" applyProtection="1">
      <protection locked="0"/>
    </xf>
    <xf numFmtId="3" fontId="6" fillId="3" borderId="17" xfId="0" applyNumberFormat="1" applyFont="1" applyFill="1" applyBorder="1" applyProtection="1">
      <protection locked="0"/>
    </xf>
    <xf numFmtId="3" fontId="4" fillId="3" borderId="17" xfId="0" applyNumberFormat="1" applyFont="1" applyFill="1" applyBorder="1" applyAlignment="1" applyProtection="1">
      <alignment wrapText="1"/>
      <protection locked="0"/>
    </xf>
    <xf numFmtId="3" fontId="0" fillId="3" borderId="42" xfId="0" applyNumberFormat="1" applyFill="1" applyBorder="1" applyProtection="1">
      <protection locked="0"/>
    </xf>
    <xf numFmtId="3" fontId="0" fillId="3" borderId="42" xfId="2" applyNumberFormat="1" applyFont="1" applyFill="1" applyBorder="1" applyProtection="1">
      <protection locked="0"/>
    </xf>
    <xf numFmtId="3" fontId="0" fillId="3" borderId="24" xfId="2" applyNumberFormat="1" applyFont="1" applyFill="1" applyBorder="1" applyProtection="1">
      <protection locked="0"/>
    </xf>
    <xf numFmtId="3" fontId="0" fillId="3" borderId="2" xfId="2" applyNumberFormat="1" applyFont="1" applyFill="1" applyBorder="1" applyProtection="1">
      <protection locked="0"/>
    </xf>
    <xf numFmtId="3" fontId="0" fillId="3" borderId="24" xfId="0" applyNumberFormat="1" applyFill="1" applyBorder="1" applyProtection="1">
      <protection locked="0"/>
    </xf>
    <xf numFmtId="3" fontId="0" fillId="3" borderId="2" xfId="0" applyNumberFormat="1" applyFill="1" applyBorder="1" applyProtection="1">
      <protection locked="0"/>
    </xf>
    <xf numFmtId="165" fontId="12" fillId="3" borderId="18" xfId="2" applyNumberFormat="1" applyFont="1" applyFill="1" applyBorder="1" applyAlignment="1" applyProtection="1">
      <alignment vertical="center" wrapText="1"/>
      <protection locked="0"/>
    </xf>
    <xf numFmtId="165" fontId="12" fillId="3" borderId="15" xfId="2" applyNumberFormat="1" applyFont="1" applyFill="1" applyBorder="1" applyAlignment="1" applyProtection="1">
      <alignment vertical="center" wrapText="1"/>
      <protection locked="0"/>
    </xf>
    <xf numFmtId="3" fontId="4" fillId="7" borderId="5" xfId="0" applyNumberFormat="1" applyFont="1" applyFill="1" applyBorder="1" applyAlignment="1" applyProtection="1">
      <alignment horizontal="center" vertical="top" wrapText="1"/>
      <protection locked="0"/>
    </xf>
    <xf numFmtId="3" fontId="4" fillId="7" borderId="6" xfId="0" applyNumberFormat="1" applyFont="1" applyFill="1" applyBorder="1" applyAlignment="1" applyProtection="1">
      <alignment horizontal="center" vertical="top" wrapText="1"/>
      <protection locked="0"/>
    </xf>
    <xf numFmtId="0" fontId="9" fillId="7" borderId="2" xfId="0" applyFont="1" applyFill="1" applyBorder="1" applyProtection="1">
      <protection locked="0"/>
    </xf>
    <xf numFmtId="0" fontId="4" fillId="7" borderId="10" xfId="0" applyFont="1" applyFill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 applyProtection="1">
      <alignment horizontal="center" vertical="top" wrapText="1"/>
      <protection locked="0"/>
    </xf>
    <xf numFmtId="0" fontId="4" fillId="7" borderId="6" xfId="0" applyFont="1" applyFill="1" applyBorder="1" applyAlignment="1" applyProtection="1">
      <alignment horizontal="center" vertical="top" wrapText="1"/>
      <protection locked="0"/>
    </xf>
    <xf numFmtId="3" fontId="10" fillId="0" borderId="0" xfId="0" applyNumberFormat="1" applyFont="1" applyProtection="1">
      <protection locked="0"/>
    </xf>
    <xf numFmtId="3" fontId="0" fillId="5" borderId="2" xfId="2" applyNumberFormat="1" applyFont="1" applyFill="1" applyBorder="1"/>
    <xf numFmtId="169" fontId="0" fillId="3" borderId="2" xfId="2" applyNumberFormat="1" applyFont="1" applyFill="1" applyBorder="1" applyProtection="1">
      <protection locked="0"/>
    </xf>
    <xf numFmtId="169" fontId="0" fillId="3" borderId="15" xfId="2" applyNumberFormat="1" applyFont="1" applyFill="1" applyBorder="1" applyProtection="1">
      <protection locked="0"/>
    </xf>
    <xf numFmtId="9" fontId="0" fillId="0" borderId="0" xfId="3" applyFont="1" applyProtection="1">
      <protection locked="0"/>
    </xf>
    <xf numFmtId="0" fontId="0" fillId="8" borderId="0" xfId="0" applyFill="1" applyProtection="1">
      <protection locked="0"/>
    </xf>
    <xf numFmtId="0" fontId="24" fillId="8" borderId="0" xfId="0" applyFont="1" applyFill="1" applyProtection="1">
      <protection locked="0"/>
    </xf>
    <xf numFmtId="3" fontId="6" fillId="8" borderId="0" xfId="0" applyNumberFormat="1" applyFont="1" applyFill="1" applyAlignment="1" applyProtection="1">
      <alignment horizontal="left" vertical="top" wrapText="1"/>
      <protection locked="0"/>
    </xf>
    <xf numFmtId="3" fontId="0" fillId="8" borderId="0" xfId="0" applyNumberFormat="1" applyFill="1" applyProtection="1">
      <protection locked="0"/>
    </xf>
    <xf numFmtId="165" fontId="14" fillId="5" borderId="2" xfId="2" applyNumberFormat="1" applyFont="1" applyFill="1" applyBorder="1" applyAlignment="1">
      <alignment vertical="center" wrapText="1"/>
    </xf>
    <xf numFmtId="9" fontId="14" fillId="5" borderId="24" xfId="3" applyFont="1" applyFill="1" applyBorder="1" applyAlignment="1">
      <alignment vertical="center" wrapText="1"/>
    </xf>
    <xf numFmtId="14" fontId="5" fillId="3" borderId="0" xfId="0" applyNumberFormat="1" applyFont="1" applyFill="1" applyAlignment="1" applyProtection="1">
      <alignment horizontal="right"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8" borderId="0" xfId="0" applyFont="1" applyFill="1" applyAlignment="1" applyProtection="1">
      <alignment vertical="top" wrapText="1"/>
      <protection locked="0"/>
    </xf>
    <xf numFmtId="0" fontId="4" fillId="8" borderId="0" xfId="0" applyFont="1" applyFill="1" applyAlignment="1" applyProtection="1">
      <alignment horizontal="right" vertical="top"/>
      <protection locked="0"/>
    </xf>
    <xf numFmtId="0" fontId="6" fillId="0" borderId="0" xfId="0" applyFont="1" applyAlignment="1">
      <alignment vertical="top"/>
    </xf>
    <xf numFmtId="167" fontId="0" fillId="0" borderId="2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4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top"/>
      <protection locked="0"/>
    </xf>
  </cellXfs>
  <cellStyles count="7">
    <cellStyle name="Comma" xfId="1" builtinId="3"/>
    <cellStyle name="Currency" xfId="2" builtinId="4"/>
    <cellStyle name="Normal" xfId="0" builtinId="0"/>
    <cellStyle name="Normal 2" xfId="4" xr:uid="{4156E5D8-C05A-4DC9-9BDD-AB514DEF3C5C}"/>
    <cellStyle name="Normal 3" xfId="5" xr:uid="{410FDB3C-76AB-4456-A88D-5BFEBABD1636}"/>
    <cellStyle name="Normal 5" xfId="6" xr:uid="{ACC860AA-D7F6-4866-A681-B77C131B3826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BC63-32E2-4CF2-9945-88C647374305}">
  <dimension ref="A1:BE119"/>
  <sheetViews>
    <sheetView tabSelected="1" workbookViewId="0">
      <selection activeCell="AA22" sqref="AA22"/>
    </sheetView>
  </sheetViews>
  <sheetFormatPr defaultColWidth="9.42578125" defaultRowHeight="15" x14ac:dyDescent="0.25"/>
  <cols>
    <col min="1" max="1" width="29" customWidth="1"/>
    <col min="2" max="2" width="16.28515625" hidden="1" customWidth="1"/>
    <col min="3" max="9" width="14.5703125" hidden="1" customWidth="1"/>
    <col min="10" max="10" width="15" hidden="1" customWidth="1"/>
    <col min="11" max="14" width="15" customWidth="1"/>
    <col min="15" max="15" width="13.42578125" customWidth="1"/>
    <col min="16" max="22" width="12.5703125" customWidth="1"/>
    <col min="23" max="23" width="13.42578125" bestFit="1" customWidth="1"/>
    <col min="24" max="24" width="11.42578125" bestFit="1" customWidth="1"/>
    <col min="25" max="25" width="39.42578125" customWidth="1"/>
    <col min="26" max="29" width="13.28515625" hidden="1" customWidth="1"/>
    <col min="30" max="34" width="13.42578125" hidden="1" customWidth="1"/>
    <col min="35" max="57" width="13.42578125" customWidth="1"/>
  </cols>
  <sheetData>
    <row r="1" spans="1:49" x14ac:dyDescent="0.25">
      <c r="N1" s="1">
        <v>0</v>
      </c>
      <c r="P1" s="2" t="s">
        <v>0</v>
      </c>
      <c r="Q1" s="3" t="s">
        <v>97</v>
      </c>
      <c r="R1" s="1"/>
      <c r="S1" s="1"/>
      <c r="T1" s="1"/>
      <c r="U1" s="1"/>
      <c r="V1" s="1"/>
      <c r="W1" s="1"/>
      <c r="X1" s="1" t="s">
        <v>1</v>
      </c>
      <c r="Y1" s="1" t="s">
        <v>2</v>
      </c>
      <c r="Z1" s="1"/>
      <c r="AA1" s="1"/>
      <c r="AB1" s="1"/>
      <c r="AC1" s="1"/>
      <c r="AD1" s="1"/>
    </row>
    <row r="2" spans="1:49" x14ac:dyDescent="0.25">
      <c r="P2" s="2" t="s">
        <v>3</v>
      </c>
      <c r="Q2" s="147">
        <v>4</v>
      </c>
      <c r="R2" s="1"/>
      <c r="S2" s="1"/>
      <c r="T2" s="1"/>
      <c r="U2" s="1"/>
      <c r="V2" s="1"/>
      <c r="W2" s="1"/>
      <c r="X2" s="1">
        <v>2010</v>
      </c>
      <c r="Y2" s="1" t="s">
        <v>4</v>
      </c>
      <c r="Z2" s="1"/>
      <c r="AA2" s="1"/>
      <c r="AB2" s="1"/>
      <c r="AC2" s="1"/>
      <c r="AD2" s="1" t="s">
        <v>5</v>
      </c>
    </row>
    <row r="3" spans="1:49" x14ac:dyDescent="0.25">
      <c r="P3" s="2" t="s">
        <v>6</v>
      </c>
      <c r="Q3" s="147">
        <v>1</v>
      </c>
      <c r="R3" s="1"/>
      <c r="S3" s="1"/>
      <c r="T3" s="1"/>
      <c r="U3" s="1"/>
      <c r="V3" s="1"/>
      <c r="W3" s="1"/>
      <c r="X3" s="1">
        <v>2011</v>
      </c>
      <c r="Y3" s="1" t="s">
        <v>7</v>
      </c>
      <c r="Z3" s="1"/>
      <c r="AA3" s="1"/>
      <c r="AB3" s="1"/>
      <c r="AC3" s="1"/>
      <c r="AD3" s="1" t="s">
        <v>8</v>
      </c>
    </row>
    <row r="4" spans="1:49" x14ac:dyDescent="0.25">
      <c r="A4" s="4"/>
      <c r="B4" s="4"/>
      <c r="C4" s="4"/>
      <c r="D4" s="4"/>
      <c r="E4" s="4"/>
      <c r="F4" s="4"/>
      <c r="G4" s="4"/>
      <c r="H4" s="4"/>
      <c r="I4" s="4"/>
      <c r="P4" s="2" t="s">
        <v>9</v>
      </c>
      <c r="Q4" s="147">
        <v>1</v>
      </c>
      <c r="R4" s="1"/>
      <c r="S4" s="1"/>
      <c r="T4" s="1"/>
      <c r="U4" s="1"/>
      <c r="V4" s="1"/>
      <c r="W4" s="1"/>
      <c r="X4" s="1">
        <v>2012</v>
      </c>
      <c r="Y4" s="1" t="s">
        <v>10</v>
      </c>
      <c r="Z4" s="1"/>
      <c r="AA4" s="1"/>
      <c r="AB4" s="1"/>
      <c r="AC4" s="1"/>
      <c r="AD4" s="1" t="s">
        <v>11</v>
      </c>
    </row>
    <row r="5" spans="1:49" x14ac:dyDescent="0.25">
      <c r="A5" s="5" t="s">
        <v>12</v>
      </c>
      <c r="P5" s="2" t="s">
        <v>13</v>
      </c>
      <c r="Q5" s="148"/>
      <c r="R5" s="1"/>
      <c r="S5" s="1"/>
      <c r="T5" s="1"/>
      <c r="U5" s="1"/>
      <c r="V5" s="1"/>
      <c r="W5" s="1"/>
      <c r="X5" s="1">
        <v>2013</v>
      </c>
      <c r="Y5" s="1" t="s">
        <v>14</v>
      </c>
      <c r="Z5" s="1"/>
      <c r="AA5" s="1"/>
      <c r="AB5" s="1"/>
      <c r="AC5" s="1"/>
      <c r="AD5" s="1" t="s">
        <v>15</v>
      </c>
    </row>
    <row r="6" spans="1:49" x14ac:dyDescent="0.25">
      <c r="A6" s="162" t="s">
        <v>16</v>
      </c>
      <c r="P6" s="2"/>
      <c r="Q6" s="3" t="s">
        <v>115</v>
      </c>
      <c r="R6" s="1"/>
      <c r="S6" s="1"/>
      <c r="T6" s="1"/>
      <c r="U6" s="1"/>
      <c r="V6" s="1"/>
      <c r="W6" s="1"/>
      <c r="X6" s="1">
        <v>2014</v>
      </c>
      <c r="Y6" s="1" t="s">
        <v>17</v>
      </c>
      <c r="Z6" s="1"/>
      <c r="AA6" s="1"/>
      <c r="AB6" s="1"/>
      <c r="AC6" s="1"/>
      <c r="AD6" s="1" t="s">
        <v>18</v>
      </c>
    </row>
    <row r="7" spans="1:49" x14ac:dyDescent="0.25">
      <c r="P7" s="2" t="s">
        <v>19</v>
      </c>
      <c r="Q7" s="177">
        <v>46283</v>
      </c>
      <c r="R7" s="1"/>
      <c r="S7" s="1"/>
      <c r="T7" s="1"/>
      <c r="U7" s="1"/>
      <c r="V7" s="1"/>
      <c r="W7" s="1"/>
      <c r="X7" s="1">
        <v>2015</v>
      </c>
      <c r="Y7" s="1" t="s">
        <v>20</v>
      </c>
      <c r="Z7" s="1"/>
      <c r="AA7" s="1"/>
      <c r="AB7" s="1"/>
      <c r="AC7" s="1"/>
      <c r="AD7" s="1" t="s">
        <v>21</v>
      </c>
    </row>
    <row r="8" spans="1:49" x14ac:dyDescent="0.25">
      <c r="K8" s="6"/>
      <c r="L8" s="6"/>
      <c r="M8" s="6"/>
      <c r="N8" s="6"/>
      <c r="O8" s="6"/>
      <c r="R8" s="1"/>
      <c r="S8" s="1"/>
      <c r="T8" s="1"/>
      <c r="U8" s="1"/>
      <c r="V8" s="1"/>
      <c r="W8" s="1"/>
      <c r="X8" s="1">
        <v>2016</v>
      </c>
      <c r="Y8" s="1" t="s">
        <v>22</v>
      </c>
      <c r="Z8" s="1"/>
      <c r="AA8" s="1"/>
      <c r="AB8" s="1"/>
      <c r="AC8" s="1"/>
      <c r="AD8" s="1" t="s">
        <v>23</v>
      </c>
    </row>
    <row r="9" spans="1:49" ht="18" x14ac:dyDescent="0.25">
      <c r="A9" s="183" t="s">
        <v>24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7"/>
      <c r="S9" s="7"/>
      <c r="T9" s="7"/>
      <c r="U9" s="7"/>
      <c r="V9" s="7"/>
      <c r="W9" s="1"/>
      <c r="X9" s="1">
        <v>2017</v>
      </c>
      <c r="Y9" s="1" t="s">
        <v>25</v>
      </c>
      <c r="Z9" s="1"/>
      <c r="AA9" s="1"/>
      <c r="AB9" s="1"/>
      <c r="AC9" s="1"/>
      <c r="AD9" s="1" t="s">
        <v>26</v>
      </c>
    </row>
    <row r="10" spans="1:49" ht="34.5" customHeight="1" thickBot="1" x14ac:dyDescent="0.3">
      <c r="A10" s="183" t="s">
        <v>107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7"/>
      <c r="S10" s="7"/>
      <c r="T10" s="7"/>
      <c r="U10" s="7"/>
      <c r="V10" s="7"/>
      <c r="W10" s="1"/>
      <c r="X10" s="1"/>
      <c r="Y10" s="1"/>
      <c r="Z10" s="1"/>
      <c r="AA10" s="1"/>
      <c r="AB10" s="1"/>
      <c r="AC10" s="1"/>
      <c r="AD10" s="1"/>
    </row>
    <row r="11" spans="1:49" s="8" customFormat="1" ht="17.25" hidden="1" customHeight="1" thickBot="1" x14ac:dyDescent="0.25">
      <c r="B11" s="9">
        <v>0</v>
      </c>
      <c r="C11" s="9">
        <v>2011</v>
      </c>
      <c r="D11" s="9">
        <v>2012</v>
      </c>
      <c r="E11" s="9">
        <v>2013</v>
      </c>
      <c r="F11" s="9">
        <v>2014</v>
      </c>
      <c r="G11" s="9">
        <v>2015</v>
      </c>
      <c r="H11" s="9">
        <v>2016</v>
      </c>
      <c r="I11" s="9">
        <v>2017</v>
      </c>
      <c r="J11" s="9">
        <v>2018</v>
      </c>
      <c r="K11" s="9">
        <v>2020</v>
      </c>
      <c r="L11" s="9">
        <v>2021</v>
      </c>
      <c r="M11" s="9">
        <v>2022</v>
      </c>
      <c r="N11" s="9">
        <v>2023</v>
      </c>
      <c r="O11" s="9">
        <v>2024</v>
      </c>
      <c r="P11" s="10" t="e">
        <f>BridgeYear</f>
        <v>#NAME?</v>
      </c>
      <c r="Q11" s="10">
        <v>2026</v>
      </c>
      <c r="R11" s="10"/>
      <c r="S11" s="10"/>
      <c r="T11" s="10"/>
      <c r="U11" s="10"/>
      <c r="V11" s="10"/>
      <c r="Z11" s="11">
        <f t="shared" ref="Z11:AG11" si="0">C11</f>
        <v>2011</v>
      </c>
      <c r="AA11" s="11">
        <f t="shared" si="0"/>
        <v>2012</v>
      </c>
      <c r="AB11" s="11">
        <f t="shared" si="0"/>
        <v>2013</v>
      </c>
      <c r="AC11" s="11">
        <f t="shared" si="0"/>
        <v>2014</v>
      </c>
      <c r="AD11" s="11">
        <f t="shared" si="0"/>
        <v>2015</v>
      </c>
      <c r="AE11" s="11">
        <f t="shared" si="0"/>
        <v>2016</v>
      </c>
      <c r="AF11" s="11">
        <f t="shared" si="0"/>
        <v>2017</v>
      </c>
      <c r="AG11" s="11">
        <f t="shared" si="0"/>
        <v>2018</v>
      </c>
      <c r="AH11" s="11" t="e">
        <f>#REF!</f>
        <v>#REF!</v>
      </c>
      <c r="AI11" s="11">
        <f t="shared" ref="AI11:AN11" si="1">K11</f>
        <v>2020</v>
      </c>
      <c r="AJ11" s="11">
        <f t="shared" si="1"/>
        <v>2021</v>
      </c>
      <c r="AK11" s="11">
        <f t="shared" si="1"/>
        <v>2022</v>
      </c>
      <c r="AL11" s="11">
        <f t="shared" si="1"/>
        <v>2023</v>
      </c>
      <c r="AM11" s="11">
        <f t="shared" si="1"/>
        <v>2024</v>
      </c>
      <c r="AN11" s="11" t="e">
        <f t="shared" si="1"/>
        <v>#NAME?</v>
      </c>
      <c r="AO11" s="11"/>
      <c r="AP11" s="11">
        <f>Q11</f>
        <v>2026</v>
      </c>
      <c r="AR11" s="11">
        <v>2027</v>
      </c>
      <c r="AT11" s="8">
        <v>2028</v>
      </c>
      <c r="AU11" s="8">
        <v>2029</v>
      </c>
      <c r="AV11" s="8">
        <v>2030</v>
      </c>
      <c r="AW11" s="8">
        <v>2031</v>
      </c>
    </row>
    <row r="12" spans="1:49" ht="39" thickBot="1" x14ac:dyDescent="0.3">
      <c r="A12" s="12"/>
      <c r="B12" s="13" t="s">
        <v>116</v>
      </c>
      <c r="C12" s="13" t="str">
        <f t="shared" ref="C12:O12" si="2">CONCATENATE(C11," ",IF($W1=C11,"Last Rebasing Year ",""),"Actuals")</f>
        <v>2011 Actuals</v>
      </c>
      <c r="D12" s="13" t="str">
        <f t="shared" si="2"/>
        <v>2012 Actuals</v>
      </c>
      <c r="E12" s="13" t="str">
        <f t="shared" si="2"/>
        <v>2013 Actuals</v>
      </c>
      <c r="F12" s="13" t="str">
        <f t="shared" si="2"/>
        <v>2014 Actuals</v>
      </c>
      <c r="G12" s="13" t="str">
        <f t="shared" si="2"/>
        <v>2015 Actuals</v>
      </c>
      <c r="H12" s="13" t="str">
        <f t="shared" si="2"/>
        <v>2016 Actuals</v>
      </c>
      <c r="I12" s="13" t="str">
        <f t="shared" si="2"/>
        <v>2017 Actuals</v>
      </c>
      <c r="J12" s="13" t="str">
        <f t="shared" si="2"/>
        <v>2018 Actuals</v>
      </c>
      <c r="K12" s="13" t="str">
        <f t="shared" si="2"/>
        <v>2020 Actuals</v>
      </c>
      <c r="L12" s="13" t="str">
        <f t="shared" si="2"/>
        <v>2021 Actuals</v>
      </c>
      <c r="M12" s="13" t="str">
        <f t="shared" si="2"/>
        <v>2022 Actuals</v>
      </c>
      <c r="N12" s="13" t="str">
        <f t="shared" si="2"/>
        <v>2023 Actuals</v>
      </c>
      <c r="O12" s="13" t="str">
        <f t="shared" si="2"/>
        <v>2024 Actuals</v>
      </c>
      <c r="P12" s="114" t="e">
        <f>BridgeYear &amp; " Bridge Year (Actuals)"</f>
        <v>#NAME?</v>
      </c>
      <c r="Q12" s="14" t="s">
        <v>27</v>
      </c>
      <c r="R12" s="14" t="s">
        <v>28</v>
      </c>
      <c r="S12" s="14" t="s">
        <v>29</v>
      </c>
      <c r="T12" s="14" t="s">
        <v>30</v>
      </c>
      <c r="U12" s="14" t="s">
        <v>31</v>
      </c>
      <c r="V12" s="14" t="s">
        <v>32</v>
      </c>
      <c r="W12" s="184"/>
      <c r="X12" s="184"/>
      <c r="Y12" s="16"/>
      <c r="Z12" s="17" t="str">
        <f t="shared" ref="Z12:AH12" si="3">CONCATENATE(IF($W1=Z11,"Last Rebasing Year ",""),Z11," Actuals")</f>
        <v>2011 Actuals</v>
      </c>
      <c r="AA12" s="17" t="str">
        <f t="shared" si="3"/>
        <v>2012 Actuals</v>
      </c>
      <c r="AB12" s="17" t="str">
        <f t="shared" si="3"/>
        <v>2013 Actuals</v>
      </c>
      <c r="AC12" s="17" t="str">
        <f t="shared" si="3"/>
        <v>2014 Actuals</v>
      </c>
      <c r="AD12" s="17" t="str">
        <f t="shared" si="3"/>
        <v>2015 Actuals</v>
      </c>
      <c r="AE12" s="17" t="str">
        <f t="shared" si="3"/>
        <v>2016 Actuals</v>
      </c>
      <c r="AF12" s="17" t="str">
        <f t="shared" si="3"/>
        <v>2017 Actuals</v>
      </c>
      <c r="AG12" s="17" t="str">
        <f t="shared" si="3"/>
        <v>2018 Actuals</v>
      </c>
      <c r="AH12" s="17" t="e">
        <f t="shared" si="3"/>
        <v>#REF!</v>
      </c>
      <c r="AI12" s="17" t="str">
        <f t="shared" ref="AI12:AM12" si="4">CONCATENATE(IF($W1=AI11,"Last Rebasing Year ",""),AI11," Actuals")</f>
        <v>2020 Actuals</v>
      </c>
      <c r="AJ12" s="17" t="str">
        <f t="shared" si="4"/>
        <v>2021 Actuals</v>
      </c>
      <c r="AK12" s="17" t="str">
        <f t="shared" si="4"/>
        <v>2022 Actuals</v>
      </c>
      <c r="AL12" s="17" t="str">
        <f t="shared" si="4"/>
        <v>2023 Actuals</v>
      </c>
      <c r="AM12" s="17" t="str">
        <f t="shared" si="4"/>
        <v>2024 Actuals</v>
      </c>
      <c r="AN12" s="17" t="s">
        <v>119</v>
      </c>
      <c r="AO12" s="17" t="s">
        <v>120</v>
      </c>
      <c r="AP12" s="17" t="str">
        <f>CONCATENATE(AP11," Bridge Year")</f>
        <v>2026 Bridge Year</v>
      </c>
      <c r="AQ12" s="18" t="str">
        <f>CONCATENATE("Variance ",AP11," Bridge vs. ",AP11-1," Bridge")</f>
        <v>Variance 2026 Bridge vs. 2025 Bridge</v>
      </c>
      <c r="AR12" s="17" t="s">
        <v>28</v>
      </c>
      <c r="AS12" s="18" t="str">
        <f>CONCATENATE("Variance ",AR11," Bridge vs. ",AR11-1," Bridge")</f>
        <v>Variance 2027 Bridge vs. 2026 Bridge</v>
      </c>
      <c r="AT12" s="17">
        <f>AT11</f>
        <v>2028</v>
      </c>
      <c r="AU12" s="17">
        <f>AU11</f>
        <v>2029</v>
      </c>
      <c r="AV12" s="17">
        <f>AV11</f>
        <v>2030</v>
      </c>
      <c r="AW12" s="17">
        <f>AW11</f>
        <v>2031</v>
      </c>
    </row>
    <row r="13" spans="1:49" ht="15.75" thickBot="1" x14ac:dyDescent="0.3">
      <c r="A13" s="19" t="s">
        <v>33</v>
      </c>
      <c r="B13" s="164" t="s">
        <v>34</v>
      </c>
      <c r="C13" s="163"/>
      <c r="D13" s="163"/>
      <c r="E13" s="163"/>
      <c r="F13" s="163"/>
      <c r="G13" s="163"/>
      <c r="H13" s="163"/>
      <c r="I13" s="163"/>
      <c r="J13" s="164"/>
      <c r="K13" s="164" t="s">
        <v>34</v>
      </c>
      <c r="L13" s="164" t="s">
        <v>34</v>
      </c>
      <c r="M13" s="164" t="s">
        <v>34</v>
      </c>
      <c r="N13" s="164" t="s">
        <v>34</v>
      </c>
      <c r="O13" s="164" t="s">
        <v>34</v>
      </c>
      <c r="P13" s="164" t="s">
        <v>34</v>
      </c>
      <c r="Q13" s="165" t="s">
        <v>34</v>
      </c>
      <c r="R13" s="165" t="s">
        <v>34</v>
      </c>
      <c r="S13" s="165" t="s">
        <v>34</v>
      </c>
      <c r="T13" s="165" t="s">
        <v>34</v>
      </c>
      <c r="U13" s="165" t="s">
        <v>34</v>
      </c>
      <c r="V13" s="165" t="s">
        <v>34</v>
      </c>
      <c r="W13" s="15"/>
      <c r="X13" s="15"/>
      <c r="Y13" s="22" t="s">
        <v>35</v>
      </c>
      <c r="Z13" s="23" t="e">
        <f t="shared" ref="Z13:AG14" si="5">C14</f>
        <v>#N/A</v>
      </c>
      <c r="AA13" s="23" t="e">
        <f t="shared" si="5"/>
        <v>#N/A</v>
      </c>
      <c r="AB13" s="23" t="e">
        <f t="shared" si="5"/>
        <v>#N/A</v>
      </c>
      <c r="AC13" s="23" t="e">
        <f t="shared" si="5"/>
        <v>#N/A</v>
      </c>
      <c r="AD13" s="23" t="e">
        <f t="shared" si="5"/>
        <v>#N/A</v>
      </c>
      <c r="AE13" s="23" t="e">
        <f t="shared" si="5"/>
        <v>#N/A</v>
      </c>
      <c r="AF13" s="23" t="e">
        <f t="shared" si="5"/>
        <v>#N/A</v>
      </c>
      <c r="AG13" s="23" t="e">
        <f t="shared" si="5"/>
        <v>#N/A</v>
      </c>
      <c r="AH13" s="23" t="e">
        <f>#REF!</f>
        <v>#REF!</v>
      </c>
      <c r="AI13" s="23">
        <f t="shared" ref="AI13:AN14" si="6">K14</f>
        <v>9748687.0300000031</v>
      </c>
      <c r="AJ13" s="23">
        <f t="shared" si="6"/>
        <v>10180786.59</v>
      </c>
      <c r="AK13" s="23">
        <f t="shared" si="6"/>
        <v>11638182.449999999</v>
      </c>
      <c r="AL13" s="23">
        <f t="shared" si="6"/>
        <v>11348932.559999999</v>
      </c>
      <c r="AM13" s="23">
        <f t="shared" si="6"/>
        <v>12992985.529999999</v>
      </c>
      <c r="AN13" s="23">
        <f t="shared" si="6"/>
        <v>12109873.880000001</v>
      </c>
      <c r="AO13" s="23">
        <f t="shared" ref="AO13:AO18" si="7">AN13-AM13</f>
        <v>-883111.64999999851</v>
      </c>
      <c r="AP13" s="23">
        <f>Q14</f>
        <v>17019714.208639368</v>
      </c>
      <c r="AQ13" s="24">
        <f t="shared" ref="AQ13:AQ18" si="8">AP13-AN13</f>
        <v>4909840.3286393676</v>
      </c>
      <c r="AR13" s="23">
        <f>R14</f>
        <v>21490435.755876098</v>
      </c>
      <c r="AS13" s="24">
        <f t="shared" ref="AS13:AS18" si="9">AR13-AP13</f>
        <v>4470721.5472367294</v>
      </c>
      <c r="AT13" s="23">
        <f>S14</f>
        <v>0</v>
      </c>
      <c r="AU13" s="23">
        <f t="shared" ref="AU13:AW14" si="10">T14</f>
        <v>0</v>
      </c>
      <c r="AV13" s="23">
        <f t="shared" si="10"/>
        <v>0</v>
      </c>
      <c r="AW13" s="23">
        <f t="shared" si="10"/>
        <v>0</v>
      </c>
    </row>
    <row r="14" spans="1:49" ht="24.75" customHeight="1" x14ac:dyDescent="0.25">
      <c r="A14" s="25" t="s">
        <v>35</v>
      </c>
      <c r="B14" s="26"/>
      <c r="C14" s="27" t="e">
        <v>#N/A</v>
      </c>
      <c r="D14" s="27" t="e">
        <v>#N/A</v>
      </c>
      <c r="E14" s="27" t="e">
        <v>#N/A</v>
      </c>
      <c r="F14" s="27" t="e">
        <v>#N/A</v>
      </c>
      <c r="G14" s="27" t="e">
        <v>#N/A</v>
      </c>
      <c r="H14" s="27" t="e">
        <v>#N/A</v>
      </c>
      <c r="I14" s="27" t="e">
        <v>#N/A</v>
      </c>
      <c r="J14" s="27" t="e">
        <v>#N/A</v>
      </c>
      <c r="K14" s="27">
        <v>9748687.0300000031</v>
      </c>
      <c r="L14" s="27">
        <v>10180786.59</v>
      </c>
      <c r="M14" s="27">
        <v>11638182.449999999</v>
      </c>
      <c r="N14" s="27">
        <v>11348932.559999999</v>
      </c>
      <c r="O14" s="27">
        <v>12992985.529999999</v>
      </c>
      <c r="P14" s="26">
        <v>12109873.880000001</v>
      </c>
      <c r="Q14" s="26">
        <v>17019714.208639368</v>
      </c>
      <c r="R14" s="26">
        <v>21490435.755876098</v>
      </c>
      <c r="S14" s="26"/>
      <c r="T14" s="26"/>
      <c r="U14" s="26"/>
      <c r="V14" s="159"/>
      <c r="W14" s="28"/>
      <c r="X14" s="28"/>
      <c r="Y14" s="29" t="s">
        <v>36</v>
      </c>
      <c r="Z14" s="23" t="e">
        <f t="shared" si="5"/>
        <v>#N/A</v>
      </c>
      <c r="AA14" s="23" t="e">
        <f t="shared" si="5"/>
        <v>#N/A</v>
      </c>
      <c r="AB14" s="23" t="e">
        <f t="shared" si="5"/>
        <v>#N/A</v>
      </c>
      <c r="AC14" s="23" t="e">
        <f t="shared" si="5"/>
        <v>#N/A</v>
      </c>
      <c r="AD14" s="23" t="e">
        <f t="shared" si="5"/>
        <v>#N/A</v>
      </c>
      <c r="AE14" s="23" t="e">
        <f t="shared" si="5"/>
        <v>#N/A</v>
      </c>
      <c r="AF14" s="23" t="e">
        <f t="shared" si="5"/>
        <v>#N/A</v>
      </c>
      <c r="AG14" s="23" t="e">
        <f t="shared" si="5"/>
        <v>#N/A</v>
      </c>
      <c r="AH14" s="23" t="e">
        <f>#REF!</f>
        <v>#REF!</v>
      </c>
      <c r="AI14" s="30">
        <f t="shared" si="6"/>
        <v>4229032.21</v>
      </c>
      <c r="AJ14" s="30">
        <f t="shared" si="6"/>
        <v>4744305.6500000004</v>
      </c>
      <c r="AK14" s="30">
        <f t="shared" si="6"/>
        <v>4068368.5100000007</v>
      </c>
      <c r="AL14" s="30">
        <f t="shared" si="6"/>
        <v>4203636.55</v>
      </c>
      <c r="AM14" s="30">
        <f t="shared" si="6"/>
        <v>7443163.7000000002</v>
      </c>
      <c r="AN14" s="30">
        <f t="shared" si="6"/>
        <v>7771862.6899999995</v>
      </c>
      <c r="AO14" s="23">
        <f t="shared" si="7"/>
        <v>328698.98999999929</v>
      </c>
      <c r="AP14" s="30">
        <f>Q15</f>
        <v>6525246.8013525307</v>
      </c>
      <c r="AQ14" s="24">
        <f t="shared" si="8"/>
        <v>-1246615.8886474688</v>
      </c>
      <c r="AR14" s="23">
        <f>R15</f>
        <v>7971512.7528743893</v>
      </c>
      <c r="AS14" s="24">
        <f t="shared" si="9"/>
        <v>1446265.9515218586</v>
      </c>
      <c r="AT14" s="23">
        <f>S15</f>
        <v>0</v>
      </c>
      <c r="AU14" s="23">
        <f t="shared" si="10"/>
        <v>0</v>
      </c>
      <c r="AV14" s="23">
        <f t="shared" si="10"/>
        <v>0</v>
      </c>
      <c r="AW14" s="23">
        <f t="shared" si="10"/>
        <v>0</v>
      </c>
    </row>
    <row r="15" spans="1:49" ht="24.75" customHeight="1" x14ac:dyDescent="0.25">
      <c r="A15" s="31" t="s">
        <v>37</v>
      </c>
      <c r="B15" s="26"/>
      <c r="C15" s="27" t="e">
        <v>#N/A</v>
      </c>
      <c r="D15" s="27" t="e">
        <v>#N/A</v>
      </c>
      <c r="E15" s="27" t="e">
        <v>#N/A</v>
      </c>
      <c r="F15" s="27" t="e">
        <v>#N/A</v>
      </c>
      <c r="G15" s="27" t="e">
        <v>#N/A</v>
      </c>
      <c r="H15" s="27" t="e">
        <v>#N/A</v>
      </c>
      <c r="I15" s="27" t="e">
        <v>#N/A</v>
      </c>
      <c r="J15" s="27" t="e">
        <v>#N/A</v>
      </c>
      <c r="K15" s="27">
        <v>4229032.21</v>
      </c>
      <c r="L15" s="27">
        <v>4744305.6500000004</v>
      </c>
      <c r="M15" s="27">
        <v>4068368.5100000007</v>
      </c>
      <c r="N15" s="27">
        <v>4203636.55</v>
      </c>
      <c r="O15" s="27">
        <v>7443163.7000000002</v>
      </c>
      <c r="P15" s="26">
        <v>7771862.6899999995</v>
      </c>
      <c r="Q15" s="26">
        <v>6525246.8013525307</v>
      </c>
      <c r="R15" s="26">
        <v>7971512.7528743893</v>
      </c>
      <c r="S15" s="26"/>
      <c r="T15" s="26"/>
      <c r="U15" s="26"/>
      <c r="V15" s="159"/>
      <c r="W15" s="28"/>
      <c r="X15" s="28"/>
      <c r="Y15" s="29" t="s">
        <v>38</v>
      </c>
      <c r="Z15" s="23" t="e">
        <f t="shared" ref="Z15:AG17" si="11">C19</f>
        <v>#N/A</v>
      </c>
      <c r="AA15" s="23" t="e">
        <f t="shared" si="11"/>
        <v>#N/A</v>
      </c>
      <c r="AB15" s="23" t="e">
        <f t="shared" si="11"/>
        <v>#N/A</v>
      </c>
      <c r="AC15" s="23" t="e">
        <f t="shared" si="11"/>
        <v>#N/A</v>
      </c>
      <c r="AD15" s="23" t="e">
        <f t="shared" si="11"/>
        <v>#N/A</v>
      </c>
      <c r="AE15" s="23" t="e">
        <f t="shared" si="11"/>
        <v>#N/A</v>
      </c>
      <c r="AF15" s="23" t="e">
        <f t="shared" si="11"/>
        <v>#N/A</v>
      </c>
      <c r="AG15" s="23" t="e">
        <f t="shared" si="11"/>
        <v>#N/A</v>
      </c>
      <c r="AH15" s="23" t="e">
        <f>#REF!</f>
        <v>#REF!</v>
      </c>
      <c r="AI15" s="30">
        <f t="shared" ref="AI15:AN17" si="12">K19</f>
        <v>11355586.780000001</v>
      </c>
      <c r="AJ15" s="30">
        <f t="shared" si="12"/>
        <v>10770334.309999999</v>
      </c>
      <c r="AK15" s="30">
        <f t="shared" si="12"/>
        <v>10017118.899999999</v>
      </c>
      <c r="AL15" s="30">
        <f t="shared" si="12"/>
        <v>10583609.41</v>
      </c>
      <c r="AM15" s="30">
        <f t="shared" si="12"/>
        <v>11581087.32</v>
      </c>
      <c r="AN15" s="30">
        <f t="shared" si="12"/>
        <v>14162785.849999998</v>
      </c>
      <c r="AO15" s="23">
        <f t="shared" si="7"/>
        <v>2581698.5299999975</v>
      </c>
      <c r="AP15" s="30">
        <f>Q19</f>
        <v>13203354.046844071</v>
      </c>
      <c r="AQ15" s="24">
        <f t="shared" si="8"/>
        <v>-959431.80315592699</v>
      </c>
      <c r="AR15" s="30">
        <f>R19</f>
        <v>13851521.50658321</v>
      </c>
      <c r="AS15" s="24">
        <f t="shared" si="9"/>
        <v>648167.4597391393</v>
      </c>
      <c r="AT15" s="30">
        <f>S19</f>
        <v>0</v>
      </c>
      <c r="AU15" s="30">
        <f t="shared" ref="AU15:AW15" si="13">T19</f>
        <v>0</v>
      </c>
      <c r="AV15" s="30">
        <f t="shared" si="13"/>
        <v>0</v>
      </c>
      <c r="AW15" s="30">
        <f t="shared" si="13"/>
        <v>0</v>
      </c>
    </row>
    <row r="16" spans="1:49" ht="24.75" customHeight="1" x14ac:dyDescent="0.25">
      <c r="A16" s="32" t="s">
        <v>39</v>
      </c>
      <c r="B16" s="33">
        <f t="shared" ref="B16:I16" si="14">SUM(B14:B15)</f>
        <v>0</v>
      </c>
      <c r="C16" s="33" t="e">
        <f t="shared" si="14"/>
        <v>#N/A</v>
      </c>
      <c r="D16" s="33" t="e">
        <f t="shared" si="14"/>
        <v>#N/A</v>
      </c>
      <c r="E16" s="33" t="e">
        <f t="shared" si="14"/>
        <v>#N/A</v>
      </c>
      <c r="F16" s="33" t="e">
        <f t="shared" si="14"/>
        <v>#N/A</v>
      </c>
      <c r="G16" s="33" t="e">
        <f t="shared" si="14"/>
        <v>#N/A</v>
      </c>
      <c r="H16" s="33" t="e">
        <f t="shared" si="14"/>
        <v>#N/A</v>
      </c>
      <c r="I16" s="33" t="e">
        <f t="shared" si="14"/>
        <v>#N/A</v>
      </c>
      <c r="J16" s="33" t="e">
        <f t="shared" ref="J16:Q16" si="15">SUM(J14:J15)</f>
        <v>#N/A</v>
      </c>
      <c r="K16" s="33">
        <f t="shared" si="15"/>
        <v>13977719.240000002</v>
      </c>
      <c r="L16" s="33">
        <f>SUM(L14:L15)</f>
        <v>14925092.24</v>
      </c>
      <c r="M16" s="33">
        <f t="shared" si="15"/>
        <v>15706550.960000001</v>
      </c>
      <c r="N16" s="33">
        <f t="shared" si="15"/>
        <v>15552569.109999999</v>
      </c>
      <c r="O16" s="33">
        <f t="shared" si="15"/>
        <v>20436149.23</v>
      </c>
      <c r="P16" s="33">
        <f t="shared" si="15"/>
        <v>19881736.57</v>
      </c>
      <c r="Q16" s="33">
        <f t="shared" si="15"/>
        <v>23544961.009991899</v>
      </c>
      <c r="R16" s="33">
        <f>SUM(R14:R15)</f>
        <v>29461948.508750487</v>
      </c>
      <c r="S16" s="33">
        <f>SUM(S14:S15)</f>
        <v>0</v>
      </c>
      <c r="T16" s="33">
        <f>SUM(T14:T15)</f>
        <v>0</v>
      </c>
      <c r="U16" s="33">
        <f>SUM(U14:U15)</f>
        <v>0</v>
      </c>
      <c r="V16" s="34">
        <f>SUM(V14:V15)</f>
        <v>0</v>
      </c>
      <c r="W16" s="35"/>
      <c r="X16" s="35"/>
      <c r="Y16" s="29" t="s">
        <v>40</v>
      </c>
      <c r="Z16" s="23" t="e">
        <f t="shared" si="11"/>
        <v>#N/A</v>
      </c>
      <c r="AA16" s="23" t="e">
        <f t="shared" si="11"/>
        <v>#N/A</v>
      </c>
      <c r="AB16" s="23" t="e">
        <f t="shared" si="11"/>
        <v>#N/A</v>
      </c>
      <c r="AC16" s="23" t="e">
        <f t="shared" si="11"/>
        <v>#N/A</v>
      </c>
      <c r="AD16" s="23" t="e">
        <f t="shared" si="11"/>
        <v>#N/A</v>
      </c>
      <c r="AE16" s="23" t="e">
        <f t="shared" si="11"/>
        <v>#N/A</v>
      </c>
      <c r="AF16" s="23" t="e">
        <f t="shared" si="11"/>
        <v>#N/A</v>
      </c>
      <c r="AG16" s="23" t="e">
        <f t="shared" si="11"/>
        <v>#N/A</v>
      </c>
      <c r="AH16" s="23" t="e">
        <f>#REF!</f>
        <v>#REF!</v>
      </c>
      <c r="AI16" s="30">
        <f t="shared" si="12"/>
        <v>10083.5</v>
      </c>
      <c r="AJ16" s="30">
        <f t="shared" si="12"/>
        <v>209037.49</v>
      </c>
      <c r="AK16" s="30">
        <f t="shared" si="12"/>
        <v>572372.72</v>
      </c>
      <c r="AL16" s="30">
        <f t="shared" si="12"/>
        <v>524888.58000000007</v>
      </c>
      <c r="AM16" s="30">
        <f t="shared" si="12"/>
        <v>576712.71000000008</v>
      </c>
      <c r="AN16" s="30">
        <f t="shared" si="12"/>
        <v>732386.26000000013</v>
      </c>
      <c r="AO16" s="23">
        <f t="shared" si="7"/>
        <v>155673.55000000005</v>
      </c>
      <c r="AP16" s="30">
        <f>Q20</f>
        <v>906644.52532789984</v>
      </c>
      <c r="AQ16" s="24">
        <f t="shared" si="8"/>
        <v>174258.26532789972</v>
      </c>
      <c r="AR16" s="30">
        <f>R20</f>
        <v>973788.47976212983</v>
      </c>
      <c r="AS16" s="24">
        <f t="shared" si="9"/>
        <v>67143.954434229992</v>
      </c>
      <c r="AT16" s="30">
        <f>S20</f>
        <v>0</v>
      </c>
      <c r="AU16" s="30">
        <f t="shared" ref="AU16:AW16" si="16">T20</f>
        <v>0</v>
      </c>
      <c r="AV16" s="30">
        <f t="shared" si="16"/>
        <v>0</v>
      </c>
      <c r="AW16" s="30">
        <f t="shared" si="16"/>
        <v>0</v>
      </c>
    </row>
    <row r="17" spans="1:57" ht="24.75" customHeight="1" x14ac:dyDescent="0.25">
      <c r="A17" s="31" t="s">
        <v>41</v>
      </c>
      <c r="B17" s="36"/>
      <c r="C17" s="37" t="str">
        <f>IFERROR((C16-B16)/B16,"")</f>
        <v/>
      </c>
      <c r="D17" s="37" t="str">
        <f t="shared" ref="D17:V17" si="17">IFERROR((D16-C16)/C16,"")</f>
        <v/>
      </c>
      <c r="E17" s="37" t="str">
        <f t="shared" si="17"/>
        <v/>
      </c>
      <c r="F17" s="37" t="str">
        <f t="shared" si="17"/>
        <v/>
      </c>
      <c r="G17" s="37" t="str">
        <f t="shared" si="17"/>
        <v/>
      </c>
      <c r="H17" s="37" t="str">
        <f t="shared" si="17"/>
        <v/>
      </c>
      <c r="I17" s="37" t="str">
        <f t="shared" si="17"/>
        <v/>
      </c>
      <c r="J17" s="37" t="str">
        <f t="shared" si="17"/>
        <v/>
      </c>
      <c r="K17" s="37" t="str">
        <f>IFERROR((K16-#REF!)/#REF!,"")</f>
        <v/>
      </c>
      <c r="L17" s="37">
        <f t="shared" si="17"/>
        <v>6.7777366516913809E-2</v>
      </c>
      <c r="M17" s="37">
        <f t="shared" si="17"/>
        <v>5.2358719626914726E-2</v>
      </c>
      <c r="N17" s="37">
        <f t="shared" si="17"/>
        <v>-9.8036704806897645E-3</v>
      </c>
      <c r="O17" s="37">
        <f t="shared" si="17"/>
        <v>0.31400472072874147</v>
      </c>
      <c r="P17" s="37">
        <f t="shared" si="17"/>
        <v>-2.7129017984764449E-2</v>
      </c>
      <c r="Q17" s="37">
        <f t="shared" si="17"/>
        <v>0.18425072815417043</v>
      </c>
      <c r="R17" s="37">
        <f t="shared" si="17"/>
        <v>0.25130589497462175</v>
      </c>
      <c r="S17" s="37">
        <f t="shared" si="17"/>
        <v>-1</v>
      </c>
      <c r="T17" s="37" t="str">
        <f t="shared" si="17"/>
        <v/>
      </c>
      <c r="U17" s="37" t="str">
        <f t="shared" si="17"/>
        <v/>
      </c>
      <c r="V17" s="38" t="str">
        <f t="shared" si="17"/>
        <v/>
      </c>
      <c r="W17" s="39"/>
      <c r="X17" s="40"/>
      <c r="Y17" s="29" t="s">
        <v>42</v>
      </c>
      <c r="Z17" s="23" t="e">
        <f t="shared" si="11"/>
        <v>#N/A</v>
      </c>
      <c r="AA17" s="23" t="e">
        <f t="shared" si="11"/>
        <v>#N/A</v>
      </c>
      <c r="AB17" s="23" t="e">
        <f t="shared" si="11"/>
        <v>#N/A</v>
      </c>
      <c r="AC17" s="23" t="e">
        <f t="shared" si="11"/>
        <v>#N/A</v>
      </c>
      <c r="AD17" s="23" t="e">
        <f t="shared" si="11"/>
        <v>#N/A</v>
      </c>
      <c r="AE17" s="23" t="e">
        <f t="shared" si="11"/>
        <v>#N/A</v>
      </c>
      <c r="AF17" s="23" t="e">
        <f t="shared" si="11"/>
        <v>#N/A</v>
      </c>
      <c r="AG17" s="23" t="e">
        <f t="shared" si="11"/>
        <v>#N/A</v>
      </c>
      <c r="AH17" s="23" t="e">
        <f>#REF!</f>
        <v>#REF!</v>
      </c>
      <c r="AI17" s="30">
        <f t="shared" si="12"/>
        <v>16960746.09</v>
      </c>
      <c r="AJ17" s="30">
        <f t="shared" si="12"/>
        <v>17011245.700000003</v>
      </c>
      <c r="AK17" s="30">
        <f t="shared" si="12"/>
        <v>18622420.010000002</v>
      </c>
      <c r="AL17" s="30">
        <f t="shared" si="12"/>
        <v>20001129.23</v>
      </c>
      <c r="AM17" s="30">
        <f t="shared" si="12"/>
        <v>21006426.220000003</v>
      </c>
      <c r="AN17" s="30">
        <f t="shared" si="12"/>
        <v>26248320.75</v>
      </c>
      <c r="AO17" s="23">
        <f t="shared" si="7"/>
        <v>5241894.5299999975</v>
      </c>
      <c r="AP17" s="30">
        <f>Q21</f>
        <v>26436219.49574551</v>
      </c>
      <c r="AQ17" s="24">
        <f t="shared" si="8"/>
        <v>187898.74574550986</v>
      </c>
      <c r="AR17" s="30">
        <f>R21</f>
        <v>37748328.547084361</v>
      </c>
      <c r="AS17" s="24">
        <f t="shared" si="9"/>
        <v>11312109.051338851</v>
      </c>
      <c r="AT17" s="30">
        <f>S21</f>
        <v>0</v>
      </c>
      <c r="AU17" s="30">
        <f t="shared" ref="AU17:AW17" si="18">T21</f>
        <v>0</v>
      </c>
      <c r="AV17" s="30">
        <f t="shared" si="18"/>
        <v>0</v>
      </c>
      <c r="AW17" s="30">
        <f t="shared" si="18"/>
        <v>0</v>
      </c>
    </row>
    <row r="18" spans="1:57" ht="24.75" customHeight="1" x14ac:dyDescent="0.25">
      <c r="A18" s="41" t="s">
        <v>43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 t="str">
        <f t="shared" ref="Q18:V18" si="19">IFERROR((Q16-INDEX(B16:Q16,1,MATCH(RebaseYear,B11:Q11,0)))/INDEX(B16:Q16,1,MATCH(RebaseYear,B11:Q11,0)),"")</f>
        <v/>
      </c>
      <c r="R18" s="42" t="str">
        <f t="shared" si="19"/>
        <v/>
      </c>
      <c r="S18" s="42" t="str">
        <f t="shared" si="19"/>
        <v/>
      </c>
      <c r="T18" s="42" t="str">
        <f t="shared" si="19"/>
        <v/>
      </c>
      <c r="U18" s="42" t="str">
        <f t="shared" si="19"/>
        <v/>
      </c>
      <c r="V18" s="43" t="str">
        <f t="shared" si="19"/>
        <v/>
      </c>
      <c r="W18" s="40"/>
      <c r="X18" s="40"/>
      <c r="Y18" s="29" t="s">
        <v>44</v>
      </c>
      <c r="Z18" s="23" t="e">
        <f t="shared" ref="Z18:AG18" si="20">C25</f>
        <v>#N/A</v>
      </c>
      <c r="AA18" s="23" t="e">
        <f t="shared" si="20"/>
        <v>#N/A</v>
      </c>
      <c r="AB18" s="23" t="e">
        <f t="shared" si="20"/>
        <v>#N/A</v>
      </c>
      <c r="AC18" s="23" t="e">
        <f t="shared" si="20"/>
        <v>#N/A</v>
      </c>
      <c r="AD18" s="23" t="e">
        <f t="shared" si="20"/>
        <v>#N/A</v>
      </c>
      <c r="AE18" s="23" t="e">
        <f t="shared" si="20"/>
        <v>#N/A</v>
      </c>
      <c r="AF18" s="23" t="e">
        <f t="shared" si="20"/>
        <v>#N/A</v>
      </c>
      <c r="AG18" s="23" t="e">
        <f t="shared" si="20"/>
        <v>#N/A</v>
      </c>
      <c r="AH18" s="23" t="e">
        <f>#REF!</f>
        <v>#REF!</v>
      </c>
      <c r="AI18" s="30">
        <f t="shared" ref="AI18:AN18" si="21">K25</f>
        <v>42304135.609999999</v>
      </c>
      <c r="AJ18" s="30">
        <f t="shared" si="21"/>
        <v>42915709.740000002</v>
      </c>
      <c r="AK18" s="30">
        <f t="shared" si="21"/>
        <v>44918462.590000004</v>
      </c>
      <c r="AL18" s="30">
        <f t="shared" si="21"/>
        <v>46662196.329999998</v>
      </c>
      <c r="AM18" s="30">
        <f t="shared" si="21"/>
        <v>53600375.480000004</v>
      </c>
      <c r="AN18" s="30">
        <f t="shared" si="21"/>
        <v>61025229.43</v>
      </c>
      <c r="AO18" s="23">
        <f t="shared" si="7"/>
        <v>7424853.9499999955</v>
      </c>
      <c r="AP18" s="30">
        <f>Q25</f>
        <v>64091179.07790938</v>
      </c>
      <c r="AQ18" s="24">
        <f t="shared" si="8"/>
        <v>3065949.6479093805</v>
      </c>
      <c r="AR18" s="30">
        <f>R25</f>
        <v>82035587.042180181</v>
      </c>
      <c r="AS18" s="24">
        <f t="shared" si="9"/>
        <v>17944407.9642708</v>
      </c>
      <c r="AT18" s="30">
        <f>S25</f>
        <v>0</v>
      </c>
      <c r="AU18" s="30">
        <f t="shared" ref="AU18:AW18" si="22">T25</f>
        <v>0</v>
      </c>
      <c r="AV18" s="30">
        <f t="shared" si="22"/>
        <v>0</v>
      </c>
      <c r="AW18" s="30">
        <f t="shared" si="22"/>
        <v>0</v>
      </c>
    </row>
    <row r="19" spans="1:57" ht="24.75" customHeight="1" x14ac:dyDescent="0.25">
      <c r="A19" s="31" t="s">
        <v>45</v>
      </c>
      <c r="B19" s="26"/>
      <c r="C19" s="27" t="e">
        <v>#N/A</v>
      </c>
      <c r="D19" s="27" t="e">
        <v>#N/A</v>
      </c>
      <c r="E19" s="27" t="e">
        <v>#N/A</v>
      </c>
      <c r="F19" s="27" t="e">
        <v>#N/A</v>
      </c>
      <c r="G19" s="27" t="e">
        <v>#N/A</v>
      </c>
      <c r="H19" s="27" t="e">
        <v>#N/A</v>
      </c>
      <c r="I19" s="27" t="e">
        <v>#N/A</v>
      </c>
      <c r="J19" s="27" t="e">
        <v>#N/A</v>
      </c>
      <c r="K19" s="27">
        <v>11355586.780000001</v>
      </c>
      <c r="L19" s="27">
        <v>10770334.309999999</v>
      </c>
      <c r="M19" s="27">
        <v>10017118.899999999</v>
      </c>
      <c r="N19" s="27">
        <v>10583609.41</v>
      </c>
      <c r="O19" s="27">
        <v>11581087.32</v>
      </c>
      <c r="P19" s="26">
        <v>14162785.849999998</v>
      </c>
      <c r="Q19" s="26">
        <v>13203354.046844071</v>
      </c>
      <c r="R19" s="26">
        <v>13851521.50658321</v>
      </c>
      <c r="S19" s="26"/>
      <c r="T19" s="26"/>
      <c r="U19" s="26"/>
      <c r="V19" s="158"/>
      <c r="W19" s="44"/>
      <c r="X19" s="28"/>
      <c r="Y19" s="29" t="s">
        <v>46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45"/>
      <c r="AP19" s="26"/>
      <c r="AQ19" s="46"/>
      <c r="AR19" s="26"/>
      <c r="AS19" s="46"/>
      <c r="AT19" s="26"/>
      <c r="AU19" s="26"/>
      <c r="AV19" s="26"/>
      <c r="AW19" s="26"/>
    </row>
    <row r="20" spans="1:57" ht="24.75" customHeight="1" x14ac:dyDescent="0.25">
      <c r="A20" s="31" t="s">
        <v>47</v>
      </c>
      <c r="B20" s="26"/>
      <c r="C20" s="27" t="e">
        <v>#N/A</v>
      </c>
      <c r="D20" s="27" t="e">
        <v>#N/A</v>
      </c>
      <c r="E20" s="27" t="e">
        <v>#N/A</v>
      </c>
      <c r="F20" s="27" t="e">
        <v>#N/A</v>
      </c>
      <c r="G20" s="27" t="e">
        <v>#N/A</v>
      </c>
      <c r="H20" s="27" t="e">
        <v>#N/A</v>
      </c>
      <c r="I20" s="27" t="e">
        <v>#N/A</v>
      </c>
      <c r="J20" s="27" t="e">
        <v>#N/A</v>
      </c>
      <c r="K20" s="27">
        <v>10083.5</v>
      </c>
      <c r="L20" s="27">
        <v>209037.49</v>
      </c>
      <c r="M20" s="27">
        <v>572372.72</v>
      </c>
      <c r="N20" s="27">
        <v>524888.58000000007</v>
      </c>
      <c r="O20" s="27">
        <v>576712.71000000008</v>
      </c>
      <c r="P20" s="26">
        <v>732386.26000000013</v>
      </c>
      <c r="Q20" s="26">
        <v>906644.52532789984</v>
      </c>
      <c r="R20" s="26">
        <v>973788.47976212983</v>
      </c>
      <c r="S20" s="26"/>
      <c r="T20" s="26"/>
      <c r="U20" s="26"/>
      <c r="V20" s="159"/>
      <c r="W20" s="44"/>
      <c r="X20" s="28"/>
      <c r="Y20" s="29" t="s">
        <v>48</v>
      </c>
      <c r="Z20" s="23" t="e">
        <f t="shared" ref="Z20:AH20" si="23">IF(Z11&lt;RebaseYear, 0, Z18-Z19)</f>
        <v>#NAME?</v>
      </c>
      <c r="AA20" s="23" t="e">
        <f t="shared" si="23"/>
        <v>#NAME?</v>
      </c>
      <c r="AB20" s="23" t="e">
        <f t="shared" si="23"/>
        <v>#NAME?</v>
      </c>
      <c r="AC20" s="23" t="e">
        <f t="shared" si="23"/>
        <v>#NAME?</v>
      </c>
      <c r="AD20" s="23" t="e">
        <f t="shared" si="23"/>
        <v>#NAME?</v>
      </c>
      <c r="AE20" s="23" t="e">
        <f t="shared" si="23"/>
        <v>#NAME?</v>
      </c>
      <c r="AF20" s="23" t="e">
        <f t="shared" si="23"/>
        <v>#NAME?</v>
      </c>
      <c r="AG20" s="23" t="e">
        <f t="shared" si="23"/>
        <v>#NAME?</v>
      </c>
      <c r="AH20" s="23" t="e">
        <f t="shared" si="23"/>
        <v>#REF!</v>
      </c>
      <c r="AI20" s="23">
        <f>AI18-AI19</f>
        <v>42304135.609999999</v>
      </c>
      <c r="AJ20" s="23">
        <f t="shared" ref="AJ20:AW20" si="24">AJ18-AJ19</f>
        <v>42915709.740000002</v>
      </c>
      <c r="AK20" s="23">
        <f t="shared" si="24"/>
        <v>44918462.590000004</v>
      </c>
      <c r="AL20" s="23">
        <f t="shared" si="24"/>
        <v>46662196.329999998</v>
      </c>
      <c r="AM20" s="23">
        <f t="shared" si="24"/>
        <v>53600375.480000004</v>
      </c>
      <c r="AN20" s="23">
        <f t="shared" si="24"/>
        <v>61025229.43</v>
      </c>
      <c r="AO20" s="23">
        <f t="shared" si="24"/>
        <v>7424853.9499999955</v>
      </c>
      <c r="AP20" s="23">
        <f t="shared" si="24"/>
        <v>64091179.07790938</v>
      </c>
      <c r="AQ20" s="23">
        <f t="shared" si="24"/>
        <v>3065949.6479093805</v>
      </c>
      <c r="AR20" s="23">
        <f t="shared" si="24"/>
        <v>82035587.042180181</v>
      </c>
      <c r="AS20" s="23">
        <f t="shared" si="24"/>
        <v>17944407.9642708</v>
      </c>
      <c r="AT20" s="23">
        <f t="shared" si="24"/>
        <v>0</v>
      </c>
      <c r="AU20" s="23">
        <f t="shared" si="24"/>
        <v>0</v>
      </c>
      <c r="AV20" s="23">
        <f t="shared" si="24"/>
        <v>0</v>
      </c>
      <c r="AW20" s="23">
        <f t="shared" si="24"/>
        <v>0</v>
      </c>
    </row>
    <row r="21" spans="1:57" s="51" customFormat="1" ht="24.75" customHeight="1" x14ac:dyDescent="0.25">
      <c r="A21" s="47" t="s">
        <v>49</v>
      </c>
      <c r="B21" s="26"/>
      <c r="C21" s="27" t="e">
        <v>#N/A</v>
      </c>
      <c r="D21" s="27" t="e">
        <v>#N/A</v>
      </c>
      <c r="E21" s="27" t="e">
        <v>#N/A</v>
      </c>
      <c r="F21" s="27" t="e">
        <v>#N/A</v>
      </c>
      <c r="G21" s="27" t="e">
        <v>#N/A</v>
      </c>
      <c r="H21" s="27" t="e">
        <v>#N/A</v>
      </c>
      <c r="I21" s="27" t="e">
        <v>#N/A</v>
      </c>
      <c r="J21" s="27" t="e">
        <v>#N/A</v>
      </c>
      <c r="K21" s="27">
        <v>16960746.09</v>
      </c>
      <c r="L21" s="27">
        <v>17011245.700000003</v>
      </c>
      <c r="M21" s="27">
        <v>18622420.010000002</v>
      </c>
      <c r="N21" s="27">
        <v>20001129.23</v>
      </c>
      <c r="O21" s="27">
        <v>21006426.220000003</v>
      </c>
      <c r="P21" s="26">
        <v>26248320.75</v>
      </c>
      <c r="Q21" s="26">
        <v>26436219.49574551</v>
      </c>
      <c r="R21" s="26">
        <v>37748328.547084361</v>
      </c>
      <c r="S21" s="26"/>
      <c r="T21" s="26"/>
      <c r="U21" s="26"/>
      <c r="V21" s="159"/>
      <c r="W21" s="44"/>
      <c r="X21" s="28"/>
      <c r="Y21" s="48" t="s">
        <v>50</v>
      </c>
      <c r="Z21" s="175"/>
      <c r="AA21" s="175" t="e">
        <f t="shared" ref="AA21:AH21" si="25">IF(AA11&lt;=RebaseYear, 0, AA20-Z20)</f>
        <v>#NAME?</v>
      </c>
      <c r="AB21" s="175" t="e">
        <f t="shared" si="25"/>
        <v>#NAME?</v>
      </c>
      <c r="AC21" s="175" t="e">
        <f t="shared" si="25"/>
        <v>#NAME?</v>
      </c>
      <c r="AD21" s="175" t="e">
        <f t="shared" si="25"/>
        <v>#NAME?</v>
      </c>
      <c r="AE21" s="175" t="e">
        <f t="shared" si="25"/>
        <v>#NAME?</v>
      </c>
      <c r="AF21" s="175" t="e">
        <f t="shared" si="25"/>
        <v>#NAME?</v>
      </c>
      <c r="AG21" s="175" t="e">
        <f t="shared" si="25"/>
        <v>#NAME?</v>
      </c>
      <c r="AH21" s="175" t="e">
        <f t="shared" si="25"/>
        <v>#REF!</v>
      </c>
      <c r="AI21" s="49"/>
      <c r="AJ21" s="49">
        <f>AJ20-AI20</f>
        <v>611574.13000000268</v>
      </c>
      <c r="AK21" s="49">
        <f t="shared" ref="AK21:AW21" si="26">AK20-AJ20</f>
        <v>2002752.8500000015</v>
      </c>
      <c r="AL21" s="49">
        <f t="shared" si="26"/>
        <v>1743733.7399999946</v>
      </c>
      <c r="AM21" s="49">
        <f t="shared" si="26"/>
        <v>6938179.150000006</v>
      </c>
      <c r="AN21" s="49">
        <f t="shared" si="26"/>
        <v>7424853.9499999955</v>
      </c>
      <c r="AO21" s="49"/>
      <c r="AP21" s="49">
        <f>AP20-AN20</f>
        <v>3065949.6479093805</v>
      </c>
      <c r="AQ21" s="49"/>
      <c r="AR21" s="49">
        <f>AR20-AP20</f>
        <v>17944407.9642708</v>
      </c>
      <c r="AS21" s="49"/>
      <c r="AT21" s="49"/>
      <c r="AU21" s="49">
        <f t="shared" si="26"/>
        <v>0</v>
      </c>
      <c r="AV21" s="49">
        <f t="shared" si="26"/>
        <v>0</v>
      </c>
      <c r="AW21" s="49">
        <f t="shared" si="26"/>
        <v>0</v>
      </c>
    </row>
    <row r="22" spans="1:57" s="51" customFormat="1" ht="24.75" customHeight="1" x14ac:dyDescent="0.25">
      <c r="A22" s="52" t="s">
        <v>39</v>
      </c>
      <c r="B22" s="53">
        <f t="shared" ref="B22:I22" si="27">SUM(B19:B21)</f>
        <v>0</v>
      </c>
      <c r="C22" s="53" t="e">
        <f t="shared" si="27"/>
        <v>#N/A</v>
      </c>
      <c r="D22" s="53" t="e">
        <f t="shared" si="27"/>
        <v>#N/A</v>
      </c>
      <c r="E22" s="53" t="e">
        <f t="shared" si="27"/>
        <v>#N/A</v>
      </c>
      <c r="F22" s="53" t="e">
        <f t="shared" si="27"/>
        <v>#N/A</v>
      </c>
      <c r="G22" s="53" t="e">
        <f t="shared" si="27"/>
        <v>#N/A</v>
      </c>
      <c r="H22" s="53" t="e">
        <f t="shared" si="27"/>
        <v>#N/A</v>
      </c>
      <c r="I22" s="53" t="e">
        <f t="shared" si="27"/>
        <v>#N/A</v>
      </c>
      <c r="J22" s="53" t="e">
        <f t="shared" ref="J22:V22" si="28">SUM(J19:J21)</f>
        <v>#N/A</v>
      </c>
      <c r="K22" s="53">
        <f t="shared" si="28"/>
        <v>28326416.370000001</v>
      </c>
      <c r="L22" s="53">
        <f t="shared" si="28"/>
        <v>27990617.5</v>
      </c>
      <c r="M22" s="53">
        <f t="shared" si="28"/>
        <v>29211911.630000003</v>
      </c>
      <c r="N22" s="53">
        <f t="shared" si="28"/>
        <v>31109627.219999999</v>
      </c>
      <c r="O22" s="53">
        <f t="shared" si="28"/>
        <v>33164226.250000004</v>
      </c>
      <c r="P22" s="53">
        <f t="shared" si="28"/>
        <v>41143492.859999999</v>
      </c>
      <c r="Q22" s="53">
        <f t="shared" si="28"/>
        <v>40546218.067917481</v>
      </c>
      <c r="R22" s="53">
        <f t="shared" si="28"/>
        <v>52573638.533429697</v>
      </c>
      <c r="S22" s="53">
        <f t="shared" si="28"/>
        <v>0</v>
      </c>
      <c r="T22" s="53">
        <f t="shared" si="28"/>
        <v>0</v>
      </c>
      <c r="U22" s="53">
        <f t="shared" si="28"/>
        <v>0</v>
      </c>
      <c r="V22" s="54">
        <f t="shared" si="28"/>
        <v>0</v>
      </c>
      <c r="W22" s="44"/>
      <c r="X22" s="28"/>
      <c r="Y22" s="48" t="s">
        <v>51</v>
      </c>
      <c r="Z22" s="176"/>
      <c r="AA22" s="176" t="e">
        <f t="shared" ref="AA22:AH22" si="29">IF(AA11&lt;=RebaseYear, "", IF(ISERROR(AA21/Z20), "", AA21/Z20))</f>
        <v>#NAME?</v>
      </c>
      <c r="AB22" s="176" t="e">
        <f t="shared" si="29"/>
        <v>#NAME?</v>
      </c>
      <c r="AC22" s="176" t="e">
        <f t="shared" si="29"/>
        <v>#NAME?</v>
      </c>
      <c r="AD22" s="176" t="e">
        <f t="shared" si="29"/>
        <v>#NAME?</v>
      </c>
      <c r="AE22" s="176" t="e">
        <f t="shared" si="29"/>
        <v>#NAME?</v>
      </c>
      <c r="AF22" s="176" t="e">
        <f t="shared" si="29"/>
        <v>#NAME?</v>
      </c>
      <c r="AG22" s="176" t="e">
        <f t="shared" si="29"/>
        <v>#NAME?</v>
      </c>
      <c r="AH22" s="176" t="e">
        <f t="shared" si="29"/>
        <v>#REF!</v>
      </c>
      <c r="AI22" s="55"/>
      <c r="AJ22" s="55">
        <f>AJ21/AI20</f>
        <v>1.4456603856371826E-2</v>
      </c>
      <c r="AK22" s="55">
        <f t="shared" ref="AK22:AN22" si="30">AK21/AJ20</f>
        <v>4.6667126377111186E-2</v>
      </c>
      <c r="AL22" s="55">
        <f t="shared" si="30"/>
        <v>3.8819978232919182E-2</v>
      </c>
      <c r="AM22" s="55">
        <f t="shared" si="30"/>
        <v>0.14868951090369745</v>
      </c>
      <c r="AN22" s="55">
        <f t="shared" si="30"/>
        <v>0.13852242420895808</v>
      </c>
      <c r="AO22" s="55"/>
      <c r="AP22" s="55">
        <v>5.0240690228395272E-2</v>
      </c>
      <c r="AQ22" s="50"/>
      <c r="AR22" s="55">
        <v>0.27998249092059202</v>
      </c>
      <c r="AS22" s="50"/>
      <c r="AT22" s="55">
        <v>-1</v>
      </c>
      <c r="AU22" s="55" t="s">
        <v>117</v>
      </c>
      <c r="AV22" s="55" t="s">
        <v>117</v>
      </c>
      <c r="AW22" s="55" t="s">
        <v>117</v>
      </c>
    </row>
    <row r="23" spans="1:57" ht="24.75" customHeight="1" x14ac:dyDescent="0.25">
      <c r="A23" s="31" t="s">
        <v>41</v>
      </c>
      <c r="B23" s="36"/>
      <c r="C23" s="38" t="str">
        <f t="shared" ref="C23:V23" si="31">IFERROR((C22-B22)/B22,"")</f>
        <v/>
      </c>
      <c r="D23" s="38" t="str">
        <f t="shared" si="31"/>
        <v/>
      </c>
      <c r="E23" s="38" t="str">
        <f t="shared" si="31"/>
        <v/>
      </c>
      <c r="F23" s="38" t="str">
        <f t="shared" si="31"/>
        <v/>
      </c>
      <c r="G23" s="38" t="str">
        <f t="shared" si="31"/>
        <v/>
      </c>
      <c r="H23" s="38" t="str">
        <f t="shared" si="31"/>
        <v/>
      </c>
      <c r="I23" s="38" t="str">
        <f t="shared" si="31"/>
        <v/>
      </c>
      <c r="J23" s="38" t="str">
        <f t="shared" si="31"/>
        <v/>
      </c>
      <c r="K23" s="38" t="str">
        <f>IFERROR((K22-#REF!)/#REF!,"")</f>
        <v/>
      </c>
      <c r="L23" s="38">
        <f t="shared" si="31"/>
        <v>-1.1854618869319438E-2</v>
      </c>
      <c r="M23" s="38">
        <f t="shared" si="31"/>
        <v>4.3632268205587202E-2</v>
      </c>
      <c r="N23" s="38">
        <f t="shared" si="31"/>
        <v>6.4963759100622603E-2</v>
      </c>
      <c r="O23" s="38">
        <f t="shared" si="31"/>
        <v>6.6043833166831656E-2</v>
      </c>
      <c r="P23" s="38">
        <f t="shared" si="31"/>
        <v>0.24059860615623424</v>
      </c>
      <c r="Q23" s="38">
        <f t="shared" si="31"/>
        <v>-1.4516871334061994E-2</v>
      </c>
      <c r="R23" s="38">
        <f t="shared" si="31"/>
        <v>0.2966348290576824</v>
      </c>
      <c r="S23" s="38">
        <f t="shared" si="31"/>
        <v>-1</v>
      </c>
      <c r="T23" s="38" t="str">
        <f t="shared" si="31"/>
        <v/>
      </c>
      <c r="U23" s="38" t="str">
        <f t="shared" si="31"/>
        <v/>
      </c>
      <c r="V23" s="38" t="str">
        <f t="shared" si="31"/>
        <v/>
      </c>
      <c r="W23" s="44"/>
      <c r="X23" s="28"/>
      <c r="Y23" s="29" t="s">
        <v>52</v>
      </c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7"/>
      <c r="AQ23" s="58"/>
      <c r="AR23" s="57">
        <f>(AR20-AN20)/AN20</f>
        <v>0.34428969474470322</v>
      </c>
      <c r="AS23" s="58"/>
      <c r="AT23" s="56"/>
      <c r="AU23" s="56"/>
      <c r="AV23" s="56"/>
      <c r="AW23" s="58"/>
    </row>
    <row r="24" spans="1:57" ht="24.75" customHeight="1" x14ac:dyDescent="0.25">
      <c r="A24" s="31" t="s">
        <v>43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 t="str">
        <f t="shared" ref="Q24:V24" si="32">IFERROR((Q22-INDEX(B22:Q22,1,MATCH(RebaseYear,B11:Q11,0)))/INDEX(B22:Q22,1,MATCH(RebaseYear,B11:Q11,0)),"")</f>
        <v/>
      </c>
      <c r="R24" s="59" t="str">
        <f t="shared" si="32"/>
        <v/>
      </c>
      <c r="S24" s="59" t="str">
        <f t="shared" si="32"/>
        <v/>
      </c>
      <c r="T24" s="59" t="str">
        <f t="shared" si="32"/>
        <v/>
      </c>
      <c r="U24" s="59" t="str">
        <f t="shared" si="32"/>
        <v/>
      </c>
      <c r="V24" s="43" t="str">
        <f t="shared" si="32"/>
        <v/>
      </c>
      <c r="W24" s="40"/>
      <c r="X24" s="40"/>
      <c r="Y24" s="29" t="s">
        <v>53</v>
      </c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7">
        <f>AVERAGE(AI22:AP22)</f>
        <v>7.2899388967908832E-2</v>
      </c>
      <c r="AQ24" s="60"/>
      <c r="AR24" s="57">
        <f>AVERAGE(AI22:AR22)</f>
        <v>0.10248268924686357</v>
      </c>
      <c r="AS24" s="60"/>
      <c r="AT24" s="56"/>
      <c r="AU24" s="56"/>
      <c r="AV24" s="56"/>
      <c r="AW24" s="60"/>
    </row>
    <row r="25" spans="1:57" ht="24.75" customHeight="1" x14ac:dyDescent="0.25">
      <c r="A25" s="32" t="s">
        <v>54</v>
      </c>
      <c r="B25" s="33">
        <f t="shared" ref="B25:V25" si="33">SUM(B22,B16)</f>
        <v>0</v>
      </c>
      <c r="C25" s="33" t="e">
        <f t="shared" si="33"/>
        <v>#N/A</v>
      </c>
      <c r="D25" s="33" t="e">
        <f t="shared" si="33"/>
        <v>#N/A</v>
      </c>
      <c r="E25" s="33" t="e">
        <f t="shared" si="33"/>
        <v>#N/A</v>
      </c>
      <c r="F25" s="33" t="e">
        <f t="shared" si="33"/>
        <v>#N/A</v>
      </c>
      <c r="G25" s="33" t="e">
        <f t="shared" si="33"/>
        <v>#N/A</v>
      </c>
      <c r="H25" s="33" t="e">
        <f t="shared" si="33"/>
        <v>#N/A</v>
      </c>
      <c r="I25" s="33" t="e">
        <f t="shared" si="33"/>
        <v>#N/A</v>
      </c>
      <c r="J25" s="33" t="e">
        <f t="shared" si="33"/>
        <v>#N/A</v>
      </c>
      <c r="K25" s="33">
        <f>SUM(K22,K16)</f>
        <v>42304135.609999999</v>
      </c>
      <c r="L25" s="33">
        <f>SUM(L22,L16)</f>
        <v>42915709.740000002</v>
      </c>
      <c r="M25" s="33">
        <f>SUM(M22,M16)</f>
        <v>44918462.590000004</v>
      </c>
      <c r="N25" s="33">
        <f t="shared" si="33"/>
        <v>46662196.329999998</v>
      </c>
      <c r="O25" s="33">
        <f t="shared" si="33"/>
        <v>53600375.480000004</v>
      </c>
      <c r="P25" s="33">
        <f t="shared" si="33"/>
        <v>61025229.43</v>
      </c>
      <c r="Q25" s="33">
        <f t="shared" si="33"/>
        <v>64091179.07790938</v>
      </c>
      <c r="R25" s="33">
        <f t="shared" si="33"/>
        <v>82035587.042180181</v>
      </c>
      <c r="S25" s="33">
        <f t="shared" si="33"/>
        <v>0</v>
      </c>
      <c r="T25" s="33">
        <f t="shared" si="33"/>
        <v>0</v>
      </c>
      <c r="U25" s="33">
        <f t="shared" si="33"/>
        <v>0</v>
      </c>
      <c r="V25" s="34">
        <f t="shared" si="33"/>
        <v>0</v>
      </c>
      <c r="W25" s="35"/>
      <c r="X25" s="35"/>
      <c r="Y25" s="29" t="s">
        <v>55</v>
      </c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61"/>
      <c r="AR25" s="56"/>
      <c r="AS25" s="61">
        <f>((AR20/AI20)^(1/7))-1</f>
        <v>9.922980351692523E-2</v>
      </c>
      <c r="AT25" s="56"/>
      <c r="AU25" s="56"/>
      <c r="AV25" s="56"/>
      <c r="AW25" s="61"/>
    </row>
    <row r="26" spans="1:57" ht="24.75" customHeight="1" thickBot="1" x14ac:dyDescent="0.3">
      <c r="A26" s="62" t="s">
        <v>41</v>
      </c>
      <c r="B26" s="63"/>
      <c r="C26" s="64" t="str">
        <f t="shared" ref="C26:V26" si="34">IFERROR((C25-B25)/B25,"")</f>
        <v/>
      </c>
      <c r="D26" s="64" t="str">
        <f t="shared" si="34"/>
        <v/>
      </c>
      <c r="E26" s="64" t="str">
        <f t="shared" si="34"/>
        <v/>
      </c>
      <c r="F26" s="64" t="str">
        <f t="shared" si="34"/>
        <v/>
      </c>
      <c r="G26" s="64" t="str">
        <f t="shared" si="34"/>
        <v/>
      </c>
      <c r="H26" s="64" t="str">
        <f t="shared" si="34"/>
        <v/>
      </c>
      <c r="I26" s="64" t="str">
        <f t="shared" si="34"/>
        <v/>
      </c>
      <c r="J26" s="64" t="str">
        <f t="shared" si="34"/>
        <v/>
      </c>
      <c r="K26" s="64" t="str">
        <f>IFERROR((K25-#REF!)/#REF!,"")</f>
        <v/>
      </c>
      <c r="L26" s="64">
        <f t="shared" si="34"/>
        <v>1.4456603856371826E-2</v>
      </c>
      <c r="M26" s="64">
        <f t="shared" si="34"/>
        <v>4.6667126377111186E-2</v>
      </c>
      <c r="N26" s="64">
        <f t="shared" si="34"/>
        <v>3.8819978232919182E-2</v>
      </c>
      <c r="O26" s="64">
        <f t="shared" si="34"/>
        <v>0.14868951090369745</v>
      </c>
      <c r="P26" s="64">
        <f t="shared" si="34"/>
        <v>0.13852242420895808</v>
      </c>
      <c r="Q26" s="64">
        <f t="shared" si="34"/>
        <v>5.0240690228395272E-2</v>
      </c>
      <c r="R26" s="64">
        <f t="shared" si="34"/>
        <v>0.27998249092059202</v>
      </c>
      <c r="S26" s="64">
        <f t="shared" si="34"/>
        <v>-1</v>
      </c>
      <c r="T26" s="64" t="str">
        <f t="shared" si="34"/>
        <v/>
      </c>
      <c r="U26" s="64" t="str">
        <f t="shared" si="34"/>
        <v/>
      </c>
      <c r="V26" s="65" t="str">
        <f t="shared" si="34"/>
        <v/>
      </c>
      <c r="W26" s="40"/>
      <c r="X26" s="40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</row>
    <row r="27" spans="1:57" x14ac:dyDescent="0.25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/>
      <c r="P27" s="68"/>
      <c r="Q27" s="67"/>
      <c r="R27" s="67"/>
      <c r="S27" s="67"/>
      <c r="T27" s="67"/>
      <c r="U27" s="67"/>
      <c r="V27" s="67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</row>
    <row r="28" spans="1:57" ht="15.75" thickBot="1" x14ac:dyDescent="0.3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</row>
    <row r="29" spans="1:57" ht="39" thickBot="1" x14ac:dyDescent="0.3">
      <c r="A29" s="25"/>
      <c r="B29" s="13" t="str">
        <f t="shared" ref="B29:V29" si="35">B12</f>
        <v xml:space="preserve"> Last Rebasing Year OEB Approved</v>
      </c>
      <c r="C29" s="13" t="str">
        <f t="shared" si="35"/>
        <v>2011 Actuals</v>
      </c>
      <c r="D29" s="13" t="str">
        <f t="shared" si="35"/>
        <v>2012 Actuals</v>
      </c>
      <c r="E29" s="13" t="str">
        <f t="shared" si="35"/>
        <v>2013 Actuals</v>
      </c>
      <c r="F29" s="13" t="str">
        <f t="shared" si="35"/>
        <v>2014 Actuals</v>
      </c>
      <c r="G29" s="13" t="str">
        <f t="shared" si="35"/>
        <v>2015 Actuals</v>
      </c>
      <c r="H29" s="13" t="str">
        <f t="shared" si="35"/>
        <v>2016 Actuals</v>
      </c>
      <c r="I29" s="13" t="str">
        <f t="shared" si="35"/>
        <v>2017 Actuals</v>
      </c>
      <c r="J29" s="13" t="str">
        <f t="shared" si="35"/>
        <v>2018 Actuals</v>
      </c>
      <c r="K29" s="13" t="str">
        <f t="shared" si="35"/>
        <v>2020 Actuals</v>
      </c>
      <c r="L29" s="13" t="str">
        <f t="shared" si="35"/>
        <v>2021 Actuals</v>
      </c>
      <c r="M29" s="13" t="str">
        <f t="shared" si="35"/>
        <v>2022 Actuals</v>
      </c>
      <c r="N29" s="13" t="str">
        <f t="shared" si="35"/>
        <v>2023 Actuals</v>
      </c>
      <c r="O29" s="13" t="str">
        <f t="shared" si="35"/>
        <v>2024 Actuals</v>
      </c>
      <c r="P29" s="13" t="s">
        <v>118</v>
      </c>
      <c r="Q29" s="14" t="str">
        <f t="shared" si="35"/>
        <v>2026 Bridge Year</v>
      </c>
      <c r="R29" s="14" t="str">
        <f t="shared" si="35"/>
        <v>2027 Test Year</v>
      </c>
      <c r="S29" s="14" t="str">
        <f t="shared" si="35"/>
        <v>2028 Forecast</v>
      </c>
      <c r="T29" s="14" t="str">
        <f t="shared" si="35"/>
        <v>2029 Forecast</v>
      </c>
      <c r="U29" s="14" t="str">
        <f t="shared" si="35"/>
        <v>2030 Forecast</v>
      </c>
      <c r="V29" s="14" t="str">
        <f t="shared" si="35"/>
        <v>2031 Forecast</v>
      </c>
      <c r="W29" s="69"/>
      <c r="X29" s="69"/>
      <c r="AQ29" s="69"/>
    </row>
    <row r="30" spans="1:57" x14ac:dyDescent="0.25">
      <c r="A30" s="31" t="s">
        <v>108</v>
      </c>
      <c r="B30" s="70">
        <f t="shared" ref="B30:V31" si="36">B14</f>
        <v>0</v>
      </c>
      <c r="C30" s="70" t="e">
        <f t="shared" si="36"/>
        <v>#N/A</v>
      </c>
      <c r="D30" s="70" t="e">
        <f t="shared" si="36"/>
        <v>#N/A</v>
      </c>
      <c r="E30" s="70" t="e">
        <f t="shared" si="36"/>
        <v>#N/A</v>
      </c>
      <c r="F30" s="70" t="e">
        <f>F14</f>
        <v>#N/A</v>
      </c>
      <c r="G30" s="70" t="e">
        <f>G14</f>
        <v>#N/A</v>
      </c>
      <c r="H30" s="70" t="e">
        <f t="shared" si="36"/>
        <v>#N/A</v>
      </c>
      <c r="I30" s="70" t="e">
        <f t="shared" si="36"/>
        <v>#N/A</v>
      </c>
      <c r="J30" s="70" t="e">
        <f t="shared" si="36"/>
        <v>#N/A</v>
      </c>
      <c r="K30" s="70">
        <f t="shared" si="36"/>
        <v>9748687.0300000031</v>
      </c>
      <c r="L30" s="70">
        <f t="shared" si="36"/>
        <v>10180786.59</v>
      </c>
      <c r="M30" s="70">
        <f t="shared" si="36"/>
        <v>11638182.449999999</v>
      </c>
      <c r="N30" s="70">
        <f t="shared" si="36"/>
        <v>11348932.559999999</v>
      </c>
      <c r="O30" s="70">
        <f t="shared" si="36"/>
        <v>12992985.529999999</v>
      </c>
      <c r="P30" s="70">
        <f t="shared" si="36"/>
        <v>12109873.880000001</v>
      </c>
      <c r="Q30" s="70">
        <f t="shared" si="36"/>
        <v>17019714.208639368</v>
      </c>
      <c r="R30" s="70">
        <f t="shared" si="36"/>
        <v>21490435.755876098</v>
      </c>
      <c r="S30" s="70">
        <f t="shared" si="36"/>
        <v>0</v>
      </c>
      <c r="T30" s="70">
        <f t="shared" si="36"/>
        <v>0</v>
      </c>
      <c r="U30" s="70">
        <f t="shared" si="36"/>
        <v>0</v>
      </c>
      <c r="V30" s="71">
        <f t="shared" si="36"/>
        <v>0</v>
      </c>
      <c r="W30" s="69"/>
      <c r="X30" s="69"/>
      <c r="AQ30" s="69"/>
    </row>
    <row r="31" spans="1:57" x14ac:dyDescent="0.25">
      <c r="A31" s="31" t="s">
        <v>109</v>
      </c>
      <c r="B31" s="70">
        <f t="shared" si="36"/>
        <v>0</v>
      </c>
      <c r="C31" s="70" t="e">
        <f t="shared" si="36"/>
        <v>#N/A</v>
      </c>
      <c r="D31" s="70" t="e">
        <f t="shared" si="36"/>
        <v>#N/A</v>
      </c>
      <c r="E31" s="70" t="e">
        <f t="shared" si="36"/>
        <v>#N/A</v>
      </c>
      <c r="F31" s="70" t="e">
        <f>F15</f>
        <v>#N/A</v>
      </c>
      <c r="G31" s="70" t="e">
        <f>G15</f>
        <v>#N/A</v>
      </c>
      <c r="H31" s="70" t="e">
        <f t="shared" si="36"/>
        <v>#N/A</v>
      </c>
      <c r="I31" s="70" t="e">
        <f t="shared" si="36"/>
        <v>#N/A</v>
      </c>
      <c r="J31" s="70" t="e">
        <f t="shared" si="36"/>
        <v>#N/A</v>
      </c>
      <c r="K31" s="70">
        <f t="shared" si="36"/>
        <v>4229032.21</v>
      </c>
      <c r="L31" s="70">
        <f t="shared" si="36"/>
        <v>4744305.6500000004</v>
      </c>
      <c r="M31" s="70">
        <f t="shared" si="36"/>
        <v>4068368.5100000007</v>
      </c>
      <c r="N31" s="70">
        <f t="shared" si="36"/>
        <v>4203636.55</v>
      </c>
      <c r="O31" s="70">
        <f t="shared" si="36"/>
        <v>7443163.7000000002</v>
      </c>
      <c r="P31" s="70">
        <f t="shared" si="36"/>
        <v>7771862.6899999995</v>
      </c>
      <c r="Q31" s="70">
        <f t="shared" si="36"/>
        <v>6525246.8013525307</v>
      </c>
      <c r="R31" s="70">
        <f t="shared" si="36"/>
        <v>7971512.7528743893</v>
      </c>
      <c r="S31" s="70">
        <f t="shared" si="36"/>
        <v>0</v>
      </c>
      <c r="T31" s="70">
        <f t="shared" si="36"/>
        <v>0</v>
      </c>
      <c r="U31" s="70">
        <f t="shared" si="36"/>
        <v>0</v>
      </c>
      <c r="V31" s="71">
        <f t="shared" si="36"/>
        <v>0</v>
      </c>
      <c r="W31" s="69"/>
      <c r="X31" s="69"/>
      <c r="AQ31" s="69"/>
    </row>
    <row r="32" spans="1:57" x14ac:dyDescent="0.25">
      <c r="A32" s="31" t="s">
        <v>110</v>
      </c>
      <c r="B32" s="70">
        <f t="shared" ref="B32:V34" si="37">B19</f>
        <v>0</v>
      </c>
      <c r="C32" s="70" t="e">
        <f t="shared" si="37"/>
        <v>#N/A</v>
      </c>
      <c r="D32" s="70" t="e">
        <f t="shared" si="37"/>
        <v>#N/A</v>
      </c>
      <c r="E32" s="70" t="e">
        <f t="shared" si="37"/>
        <v>#N/A</v>
      </c>
      <c r="F32" s="70" t="e">
        <f t="shared" si="37"/>
        <v>#N/A</v>
      </c>
      <c r="G32" s="70" t="e">
        <f t="shared" si="37"/>
        <v>#N/A</v>
      </c>
      <c r="H32" s="70" t="e">
        <f t="shared" si="37"/>
        <v>#N/A</v>
      </c>
      <c r="I32" s="70" t="e">
        <f t="shared" si="37"/>
        <v>#N/A</v>
      </c>
      <c r="J32" s="70" t="e">
        <f t="shared" si="37"/>
        <v>#N/A</v>
      </c>
      <c r="K32" s="70">
        <f t="shared" si="37"/>
        <v>11355586.780000001</v>
      </c>
      <c r="L32" s="70">
        <f t="shared" si="37"/>
        <v>10770334.309999999</v>
      </c>
      <c r="M32" s="70">
        <f t="shared" si="37"/>
        <v>10017118.899999999</v>
      </c>
      <c r="N32" s="70">
        <f t="shared" si="37"/>
        <v>10583609.41</v>
      </c>
      <c r="O32" s="70">
        <f t="shared" si="37"/>
        <v>11581087.32</v>
      </c>
      <c r="P32" s="70">
        <f t="shared" si="37"/>
        <v>14162785.849999998</v>
      </c>
      <c r="Q32" s="70">
        <f t="shared" si="37"/>
        <v>13203354.046844071</v>
      </c>
      <c r="R32" s="70">
        <f t="shared" si="37"/>
        <v>13851521.50658321</v>
      </c>
      <c r="S32" s="70">
        <f t="shared" si="37"/>
        <v>0</v>
      </c>
      <c r="T32" s="70">
        <f t="shared" si="37"/>
        <v>0</v>
      </c>
      <c r="U32" s="70">
        <f t="shared" si="37"/>
        <v>0</v>
      </c>
      <c r="V32" s="71">
        <f t="shared" si="37"/>
        <v>0</v>
      </c>
      <c r="W32" s="69"/>
      <c r="X32" s="69"/>
      <c r="AQ32" s="69"/>
    </row>
    <row r="33" spans="1:57" x14ac:dyDescent="0.25">
      <c r="A33" s="31" t="s">
        <v>111</v>
      </c>
      <c r="B33" s="70">
        <f t="shared" si="37"/>
        <v>0</v>
      </c>
      <c r="C33" s="70" t="e">
        <f t="shared" si="37"/>
        <v>#N/A</v>
      </c>
      <c r="D33" s="70" t="e">
        <f t="shared" si="37"/>
        <v>#N/A</v>
      </c>
      <c r="E33" s="70" t="e">
        <f t="shared" si="37"/>
        <v>#N/A</v>
      </c>
      <c r="F33" s="70" t="e">
        <f t="shared" si="37"/>
        <v>#N/A</v>
      </c>
      <c r="G33" s="70" t="e">
        <f t="shared" si="37"/>
        <v>#N/A</v>
      </c>
      <c r="H33" s="70" t="e">
        <f t="shared" si="37"/>
        <v>#N/A</v>
      </c>
      <c r="I33" s="70" t="e">
        <f t="shared" si="37"/>
        <v>#N/A</v>
      </c>
      <c r="J33" s="70" t="e">
        <f t="shared" si="37"/>
        <v>#N/A</v>
      </c>
      <c r="K33" s="70">
        <f t="shared" si="37"/>
        <v>10083.5</v>
      </c>
      <c r="L33" s="70">
        <f t="shared" si="37"/>
        <v>209037.49</v>
      </c>
      <c r="M33" s="70">
        <f t="shared" si="37"/>
        <v>572372.72</v>
      </c>
      <c r="N33" s="70">
        <f t="shared" si="37"/>
        <v>524888.58000000007</v>
      </c>
      <c r="O33" s="70">
        <f t="shared" si="37"/>
        <v>576712.71000000008</v>
      </c>
      <c r="P33" s="70">
        <f t="shared" si="37"/>
        <v>732386.26000000013</v>
      </c>
      <c r="Q33" s="70">
        <f t="shared" si="37"/>
        <v>906644.52532789984</v>
      </c>
      <c r="R33" s="70">
        <f t="shared" si="37"/>
        <v>973788.47976212983</v>
      </c>
      <c r="S33" s="70">
        <f t="shared" si="37"/>
        <v>0</v>
      </c>
      <c r="T33" s="70">
        <f t="shared" si="37"/>
        <v>0</v>
      </c>
      <c r="U33" s="70">
        <f t="shared" si="37"/>
        <v>0</v>
      </c>
      <c r="V33" s="71">
        <f t="shared" si="37"/>
        <v>0</v>
      </c>
      <c r="W33" s="69"/>
      <c r="X33" s="69"/>
      <c r="AQ33" s="69"/>
    </row>
    <row r="34" spans="1:57" x14ac:dyDescent="0.25">
      <c r="A34" s="31" t="s">
        <v>112</v>
      </c>
      <c r="B34" s="70">
        <f t="shared" si="37"/>
        <v>0</v>
      </c>
      <c r="C34" s="70" t="e">
        <f t="shared" si="37"/>
        <v>#N/A</v>
      </c>
      <c r="D34" s="70" t="e">
        <f t="shared" si="37"/>
        <v>#N/A</v>
      </c>
      <c r="E34" s="70" t="e">
        <f t="shared" si="37"/>
        <v>#N/A</v>
      </c>
      <c r="F34" s="70" t="e">
        <f t="shared" si="37"/>
        <v>#N/A</v>
      </c>
      <c r="G34" s="70" t="e">
        <f t="shared" si="37"/>
        <v>#N/A</v>
      </c>
      <c r="H34" s="70" t="e">
        <f t="shared" si="37"/>
        <v>#N/A</v>
      </c>
      <c r="I34" s="70" t="e">
        <f t="shared" si="37"/>
        <v>#N/A</v>
      </c>
      <c r="J34" s="70" t="e">
        <f t="shared" si="37"/>
        <v>#N/A</v>
      </c>
      <c r="K34" s="70">
        <f t="shared" si="37"/>
        <v>16960746.09</v>
      </c>
      <c r="L34" s="70">
        <f t="shared" si="37"/>
        <v>17011245.700000003</v>
      </c>
      <c r="M34" s="70">
        <f t="shared" si="37"/>
        <v>18622420.010000002</v>
      </c>
      <c r="N34" s="70">
        <f t="shared" si="37"/>
        <v>20001129.23</v>
      </c>
      <c r="O34" s="70">
        <f t="shared" si="37"/>
        <v>21006426.220000003</v>
      </c>
      <c r="P34" s="70">
        <f t="shared" si="37"/>
        <v>26248320.75</v>
      </c>
      <c r="Q34" s="70">
        <f t="shared" si="37"/>
        <v>26436219.49574551</v>
      </c>
      <c r="R34" s="70">
        <f t="shared" si="37"/>
        <v>37748328.547084361</v>
      </c>
      <c r="S34" s="70">
        <f t="shared" si="37"/>
        <v>0</v>
      </c>
      <c r="T34" s="70">
        <f t="shared" si="37"/>
        <v>0</v>
      </c>
      <c r="U34" s="70">
        <f t="shared" si="37"/>
        <v>0</v>
      </c>
      <c r="V34" s="71">
        <f t="shared" si="37"/>
        <v>0</v>
      </c>
      <c r="W34" s="69"/>
      <c r="X34" s="69"/>
      <c r="AQ34" s="69"/>
    </row>
    <row r="35" spans="1:57" x14ac:dyDescent="0.25">
      <c r="A35" s="32" t="s">
        <v>54</v>
      </c>
      <c r="B35" s="33">
        <f>SUM(B30:B34)</f>
        <v>0</v>
      </c>
      <c r="C35" s="33" t="e">
        <f>SUM(C30:C34)</f>
        <v>#N/A</v>
      </c>
      <c r="D35" s="33" t="e">
        <f>SUM(D30:D34)</f>
        <v>#N/A</v>
      </c>
      <c r="E35" s="33" t="e">
        <f t="shared" ref="E35:V35" si="38">SUM(E30:E34)</f>
        <v>#N/A</v>
      </c>
      <c r="F35" s="33" t="e">
        <f t="shared" si="38"/>
        <v>#N/A</v>
      </c>
      <c r="G35" s="33" t="e">
        <f t="shared" si="38"/>
        <v>#N/A</v>
      </c>
      <c r="H35" s="33" t="e">
        <f t="shared" si="38"/>
        <v>#N/A</v>
      </c>
      <c r="I35" s="33" t="e">
        <f t="shared" si="38"/>
        <v>#N/A</v>
      </c>
      <c r="J35" s="33" t="e">
        <f t="shared" si="38"/>
        <v>#N/A</v>
      </c>
      <c r="K35" s="33">
        <f t="shared" si="38"/>
        <v>42304135.609999999</v>
      </c>
      <c r="L35" s="33">
        <f t="shared" si="38"/>
        <v>42915709.739999995</v>
      </c>
      <c r="M35" s="33">
        <f t="shared" si="38"/>
        <v>44918462.590000004</v>
      </c>
      <c r="N35" s="33">
        <f t="shared" si="38"/>
        <v>46662196.329999998</v>
      </c>
      <c r="O35" s="33">
        <f t="shared" si="38"/>
        <v>53600375.480000004</v>
      </c>
      <c r="P35" s="33">
        <f t="shared" si="38"/>
        <v>61025229.43</v>
      </c>
      <c r="Q35" s="33">
        <f t="shared" si="38"/>
        <v>64091179.07790938</v>
      </c>
      <c r="R35" s="33">
        <f t="shared" si="38"/>
        <v>82035587.042180181</v>
      </c>
      <c r="S35" s="33">
        <f t="shared" si="38"/>
        <v>0</v>
      </c>
      <c r="T35" s="33">
        <f t="shared" si="38"/>
        <v>0</v>
      </c>
      <c r="U35" s="33">
        <f t="shared" si="38"/>
        <v>0</v>
      </c>
      <c r="V35" s="34">
        <f t="shared" si="38"/>
        <v>0</v>
      </c>
      <c r="W35" s="72"/>
      <c r="X35" s="69"/>
      <c r="AQ35" s="69"/>
    </row>
    <row r="36" spans="1:57" ht="15.75" thickBot="1" x14ac:dyDescent="0.3">
      <c r="A36" s="62" t="s">
        <v>41</v>
      </c>
      <c r="B36" s="63"/>
      <c r="C36" s="73" t="str">
        <f t="shared" ref="C36:V36" si="39">IFERROR((C35-B35)/B35,"")</f>
        <v/>
      </c>
      <c r="D36" s="74" t="str">
        <f t="shared" si="39"/>
        <v/>
      </c>
      <c r="E36" s="73" t="str">
        <f t="shared" si="39"/>
        <v/>
      </c>
      <c r="F36" s="73" t="str">
        <f t="shared" si="39"/>
        <v/>
      </c>
      <c r="G36" s="73" t="str">
        <f t="shared" si="39"/>
        <v/>
      </c>
      <c r="H36" s="73" t="str">
        <f t="shared" si="39"/>
        <v/>
      </c>
      <c r="I36" s="75" t="str">
        <f t="shared" si="39"/>
        <v/>
      </c>
      <c r="J36" s="74" t="str">
        <f t="shared" si="39"/>
        <v/>
      </c>
      <c r="K36" s="75" t="str">
        <f>IFERROR((K35-#REF!)/#REF!,"")</f>
        <v/>
      </c>
      <c r="L36" s="74">
        <f t="shared" si="39"/>
        <v>1.4456603856371649E-2</v>
      </c>
      <c r="M36" s="73">
        <f t="shared" si="39"/>
        <v>4.6667126377111366E-2</v>
      </c>
      <c r="N36" s="73">
        <f t="shared" si="39"/>
        <v>3.8819978232919182E-2</v>
      </c>
      <c r="O36" s="74">
        <f t="shared" si="39"/>
        <v>0.14868951090369745</v>
      </c>
      <c r="P36" s="73">
        <f t="shared" si="39"/>
        <v>0.13852242420895808</v>
      </c>
      <c r="Q36" s="73">
        <f t="shared" si="39"/>
        <v>5.0240690228395272E-2</v>
      </c>
      <c r="R36" s="73">
        <f t="shared" si="39"/>
        <v>0.27998249092059202</v>
      </c>
      <c r="S36" s="73">
        <f t="shared" si="39"/>
        <v>-1</v>
      </c>
      <c r="T36" s="73" t="str">
        <f t="shared" si="39"/>
        <v/>
      </c>
      <c r="U36" s="73" t="str">
        <f t="shared" si="39"/>
        <v/>
      </c>
      <c r="V36" s="65" t="str">
        <f t="shared" si="39"/>
        <v/>
      </c>
      <c r="W36" s="69"/>
      <c r="X36" s="76"/>
      <c r="AO36" s="77"/>
      <c r="AQ36" s="69"/>
    </row>
    <row r="37" spans="1:57" x14ac:dyDescent="0.25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</row>
    <row r="38" spans="1:57" ht="38.25" x14ac:dyDescent="0.25">
      <c r="B38" s="69"/>
      <c r="C38" s="78" t="str">
        <f>C29</f>
        <v>2011 Actuals</v>
      </c>
      <c r="D38" s="78" t="str">
        <f>D29</f>
        <v>2012 Actuals</v>
      </c>
      <c r="E38" s="78" t="str">
        <f t="shared" ref="E38:V38" si="40">E29</f>
        <v>2013 Actuals</v>
      </c>
      <c r="F38" s="78" t="str">
        <f t="shared" si="40"/>
        <v>2014 Actuals</v>
      </c>
      <c r="G38" s="78" t="str">
        <f t="shared" si="40"/>
        <v>2015 Actuals</v>
      </c>
      <c r="H38" s="78" t="str">
        <f t="shared" si="40"/>
        <v>2016 Actuals</v>
      </c>
      <c r="I38" s="78" t="str">
        <f t="shared" si="40"/>
        <v>2017 Actuals</v>
      </c>
      <c r="J38" s="78" t="str">
        <f t="shared" si="40"/>
        <v>2018 Actuals</v>
      </c>
      <c r="K38" s="78" t="str">
        <f t="shared" si="40"/>
        <v>2020 Actuals</v>
      </c>
      <c r="L38" s="78" t="str">
        <f t="shared" si="40"/>
        <v>2021 Actuals</v>
      </c>
      <c r="M38" s="78" t="str">
        <f t="shared" si="40"/>
        <v>2022 Actuals</v>
      </c>
      <c r="N38" s="78" t="str">
        <f t="shared" si="40"/>
        <v>2023 Actuals</v>
      </c>
      <c r="O38" s="78" t="str">
        <f t="shared" si="40"/>
        <v>2024 Actuals</v>
      </c>
      <c r="P38" s="78" t="str">
        <f t="shared" si="40"/>
        <v>2025 Bridge Year (Actuals)</v>
      </c>
      <c r="Q38" s="78" t="str">
        <f t="shared" si="40"/>
        <v>2026 Bridge Year</v>
      </c>
      <c r="R38" s="78" t="str">
        <f t="shared" si="40"/>
        <v>2027 Test Year</v>
      </c>
      <c r="S38" s="78" t="str">
        <f t="shared" si="40"/>
        <v>2028 Forecast</v>
      </c>
      <c r="T38" s="78" t="str">
        <f t="shared" si="40"/>
        <v>2029 Forecast</v>
      </c>
      <c r="U38" s="78" t="str">
        <f t="shared" si="40"/>
        <v>2030 Forecast</v>
      </c>
      <c r="V38" s="78" t="str">
        <f t="shared" si="40"/>
        <v>2031 Forecast</v>
      </c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</row>
    <row r="39" spans="1:57" x14ac:dyDescent="0.25">
      <c r="A39" s="79" t="s">
        <v>56</v>
      </c>
      <c r="B39" s="80"/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182" t="s">
        <v>106</v>
      </c>
      <c r="L39" s="135">
        <f>'App.2-JB OM&amp;A Cost Drivers'!L49</f>
        <v>42915708.359999999</v>
      </c>
      <c r="M39" s="135">
        <f>'App.2-JB OM&amp;A Cost Drivers'!M49</f>
        <v>44918464.31000001</v>
      </c>
      <c r="N39" s="135">
        <f>'App.2-JB OM&amp;A Cost Drivers'!N49</f>
        <v>46662196.330000013</v>
      </c>
      <c r="O39" s="135">
        <f>'App.2-JB OM&amp;A Cost Drivers'!O49</f>
        <v>53600375.600000031</v>
      </c>
      <c r="P39" s="135">
        <f>'App.2-JB OM&amp;A Cost Drivers'!P49</f>
        <v>61025229.940000013</v>
      </c>
      <c r="Q39" s="135">
        <f>'App.2-JB OM&amp;A Cost Drivers'!Q49</f>
        <v>64091179.007011503</v>
      </c>
      <c r="R39" s="135">
        <f>'App.2-JB OM&amp;A Cost Drivers'!R49</f>
        <v>82035586.665184364</v>
      </c>
      <c r="S39" s="135">
        <f>'App.2-JB OM&amp;A Cost Drivers'!S49</f>
        <v>1.1175870895385742E-8</v>
      </c>
      <c r="T39" s="135">
        <f>'App.2-JB OM&amp;A Cost Drivers'!T49</f>
        <v>1.1175870895385742E-8</v>
      </c>
      <c r="U39" s="135">
        <f>'App.2-JB OM&amp;A Cost Drivers'!U49</f>
        <v>1.1175870895385742E-8</v>
      </c>
      <c r="V39" s="135">
        <f>'App.2-JB OM&amp;A Cost Drivers'!V49</f>
        <v>1.1175870895385742E-8</v>
      </c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</row>
    <row r="40" spans="1:57" x14ac:dyDescent="0.25">
      <c r="A40" s="79" t="s">
        <v>57</v>
      </c>
      <c r="B40" s="80"/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135">
        <f>'App2.-JC OM&amp;A Programs'!L50</f>
        <v>42304136.459999993</v>
      </c>
      <c r="L40" s="135">
        <f>'App2.-JC OM&amp;A Programs'!M50</f>
        <v>42915708.359999999</v>
      </c>
      <c r="M40" s="135">
        <f>'App2.-JC OM&amp;A Programs'!N50</f>
        <v>44918464.310000002</v>
      </c>
      <c r="N40" s="135">
        <f>'App2.-JC OM&amp;A Programs'!O50</f>
        <v>46662196.330000006</v>
      </c>
      <c r="O40" s="135">
        <f>'App2.-JC OM&amp;A Programs'!P50</f>
        <v>53600375.600000009</v>
      </c>
      <c r="P40" s="135">
        <f>'App2.-JC OM&amp;A Programs'!Q50</f>
        <v>61025230.939999998</v>
      </c>
      <c r="Q40" s="135">
        <f>'App2.-JC OM&amp;A Programs'!R50</f>
        <v>64091179.007011496</v>
      </c>
      <c r="R40" s="135">
        <f>'App2.-JC OM&amp;A Programs'!S50</f>
        <v>82035586.665184379</v>
      </c>
      <c r="S40" s="135">
        <f>'App2.-JC OM&amp;A Programs'!T50</f>
        <v>0</v>
      </c>
      <c r="T40" s="135">
        <f>'App2.-JC OM&amp;A Programs'!U50</f>
        <v>0</v>
      </c>
      <c r="U40" s="135">
        <f>'App2.-JC OM&amp;A Programs'!V50</f>
        <v>0</v>
      </c>
      <c r="V40" s="135">
        <f>'App2.-JC OM&amp;A Programs'!W50</f>
        <v>0</v>
      </c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</row>
    <row r="41" spans="1:57" x14ac:dyDescent="0.25">
      <c r="A41" s="82"/>
      <c r="B41" s="69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</row>
    <row r="42" spans="1:57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</row>
    <row r="43" spans="1:57" x14ac:dyDescent="0.25">
      <c r="A43" s="84" t="s">
        <v>58</v>
      </c>
      <c r="B43" s="84"/>
      <c r="C43" s="84"/>
      <c r="D43" s="84"/>
      <c r="E43" s="84"/>
      <c r="F43" s="84"/>
      <c r="G43" s="84"/>
      <c r="H43" s="84"/>
      <c r="I43" s="84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</row>
    <row r="44" spans="1:57" x14ac:dyDescent="0.25">
      <c r="A44" s="84"/>
      <c r="B44" s="84"/>
      <c r="C44" s="84"/>
      <c r="D44" s="84"/>
      <c r="E44" s="84"/>
      <c r="F44" s="84"/>
      <c r="G44" s="84"/>
      <c r="H44" s="84"/>
      <c r="I44" s="84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</row>
    <row r="45" spans="1:57" ht="12.75" customHeight="1" x14ac:dyDescent="0.25">
      <c r="A45" s="86" t="s">
        <v>100</v>
      </c>
      <c r="B45" s="86"/>
      <c r="C45" s="86"/>
      <c r="D45" s="86"/>
      <c r="E45" s="86"/>
      <c r="F45" s="86"/>
      <c r="G45" s="86"/>
      <c r="H45" s="86"/>
      <c r="I45" s="87"/>
      <c r="J45" s="87"/>
      <c r="K45" s="87"/>
      <c r="L45" s="87"/>
      <c r="M45" s="87"/>
      <c r="N45" s="87"/>
      <c r="O45" s="87"/>
      <c r="P45" s="87"/>
      <c r="Q45" s="69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</row>
    <row r="46" spans="1:57" x14ac:dyDescent="0.25">
      <c r="A46" s="86" t="s">
        <v>101</v>
      </c>
      <c r="B46" s="86"/>
      <c r="C46" s="86"/>
      <c r="D46" s="86"/>
      <c r="E46" s="86"/>
      <c r="F46" s="86"/>
      <c r="G46" s="86"/>
      <c r="H46" s="86"/>
      <c r="I46" s="87"/>
      <c r="J46" s="87"/>
      <c r="K46" s="87"/>
      <c r="L46" s="87"/>
      <c r="M46" s="87"/>
      <c r="N46" s="87"/>
      <c r="O46" s="87"/>
      <c r="P46" s="87"/>
      <c r="Q46" s="69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</row>
    <row r="47" spans="1:57" x14ac:dyDescent="0.25">
      <c r="A47" s="86" t="s">
        <v>102</v>
      </c>
      <c r="B47" s="86"/>
      <c r="C47" s="86"/>
      <c r="D47" s="86"/>
      <c r="E47" s="86"/>
      <c r="F47" s="86"/>
      <c r="G47" s="86"/>
      <c r="H47" s="86"/>
      <c r="I47" s="87"/>
      <c r="J47" s="87"/>
      <c r="K47" s="87"/>
      <c r="L47" s="87"/>
      <c r="M47" s="87"/>
      <c r="N47" s="87"/>
      <c r="O47" s="87"/>
      <c r="P47" s="87"/>
      <c r="Q47" s="69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</row>
    <row r="48" spans="1:57" x14ac:dyDescent="0.25">
      <c r="A48" s="86" t="s">
        <v>103</v>
      </c>
      <c r="B48" s="86"/>
      <c r="C48" s="86"/>
      <c r="D48" s="86"/>
      <c r="E48" s="86"/>
      <c r="F48" s="86"/>
      <c r="G48" s="86"/>
      <c r="H48" s="86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</row>
    <row r="49" spans="1:57" x14ac:dyDescent="0.25">
      <c r="A49" s="185" t="s">
        <v>104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</row>
    <row r="50" spans="1:57" x14ac:dyDescent="0.25">
      <c r="A50" s="185"/>
      <c r="B50" s="185"/>
      <c r="C50" s="185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</row>
    <row r="51" spans="1:57" x14ac:dyDescent="0.25">
      <c r="A51" s="186" t="s">
        <v>105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</row>
    <row r="52" spans="1:57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5"/>
      <c r="S52" s="85"/>
      <c r="T52" s="85"/>
      <c r="U52" s="85"/>
      <c r="V52" s="85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</row>
    <row r="53" spans="1:57" ht="22.15" customHeight="1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5"/>
      <c r="S53" s="85"/>
      <c r="T53" s="85"/>
      <c r="U53" s="85"/>
      <c r="V53" s="85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</row>
    <row r="54" spans="1:57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</row>
    <row r="55" spans="1:57" x14ac:dyDescent="0.25">
      <c r="A55" s="86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</row>
    <row r="56" spans="1:57" x14ac:dyDescent="0.25">
      <c r="A56" s="86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</row>
    <row r="57" spans="1:57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</row>
    <row r="58" spans="1:57" x14ac:dyDescent="0.25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</row>
    <row r="59" spans="1:57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</row>
    <row r="60" spans="1:57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</row>
    <row r="61" spans="1:57" x14ac:dyDescent="0.25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</row>
    <row r="62" spans="1:57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</row>
    <row r="63" spans="1:57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</row>
    <row r="64" spans="1:57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</row>
    <row r="65" spans="1:57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</row>
    <row r="66" spans="1:57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</row>
    <row r="67" spans="1:57" x14ac:dyDescent="0.25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</row>
    <row r="68" spans="1:57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</row>
    <row r="69" spans="1:57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</row>
    <row r="70" spans="1:57" x14ac:dyDescent="0.25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</row>
    <row r="71" spans="1:57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</row>
    <row r="72" spans="1:57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</row>
    <row r="73" spans="1:57" x14ac:dyDescent="0.2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</row>
    <row r="74" spans="1:57" x14ac:dyDescent="0.25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</row>
    <row r="75" spans="1:57" x14ac:dyDescent="0.25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</row>
    <row r="76" spans="1:57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</row>
    <row r="77" spans="1:57" x14ac:dyDescent="0.25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</row>
    <row r="78" spans="1:57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</row>
    <row r="79" spans="1:57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</row>
    <row r="80" spans="1:57" x14ac:dyDescent="0.25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</row>
    <row r="81" spans="1:57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</row>
    <row r="82" spans="1:57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</row>
    <row r="83" spans="1:57" x14ac:dyDescent="0.2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</row>
    <row r="84" spans="1:57" x14ac:dyDescent="0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</row>
    <row r="85" spans="1:57" x14ac:dyDescent="0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</row>
    <row r="86" spans="1:57" x14ac:dyDescent="0.2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</row>
    <row r="87" spans="1:57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</row>
    <row r="88" spans="1:57" x14ac:dyDescent="0.25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</row>
    <row r="89" spans="1:57" x14ac:dyDescent="0.2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</row>
    <row r="90" spans="1:57" x14ac:dyDescent="0.2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</row>
    <row r="91" spans="1:57" x14ac:dyDescent="0.25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</row>
    <row r="92" spans="1:57" x14ac:dyDescent="0.2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</row>
    <row r="93" spans="1:57" x14ac:dyDescent="0.2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</row>
    <row r="94" spans="1:57" x14ac:dyDescent="0.25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</row>
    <row r="95" spans="1:57" x14ac:dyDescent="0.2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</row>
    <row r="96" spans="1:57" x14ac:dyDescent="0.2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</row>
    <row r="97" spans="1:57" x14ac:dyDescent="0.25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</row>
    <row r="98" spans="1:57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</row>
    <row r="99" spans="1:57" x14ac:dyDescent="0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</row>
    <row r="100" spans="1:57" x14ac:dyDescent="0.2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</row>
    <row r="101" spans="1:57" x14ac:dyDescent="0.2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</row>
    <row r="102" spans="1:57" x14ac:dyDescent="0.25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</row>
    <row r="103" spans="1:57" x14ac:dyDescent="0.2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</row>
    <row r="104" spans="1:57" x14ac:dyDescent="0.25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</row>
    <row r="105" spans="1:57" x14ac:dyDescent="0.25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</row>
    <row r="106" spans="1:57" x14ac:dyDescent="0.25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</row>
    <row r="107" spans="1:57" x14ac:dyDescent="0.25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</row>
    <row r="108" spans="1:57" x14ac:dyDescent="0.25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</row>
    <row r="109" spans="1:57" x14ac:dyDescent="0.2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</row>
    <row r="110" spans="1:57" x14ac:dyDescent="0.2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</row>
    <row r="111" spans="1:57" x14ac:dyDescent="0.25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</row>
    <row r="112" spans="1:57" x14ac:dyDescent="0.25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</row>
    <row r="113" spans="1:57" x14ac:dyDescent="0.2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</row>
    <row r="114" spans="1:57" x14ac:dyDescent="0.25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</row>
    <row r="115" spans="1:57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</row>
    <row r="116" spans="1:57" x14ac:dyDescent="0.25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</row>
    <row r="117" spans="1:57" x14ac:dyDescent="0.25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</row>
    <row r="118" spans="1:57" x14ac:dyDescent="0.25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</row>
    <row r="119" spans="1:57" x14ac:dyDescent="0.25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</row>
  </sheetData>
  <mergeCells count="5">
    <mergeCell ref="A9:Q9"/>
    <mergeCell ref="A10:Q10"/>
    <mergeCell ref="W12:X12"/>
    <mergeCell ref="A49:Q50"/>
    <mergeCell ref="A51:K51"/>
  </mergeCells>
  <dataValidations count="3">
    <dataValidation allowBlank="1" showInputMessage="1" showErrorMessage="1" promptTitle="Date Format" prompt="E.g:  &quot;August 1, 2011&quot;" sqref="Q7:V7" xr:uid="{013E085B-4A41-4A01-BB2C-3BD234FF16C5}"/>
    <dataValidation type="list" allowBlank="1" showInputMessage="1" showErrorMessage="1" sqref="A6" xr:uid="{072F6AD6-413C-4BD0-98CE-98534B2F8E85}">
      <formula1>"Yes,No"</formula1>
    </dataValidation>
    <dataValidation type="list" allowBlank="1" showInputMessage="1" showErrorMessage="1" sqref="B13:V13" xr:uid="{DCED8F83-8A7F-4B70-9877-8A318389E3B1}">
      <formula1>"CGAAP, MIFRS, USGAAP, ASPE"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E2CA-A183-497B-AD87-0F47AECDF37B}">
  <dimension ref="A1:W60"/>
  <sheetViews>
    <sheetView workbookViewId="0">
      <selection activeCell="P13" sqref="P13"/>
    </sheetView>
  </sheetViews>
  <sheetFormatPr defaultColWidth="9.42578125" defaultRowHeight="15" x14ac:dyDescent="0.25"/>
  <cols>
    <col min="1" max="1" width="32.5703125" style="88" customWidth="1"/>
    <col min="2" max="10" width="17.5703125" style="88" hidden="1" customWidth="1"/>
    <col min="11" max="16" width="17.5703125" style="88" customWidth="1"/>
    <col min="17" max="17" width="17.42578125" style="88" customWidth="1"/>
    <col min="18" max="18" width="17.5703125" style="88" customWidth="1"/>
    <col min="19" max="22" width="17.5703125" style="88" hidden="1" customWidth="1"/>
    <col min="23" max="16384" width="9.42578125" style="88"/>
  </cols>
  <sheetData>
    <row r="1" spans="1:23" x14ac:dyDescent="0.25">
      <c r="P1" s="89" t="s">
        <v>0</v>
      </c>
      <c r="Q1" s="3" t="s">
        <v>97</v>
      </c>
    </row>
    <row r="2" spans="1:23" x14ac:dyDescent="0.25">
      <c r="P2" s="89" t="s">
        <v>3</v>
      </c>
      <c r="Q2" s="147"/>
    </row>
    <row r="3" spans="1:23" x14ac:dyDescent="0.25">
      <c r="P3" s="89" t="s">
        <v>6</v>
      </c>
      <c r="Q3" s="147"/>
    </row>
    <row r="4" spans="1:23" x14ac:dyDescent="0.25">
      <c r="P4" s="89" t="s">
        <v>9</v>
      </c>
      <c r="Q4" s="147"/>
    </row>
    <row r="5" spans="1:23" x14ac:dyDescent="0.25">
      <c r="P5" s="89" t="s">
        <v>13</v>
      </c>
      <c r="Q5" s="148"/>
    </row>
    <row r="6" spans="1:23" x14ac:dyDescent="0.25">
      <c r="P6" s="89"/>
      <c r="Q6" s="3" t="s">
        <v>115</v>
      </c>
    </row>
    <row r="7" spans="1:23" x14ac:dyDescent="0.25">
      <c r="P7" s="89" t="s">
        <v>19</v>
      </c>
      <c r="Q7" s="177">
        <v>46283</v>
      </c>
    </row>
    <row r="10" spans="1:23" ht="18" x14ac:dyDescent="0.25">
      <c r="A10" s="187" t="s">
        <v>59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</row>
    <row r="11" spans="1:23" ht="18.75" thickBot="1" x14ac:dyDescent="0.3">
      <c r="A11" s="187" t="str">
        <f>"Recoverable OM&amp;A Cost Driver Table" &amp; CHAR(185)</f>
        <v>Recoverable OM&amp;A Cost Driver Table¹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</row>
    <row r="12" spans="1:23" s="91" customFormat="1" ht="13.5" hidden="1" thickBot="1" x14ac:dyDescent="0.25">
      <c r="A12" s="90"/>
      <c r="B12" s="90">
        <f t="shared" ref="B12:O12" si="0">C12-1</f>
        <v>2011</v>
      </c>
      <c r="C12" s="90">
        <f t="shared" si="0"/>
        <v>2012</v>
      </c>
      <c r="D12" s="90">
        <f t="shared" si="0"/>
        <v>2013</v>
      </c>
      <c r="E12" s="90">
        <f t="shared" si="0"/>
        <v>2014</v>
      </c>
      <c r="F12" s="90">
        <f t="shared" si="0"/>
        <v>2015</v>
      </c>
      <c r="G12" s="90">
        <f t="shared" si="0"/>
        <v>2016</v>
      </c>
      <c r="H12" s="90">
        <f t="shared" si="0"/>
        <v>2017</v>
      </c>
      <c r="I12" s="90">
        <f t="shared" si="0"/>
        <v>2018</v>
      </c>
      <c r="J12" s="90">
        <f t="shared" si="0"/>
        <v>2019</v>
      </c>
      <c r="K12" s="90">
        <f t="shared" si="0"/>
        <v>2020</v>
      </c>
      <c r="L12" s="90">
        <f t="shared" si="0"/>
        <v>2021</v>
      </c>
      <c r="M12" s="90">
        <f t="shared" si="0"/>
        <v>2022</v>
      </c>
      <c r="N12" s="90">
        <f t="shared" si="0"/>
        <v>2023</v>
      </c>
      <c r="O12" s="90">
        <f t="shared" si="0"/>
        <v>2024</v>
      </c>
      <c r="P12" s="90">
        <f>Q12-1</f>
        <v>2025</v>
      </c>
      <c r="Q12" s="90">
        <v>2026</v>
      </c>
      <c r="R12" s="90">
        <v>2027</v>
      </c>
      <c r="S12" s="90">
        <v>2028</v>
      </c>
      <c r="T12" s="90">
        <v>2029</v>
      </c>
      <c r="U12" s="90">
        <v>2030</v>
      </c>
      <c r="V12" s="90">
        <v>2031</v>
      </c>
    </row>
    <row r="13" spans="1:23" ht="26.25" thickBot="1" x14ac:dyDescent="0.3">
      <c r="A13" s="92" t="s">
        <v>60</v>
      </c>
      <c r="B13" s="13" t="e">
        <f>BridgeYear -14 &amp; " Actuals"</f>
        <v>#NAME?</v>
      </c>
      <c r="C13" s="13" t="e">
        <f>BridgeYear -13 &amp; " Actuals"</f>
        <v>#NAME?</v>
      </c>
      <c r="D13" s="13" t="e">
        <f>BridgeYear -12 &amp; " Actuals"</f>
        <v>#NAME?</v>
      </c>
      <c r="E13" s="13" t="e">
        <f>BridgeYear -11 &amp; " Actuals"</f>
        <v>#NAME?</v>
      </c>
      <c r="F13" s="13" t="e">
        <f>BridgeYear -10 &amp; " Actuals"</f>
        <v>#NAME?</v>
      </c>
      <c r="G13" s="13" t="e">
        <f>BridgeYear -9 &amp; " Actuals"</f>
        <v>#NAME?</v>
      </c>
      <c r="H13" s="13" t="e">
        <f>BridgeYear -8 &amp; " Actuals"</f>
        <v>#NAME?</v>
      </c>
      <c r="I13" s="13" t="e">
        <f>BridgeYear -7 &amp; " Actuals"</f>
        <v>#NAME?</v>
      </c>
      <c r="J13" s="13" t="e">
        <f>BridgeYear -6 &amp; " Actuals"</f>
        <v>#NAME?</v>
      </c>
      <c r="K13" s="13" t="s">
        <v>121</v>
      </c>
      <c r="L13" s="13" t="s">
        <v>122</v>
      </c>
      <c r="M13" s="13" t="s">
        <v>123</v>
      </c>
      <c r="N13" s="13" t="s">
        <v>124</v>
      </c>
      <c r="O13" s="13" t="s">
        <v>125</v>
      </c>
      <c r="P13" s="114" t="s">
        <v>118</v>
      </c>
      <c r="Q13" s="13" t="s">
        <v>27</v>
      </c>
      <c r="R13" s="13" t="s">
        <v>28</v>
      </c>
      <c r="S13" s="13">
        <f>S12</f>
        <v>2028</v>
      </c>
      <c r="T13" s="13">
        <f>T12</f>
        <v>2029</v>
      </c>
      <c r="U13" s="13">
        <f>U12</f>
        <v>2030</v>
      </c>
      <c r="V13" s="14">
        <f>V12</f>
        <v>2031</v>
      </c>
    </row>
    <row r="14" spans="1:23" ht="15.75" thickBot="1" x14ac:dyDescent="0.3">
      <c r="A14" s="93" t="s">
        <v>33</v>
      </c>
      <c r="B14" s="21"/>
      <c r="C14" s="21"/>
      <c r="D14" s="21"/>
      <c r="E14" s="21"/>
      <c r="F14" s="21"/>
      <c r="G14" s="21"/>
      <c r="H14" s="21"/>
      <c r="I14" s="20"/>
      <c r="J14" s="21"/>
      <c r="K14" s="160" t="s">
        <v>34</v>
      </c>
      <c r="L14" s="160" t="s">
        <v>34</v>
      </c>
      <c r="M14" s="160" t="s">
        <v>34</v>
      </c>
      <c r="N14" s="160" t="s">
        <v>34</v>
      </c>
      <c r="O14" s="160" t="s">
        <v>34</v>
      </c>
      <c r="P14" s="160" t="s">
        <v>34</v>
      </c>
      <c r="Q14" s="160" t="s">
        <v>34</v>
      </c>
      <c r="R14" s="160" t="s">
        <v>34</v>
      </c>
      <c r="S14" s="160" t="s">
        <v>34</v>
      </c>
      <c r="T14" s="160" t="s">
        <v>34</v>
      </c>
      <c r="U14" s="160" t="s">
        <v>34</v>
      </c>
      <c r="V14" s="161" t="s">
        <v>34</v>
      </c>
      <c r="W14" s="94"/>
    </row>
    <row r="15" spans="1:23" x14ac:dyDescent="0.25">
      <c r="A15" s="95" t="s">
        <v>61</v>
      </c>
      <c r="B15" s="96"/>
      <c r="C15" s="97">
        <f t="shared" ref="C15:Q15" si="1">B49</f>
        <v>0</v>
      </c>
      <c r="D15" s="97">
        <f t="shared" si="1"/>
        <v>0</v>
      </c>
      <c r="E15" s="97">
        <f t="shared" si="1"/>
        <v>0</v>
      </c>
      <c r="F15" s="97">
        <f t="shared" si="1"/>
        <v>0</v>
      </c>
      <c r="G15" s="97">
        <f t="shared" si="1"/>
        <v>0</v>
      </c>
      <c r="H15" s="97">
        <f t="shared" si="1"/>
        <v>0</v>
      </c>
      <c r="I15" s="98">
        <f t="shared" si="1"/>
        <v>0</v>
      </c>
      <c r="J15" s="97">
        <f t="shared" si="1"/>
        <v>0</v>
      </c>
      <c r="K15" s="97">
        <f t="shared" si="1"/>
        <v>0</v>
      </c>
      <c r="L15" s="97">
        <f>'App2.-JC OM&amp;A Programs'!L50</f>
        <v>42304136.459999993</v>
      </c>
      <c r="M15" s="97">
        <f t="shared" si="1"/>
        <v>42915708.359999999</v>
      </c>
      <c r="N15" s="97">
        <f t="shared" si="1"/>
        <v>44918464.31000001</v>
      </c>
      <c r="O15" s="97">
        <f t="shared" si="1"/>
        <v>46662196.330000013</v>
      </c>
      <c r="P15" s="97">
        <f t="shared" si="1"/>
        <v>53600375.600000031</v>
      </c>
      <c r="Q15" s="97">
        <f t="shared" si="1"/>
        <v>61025229.940000013</v>
      </c>
      <c r="R15" s="97">
        <f>Q49</f>
        <v>64091179.007011503</v>
      </c>
      <c r="S15" s="97">
        <f>R49</f>
        <v>82035586.665184364</v>
      </c>
      <c r="T15" s="97">
        <f>S49</f>
        <v>1.1175870895385742E-8</v>
      </c>
      <c r="U15" s="97">
        <f>T49</f>
        <v>1.1175870895385742E-8</v>
      </c>
      <c r="V15" s="99">
        <f>U49</f>
        <v>1.1175870895385742E-8</v>
      </c>
    </row>
    <row r="16" spans="1:23" x14ac:dyDescent="0.25">
      <c r="A16" s="142" t="s">
        <v>62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9"/>
    </row>
    <row r="17" spans="1:22" x14ac:dyDescent="0.25">
      <c r="A17" s="141" t="s">
        <v>63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68">
        <f>'App2.-JC OM&amp;A Programs'!M16-'App2.-JC OM&amp;A Programs'!L16</f>
        <v>4882.2924211799982</v>
      </c>
      <c r="M17" s="168">
        <f>'App2.-JC OM&amp;A Programs'!N16-'App2.-JC OM&amp;A Programs'!M16</f>
        <v>105132.83689711004</v>
      </c>
      <c r="N17" s="168">
        <f>'App2.-JC OM&amp;A Programs'!O16-'App2.-JC OM&amp;A Programs'!N16</f>
        <v>-99933.84151199006</v>
      </c>
      <c r="O17" s="168">
        <f>'App2.-JC OM&amp;A Programs'!P16-'App2.-JC OM&amp;A Programs'!O16</f>
        <v>489011.00379320991</v>
      </c>
      <c r="P17" s="168">
        <f>'App2.-JC OM&amp;A Programs'!Q16-'App2.-JC OM&amp;A Programs'!P16</f>
        <v>340003.75429391011</v>
      </c>
      <c r="Q17" s="168">
        <f>'App2.-JC OM&amp;A Programs'!R16-'App2.-JC OM&amp;A Programs'!Q16</f>
        <v>-175197.44552190998</v>
      </c>
      <c r="R17" s="168">
        <f>'App2.-JC OM&amp;A Programs'!S16-'App2.-JC OM&amp;A Programs'!R16</f>
        <v>416546.97921070992</v>
      </c>
      <c r="S17" s="168">
        <f>'App2.-JC OM&amp;A Programs'!T16-'App2.-JC OM&amp;A Programs'!S16</f>
        <v>-1535745.5336887999</v>
      </c>
      <c r="T17" s="168">
        <f>'App2.-JC OM&amp;A Programs'!U16-'App2.-JC OM&amp;A Programs'!T16</f>
        <v>0</v>
      </c>
      <c r="U17" s="168">
        <f>'App2.-JC OM&amp;A Programs'!V16-'App2.-JC OM&amp;A Programs'!U16</f>
        <v>0</v>
      </c>
      <c r="V17" s="169">
        <f>'App2.-JC OM&amp;A Programs'!W16-'App2.-JC OM&amp;A Programs'!V16</f>
        <v>0</v>
      </c>
    </row>
    <row r="18" spans="1:22" x14ac:dyDescent="0.25">
      <c r="A18" s="141" t="s">
        <v>64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68">
        <f>'App2.-JC OM&amp;A Programs'!M17-'App2.-JC OM&amp;A Programs'!L17</f>
        <v>57440.997578819981</v>
      </c>
      <c r="M18" s="168">
        <f>'App2.-JC OM&amp;A Programs'!N17-'App2.-JC OM&amp;A Programs'!M17</f>
        <v>-129395.07565965015</v>
      </c>
      <c r="N18" s="168">
        <f>'App2.-JC OM&amp;A Programs'!O17-'App2.-JC OM&amp;A Programs'!N17</f>
        <v>-114152.13752243994</v>
      </c>
      <c r="O18" s="168">
        <f>'App2.-JC OM&amp;A Programs'!P17-'App2.-JC OM&amp;A Programs'!O17</f>
        <v>68068.37686869991</v>
      </c>
      <c r="P18" s="168">
        <f>'App2.-JC OM&amp;A Programs'!Q17-'App2.-JC OM&amp;A Programs'!P17</f>
        <v>102068.67284115008</v>
      </c>
      <c r="Q18" s="168">
        <f>'App2.-JC OM&amp;A Programs'!R17-'App2.-JC OM&amp;A Programs'!Q17</f>
        <v>-99225.607994189952</v>
      </c>
      <c r="R18" s="168">
        <f>'App2.-JC OM&amp;A Programs'!S17-'App2.-JC OM&amp;A Programs'!R17</f>
        <v>187127.4974911199</v>
      </c>
      <c r="S18" s="168">
        <f>'App2.-JC OM&amp;A Programs'!T17-'App2.-JC OM&amp;A Programs'!S17</f>
        <v>-1079244.8894969299</v>
      </c>
      <c r="T18" s="168">
        <f>'App2.-JC OM&amp;A Programs'!U17-'App2.-JC OM&amp;A Programs'!T17</f>
        <v>0</v>
      </c>
      <c r="U18" s="168">
        <f>'App2.-JC OM&amp;A Programs'!V17-'App2.-JC OM&amp;A Programs'!U17</f>
        <v>0</v>
      </c>
      <c r="V18" s="169">
        <f>'App2.-JC OM&amp;A Programs'!W17-'App2.-JC OM&amp;A Programs'!V17</f>
        <v>0</v>
      </c>
    </row>
    <row r="19" spans="1:22" x14ac:dyDescent="0.25">
      <c r="A19" s="142" t="s">
        <v>65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9"/>
    </row>
    <row r="20" spans="1:22" x14ac:dyDescent="0.25">
      <c r="A20" s="141" t="s">
        <v>66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68">
        <f>'App2.-JC OM&amp;A Programs'!M20-'App2.-JC OM&amp;A Programs'!L20</f>
        <v>183554.7241633099</v>
      </c>
      <c r="M20" s="168">
        <f>'App2.-JC OM&amp;A Programs'!N20-'App2.-JC OM&amp;A Programs'!M20</f>
        <v>238777.13456610078</v>
      </c>
      <c r="N20" s="168">
        <f>'App2.-JC OM&amp;A Programs'!O20-'App2.-JC OM&amp;A Programs'!N20</f>
        <v>-207134.59501352045</v>
      </c>
      <c r="O20" s="168">
        <f>'App2.-JC OM&amp;A Programs'!P20-'App2.-JC OM&amp;A Programs'!O20</f>
        <v>413584.29156900966</v>
      </c>
      <c r="P20" s="168">
        <f>'App2.-JC OM&amp;A Programs'!Q20-'App2.-JC OM&amp;A Programs'!P20</f>
        <v>366163.72767746029</v>
      </c>
      <c r="Q20" s="168">
        <f>'App2.-JC OM&amp;A Programs'!R20-'App2.-JC OM&amp;A Programs'!Q20</f>
        <v>2399643</v>
      </c>
      <c r="R20" s="168">
        <f>'App2.-JC OM&amp;A Programs'!S20-'App2.-JC OM&amp;A Programs'!R20</f>
        <v>852185</v>
      </c>
      <c r="S20" s="168">
        <f>'App2.-JC OM&amp;A Programs'!T20-'App2.-JC OM&amp;A Programs'!S20</f>
        <v>-6000414</v>
      </c>
      <c r="T20" s="168">
        <f>'App2.-JC OM&amp;A Programs'!U20-'App2.-JC OM&amp;A Programs'!T20</f>
        <v>0</v>
      </c>
      <c r="U20" s="168">
        <f>'App2.-JC OM&amp;A Programs'!V20-'App2.-JC OM&amp;A Programs'!U20</f>
        <v>0</v>
      </c>
      <c r="V20" s="169">
        <f>'App2.-JC OM&amp;A Programs'!W20-'App2.-JC OM&amp;A Programs'!V20</f>
        <v>0</v>
      </c>
    </row>
    <row r="21" spans="1:22" x14ac:dyDescent="0.25">
      <c r="A21" s="141" t="s">
        <v>67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68">
        <f>'App2.-JC OM&amp;A Programs'!M21-'App2.-JC OM&amp;A Programs'!L21</f>
        <v>396708.99583671847</v>
      </c>
      <c r="M21" s="168">
        <f>'App2.-JC OM&amp;A Programs'!N21-'App2.-JC OM&amp;A Programs'!M21</f>
        <v>5940.0054339007474</v>
      </c>
      <c r="N21" s="168">
        <f>'App2.-JC OM&amp;A Programs'!O21-'App2.-JC OM&amp;A Programs'!N21</f>
        <v>-192064.00023230026</v>
      </c>
      <c r="O21" s="168">
        <f>'App2.-JC OM&amp;A Programs'!P21-'App2.-JC OM&amp;A Programs'!O21</f>
        <v>72023.754799949937</v>
      </c>
      <c r="P21" s="168">
        <f>'App2.-JC OM&amp;A Programs'!Q21-'App2.-JC OM&amp;A Programs'!P21</f>
        <v>194085.51119940076</v>
      </c>
      <c r="Q21" s="168">
        <f>'App2.-JC OM&amp;A Programs'!R21-'App2.-JC OM&amp;A Programs'!Q21</f>
        <v>-27881</v>
      </c>
      <c r="R21" s="168">
        <f>'App2.-JC OM&amp;A Programs'!S21-'App2.-JC OM&amp;A Programs'!R21</f>
        <v>187186</v>
      </c>
      <c r="S21" s="168">
        <f>'App2.-JC OM&amp;A Programs'!T21-'App2.-JC OM&amp;A Programs'!S21</f>
        <v>-3397216</v>
      </c>
      <c r="T21" s="168">
        <f>'App2.-JC OM&amp;A Programs'!U21-'App2.-JC OM&amp;A Programs'!T21</f>
        <v>0</v>
      </c>
      <c r="U21" s="168">
        <f>'App2.-JC OM&amp;A Programs'!V21-'App2.-JC OM&amp;A Programs'!U21</f>
        <v>0</v>
      </c>
      <c r="V21" s="169">
        <f>'App2.-JC OM&amp;A Programs'!W21-'App2.-JC OM&amp;A Programs'!V21</f>
        <v>0</v>
      </c>
    </row>
    <row r="22" spans="1:22" x14ac:dyDescent="0.25">
      <c r="A22" s="142" t="s">
        <v>68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9"/>
    </row>
    <row r="23" spans="1:22" x14ac:dyDescent="0.25">
      <c r="A23" s="141" t="s">
        <v>69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9"/>
    </row>
    <row r="24" spans="1:22" x14ac:dyDescent="0.25">
      <c r="A24" s="141" t="s">
        <v>70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68">
        <f>'App2.-JC OM&amp;A Programs'!M25-'App2.-JC OM&amp;A Programs'!L25</f>
        <v>-1501872.6000719704</v>
      </c>
      <c r="M24" s="168">
        <f>'App2.-JC OM&amp;A Programs'!N25-'App2.-JC OM&amp;A Programs'!M25</f>
        <v>192905.32962601958</v>
      </c>
      <c r="N24" s="168">
        <f>'App2.-JC OM&amp;A Programs'!O25-'App2.-JC OM&amp;A Programs'!N25</f>
        <v>-277570.52972867014</v>
      </c>
      <c r="O24" s="168">
        <f>'App2.-JC OM&amp;A Programs'!P25-'App2.-JC OM&amp;A Programs'!O25</f>
        <v>564424.94529313082</v>
      </c>
      <c r="P24" s="168">
        <f>'App2.-JC OM&amp;A Programs'!Q25-'App2.-JC OM&amp;A Programs'!P25</f>
        <v>1951111.2948095198</v>
      </c>
      <c r="Q24" s="168">
        <f>'App2.-JC OM&amp;A Programs'!R25-'App2.-JC OM&amp;A Programs'!Q25</f>
        <v>-1370936.3091052407</v>
      </c>
      <c r="R24" s="168">
        <f>'App2.-JC OM&amp;A Programs'!S25-'App2.-JC OM&amp;A Programs'!R25</f>
        <v>1079623.133548161</v>
      </c>
      <c r="S24" s="168">
        <f>'App2.-JC OM&amp;A Programs'!T25-'App2.-JC OM&amp;A Programs'!S25</f>
        <v>-4435978.8244429203</v>
      </c>
      <c r="T24" s="168">
        <f>'App2.-JC OM&amp;A Programs'!U25-'App2.-JC OM&amp;A Programs'!T25</f>
        <v>0</v>
      </c>
      <c r="U24" s="168">
        <f>'App2.-JC OM&amp;A Programs'!V25-'App2.-JC OM&amp;A Programs'!U25</f>
        <v>0</v>
      </c>
      <c r="V24" s="169">
        <f>'App2.-JC OM&amp;A Programs'!W25-'App2.-JC OM&amp;A Programs'!V25</f>
        <v>0</v>
      </c>
    </row>
    <row r="25" spans="1:22" x14ac:dyDescent="0.25">
      <c r="A25" s="141" t="s">
        <v>71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68">
        <f>'App2.-JC OM&amp;A Programs'!M26-'App2.-JC OM&amp;A Programs'!L26</f>
        <v>64024.620000000228</v>
      </c>
      <c r="M25" s="168">
        <f>'App2.-JC OM&amp;A Programs'!N26-'App2.-JC OM&amp;A Programs'!M26</f>
        <v>-136221.42359083996</v>
      </c>
      <c r="N25" s="168">
        <f>'App2.-JC OM&amp;A Programs'!O26-'App2.-JC OM&amp;A Programs'!N26</f>
        <v>145336.8518241999</v>
      </c>
      <c r="O25" s="168">
        <f>'App2.-JC OM&amp;A Programs'!P26-'App2.-JC OM&amp;A Programs'!O26</f>
        <v>3439346.4473002194</v>
      </c>
      <c r="P25" s="168">
        <f>'App2.-JC OM&amp;A Programs'!Q26-'App2.-JC OM&amp;A Programs'!P26</f>
        <v>-3018963.4855335793</v>
      </c>
      <c r="Q25" s="168">
        <f>'App2.-JC OM&amp;A Programs'!R26-'App2.-JC OM&amp;A Programs'!Q26</f>
        <v>425124.0396857101</v>
      </c>
      <c r="R25" s="168">
        <f>'App2.-JC OM&amp;A Programs'!S26-'App2.-JC OM&amp;A Programs'!R26</f>
        <v>405606.8325725093</v>
      </c>
      <c r="S25" s="168">
        <f>'App2.-JC OM&amp;A Programs'!T26-'App2.-JC OM&amp;A Programs'!S26</f>
        <v>-2280084.8722582194</v>
      </c>
      <c r="T25" s="168">
        <f>'App2.-JC OM&amp;A Programs'!U26-'App2.-JC OM&amp;A Programs'!T26</f>
        <v>0</v>
      </c>
      <c r="U25" s="168">
        <f>'App2.-JC OM&amp;A Programs'!V26-'App2.-JC OM&amp;A Programs'!U26</f>
        <v>0</v>
      </c>
      <c r="V25" s="169">
        <f>'App2.-JC OM&amp;A Programs'!W26-'App2.-JC OM&amp;A Programs'!V26</f>
        <v>0</v>
      </c>
    </row>
    <row r="26" spans="1:22" x14ac:dyDescent="0.25">
      <c r="A26" s="141" t="s">
        <v>72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68">
        <f>'App2.-JC OM&amp;A Programs'!M27-'App2.-JC OM&amp;A Programs'!L27</f>
        <v>37418.629999999655</v>
      </c>
      <c r="M26" s="168">
        <f>'App2.-JC OM&amp;A Programs'!N27-'App2.-JC OM&amp;A Programs'!M27</f>
        <v>84145.370000000345</v>
      </c>
      <c r="N26" s="168">
        <f>'App2.-JC OM&amp;A Programs'!O27-'App2.-JC OM&amp;A Programs'!N27</f>
        <v>537956.65999999968</v>
      </c>
      <c r="O26" s="168">
        <f>'App2.-JC OM&amp;A Programs'!P27-'App2.-JC OM&amp;A Programs'!O27</f>
        <v>106507.29370907973</v>
      </c>
      <c r="P26" s="168">
        <f>'App2.-JC OM&amp;A Programs'!Q27-'App2.-JC OM&amp;A Programs'!P27</f>
        <v>1320055.1062909202</v>
      </c>
      <c r="Q26" s="168">
        <f>'App2.-JC OM&amp;A Programs'!R27-'App2.-JC OM&amp;A Programs'!Q27</f>
        <v>-1255305.0660057906</v>
      </c>
      <c r="R26" s="168">
        <f>'App2.-JC OM&amp;A Programs'!S27-'App2.-JC OM&amp;A Programs'!R27</f>
        <v>-162868.39079289977</v>
      </c>
      <c r="S26" s="168">
        <f>'App2.-JC OM&amp;A Programs'!T27-'App2.-JC OM&amp;A Programs'!S27</f>
        <v>-2325776.5432013096</v>
      </c>
      <c r="T26" s="168">
        <f>'App2.-JC OM&amp;A Programs'!U27-'App2.-JC OM&amp;A Programs'!T27</f>
        <v>0</v>
      </c>
      <c r="U26" s="168">
        <f>'App2.-JC OM&amp;A Programs'!V27-'App2.-JC OM&amp;A Programs'!U27</f>
        <v>0</v>
      </c>
      <c r="V26" s="169">
        <f>'App2.-JC OM&amp;A Programs'!W27-'App2.-JC OM&amp;A Programs'!V27</f>
        <v>0</v>
      </c>
    </row>
    <row r="27" spans="1:22" x14ac:dyDescent="0.25">
      <c r="A27" s="141" t="s">
        <v>73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68">
        <f>'App2.-JC OM&amp;A Programs'!M28-'App2.-JC OM&amp;A Programs'!L28</f>
        <v>285954.25999999954</v>
      </c>
      <c r="M27" s="168">
        <f>'App2.-JC OM&amp;A Programs'!N28-'App2.-JC OM&amp;A Programs'!M28</f>
        <v>-148443.91727263993</v>
      </c>
      <c r="N27" s="168">
        <f>'App2.-JC OM&amp;A Programs'!O28-'App2.-JC OM&amp;A Programs'!N28</f>
        <v>153103.78218472004</v>
      </c>
      <c r="O27" s="168">
        <f>'App2.-JC OM&amp;A Programs'!P28-'App2.-JC OM&amp;A Programs'!O28</f>
        <v>280147.83062153007</v>
      </c>
      <c r="P27" s="168">
        <f>'App2.-JC OM&amp;A Programs'!Q28-'App2.-JC OM&amp;A Programs'!P28</f>
        <v>110841.04446639004</v>
      </c>
      <c r="Q27" s="168">
        <f>'App2.-JC OM&amp;A Programs'!R28-'App2.-JC OM&amp;A Programs'!Q28</f>
        <v>54256.3966327901</v>
      </c>
      <c r="R27" s="168">
        <f>'App2.-JC OM&amp;A Programs'!S28-'App2.-JC OM&amp;A Programs'!R28</f>
        <v>708259.42890344001</v>
      </c>
      <c r="S27" s="168">
        <f>'App2.-JC OM&amp;A Programs'!T28-'App2.-JC OM&amp;A Programs'!S28</f>
        <v>-2479058.8255362301</v>
      </c>
      <c r="T27" s="168">
        <f>'App2.-JC OM&amp;A Programs'!U28-'App2.-JC OM&amp;A Programs'!T28</f>
        <v>0</v>
      </c>
      <c r="U27" s="168">
        <f>'App2.-JC OM&amp;A Programs'!V28-'App2.-JC OM&amp;A Programs'!U28</f>
        <v>0</v>
      </c>
      <c r="V27" s="169">
        <f>'App2.-JC OM&amp;A Programs'!W28-'App2.-JC OM&amp;A Programs'!V28</f>
        <v>0</v>
      </c>
    </row>
    <row r="28" spans="1:22" x14ac:dyDescent="0.25">
      <c r="A28" s="141" t="s">
        <v>74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68">
        <f>'App2.-JC OM&amp;A Programs'!M29-'App2.-JC OM&amp;A Programs'!L29</f>
        <v>-123816.48999999999</v>
      </c>
      <c r="M28" s="168">
        <f>'App2.-JC OM&amp;A Programs'!N29-'App2.-JC OM&amp;A Programs'!M29</f>
        <v>137466.47999999998</v>
      </c>
      <c r="N28" s="168">
        <f>'App2.-JC OM&amp;A Programs'!O29-'App2.-JC OM&amp;A Programs'!N29</f>
        <v>439203.58000000007</v>
      </c>
      <c r="O28" s="168">
        <f>'App2.-JC OM&amp;A Programs'!P29-'App2.-JC OM&amp;A Programs'!O29</f>
        <v>203174.32000000007</v>
      </c>
      <c r="P28" s="168">
        <f>'App2.-JC OM&amp;A Programs'!Q29-'App2.-JC OM&amp;A Programs'!P29</f>
        <v>324839.15999999992</v>
      </c>
      <c r="Q28" s="168">
        <f>'App2.-JC OM&amp;A Programs'!R29-'App2.-JC OM&amp;A Programs'!Q29</f>
        <v>-116761.04311313992</v>
      </c>
      <c r="R28" s="168">
        <f>'App2.-JC OM&amp;A Programs'!S29-'App2.-JC OM&amp;A Programs'!R29</f>
        <v>82624.591321200132</v>
      </c>
      <c r="S28" s="168">
        <f>'App2.-JC OM&amp;A Programs'!T29-'App2.-JC OM&amp;A Programs'!S29</f>
        <v>-2177664.5482080602</v>
      </c>
      <c r="T28" s="168">
        <f>'App2.-JC OM&amp;A Programs'!U29-'App2.-JC OM&amp;A Programs'!T29</f>
        <v>0</v>
      </c>
      <c r="U28" s="168">
        <f>'App2.-JC OM&amp;A Programs'!V29-'App2.-JC OM&amp;A Programs'!U29</f>
        <v>0</v>
      </c>
      <c r="V28" s="169">
        <f>'App2.-JC OM&amp;A Programs'!W29-'App2.-JC OM&amp;A Programs'!V29</f>
        <v>0</v>
      </c>
    </row>
    <row r="29" spans="1:22" x14ac:dyDescent="0.25">
      <c r="A29" s="142" t="s">
        <v>75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9"/>
    </row>
    <row r="30" spans="1:22" x14ac:dyDescent="0.25">
      <c r="A30" s="141" t="s">
        <v>76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68">
        <f>'App2.-JC OM&amp;A Programs'!M32-'App2.-JC OM&amp;A Programs'!L32</f>
        <v>283123.38512904942</v>
      </c>
      <c r="M30" s="168">
        <f>'App2.-JC OM&amp;A Programs'!N32-'App2.-JC OM&amp;A Programs'!M32</f>
        <v>-14809.954193049576</v>
      </c>
      <c r="N30" s="168">
        <f>'App2.-JC OM&amp;A Programs'!O32-'App2.-JC OM&amp;A Programs'!N32</f>
        <v>-425834.70999999996</v>
      </c>
      <c r="O30" s="168">
        <f>'App2.-JC OM&amp;A Programs'!P32-'App2.-JC OM&amp;A Programs'!O32</f>
        <v>340320.40099144028</v>
      </c>
      <c r="P30" s="168">
        <f>'App2.-JC OM&amp;A Programs'!Q32-'App2.-JC OM&amp;A Programs'!P32</f>
        <v>94175.939008559566</v>
      </c>
      <c r="Q30" s="168">
        <f>'App2.-JC OM&amp;A Programs'!R32-'App2.-JC OM&amp;A Programs'!Q32</f>
        <v>250418.0760019701</v>
      </c>
      <c r="R30" s="168">
        <f>'App2.-JC OM&amp;A Programs'!S32-'App2.-JC OM&amp;A Programs'!R32</f>
        <v>284004.92255776003</v>
      </c>
      <c r="S30" s="168">
        <f>'App2.-JC OM&amp;A Programs'!T32-'App2.-JC OM&amp;A Programs'!S32</f>
        <v>-3996630.9985597301</v>
      </c>
      <c r="T30" s="168">
        <f>'App2.-JC OM&amp;A Programs'!U32-'App2.-JC OM&amp;A Programs'!T32</f>
        <v>0</v>
      </c>
      <c r="U30" s="168">
        <f>'App2.-JC OM&amp;A Programs'!V32-'App2.-JC OM&amp;A Programs'!U32</f>
        <v>0</v>
      </c>
      <c r="V30" s="169">
        <f>'App2.-JC OM&amp;A Programs'!W32-'App2.-JC OM&amp;A Programs'!V32</f>
        <v>0</v>
      </c>
    </row>
    <row r="31" spans="1:22" x14ac:dyDescent="0.25">
      <c r="A31" s="141" t="s">
        <v>77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68">
        <f>'App2.-JC OM&amp;A Programs'!M33-'App2.-JC OM&amp;A Programs'!L33</f>
        <v>173939.3199999989</v>
      </c>
      <c r="M31" s="168">
        <f>'App2.-JC OM&amp;A Programs'!N33-'App2.-JC OM&amp;A Programs'!M33</f>
        <v>570015.37000000151</v>
      </c>
      <c r="N31" s="168">
        <f>'App2.-JC OM&amp;A Programs'!O33-'App2.-JC OM&amp;A Programs'!N33</f>
        <v>679174.91999999899</v>
      </c>
      <c r="O31" s="168">
        <f>'App2.-JC OM&amp;A Programs'!P33-'App2.-JC OM&amp;A Programs'!O33</f>
        <v>377030.92773444112</v>
      </c>
      <c r="P31" s="168">
        <f>'App2.-JC OM&amp;A Programs'!Q33-'App2.-JC OM&amp;A Programs'!P33</f>
        <v>-30100.607734440826</v>
      </c>
      <c r="Q31" s="168">
        <f>'App2.-JC OM&amp;A Programs'!R33-'App2.-JC OM&amp;A Programs'!Q33</f>
        <v>605174.11945769005</v>
      </c>
      <c r="R31" s="168">
        <f>'App2.-JC OM&amp;A Programs'!S33-'App2.-JC OM&amp;A Programs'!R33</f>
        <v>251525.71117927134</v>
      </c>
      <c r="S31" s="168">
        <f>'App2.-JC OM&amp;A Programs'!T33-'App2.-JC OM&amp;A Programs'!S33</f>
        <v>-5397981.8306369614</v>
      </c>
      <c r="T31" s="168">
        <f>'App2.-JC OM&amp;A Programs'!U33-'App2.-JC OM&amp;A Programs'!T33</f>
        <v>0</v>
      </c>
      <c r="U31" s="168">
        <f>'App2.-JC OM&amp;A Programs'!V33-'App2.-JC OM&amp;A Programs'!U33</f>
        <v>0</v>
      </c>
      <c r="V31" s="169">
        <f>'App2.-JC OM&amp;A Programs'!W33-'App2.-JC OM&amp;A Programs'!V33</f>
        <v>0</v>
      </c>
    </row>
    <row r="32" spans="1:22" x14ac:dyDescent="0.25">
      <c r="A32" s="141" t="s">
        <v>78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68">
        <f>'App2.-JC OM&amp;A Programs'!M34-'App2.-JC OM&amp;A Programs'!L34</f>
        <v>-1110449.2841930497</v>
      </c>
      <c r="M32" s="168">
        <f>'App2.-JC OM&amp;A Programs'!N34-'App2.-JC OM&amp;A Programs'!M34</f>
        <v>-920446.51580695063</v>
      </c>
      <c r="N32" s="168">
        <f>'App2.-JC OM&amp;A Programs'!O34-'App2.-JC OM&amp;A Programs'!N34</f>
        <v>-35238.739999999525</v>
      </c>
      <c r="O32" s="168">
        <f>'App2.-JC OM&amp;A Programs'!P34-'App2.-JC OM&amp;A Programs'!O34</f>
        <v>515054.70145094977</v>
      </c>
      <c r="P32" s="168">
        <f>'App2.-JC OM&amp;A Programs'!Q34-'App2.-JC OM&amp;A Programs'!P34</f>
        <v>2182580.1485490501</v>
      </c>
      <c r="Q32" s="168">
        <f>'App2.-JC OM&amp;A Programs'!R34-'App2.-JC OM&amp;A Programs'!Q34</f>
        <v>-1541428.20291421</v>
      </c>
      <c r="R32" s="168">
        <f>'App2.-JC OM&amp;A Programs'!S34-'App2.-JC OM&amp;A Programs'!R34</f>
        <v>59065.890908439644</v>
      </c>
      <c r="S32" s="168">
        <f>'App2.-JC OM&amp;A Programs'!T34-'App2.-JC OM&amp;A Programs'!S34</f>
        <v>-3292215.6879942296</v>
      </c>
      <c r="T32" s="168">
        <f>'App2.-JC OM&amp;A Programs'!U34-'App2.-JC OM&amp;A Programs'!T34</f>
        <v>0</v>
      </c>
      <c r="U32" s="168">
        <f>'App2.-JC OM&amp;A Programs'!V34-'App2.-JC OM&amp;A Programs'!U34</f>
        <v>0</v>
      </c>
      <c r="V32" s="169">
        <f>'App2.-JC OM&amp;A Programs'!W34-'App2.-JC OM&amp;A Programs'!V34</f>
        <v>0</v>
      </c>
    </row>
    <row r="33" spans="1:22" x14ac:dyDescent="0.25">
      <c r="A33" s="141" t="s">
        <v>79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68">
        <f>'App2.-JC OM&amp;A Programs'!M35-'App2.-JC OM&amp;A Programs'!L35</f>
        <v>-155139.06999999937</v>
      </c>
      <c r="M33" s="168">
        <f>'App2.-JC OM&amp;A Programs'!N35-'App2.-JC OM&amp;A Programs'!M35</f>
        <v>-266010.38999999966</v>
      </c>
      <c r="N33" s="168">
        <f>'App2.-JC OM&amp;A Programs'!O35-'App2.-JC OM&amp;A Programs'!N35</f>
        <v>-86574.600000000559</v>
      </c>
      <c r="O33" s="168">
        <f>'App2.-JC OM&amp;A Programs'!P35-'App2.-JC OM&amp;A Programs'!O35</f>
        <v>105816.02000000002</v>
      </c>
      <c r="P33" s="168">
        <f>'App2.-JC OM&amp;A Programs'!Q35-'App2.-JC OM&amp;A Programs'!P35</f>
        <v>191651.16999999993</v>
      </c>
      <c r="Q33" s="168">
        <f>'App2.-JC OM&amp;A Programs'!R35-'App2.-JC OM&amp;A Programs'!Q35</f>
        <v>195031.9404989602</v>
      </c>
      <c r="R33" s="168">
        <f>'App2.-JC OM&amp;A Programs'!S35-'App2.-JC OM&amp;A Programs'!R35</f>
        <v>197100.92613786925</v>
      </c>
      <c r="S33" s="168">
        <f>'App2.-JC OM&amp;A Programs'!T35-'App2.-JC OM&amp;A Programs'!S35</f>
        <v>-3545242.8666368295</v>
      </c>
      <c r="T33" s="168">
        <f>'App2.-JC OM&amp;A Programs'!U35-'App2.-JC OM&amp;A Programs'!T35</f>
        <v>0</v>
      </c>
      <c r="U33" s="168">
        <f>'App2.-JC OM&amp;A Programs'!V35-'App2.-JC OM&amp;A Programs'!U35</f>
        <v>0</v>
      </c>
      <c r="V33" s="169">
        <f>'App2.-JC OM&amp;A Programs'!W35-'App2.-JC OM&amp;A Programs'!V35</f>
        <v>0</v>
      </c>
    </row>
    <row r="34" spans="1:22" x14ac:dyDescent="0.25">
      <c r="A34" s="136" t="s">
        <v>80</v>
      </c>
      <c r="B34" s="137"/>
      <c r="C34" s="137"/>
      <c r="D34" s="137"/>
      <c r="E34" s="137"/>
      <c r="F34" s="137"/>
      <c r="G34" s="137"/>
      <c r="H34" s="137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9"/>
    </row>
    <row r="35" spans="1:22" x14ac:dyDescent="0.25">
      <c r="A35" s="141" t="s">
        <v>81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68">
        <f>'App2.-JC OM&amp;A Programs'!M38-'App2.-JC OM&amp;A Programs'!L38</f>
        <v>524632.86999999965</v>
      </c>
      <c r="M35" s="168">
        <f>'App2.-JC OM&amp;A Programs'!N38-'App2.-JC OM&amp;A Programs'!M38</f>
        <v>869826.10000000009</v>
      </c>
      <c r="N35" s="168">
        <f>'App2.-JC OM&amp;A Programs'!O38-'App2.-JC OM&amp;A Programs'!N38</f>
        <v>737512.30999999959</v>
      </c>
      <c r="O35" s="168">
        <f>'App2.-JC OM&amp;A Programs'!P38-'App2.-JC OM&amp;A Programs'!O38</f>
        <v>356100.22471415158</v>
      </c>
      <c r="P35" s="168">
        <f>'App2.-JC OM&amp;A Programs'!Q38-'App2.-JC OM&amp;A Programs'!P38</f>
        <v>-45439.624714151025</v>
      </c>
      <c r="Q35" s="168">
        <f>'App2.-JC OM&amp;A Programs'!R38-'App2.-JC OM&amp;A Programs'!Q38</f>
        <v>1575536.2942950502</v>
      </c>
      <c r="R35" s="168">
        <f>'App2.-JC OM&amp;A Programs'!S38-'App2.-JC OM&amp;A Programs'!R38</f>
        <v>5287298.7838965915</v>
      </c>
      <c r="S35" s="168">
        <f>'App2.-JC OM&amp;A Programs'!T38-'App2.-JC OM&amp;A Programs'!S38</f>
        <v>-12087160.078191642</v>
      </c>
      <c r="T35" s="168">
        <f>'App2.-JC OM&amp;A Programs'!U38-'App2.-JC OM&amp;A Programs'!T38</f>
        <v>0</v>
      </c>
      <c r="U35" s="168">
        <f>'App2.-JC OM&amp;A Programs'!V38-'App2.-JC OM&amp;A Programs'!U38</f>
        <v>0</v>
      </c>
      <c r="V35" s="169">
        <f>'App2.-JC OM&amp;A Programs'!W38-'App2.-JC OM&amp;A Programs'!V38</f>
        <v>0</v>
      </c>
    </row>
    <row r="36" spans="1:22" x14ac:dyDescent="0.25">
      <c r="A36" s="141" t="s">
        <v>82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68">
        <f>'App2.-JC OM&amp;A Programs'!M39-'App2.-JC OM&amp;A Programs'!L39</f>
        <v>1008146.3000000005</v>
      </c>
      <c r="M36" s="168">
        <f>'App2.-JC OM&amp;A Programs'!N39-'App2.-JC OM&amp;A Programs'!M39</f>
        <v>-27141.52000000095</v>
      </c>
      <c r="N36" s="168">
        <f>'App2.-JC OM&amp;A Programs'!O39-'App2.-JC OM&amp;A Programs'!N39</f>
        <v>1023498.7499999981</v>
      </c>
      <c r="O36" s="168">
        <f>'App2.-JC OM&amp;A Programs'!P39-'App2.-JC OM&amp;A Programs'!O39</f>
        <v>778624.85329245217</v>
      </c>
      <c r="P36" s="168">
        <f>'App2.-JC OM&amp;A Programs'!Q39-'App2.-JC OM&amp;A Programs'!P39</f>
        <v>26090.076707549393</v>
      </c>
      <c r="Q36" s="168">
        <f>'App2.-JC OM&amp;A Programs'!R39-'App2.-JC OM&amp;A Programs'!Q39</f>
        <v>1243633.9184877826</v>
      </c>
      <c r="R36" s="168">
        <f>'App2.-JC OM&amp;A Programs'!S39-'App2.-JC OM&amp;A Programs'!R39</f>
        <v>713900.17433522642</v>
      </c>
      <c r="S36" s="168">
        <f>'App2.-JC OM&amp;A Programs'!T39-'App2.-JC OM&amp;A Programs'!S39</f>
        <v>-6861342.092823009</v>
      </c>
      <c r="T36" s="168">
        <f>'App2.-JC OM&amp;A Programs'!U39-'App2.-JC OM&amp;A Programs'!T39</f>
        <v>0</v>
      </c>
      <c r="U36" s="168">
        <f>'App2.-JC OM&amp;A Programs'!V39-'App2.-JC OM&amp;A Programs'!U39</f>
        <v>0</v>
      </c>
      <c r="V36" s="169">
        <f>'App2.-JC OM&amp;A Programs'!W39-'App2.-JC OM&amp;A Programs'!V39</f>
        <v>0</v>
      </c>
    </row>
    <row r="37" spans="1:22" x14ac:dyDescent="0.25">
      <c r="A37" s="141" t="s">
        <v>83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68">
        <f>'App2.-JC OM&amp;A Programs'!M40-'App2.-JC OM&amp;A Programs'!L40</f>
        <v>242711.71999995224</v>
      </c>
      <c r="M37" s="168">
        <f>'App2.-JC OM&amp;A Programs'!N40-'App2.-JC OM&amp;A Programs'!M40</f>
        <v>250438.74000000767</v>
      </c>
      <c r="N37" s="168">
        <f>'App2.-JC OM&amp;A Programs'!O40-'App2.-JC OM&amp;A Programs'!N40</f>
        <v>-401857.54999999981</v>
      </c>
      <c r="O37" s="168">
        <f>'App2.-JC OM&amp;A Programs'!P40-'App2.-JC OM&amp;A Programs'!O40</f>
        <v>66321.932762845419</v>
      </c>
      <c r="P37" s="168">
        <f>'App2.-JC OM&amp;A Programs'!Q40-'App2.-JC OM&amp;A Programs'!P40</f>
        <v>1326693.9172371477</v>
      </c>
      <c r="Q37" s="168">
        <f>'App2.-JC OM&amp;A Programs'!R40-'App2.-JC OM&amp;A Programs'!Q40</f>
        <v>-223664.12295897305</v>
      </c>
      <c r="R37" s="168">
        <f>'App2.-JC OM&amp;A Programs'!S40-'App2.-JC OM&amp;A Programs'!R40</f>
        <v>556959.20839181915</v>
      </c>
      <c r="S37" s="168">
        <f>'App2.-JC OM&amp;A Programs'!T40-'App2.-JC OM&amp;A Programs'!S40</f>
        <v>-5246159.0854328461</v>
      </c>
      <c r="T37" s="168">
        <f>'App2.-JC OM&amp;A Programs'!U40-'App2.-JC OM&amp;A Programs'!T40</f>
        <v>0</v>
      </c>
      <c r="U37" s="168">
        <f>'App2.-JC OM&amp;A Programs'!V40-'App2.-JC OM&amp;A Programs'!U40</f>
        <v>0</v>
      </c>
      <c r="V37" s="169">
        <f>'App2.-JC OM&amp;A Programs'!W40-'App2.-JC OM&amp;A Programs'!V40</f>
        <v>0</v>
      </c>
    </row>
    <row r="38" spans="1:22" x14ac:dyDescent="0.25">
      <c r="A38" s="141" t="s">
        <v>84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68">
        <f>'App2.-JC OM&amp;A Programs'!M41-'App2.-JC OM&amp;A Programs'!L41</f>
        <v>-984842.68086399976</v>
      </c>
      <c r="M38" s="168">
        <f>'App2.-JC OM&amp;A Programs'!N41-'App2.-JC OM&amp;A Programs'!M41</f>
        <v>531706.29</v>
      </c>
      <c r="N38" s="168">
        <f>'App2.-JC OM&amp;A Programs'!O41-'App2.-JC OM&amp;A Programs'!N41</f>
        <v>-97800.909999999916</v>
      </c>
      <c r="O38" s="168">
        <f>'App2.-JC OM&amp;A Programs'!P41-'App2.-JC OM&amp;A Programs'!O41</f>
        <v>-48769.651679160073</v>
      </c>
      <c r="P38" s="168">
        <f>'App2.-JC OM&amp;A Programs'!Q41-'App2.-JC OM&amp;A Programs'!P41</f>
        <v>363687.63167916005</v>
      </c>
      <c r="Q38" s="168">
        <f>'App2.-JC OM&amp;A Programs'!R41-'App2.-JC OM&amp;A Programs'!Q41</f>
        <v>-269615.80997677986</v>
      </c>
      <c r="R38" s="168">
        <f>'App2.-JC OM&amp;A Programs'!S41-'App2.-JC OM&amp;A Programs'!R41</f>
        <v>917239.42960199993</v>
      </c>
      <c r="S38" s="168">
        <f>'App2.-JC OM&amp;A Programs'!T41-'App2.-JC OM&amp;A Programs'!S41</f>
        <v>-2176951.6196252201</v>
      </c>
      <c r="T38" s="168">
        <f>'App2.-JC OM&amp;A Programs'!U41-'App2.-JC OM&amp;A Programs'!T41</f>
        <v>0</v>
      </c>
      <c r="U38" s="168">
        <f>'App2.-JC OM&amp;A Programs'!V41-'App2.-JC OM&amp;A Programs'!U41</f>
        <v>0</v>
      </c>
      <c r="V38" s="169">
        <f>'App2.-JC OM&amp;A Programs'!W41-'App2.-JC OM&amp;A Programs'!V41</f>
        <v>0</v>
      </c>
    </row>
    <row r="39" spans="1:22" x14ac:dyDescent="0.25">
      <c r="A39" s="141" t="s">
        <v>85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68">
        <f>'App2.-JC OM&amp;A Programs'!M42-'App2.-JC OM&amp;A Programs'!L42</f>
        <v>137524.30999999982</v>
      </c>
      <c r="M39" s="168">
        <f>'App2.-JC OM&amp;A Programs'!N42-'App2.-JC OM&amp;A Programs'!M42</f>
        <v>-176626.92999999993</v>
      </c>
      <c r="N39" s="168">
        <f>'App2.-JC OM&amp;A Programs'!O42-'App2.-JC OM&amp;A Programs'!N42</f>
        <v>1675426.1900000002</v>
      </c>
      <c r="O39" s="168">
        <f>'App2.-JC OM&amp;A Programs'!P42-'App2.-JC OM&amp;A Programs'!O42</f>
        <v>-430785.38626039075</v>
      </c>
      <c r="P39" s="168">
        <f>'App2.-JC OM&amp;A Programs'!Q42-'App2.-JC OM&amp;A Programs'!P42</f>
        <v>643016.38626039075</v>
      </c>
      <c r="Q39" s="168">
        <f>'App2.-JC OM&amp;A Programs'!R42-'App2.-JC OM&amp;A Programs'!Q42</f>
        <v>-162284.21807473991</v>
      </c>
      <c r="R39" s="168">
        <f>'App2.-JC OM&amp;A Programs'!S42-'App2.-JC OM&amp;A Programs'!R42</f>
        <v>1959126.1851617293</v>
      </c>
      <c r="S39" s="168">
        <f>'App2.-JC OM&amp;A Programs'!T42-'App2.-JC OM&amp;A Programs'!S42</f>
        <v>-5125134.9670869894</v>
      </c>
      <c r="T39" s="168">
        <f>'App2.-JC OM&amp;A Programs'!U42-'App2.-JC OM&amp;A Programs'!T42</f>
        <v>0</v>
      </c>
      <c r="U39" s="168">
        <f>'App2.-JC OM&amp;A Programs'!V42-'App2.-JC OM&amp;A Programs'!U42</f>
        <v>0</v>
      </c>
      <c r="V39" s="169">
        <f>'App2.-JC OM&amp;A Programs'!W42-'App2.-JC OM&amp;A Programs'!V42</f>
        <v>0</v>
      </c>
    </row>
    <row r="40" spans="1:22" x14ac:dyDescent="0.25">
      <c r="A40" s="141" t="s">
        <v>86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68">
        <f>'App2.-JC OM&amp;A Programs'!M43-'App2.-JC OM&amp;A Programs'!L43</f>
        <v>502162.63</v>
      </c>
      <c r="M40" s="168">
        <f>'App2.-JC OM&amp;A Programs'!N43-'App2.-JC OM&amp;A Programs'!M43</f>
        <v>506974.53999999992</v>
      </c>
      <c r="N40" s="168">
        <f>'App2.-JC OM&amp;A Programs'!O43-'App2.-JC OM&amp;A Programs'!N43</f>
        <v>-200467.55000000005</v>
      </c>
      <c r="O40" s="168">
        <f>'App2.-JC OM&amp;A Programs'!P43-'App2.-JC OM&amp;A Programs'!O43</f>
        <v>127906.61746119009</v>
      </c>
      <c r="P40" s="168">
        <f>'App2.-JC OM&amp;A Programs'!Q43-'App2.-JC OM&amp;A Programs'!P43</f>
        <v>-18936.467461189954</v>
      </c>
      <c r="Q40" s="168">
        <f>'App2.-JC OM&amp;A Programs'!R43-'App2.-JC OM&amp;A Programs'!Q43</f>
        <v>189173.25439152983</v>
      </c>
      <c r="R40" s="168">
        <f>'App2.-JC OM&amp;A Programs'!S43-'App2.-JC OM&amp;A Programs'!R43</f>
        <v>197657.8984146202</v>
      </c>
      <c r="S40" s="168">
        <f>'App2.-JC OM&amp;A Programs'!T43-'App2.-JC OM&amp;A Programs'!S43</f>
        <v>-1706717.15280615</v>
      </c>
      <c r="T40" s="168">
        <f>'App2.-JC OM&amp;A Programs'!U43-'App2.-JC OM&amp;A Programs'!T43</f>
        <v>0</v>
      </c>
      <c r="U40" s="168">
        <f>'App2.-JC OM&amp;A Programs'!V43-'App2.-JC OM&amp;A Programs'!U43</f>
        <v>0</v>
      </c>
      <c r="V40" s="169">
        <f>'App2.-JC OM&amp;A Programs'!W43-'App2.-JC OM&amp;A Programs'!V43</f>
        <v>0</v>
      </c>
    </row>
    <row r="41" spans="1:22" x14ac:dyDescent="0.25">
      <c r="A41" s="141" t="s">
        <v>87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68">
        <f>'App2.-JC OM&amp;A Programs'!M44-'App2.-JC OM&amp;A Programs'!L44</f>
        <v>475395.39999999944</v>
      </c>
      <c r="M41" s="168">
        <f>'App2.-JC OM&amp;A Programs'!N44-'App2.-JC OM&amp;A Programs'!M44</f>
        <v>394438.87999999989</v>
      </c>
      <c r="N41" s="168">
        <f>'App2.-JC OM&amp;A Programs'!O44-'App2.-JC OM&amp;A Programs'!N44</f>
        <v>152975.30000000028</v>
      </c>
      <c r="O41" s="168">
        <f>'App2.-JC OM&amp;A Programs'!P44-'App2.-JC OM&amp;A Programs'!O44</f>
        <v>-39771.154422740452</v>
      </c>
      <c r="P41" s="168">
        <f>'App2.-JC OM&amp;A Programs'!Q44-'App2.-JC OM&amp;A Programs'!P44</f>
        <v>786773.38442274043</v>
      </c>
      <c r="Q41" s="168">
        <f>'App2.-JC OM&amp;A Programs'!R44-'App2.-JC OM&amp;A Programs'!Q44</f>
        <v>1569700.7932249792</v>
      </c>
      <c r="R41" s="168">
        <f>'App2.-JC OM&amp;A Programs'!S44-'App2.-JC OM&amp;A Programs'!R44</f>
        <v>995209.45533331111</v>
      </c>
      <c r="S41" s="168">
        <f>'App2.-JC OM&amp;A Programs'!T44-'App2.-JC OM&amp;A Programs'!S44</f>
        <v>-6888866.2485582903</v>
      </c>
      <c r="T41" s="168">
        <f>'App2.-JC OM&amp;A Programs'!U44-'App2.-JC OM&amp;A Programs'!T44</f>
        <v>0</v>
      </c>
      <c r="U41" s="168">
        <f>'App2.-JC OM&amp;A Programs'!V44-'App2.-JC OM&amp;A Programs'!U44</f>
        <v>0</v>
      </c>
      <c r="V41" s="169">
        <f>'App2.-JC OM&amp;A Programs'!W44-'App2.-JC OM&amp;A Programs'!V44</f>
        <v>0</v>
      </c>
    </row>
    <row r="42" spans="1:22" x14ac:dyDescent="0.25">
      <c r="A42" s="142" t="s">
        <v>113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40"/>
      <c r="S42" s="140"/>
      <c r="T42" s="140"/>
      <c r="U42" s="140"/>
      <c r="V42" s="139"/>
    </row>
    <row r="43" spans="1:22" x14ac:dyDescent="0.25">
      <c r="A43" s="141" t="s">
        <v>88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>
        <f>'App2.-JC OM&amp;A Programs'!M47-'App2.-JC OM&amp;A Programs'!L47</f>
        <v>0</v>
      </c>
      <c r="M43" s="138">
        <f>'App2.-JC OM&amp;A Programs'!N47-'App2.-JC OM&amp;A Programs'!M47</f>
        <v>0</v>
      </c>
      <c r="N43" s="138">
        <f>'App2.-JC OM&amp;A Programs'!O47-'App2.-JC OM&amp;A Programs'!N47</f>
        <v>-1570875.11</v>
      </c>
      <c r="O43" s="138">
        <f>'App2.-JC OM&amp;A Programs'!P47-'App2.-JC OM&amp;A Programs'!O47</f>
        <v>-316086.73</v>
      </c>
      <c r="P43" s="138">
        <f>'App2.-JC OM&amp;A Programs'!Q47-'App2.-JC OM&amp;A Programs'!P47</f>
        <v>-324839.15000000014</v>
      </c>
      <c r="Q43" s="138">
        <f>'App2.-JC OM&amp;A Programs'!R47-'App2.-JC OM&amp;A Programs'!Q47</f>
        <v>116760.99000000022</v>
      </c>
      <c r="R43" s="138">
        <f>'App2.-JC OM&amp;A Programs'!S47-'App2.-JC OM&amp;A Programs'!R47</f>
        <v>2095040</v>
      </c>
      <c r="S43" s="138">
        <f>'App2.-JC OM&amp;A Programs'!T47-'App2.-JC OM&amp;A Programs'!S47</f>
        <v>0</v>
      </c>
      <c r="T43" s="138">
        <f>'App2.-JC OM&amp;A Programs'!U47-'App2.-JC OM&amp;A Programs'!T47</f>
        <v>0</v>
      </c>
      <c r="U43" s="138">
        <f>'App2.-JC OM&amp;A Programs'!V47-'App2.-JC OM&amp;A Programs'!U47</f>
        <v>0</v>
      </c>
      <c r="V43" s="139">
        <f>'App2.-JC OM&amp;A Programs'!W47-'App2.-JC OM&amp;A Programs'!V47</f>
        <v>0</v>
      </c>
    </row>
    <row r="44" spans="1:22" x14ac:dyDescent="0.25">
      <c r="A44" s="141" t="s">
        <v>89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>
        <f>'App2.-JC OM&amp;A Programs'!M48-'App2.-JC OM&amp;A Programs'!L48</f>
        <v>110071.57</v>
      </c>
      <c r="M44" s="138">
        <f>'App2.-JC OM&amp;A Programs'!N48-'App2.-JC OM&amp;A Programs'!M48</f>
        <v>-65915.400000000023</v>
      </c>
      <c r="N44" s="138">
        <f>'App2.-JC OM&amp;A Programs'!O48-'App2.-JC OM&amp;A Programs'!N48</f>
        <v>-90952.04999999993</v>
      </c>
      <c r="O44" s="138">
        <f>'App2.-JC OM&amp;A Programs'!P48-'App2.-JC OM&amp;A Programs'!O48</f>
        <v>-529871.75000000012</v>
      </c>
      <c r="P44" s="138">
        <f>'App2.-JC OM&amp;A Programs'!Q48-'App2.-JC OM&amp;A Programs'!P48</f>
        <v>539296.75</v>
      </c>
      <c r="Q44" s="138">
        <f>'App2.-JC OM&amp;A Programs'!R48-'App2.-JC OM&amp;A Programs'!Q48</f>
        <v>-316204.93</v>
      </c>
      <c r="R44" s="138">
        <f>'App2.-JC OM&amp;A Programs'!S48-'App2.-JC OM&amp;A Programs'!R48</f>
        <v>673988</v>
      </c>
      <c r="S44" s="138">
        <f>'App2.-JC OM&amp;A Programs'!T48-'App2.-JC OM&amp;A Programs'!S48</f>
        <v>0</v>
      </c>
      <c r="T44" s="138">
        <f>'App2.-JC OM&amp;A Programs'!U48-'App2.-JC OM&amp;A Programs'!T48</f>
        <v>0</v>
      </c>
      <c r="U44" s="138">
        <f>'App2.-JC OM&amp;A Programs'!V48-'App2.-JC OM&amp;A Programs'!U48</f>
        <v>0</v>
      </c>
      <c r="V44" s="139">
        <f>'App2.-JC OM&amp;A Programs'!W48-'App2.-JC OM&amp;A Programs'!V48</f>
        <v>0</v>
      </c>
    </row>
    <row r="45" spans="1:22" x14ac:dyDescent="0.25">
      <c r="A45" s="141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9"/>
    </row>
    <row r="46" spans="1:22" x14ac:dyDescent="0.25">
      <c r="A46" s="141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9"/>
    </row>
    <row r="47" spans="1:22" x14ac:dyDescent="0.25">
      <c r="A47" s="141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9"/>
    </row>
    <row r="48" spans="1:22" ht="15.75" thickBot="1" x14ac:dyDescent="0.3">
      <c r="A48" s="143"/>
      <c r="B48" s="144"/>
      <c r="C48" s="144"/>
      <c r="D48" s="144"/>
      <c r="E48" s="144"/>
      <c r="F48" s="144"/>
      <c r="G48" s="144"/>
      <c r="H48" s="144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6"/>
    </row>
    <row r="49" spans="1:22" ht="16.5" thickTop="1" thickBot="1" x14ac:dyDescent="0.3">
      <c r="A49" s="100" t="str">
        <f>"Closing Balance"&amp;CHAR(178)</f>
        <v>Closing Balance²</v>
      </c>
      <c r="B49" s="101">
        <f t="shared" ref="B49:V49" si="2">SUM(B15:B48)</f>
        <v>0</v>
      </c>
      <c r="C49" s="101">
        <f t="shared" si="2"/>
        <v>0</v>
      </c>
      <c r="D49" s="101">
        <f t="shared" si="2"/>
        <v>0</v>
      </c>
      <c r="E49" s="101">
        <f t="shared" si="2"/>
        <v>0</v>
      </c>
      <c r="F49" s="101">
        <f t="shared" si="2"/>
        <v>0</v>
      </c>
      <c r="G49" s="101">
        <f t="shared" si="2"/>
        <v>0</v>
      </c>
      <c r="H49" s="101">
        <f t="shared" si="2"/>
        <v>0</v>
      </c>
      <c r="I49" s="102">
        <f t="shared" si="2"/>
        <v>0</v>
      </c>
      <c r="J49" s="102">
        <f t="shared" si="2"/>
        <v>0</v>
      </c>
      <c r="K49" s="102">
        <f t="shared" si="2"/>
        <v>0</v>
      </c>
      <c r="L49" s="102">
        <f>SUM(L15:L48)</f>
        <v>42915708.359999999</v>
      </c>
      <c r="M49" s="102">
        <f t="shared" si="2"/>
        <v>44918464.31000001</v>
      </c>
      <c r="N49" s="102">
        <f t="shared" si="2"/>
        <v>46662196.330000013</v>
      </c>
      <c r="O49" s="102">
        <f t="shared" si="2"/>
        <v>53600375.600000031</v>
      </c>
      <c r="P49" s="102">
        <f t="shared" si="2"/>
        <v>61025229.940000013</v>
      </c>
      <c r="Q49" s="102">
        <f t="shared" si="2"/>
        <v>64091179.007011503</v>
      </c>
      <c r="R49" s="102">
        <f t="shared" si="2"/>
        <v>82035586.665184364</v>
      </c>
      <c r="S49" s="102">
        <f t="shared" si="2"/>
        <v>1.1175870895385742E-8</v>
      </c>
      <c r="T49" s="102">
        <f t="shared" si="2"/>
        <v>1.1175870895385742E-8</v>
      </c>
      <c r="U49" s="102">
        <f t="shared" si="2"/>
        <v>1.1175870895385742E-8</v>
      </c>
      <c r="V49" s="103">
        <f t="shared" si="2"/>
        <v>1.1175870895385742E-8</v>
      </c>
    </row>
    <row r="52" spans="1:22" x14ac:dyDescent="0.25">
      <c r="A52" s="104" t="s">
        <v>90</v>
      </c>
    </row>
    <row r="53" spans="1:22" x14ac:dyDescent="0.25">
      <c r="A53" s="105"/>
    </row>
    <row r="54" spans="1:22" x14ac:dyDescent="0.25">
      <c r="A54" s="106">
        <v>1</v>
      </c>
      <c r="B54" s="188" t="s">
        <v>99</v>
      </c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78"/>
    </row>
    <row r="55" spans="1:22" x14ac:dyDescent="0.25">
      <c r="A55" s="180">
        <v>2</v>
      </c>
      <c r="B55" s="172" t="s">
        <v>91</v>
      </c>
      <c r="C55" s="179"/>
      <c r="D55" s="179"/>
      <c r="E55" s="179"/>
      <c r="F55" s="179"/>
      <c r="G55" s="179"/>
      <c r="H55" s="171"/>
      <c r="I55" s="171"/>
      <c r="J55" s="171"/>
      <c r="K55" s="171"/>
      <c r="L55" s="172" t="s">
        <v>91</v>
      </c>
      <c r="M55" s="171"/>
      <c r="N55" s="171"/>
      <c r="O55" s="171"/>
      <c r="P55" s="171"/>
      <c r="Q55" s="179"/>
      <c r="R55" s="171"/>
      <c r="S55" s="171"/>
      <c r="T55" s="171"/>
      <c r="U55" s="171"/>
    </row>
    <row r="56" spans="1:22" x14ac:dyDescent="0.25">
      <c r="A56" s="106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</row>
    <row r="57" spans="1:22" x14ac:dyDescent="0.25">
      <c r="A57" s="106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</row>
    <row r="58" spans="1:22" x14ac:dyDescent="0.25">
      <c r="A58" s="106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</row>
    <row r="59" spans="1:22" x14ac:dyDescent="0.25"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</row>
    <row r="60" spans="1:22" x14ac:dyDescent="0.25"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</row>
  </sheetData>
  <mergeCells count="3">
    <mergeCell ref="A10:P10"/>
    <mergeCell ref="A11:P11"/>
    <mergeCell ref="B54:P54"/>
  </mergeCells>
  <dataValidations count="2">
    <dataValidation allowBlank="1" showInputMessage="1" showErrorMessage="1" promptTitle="Date Format" prompt="E.g:  &quot;August 1, 2011&quot;" sqref="Q7" xr:uid="{472EF9CF-5E53-4010-9D6E-83BD6F91BD37}"/>
    <dataValidation type="list" allowBlank="1" showInputMessage="1" showErrorMessage="1" sqref="B14:V14" xr:uid="{77CC7804-7CBC-4DB6-A8C1-D726B73D07BD}">
      <formula1>"CGAAP, MIFRS, USGAAP, ASPE"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46BF-008B-4010-B743-BAED08F1C093}">
  <dimension ref="A1:Y59"/>
  <sheetViews>
    <sheetView workbookViewId="0">
      <selection activeCell="N34" sqref="N34"/>
    </sheetView>
  </sheetViews>
  <sheetFormatPr defaultColWidth="9.42578125" defaultRowHeight="15" x14ac:dyDescent="0.25"/>
  <cols>
    <col min="1" max="1" width="44" style="116" customWidth="1"/>
    <col min="2" max="11" width="14.42578125" style="116" hidden="1" customWidth="1"/>
    <col min="12" max="13" width="14.42578125" style="116" customWidth="1"/>
    <col min="14" max="14" width="13.42578125" style="116" customWidth="1"/>
    <col min="15" max="17" width="13.7109375" style="116" bestFit="1" customWidth="1"/>
    <col min="18" max="18" width="13.42578125" style="116" customWidth="1"/>
    <col min="19" max="19" width="16.5703125" style="116" customWidth="1"/>
    <col min="20" max="23" width="16.42578125" style="116" customWidth="1"/>
    <col min="24" max="25" width="10.140625" style="116" bestFit="1" customWidth="1"/>
    <col min="26" max="16384" width="9.42578125" style="116"/>
  </cols>
  <sheetData>
    <row r="1" spans="1:25" s="88" customFormat="1" x14ac:dyDescent="0.25">
      <c r="A1" s="107" t="s">
        <v>92</v>
      </c>
      <c r="R1" s="108" t="s">
        <v>0</v>
      </c>
      <c r="S1" s="3" t="s">
        <v>97</v>
      </c>
    </row>
    <row r="2" spans="1:25" s="88" customFormat="1" x14ac:dyDescent="0.25">
      <c r="R2" s="108" t="s">
        <v>3</v>
      </c>
      <c r="S2" s="147">
        <v>4</v>
      </c>
    </row>
    <row r="3" spans="1:25" s="88" customFormat="1" x14ac:dyDescent="0.25">
      <c r="R3" s="108" t="s">
        <v>6</v>
      </c>
      <c r="S3" s="147">
        <v>1</v>
      </c>
    </row>
    <row r="4" spans="1:25" s="88" customFormat="1" x14ac:dyDescent="0.25">
      <c r="R4" s="108" t="s">
        <v>9</v>
      </c>
      <c r="S4" s="147">
        <v>1</v>
      </c>
    </row>
    <row r="5" spans="1:25" s="88" customFormat="1" x14ac:dyDescent="0.25">
      <c r="R5" s="108" t="s">
        <v>13</v>
      </c>
      <c r="S5" s="148"/>
    </row>
    <row r="6" spans="1:25" s="88" customFormat="1" x14ac:dyDescent="0.25">
      <c r="R6" s="108"/>
      <c r="S6" s="3" t="s">
        <v>115</v>
      </c>
    </row>
    <row r="7" spans="1:25" s="88" customFormat="1" x14ac:dyDescent="0.25">
      <c r="R7" s="108" t="s">
        <v>19</v>
      </c>
      <c r="S7" s="177">
        <v>46283</v>
      </c>
    </row>
    <row r="8" spans="1:25" s="88" customFormat="1" x14ac:dyDescent="0.25"/>
    <row r="9" spans="1:25" s="88" customFormat="1" ht="18" x14ac:dyDescent="0.25">
      <c r="A9" s="189" t="s">
        <v>93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66"/>
    </row>
    <row r="10" spans="1:25" s="88" customFormat="1" ht="18" x14ac:dyDescent="0.25">
      <c r="A10" s="189" t="s">
        <v>94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09"/>
    </row>
    <row r="11" spans="1:25" s="88" customFormat="1" x14ac:dyDescent="0.25"/>
    <row r="12" spans="1:25" s="112" customFormat="1" ht="13.5" thickBot="1" x14ac:dyDescent="0.25">
      <c r="A12" s="110"/>
      <c r="B12" s="111" t="e">
        <f>RebaseYear</f>
        <v>#NAME?</v>
      </c>
      <c r="C12" s="111">
        <f t="shared" ref="C12:P12" si="0">D12-1</f>
        <v>2011</v>
      </c>
      <c r="D12" s="111">
        <f t="shared" si="0"/>
        <v>2012</v>
      </c>
      <c r="E12" s="111">
        <f t="shared" si="0"/>
        <v>2013</v>
      </c>
      <c r="F12" s="111">
        <f t="shared" si="0"/>
        <v>2014</v>
      </c>
      <c r="G12" s="111">
        <f t="shared" si="0"/>
        <v>2015</v>
      </c>
      <c r="H12" s="111">
        <f t="shared" si="0"/>
        <v>2016</v>
      </c>
      <c r="I12" s="111">
        <f t="shared" si="0"/>
        <v>2017</v>
      </c>
      <c r="J12" s="111">
        <f t="shared" si="0"/>
        <v>2018</v>
      </c>
      <c r="K12" s="111">
        <f t="shared" si="0"/>
        <v>2019</v>
      </c>
      <c r="L12" s="111">
        <f t="shared" si="0"/>
        <v>2020</v>
      </c>
      <c r="M12" s="111">
        <f t="shared" si="0"/>
        <v>2021</v>
      </c>
      <c r="N12" s="111">
        <f t="shared" si="0"/>
        <v>2022</v>
      </c>
      <c r="O12" s="111">
        <f t="shared" si="0"/>
        <v>2023</v>
      </c>
      <c r="P12" s="111">
        <f t="shared" si="0"/>
        <v>2024</v>
      </c>
      <c r="Q12" s="111">
        <f>R12-1</f>
        <v>2025</v>
      </c>
      <c r="R12" s="111">
        <v>2026</v>
      </c>
      <c r="S12" s="111">
        <v>2027</v>
      </c>
      <c r="T12" s="111">
        <v>2028</v>
      </c>
      <c r="U12" s="111">
        <v>2029</v>
      </c>
      <c r="V12" s="111">
        <v>2030</v>
      </c>
      <c r="W12" s="111">
        <v>2031</v>
      </c>
    </row>
    <row r="13" spans="1:25" ht="69" customHeight="1" thickBot="1" x14ac:dyDescent="0.3">
      <c r="A13" s="113" t="s">
        <v>95</v>
      </c>
      <c r="B13" s="114" t="e">
        <f>RebaseYear&amp;" OEB Approved"</f>
        <v>#NAME?</v>
      </c>
      <c r="C13" s="114" t="e">
        <f>BridgeYear-14&amp;" Actuals"</f>
        <v>#NAME?</v>
      </c>
      <c r="D13" s="114" t="e">
        <f>BridgeYear-13&amp;" Actuals"</f>
        <v>#NAME?</v>
      </c>
      <c r="E13" s="114" t="e">
        <f>BridgeYear-12&amp;" Actuals"</f>
        <v>#NAME?</v>
      </c>
      <c r="F13" s="114" t="e">
        <f>BridgeYear-11&amp;" Actuals"</f>
        <v>#NAME?</v>
      </c>
      <c r="G13" s="114" t="e">
        <f>BridgeYear-10&amp;" Actuals"</f>
        <v>#NAME?</v>
      </c>
      <c r="H13" s="114" t="e">
        <f>BridgeYear-9&amp;" Actuals"</f>
        <v>#NAME?</v>
      </c>
      <c r="I13" s="114" t="e">
        <f>BridgeYear-8&amp;" Actuals"</f>
        <v>#NAME?</v>
      </c>
      <c r="J13" s="114" t="e">
        <f>BridgeYear-7&amp;" Actuals"</f>
        <v>#NAME?</v>
      </c>
      <c r="K13" s="114" t="e">
        <f>BridgeYear-6&amp;" Actuals"</f>
        <v>#NAME?</v>
      </c>
      <c r="L13" s="114" t="s">
        <v>121</v>
      </c>
      <c r="M13" s="114" t="s">
        <v>122</v>
      </c>
      <c r="N13" s="114" t="s">
        <v>123</v>
      </c>
      <c r="O13" s="114" t="s">
        <v>124</v>
      </c>
      <c r="P13" s="114" t="s">
        <v>125</v>
      </c>
      <c r="Q13" s="114" t="s">
        <v>118</v>
      </c>
      <c r="R13" s="114" t="s">
        <v>27</v>
      </c>
      <c r="S13" s="114" t="s">
        <v>28</v>
      </c>
      <c r="T13" s="13">
        <v>2028</v>
      </c>
      <c r="U13" s="13">
        <v>2029</v>
      </c>
      <c r="V13" s="13">
        <v>2030</v>
      </c>
      <c r="W13" s="13">
        <v>2031</v>
      </c>
      <c r="X13" s="115" t="s">
        <v>126</v>
      </c>
      <c r="Y13" s="115" t="s">
        <v>127</v>
      </c>
    </row>
    <row r="14" spans="1:25" ht="15.75" thickBot="1" x14ac:dyDescent="0.3">
      <c r="A14" s="117" t="s">
        <v>33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 t="s">
        <v>34</v>
      </c>
      <c r="M14" s="160" t="s">
        <v>34</v>
      </c>
      <c r="N14" s="160" t="s">
        <v>34</v>
      </c>
      <c r="O14" s="160" t="s">
        <v>34</v>
      </c>
      <c r="P14" s="160" t="s">
        <v>34</v>
      </c>
      <c r="Q14" s="160" t="s">
        <v>34</v>
      </c>
      <c r="R14" s="160" t="s">
        <v>34</v>
      </c>
      <c r="S14" s="160" t="s">
        <v>34</v>
      </c>
      <c r="T14" s="160" t="s">
        <v>34</v>
      </c>
      <c r="U14" s="160" t="s">
        <v>34</v>
      </c>
      <c r="V14" s="160" t="s">
        <v>34</v>
      </c>
      <c r="W14" s="160" t="s">
        <v>34</v>
      </c>
      <c r="X14" s="118"/>
      <c r="Y14" s="119"/>
    </row>
    <row r="15" spans="1:25" ht="14.1" customHeight="1" x14ac:dyDescent="0.25">
      <c r="A15" s="151" t="s">
        <v>62</v>
      </c>
      <c r="B15" s="127"/>
      <c r="C15" s="127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1"/>
      <c r="Y15" s="121"/>
    </row>
    <row r="16" spans="1:25" x14ac:dyDescent="0.25">
      <c r="A16" s="150" t="s">
        <v>63</v>
      </c>
      <c r="B16" s="152"/>
      <c r="C16" s="152"/>
      <c r="D16" s="153"/>
      <c r="E16" s="153"/>
      <c r="F16" s="153"/>
      <c r="G16" s="153"/>
      <c r="H16" s="153"/>
      <c r="I16" s="153"/>
      <c r="J16" s="153"/>
      <c r="K16" s="153"/>
      <c r="L16" s="154">
        <v>455299.95410658</v>
      </c>
      <c r="M16" s="154">
        <v>460182.24652776</v>
      </c>
      <c r="N16" s="154">
        <v>565315.08342487004</v>
      </c>
      <c r="O16" s="154">
        <v>465381.24191287998</v>
      </c>
      <c r="P16" s="154">
        <v>954392.24570608989</v>
      </c>
      <c r="Q16" s="154">
        <v>1294396</v>
      </c>
      <c r="R16" s="154">
        <v>1119198.55447809</v>
      </c>
      <c r="S16" s="154">
        <v>1535745.5336887999</v>
      </c>
      <c r="T16" s="154"/>
      <c r="U16" s="154"/>
      <c r="V16" s="154"/>
      <c r="W16" s="154"/>
      <c r="X16" s="121">
        <f>S16-P16</f>
        <v>581353.28798271006</v>
      </c>
      <c r="Y16" s="121">
        <f>S16-L16</f>
        <v>1080445.5795822199</v>
      </c>
    </row>
    <row r="17" spans="1:25" x14ac:dyDescent="0.25">
      <c r="A17" s="150" t="s">
        <v>64</v>
      </c>
      <c r="B17" s="157"/>
      <c r="C17" s="157"/>
      <c r="D17" s="155"/>
      <c r="E17" s="155"/>
      <c r="F17" s="155"/>
      <c r="G17" s="155"/>
      <c r="H17" s="155"/>
      <c r="I17" s="155"/>
      <c r="J17" s="155"/>
      <c r="K17" s="155"/>
      <c r="L17" s="154">
        <v>1007312.1658934201</v>
      </c>
      <c r="M17" s="154">
        <v>1064753.1634722401</v>
      </c>
      <c r="N17" s="154">
        <v>935358.08781258995</v>
      </c>
      <c r="O17" s="154">
        <v>821205.95029015001</v>
      </c>
      <c r="P17" s="154">
        <v>889274.32715884992</v>
      </c>
      <c r="Q17" s="154">
        <v>991343</v>
      </c>
      <c r="R17" s="154">
        <v>892117.39200581005</v>
      </c>
      <c r="S17" s="154">
        <v>1079244.8894969299</v>
      </c>
      <c r="T17" s="154"/>
      <c r="U17" s="154"/>
      <c r="V17" s="154"/>
      <c r="W17" s="154"/>
      <c r="X17" s="121">
        <f>S17-P17</f>
        <v>189970.56233808002</v>
      </c>
      <c r="Y17" s="121">
        <f>S17-L17</f>
        <v>71932.723603509832</v>
      </c>
    </row>
    <row r="18" spans="1:25" x14ac:dyDescent="0.25">
      <c r="A18" s="125" t="s">
        <v>96</v>
      </c>
      <c r="B18" s="126">
        <f t="shared" ref="B18:W18" si="1">SUM(B16:B17)</f>
        <v>0</v>
      </c>
      <c r="C18" s="126">
        <f t="shared" si="1"/>
        <v>0</v>
      </c>
      <c r="D18" s="126">
        <f t="shared" si="1"/>
        <v>0</v>
      </c>
      <c r="E18" s="126">
        <f t="shared" si="1"/>
        <v>0</v>
      </c>
      <c r="F18" s="126">
        <f t="shared" si="1"/>
        <v>0</v>
      </c>
      <c r="G18" s="126">
        <f t="shared" si="1"/>
        <v>0</v>
      </c>
      <c r="H18" s="126">
        <f t="shared" si="1"/>
        <v>0</v>
      </c>
      <c r="I18" s="126">
        <f t="shared" si="1"/>
        <v>0</v>
      </c>
      <c r="J18" s="126">
        <f t="shared" si="1"/>
        <v>0</v>
      </c>
      <c r="K18" s="126">
        <f t="shared" si="1"/>
        <v>0</v>
      </c>
      <c r="L18" s="126">
        <f t="shared" si="1"/>
        <v>1462612.12</v>
      </c>
      <c r="M18" s="126">
        <f t="shared" si="1"/>
        <v>1524935.4100000001</v>
      </c>
      <c r="N18" s="126">
        <f t="shared" si="1"/>
        <v>1500673.1712374599</v>
      </c>
      <c r="O18" s="126">
        <f t="shared" si="1"/>
        <v>1286587.19220303</v>
      </c>
      <c r="P18" s="126">
        <f t="shared" si="1"/>
        <v>1843666.5728649399</v>
      </c>
      <c r="Q18" s="126">
        <f t="shared" si="1"/>
        <v>2285739</v>
      </c>
      <c r="R18" s="126">
        <f t="shared" si="1"/>
        <v>2011315.9464839001</v>
      </c>
      <c r="S18" s="126">
        <f t="shared" si="1"/>
        <v>2614990.4231857299</v>
      </c>
      <c r="T18" s="126">
        <f t="shared" si="1"/>
        <v>0</v>
      </c>
      <c r="U18" s="126">
        <f t="shared" si="1"/>
        <v>0</v>
      </c>
      <c r="V18" s="126">
        <f t="shared" si="1"/>
        <v>0</v>
      </c>
      <c r="W18" s="126">
        <f t="shared" si="1"/>
        <v>0</v>
      </c>
      <c r="X18" s="121">
        <f>S18-P18</f>
        <v>771323.85032078996</v>
      </c>
      <c r="Y18" s="121">
        <f>S18-L18</f>
        <v>1152378.3031857298</v>
      </c>
    </row>
    <row r="19" spans="1:25" x14ac:dyDescent="0.25">
      <c r="A19" s="151" t="s">
        <v>65</v>
      </c>
      <c r="B19" s="127"/>
      <c r="C19" s="127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1"/>
      <c r="Y19" s="121"/>
    </row>
    <row r="20" spans="1:25" x14ac:dyDescent="0.25">
      <c r="A20" s="150" t="s">
        <v>66</v>
      </c>
      <c r="B20" s="152"/>
      <c r="C20" s="152"/>
      <c r="D20" s="153"/>
      <c r="E20" s="153"/>
      <c r="F20" s="153"/>
      <c r="G20" s="153"/>
      <c r="H20" s="153"/>
      <c r="I20" s="153"/>
      <c r="J20" s="153"/>
      <c r="K20" s="153"/>
      <c r="L20" s="154">
        <v>1753640.7170376398</v>
      </c>
      <c r="M20" s="154">
        <v>1937195.4412009497</v>
      </c>
      <c r="N20" s="154">
        <v>2175972.5757670505</v>
      </c>
      <c r="O20" s="154">
        <v>1968837.98075353</v>
      </c>
      <c r="P20" s="154">
        <v>2382422.2723225397</v>
      </c>
      <c r="Q20" s="154">
        <v>2748586</v>
      </c>
      <c r="R20" s="154">
        <v>5148229</v>
      </c>
      <c r="S20" s="154">
        <v>6000414</v>
      </c>
      <c r="T20" s="154"/>
      <c r="U20" s="154"/>
      <c r="V20" s="154"/>
      <c r="W20" s="154"/>
      <c r="X20" s="121">
        <f>S20-P20</f>
        <v>3617991.7276774603</v>
      </c>
      <c r="Y20" s="121">
        <f>S20-L20</f>
        <v>4246773.2829623604</v>
      </c>
    </row>
    <row r="21" spans="1:25" x14ac:dyDescent="0.25">
      <c r="A21" s="150" t="s">
        <v>67</v>
      </c>
      <c r="B21" s="157"/>
      <c r="C21" s="157"/>
      <c r="D21" s="155"/>
      <c r="E21" s="155"/>
      <c r="F21" s="155"/>
      <c r="G21" s="155"/>
      <c r="H21" s="155"/>
      <c r="I21" s="155"/>
      <c r="J21" s="155"/>
      <c r="K21" s="155"/>
      <c r="L21" s="154">
        <v>2761216.7329623303</v>
      </c>
      <c r="M21" s="154">
        <v>3157925.7287990488</v>
      </c>
      <c r="N21" s="154">
        <v>3163865.7342329496</v>
      </c>
      <c r="O21" s="154">
        <v>2971801.7340006493</v>
      </c>
      <c r="P21" s="154">
        <v>3043825.4888005992</v>
      </c>
      <c r="Q21" s="154">
        <v>3237911</v>
      </c>
      <c r="R21" s="154">
        <v>3210030</v>
      </c>
      <c r="S21" s="154">
        <v>3397216</v>
      </c>
      <c r="T21" s="154"/>
      <c r="U21" s="154"/>
      <c r="V21" s="154"/>
      <c r="W21" s="154"/>
      <c r="X21" s="121">
        <f>S21-P21</f>
        <v>353390.51119940076</v>
      </c>
      <c r="Y21" s="121">
        <f>S21-L21</f>
        <v>635999.26703766966</v>
      </c>
    </row>
    <row r="22" spans="1:25" x14ac:dyDescent="0.25">
      <c r="A22" s="125" t="s">
        <v>96</v>
      </c>
      <c r="B22" s="126">
        <f t="shared" ref="B22:W22" si="2">SUM(B20:B21)</f>
        <v>0</v>
      </c>
      <c r="C22" s="126">
        <f t="shared" si="2"/>
        <v>0</v>
      </c>
      <c r="D22" s="126">
        <f t="shared" si="2"/>
        <v>0</v>
      </c>
      <c r="E22" s="126">
        <f t="shared" si="2"/>
        <v>0</v>
      </c>
      <c r="F22" s="126">
        <f t="shared" si="2"/>
        <v>0</v>
      </c>
      <c r="G22" s="126">
        <f t="shared" si="2"/>
        <v>0</v>
      </c>
      <c r="H22" s="126">
        <f t="shared" si="2"/>
        <v>0</v>
      </c>
      <c r="I22" s="126">
        <f t="shared" si="2"/>
        <v>0</v>
      </c>
      <c r="J22" s="126">
        <f t="shared" si="2"/>
        <v>0</v>
      </c>
      <c r="K22" s="126">
        <f t="shared" si="2"/>
        <v>0</v>
      </c>
      <c r="L22" s="126">
        <f t="shared" si="2"/>
        <v>4514857.4499999704</v>
      </c>
      <c r="M22" s="126">
        <f t="shared" si="2"/>
        <v>5095121.1699999981</v>
      </c>
      <c r="N22" s="126">
        <f t="shared" si="2"/>
        <v>5339838.3100000005</v>
      </c>
      <c r="O22" s="126">
        <f t="shared" si="2"/>
        <v>4940639.7147541791</v>
      </c>
      <c r="P22" s="126">
        <f t="shared" si="2"/>
        <v>5426247.7611231394</v>
      </c>
      <c r="Q22" s="126">
        <f t="shared" si="2"/>
        <v>5986497</v>
      </c>
      <c r="R22" s="126">
        <f t="shared" si="2"/>
        <v>8358259</v>
      </c>
      <c r="S22" s="126">
        <f t="shared" si="2"/>
        <v>9397630</v>
      </c>
      <c r="T22" s="126">
        <f t="shared" si="2"/>
        <v>0</v>
      </c>
      <c r="U22" s="126">
        <f t="shared" si="2"/>
        <v>0</v>
      </c>
      <c r="V22" s="126">
        <f t="shared" si="2"/>
        <v>0</v>
      </c>
      <c r="W22" s="126">
        <f t="shared" si="2"/>
        <v>0</v>
      </c>
      <c r="X22" s="121">
        <f>S22-P22</f>
        <v>3971382.2388768606</v>
      </c>
      <c r="Y22" s="121">
        <f>S22-L22</f>
        <v>4882772.5500000296</v>
      </c>
    </row>
    <row r="23" spans="1:25" x14ac:dyDescent="0.25">
      <c r="A23" s="151" t="s">
        <v>68</v>
      </c>
      <c r="B23" s="127"/>
      <c r="C23" s="127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1"/>
      <c r="Y23" s="121"/>
    </row>
    <row r="24" spans="1:25" x14ac:dyDescent="0.25">
      <c r="A24" s="150" t="s">
        <v>69</v>
      </c>
      <c r="B24" s="157"/>
      <c r="C24" s="157"/>
      <c r="D24" s="155"/>
      <c r="E24" s="155"/>
      <c r="F24" s="155"/>
      <c r="G24" s="155"/>
      <c r="H24" s="155"/>
      <c r="I24" s="155"/>
      <c r="J24" s="155"/>
      <c r="K24" s="155"/>
      <c r="L24" s="154">
        <v>4754124.5500719696</v>
      </c>
      <c r="M24" s="154">
        <v>3316276.57</v>
      </c>
      <c r="N24" s="154">
        <v>3372960.4760351796</v>
      </c>
      <c r="O24" s="154">
        <v>3240726.7981307092</v>
      </c>
      <c r="P24" s="154">
        <v>7244498.1907240599</v>
      </c>
      <c r="Q24" s="154">
        <v>6176647</v>
      </c>
      <c r="R24" s="154">
        <v>5230833.7305804696</v>
      </c>
      <c r="S24" s="154">
        <v>6716063.6967011392</v>
      </c>
      <c r="T24" s="154"/>
      <c r="U24" s="154"/>
      <c r="V24" s="154"/>
      <c r="W24" s="154"/>
      <c r="X24" s="121">
        <f>S24-P24</f>
        <v>-528434.49402292073</v>
      </c>
      <c r="Y24" s="121">
        <f t="shared" ref="Y24:Y29" si="3">S24-L24</f>
        <v>1961939.1466291696</v>
      </c>
    </row>
    <row r="25" spans="1:25" x14ac:dyDescent="0.25">
      <c r="A25" s="122" t="s">
        <v>70</v>
      </c>
      <c r="B25" s="123"/>
      <c r="C25" s="123"/>
      <c r="D25" s="124"/>
      <c r="E25" s="124"/>
      <c r="F25" s="124"/>
      <c r="G25" s="124"/>
      <c r="H25" s="124"/>
      <c r="I25" s="124"/>
      <c r="J25" s="124"/>
      <c r="K25" s="124"/>
      <c r="L25" s="124">
        <v>3798293.5600719703</v>
      </c>
      <c r="M25" s="124">
        <v>2296420.96</v>
      </c>
      <c r="N25" s="124">
        <v>2489326.2896260195</v>
      </c>
      <c r="O25" s="124">
        <v>2211755.7598973494</v>
      </c>
      <c r="P25" s="124">
        <v>2776180.7051904802</v>
      </c>
      <c r="Q25" s="124">
        <v>4727292</v>
      </c>
      <c r="R25" s="124">
        <v>3356355.6908947593</v>
      </c>
      <c r="S25" s="124">
        <v>4435978.8244429203</v>
      </c>
      <c r="T25" s="124"/>
      <c r="U25" s="124"/>
      <c r="V25" s="124"/>
      <c r="W25" s="124"/>
      <c r="X25" s="121">
        <f>S25-P25</f>
        <v>1659798.1192524401</v>
      </c>
      <c r="Y25" s="121">
        <f t="shared" si="3"/>
        <v>637685.26437094994</v>
      </c>
    </row>
    <row r="26" spans="1:25" x14ac:dyDescent="0.25">
      <c r="A26" s="122" t="s">
        <v>71</v>
      </c>
      <c r="B26" s="123"/>
      <c r="C26" s="123"/>
      <c r="D26" s="124"/>
      <c r="E26" s="124"/>
      <c r="F26" s="124"/>
      <c r="G26" s="124"/>
      <c r="H26" s="124"/>
      <c r="I26" s="124"/>
      <c r="J26" s="124"/>
      <c r="K26" s="124"/>
      <c r="L26" s="124">
        <v>955830.98999999976</v>
      </c>
      <c r="M26" s="124">
        <v>1019855.61</v>
      </c>
      <c r="N26" s="124">
        <v>883634.18640916003</v>
      </c>
      <c r="O26" s="124">
        <v>1028971.0382333599</v>
      </c>
      <c r="P26" s="124">
        <v>4468317.4855335793</v>
      </c>
      <c r="Q26" s="124">
        <v>1449354</v>
      </c>
      <c r="R26" s="124">
        <v>1874478.0396857101</v>
      </c>
      <c r="S26" s="124">
        <v>2280084.8722582194</v>
      </c>
      <c r="T26" s="124"/>
      <c r="U26" s="124"/>
      <c r="V26" s="124"/>
      <c r="W26" s="124"/>
      <c r="X26" s="121">
        <f>S26-P26</f>
        <v>-2188232.6132753599</v>
      </c>
      <c r="Y26" s="121">
        <f t="shared" si="3"/>
        <v>1324253.8822582196</v>
      </c>
    </row>
    <row r="27" spans="1:25" x14ac:dyDescent="0.25">
      <c r="A27" s="150" t="s">
        <v>72</v>
      </c>
      <c r="B27" s="156"/>
      <c r="C27" s="156"/>
      <c r="D27" s="154"/>
      <c r="E27" s="154"/>
      <c r="F27" s="154"/>
      <c r="G27" s="154"/>
      <c r="H27" s="154"/>
      <c r="I27" s="154"/>
      <c r="J27" s="154"/>
      <c r="K27" s="154"/>
      <c r="L27" s="154">
        <v>1657866.9400000004</v>
      </c>
      <c r="M27" s="154">
        <v>1695285.57</v>
      </c>
      <c r="N27" s="154">
        <v>1779430.9400000004</v>
      </c>
      <c r="O27" s="154">
        <v>2317387.6</v>
      </c>
      <c r="P27" s="154">
        <v>2423894.8937090798</v>
      </c>
      <c r="Q27" s="154">
        <v>3743950</v>
      </c>
      <c r="R27" s="154">
        <v>2488644.9339942094</v>
      </c>
      <c r="S27" s="154">
        <v>2325776.5432013096</v>
      </c>
      <c r="T27" s="154"/>
      <c r="U27" s="154"/>
      <c r="V27" s="154"/>
      <c r="W27" s="154"/>
      <c r="X27" s="121">
        <f>S27-P27</f>
        <v>-98118.350507770199</v>
      </c>
      <c r="Y27" s="121">
        <f t="shared" si="3"/>
        <v>667909.60320130922</v>
      </c>
    </row>
    <row r="28" spans="1:25" x14ac:dyDescent="0.25">
      <c r="A28" s="150" t="s">
        <v>73</v>
      </c>
      <c r="B28" s="157"/>
      <c r="C28" s="156"/>
      <c r="D28" s="154"/>
      <c r="E28" s="154"/>
      <c r="F28" s="154"/>
      <c r="G28" s="154"/>
      <c r="H28" s="154"/>
      <c r="I28" s="154"/>
      <c r="J28" s="154"/>
      <c r="K28" s="154"/>
      <c r="L28" s="154">
        <v>1034940.0000000002</v>
      </c>
      <c r="M28" s="154">
        <v>1320894.2599999998</v>
      </c>
      <c r="N28" s="154">
        <v>1172450.3427273598</v>
      </c>
      <c r="O28" s="154">
        <v>1325554.1249120799</v>
      </c>
      <c r="P28" s="154">
        <v>1605701.95553361</v>
      </c>
      <c r="Q28" s="154">
        <v>1716543</v>
      </c>
      <c r="R28" s="154">
        <v>1770799.3966327901</v>
      </c>
      <c r="S28" s="154">
        <v>2479058.8255362301</v>
      </c>
      <c r="T28" s="154"/>
      <c r="U28" s="154"/>
      <c r="V28" s="154"/>
      <c r="W28" s="154"/>
      <c r="X28" s="121">
        <f>S28-P28</f>
        <v>873356.87000262015</v>
      </c>
      <c r="Y28" s="121">
        <f t="shared" si="3"/>
        <v>1444118.8255362299</v>
      </c>
    </row>
    <row r="29" spans="1:25" x14ac:dyDescent="0.25">
      <c r="A29" s="150" t="s">
        <v>74</v>
      </c>
      <c r="B29" s="157"/>
      <c r="C29" s="152"/>
      <c r="D29" s="153"/>
      <c r="E29" s="153"/>
      <c r="F29" s="153"/>
      <c r="G29" s="153"/>
      <c r="H29" s="153"/>
      <c r="I29" s="153"/>
      <c r="J29" s="153"/>
      <c r="K29" s="153"/>
      <c r="L29" s="154">
        <v>1230933.95</v>
      </c>
      <c r="M29" s="154">
        <v>1107117.46</v>
      </c>
      <c r="N29" s="154">
        <v>1244583.94</v>
      </c>
      <c r="O29" s="154">
        <v>1683787.52</v>
      </c>
      <c r="P29" s="154">
        <v>1886961.84</v>
      </c>
      <c r="Q29" s="154">
        <v>2211801</v>
      </c>
      <c r="R29" s="154">
        <v>2095039.9568868601</v>
      </c>
      <c r="S29" s="154">
        <v>2177664.5482080602</v>
      </c>
      <c r="T29" s="154"/>
      <c r="U29" s="154"/>
      <c r="V29" s="154"/>
      <c r="W29" s="154"/>
      <c r="X29" s="121">
        <f t="shared" ref="X29" si="4">S29-P29</f>
        <v>290702.70820806012</v>
      </c>
      <c r="Y29" s="121">
        <f t="shared" si="3"/>
        <v>946730.59820806026</v>
      </c>
    </row>
    <row r="30" spans="1:25" x14ac:dyDescent="0.25">
      <c r="A30" s="125" t="s">
        <v>96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>
        <f>L24+SUM(L27:L29)</f>
        <v>8677865.4400719702</v>
      </c>
      <c r="M30" s="126">
        <f t="shared" ref="M30:X30" si="5">M24+SUM(M27:M29)</f>
        <v>7439573.8599999994</v>
      </c>
      <c r="N30" s="126">
        <f t="shared" si="5"/>
        <v>7569425.6987625398</v>
      </c>
      <c r="O30" s="126">
        <f t="shared" si="5"/>
        <v>8567456.0430427901</v>
      </c>
      <c r="P30" s="126">
        <f t="shared" si="5"/>
        <v>13161056.879966751</v>
      </c>
      <c r="Q30" s="126">
        <f t="shared" si="5"/>
        <v>13848941</v>
      </c>
      <c r="R30" s="126">
        <f t="shared" si="5"/>
        <v>11585318.018094329</v>
      </c>
      <c r="S30" s="126">
        <f t="shared" si="5"/>
        <v>13698563.613646738</v>
      </c>
      <c r="T30" s="126">
        <f t="shared" si="5"/>
        <v>0</v>
      </c>
      <c r="U30" s="126">
        <f t="shared" si="5"/>
        <v>0</v>
      </c>
      <c r="V30" s="126">
        <f t="shared" si="5"/>
        <v>0</v>
      </c>
      <c r="W30" s="126">
        <f t="shared" si="5"/>
        <v>0</v>
      </c>
      <c r="X30" s="126">
        <f t="shared" si="5"/>
        <v>537506.73367998935</v>
      </c>
      <c r="Y30" s="167">
        <f t="shared" ref="Y30" si="6">S30-L30</f>
        <v>5020698.173574768</v>
      </c>
    </row>
    <row r="31" spans="1:25" x14ac:dyDescent="0.25">
      <c r="A31" s="151" t="s">
        <v>75</v>
      </c>
      <c r="B31" s="120"/>
      <c r="C31" s="120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21"/>
      <c r="Y31" s="121"/>
    </row>
    <row r="32" spans="1:25" x14ac:dyDescent="0.25">
      <c r="A32" s="150" t="s">
        <v>76</v>
      </c>
      <c r="B32" s="152"/>
      <c r="C32" s="152"/>
      <c r="D32" s="153"/>
      <c r="E32" s="153"/>
      <c r="F32" s="153"/>
      <c r="G32" s="153"/>
      <c r="H32" s="153"/>
      <c r="I32" s="153"/>
      <c r="J32" s="153"/>
      <c r="K32" s="153"/>
      <c r="L32" s="154">
        <v>3185232.9390640003</v>
      </c>
      <c r="M32" s="154">
        <v>3468356.3241930497</v>
      </c>
      <c r="N32" s="154">
        <v>3453546.37</v>
      </c>
      <c r="O32" s="154">
        <v>3027711.66</v>
      </c>
      <c r="P32" s="154">
        <v>3368032.0609914404</v>
      </c>
      <c r="Q32" s="154">
        <v>3462208</v>
      </c>
      <c r="R32" s="154">
        <v>3712626.0760019701</v>
      </c>
      <c r="S32" s="155">
        <v>3996630.9985597301</v>
      </c>
      <c r="T32" s="155"/>
      <c r="U32" s="155"/>
      <c r="V32" s="155"/>
      <c r="W32" s="155"/>
      <c r="X32" s="121">
        <f>S32-P32</f>
        <v>628598.93756828969</v>
      </c>
      <c r="Y32" s="121">
        <f>S32-L32</f>
        <v>811398.05949572986</v>
      </c>
    </row>
    <row r="33" spans="1:25" x14ac:dyDescent="0.25">
      <c r="A33" s="150" t="s">
        <v>77</v>
      </c>
      <c r="B33" s="157"/>
      <c r="C33" s="157"/>
      <c r="D33" s="155"/>
      <c r="E33" s="155"/>
      <c r="F33" s="155"/>
      <c r="G33" s="155"/>
      <c r="H33" s="155"/>
      <c r="I33" s="155"/>
      <c r="J33" s="155"/>
      <c r="K33" s="155"/>
      <c r="L33" s="154">
        <v>2771222.0700000003</v>
      </c>
      <c r="M33" s="154">
        <v>2945161.3899999992</v>
      </c>
      <c r="N33" s="154">
        <v>3515176.7600000007</v>
      </c>
      <c r="O33" s="154">
        <v>4194351.68</v>
      </c>
      <c r="P33" s="154">
        <v>4571382.6077344408</v>
      </c>
      <c r="Q33" s="154">
        <v>4541282</v>
      </c>
      <c r="R33" s="154">
        <v>5146456.11945769</v>
      </c>
      <c r="S33" s="155">
        <v>5397981.8306369614</v>
      </c>
      <c r="T33" s="155"/>
      <c r="U33" s="155"/>
      <c r="V33" s="155"/>
      <c r="W33" s="155"/>
      <c r="X33" s="121">
        <f>S33-P33</f>
        <v>826599.22290252056</v>
      </c>
      <c r="Y33" s="121">
        <f>S33-L33</f>
        <v>2626759.7606369611</v>
      </c>
    </row>
    <row r="34" spans="1:25" x14ac:dyDescent="0.25">
      <c r="A34" s="150" t="s">
        <v>78</v>
      </c>
      <c r="B34" s="156"/>
      <c r="C34" s="156"/>
      <c r="D34" s="154"/>
      <c r="E34" s="154"/>
      <c r="F34" s="154"/>
      <c r="G34" s="154"/>
      <c r="H34" s="154"/>
      <c r="I34" s="154"/>
      <c r="J34" s="154"/>
      <c r="K34" s="154"/>
      <c r="L34" s="154">
        <v>4143077.69</v>
      </c>
      <c r="M34" s="154">
        <v>3032628.4058069503</v>
      </c>
      <c r="N34" s="154">
        <v>2112181.8899999997</v>
      </c>
      <c r="O34" s="154">
        <v>2076943.1500000001</v>
      </c>
      <c r="P34" s="154">
        <v>2591997.8514509499</v>
      </c>
      <c r="Q34" s="154">
        <v>4774578</v>
      </c>
      <c r="R34" s="154">
        <v>3233149.79708579</v>
      </c>
      <c r="S34" s="155">
        <v>3292215.6879942296</v>
      </c>
      <c r="T34" s="155"/>
      <c r="U34" s="155"/>
      <c r="V34" s="155"/>
      <c r="W34" s="155"/>
      <c r="X34" s="121">
        <f>S34-P34</f>
        <v>700217.8365432797</v>
      </c>
      <c r="Y34" s="121">
        <f>S34-L34</f>
        <v>-850862.00200577034</v>
      </c>
    </row>
    <row r="35" spans="1:25" x14ac:dyDescent="0.25">
      <c r="A35" s="150" t="s">
        <v>79</v>
      </c>
      <c r="B35" s="156"/>
      <c r="C35" s="156"/>
      <c r="D35" s="154"/>
      <c r="E35" s="154"/>
      <c r="F35" s="154"/>
      <c r="G35" s="154"/>
      <c r="H35" s="154"/>
      <c r="I35" s="154"/>
      <c r="J35" s="154"/>
      <c r="K35" s="154"/>
      <c r="L35" s="154">
        <v>3363366.8699999996</v>
      </c>
      <c r="M35" s="154">
        <v>3208227.8000000003</v>
      </c>
      <c r="N35" s="154">
        <v>2942217.4100000006</v>
      </c>
      <c r="O35" s="154">
        <v>2855642.81</v>
      </c>
      <c r="P35" s="154">
        <v>2961458.83</v>
      </c>
      <c r="Q35" s="154">
        <v>3153110</v>
      </c>
      <c r="R35" s="154">
        <v>3348141.9404989602</v>
      </c>
      <c r="S35" s="155">
        <v>3545242.8666368295</v>
      </c>
      <c r="T35" s="155"/>
      <c r="U35" s="155"/>
      <c r="V35" s="155"/>
      <c r="W35" s="155"/>
      <c r="X35" s="121">
        <f>S35-P35</f>
        <v>583784.03663682938</v>
      </c>
      <c r="Y35" s="121">
        <f>S35-L35</f>
        <v>181875.9966368298</v>
      </c>
    </row>
    <row r="36" spans="1:25" x14ac:dyDescent="0.25">
      <c r="A36" s="125" t="s">
        <v>96</v>
      </c>
      <c r="B36" s="126">
        <f t="shared" ref="B36:W36" si="7">SUM(B32:B35)</f>
        <v>0</v>
      </c>
      <c r="C36" s="126">
        <f t="shared" si="7"/>
        <v>0</v>
      </c>
      <c r="D36" s="126">
        <f t="shared" si="7"/>
        <v>0</v>
      </c>
      <c r="E36" s="126">
        <f t="shared" si="7"/>
        <v>0</v>
      </c>
      <c r="F36" s="126">
        <f t="shared" si="7"/>
        <v>0</v>
      </c>
      <c r="G36" s="126">
        <f t="shared" si="7"/>
        <v>0</v>
      </c>
      <c r="H36" s="126">
        <f t="shared" si="7"/>
        <v>0</v>
      </c>
      <c r="I36" s="126">
        <f t="shared" si="7"/>
        <v>0</v>
      </c>
      <c r="J36" s="126">
        <f t="shared" si="7"/>
        <v>0</v>
      </c>
      <c r="K36" s="126">
        <f t="shared" si="7"/>
        <v>0</v>
      </c>
      <c r="L36" s="126">
        <f t="shared" si="7"/>
        <v>13462899.569063999</v>
      </c>
      <c r="M36" s="126">
        <f t="shared" si="7"/>
        <v>12654373.92</v>
      </c>
      <c r="N36" s="126">
        <f t="shared" si="7"/>
        <v>12023122.43</v>
      </c>
      <c r="O36" s="126">
        <f t="shared" si="7"/>
        <v>12154649.300000001</v>
      </c>
      <c r="P36" s="126">
        <f t="shared" si="7"/>
        <v>13492871.350176832</v>
      </c>
      <c r="Q36" s="126">
        <f t="shared" si="7"/>
        <v>15931178</v>
      </c>
      <c r="R36" s="126">
        <f t="shared" si="7"/>
        <v>15440373.933044411</v>
      </c>
      <c r="S36" s="126">
        <f t="shared" si="7"/>
        <v>16232071.383827752</v>
      </c>
      <c r="T36" s="126">
        <f t="shared" si="7"/>
        <v>0</v>
      </c>
      <c r="U36" s="126">
        <f t="shared" si="7"/>
        <v>0</v>
      </c>
      <c r="V36" s="126">
        <f t="shared" si="7"/>
        <v>0</v>
      </c>
      <c r="W36" s="126">
        <f t="shared" si="7"/>
        <v>0</v>
      </c>
      <c r="X36" s="121">
        <f>S36-P36</f>
        <v>2739200.0336509198</v>
      </c>
      <c r="Y36" s="121">
        <f>S36-L36</f>
        <v>2769171.8147637527</v>
      </c>
    </row>
    <row r="37" spans="1:25" x14ac:dyDescent="0.25">
      <c r="A37" s="149" t="s">
        <v>80</v>
      </c>
      <c r="B37" s="120"/>
      <c r="C37" s="120"/>
      <c r="D37" s="120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</row>
    <row r="38" spans="1:25" x14ac:dyDescent="0.25">
      <c r="A38" s="150" t="s">
        <v>81</v>
      </c>
      <c r="B38" s="156"/>
      <c r="C38" s="156"/>
      <c r="D38" s="156"/>
      <c r="E38" s="154"/>
      <c r="F38" s="154"/>
      <c r="G38" s="154"/>
      <c r="H38" s="154"/>
      <c r="I38" s="154"/>
      <c r="J38" s="154"/>
      <c r="K38" s="154"/>
      <c r="L38" s="154">
        <v>2781693.12</v>
      </c>
      <c r="M38" s="154">
        <v>3306325.9899999998</v>
      </c>
      <c r="N38" s="154">
        <v>4176152.09</v>
      </c>
      <c r="O38" s="154">
        <v>4913664.3999999994</v>
      </c>
      <c r="P38" s="154">
        <v>5269764.624714151</v>
      </c>
      <c r="Q38" s="154">
        <v>5224325</v>
      </c>
      <c r="R38" s="154">
        <v>6799861.2942950502</v>
      </c>
      <c r="S38" s="155">
        <v>12087160.078191642</v>
      </c>
      <c r="T38" s="155"/>
      <c r="U38" s="155"/>
      <c r="V38" s="155"/>
      <c r="W38" s="155"/>
      <c r="X38" s="121">
        <f>S38-P38</f>
        <v>6817395.4534774907</v>
      </c>
      <c r="Y38" s="121">
        <f>S38-L38</f>
        <v>9305466.9581916407</v>
      </c>
    </row>
    <row r="39" spans="1:25" x14ac:dyDescent="0.25">
      <c r="A39" s="150" t="s">
        <v>82</v>
      </c>
      <c r="B39" s="157"/>
      <c r="C39" s="156"/>
      <c r="D39" s="156"/>
      <c r="E39" s="154"/>
      <c r="F39" s="154"/>
      <c r="G39" s="154"/>
      <c r="H39" s="154"/>
      <c r="I39" s="154"/>
      <c r="J39" s="154"/>
      <c r="K39" s="154"/>
      <c r="L39" s="154">
        <v>2094589.5400000007</v>
      </c>
      <c r="M39" s="154">
        <v>3102735.8400000012</v>
      </c>
      <c r="N39" s="154">
        <v>3075594.3200000003</v>
      </c>
      <c r="O39" s="154">
        <v>4099093.0699999984</v>
      </c>
      <c r="P39" s="154">
        <v>4877717.9232924506</v>
      </c>
      <c r="Q39" s="154">
        <v>4903808</v>
      </c>
      <c r="R39" s="154">
        <v>6147441.9184877826</v>
      </c>
      <c r="S39" s="155">
        <v>6861342.092823009</v>
      </c>
      <c r="T39" s="155"/>
      <c r="U39" s="155"/>
      <c r="V39" s="155"/>
      <c r="W39" s="155"/>
      <c r="X39" s="121">
        <f>S39-P39</f>
        <v>1983624.1695305584</v>
      </c>
      <c r="Y39" s="121">
        <f>S39-L39</f>
        <v>4766752.552823008</v>
      </c>
    </row>
    <row r="40" spans="1:25" x14ac:dyDescent="0.25">
      <c r="A40" s="150" t="s">
        <v>83</v>
      </c>
      <c r="B40" s="157"/>
      <c r="C40" s="152"/>
      <c r="D40" s="152"/>
      <c r="E40" s="153"/>
      <c r="F40" s="153"/>
      <c r="G40" s="153"/>
      <c r="H40" s="153"/>
      <c r="I40" s="153"/>
      <c r="J40" s="153"/>
      <c r="K40" s="153"/>
      <c r="L40" s="154">
        <v>3428555.2400000468</v>
      </c>
      <c r="M40" s="154">
        <v>3671266.959999999</v>
      </c>
      <c r="N40" s="154">
        <v>3921705.7000000067</v>
      </c>
      <c r="O40" s="154">
        <v>3519848.1500000069</v>
      </c>
      <c r="P40" s="154">
        <v>3586170.0827628523</v>
      </c>
      <c r="Q40" s="154">
        <v>4912864</v>
      </c>
      <c r="R40" s="154">
        <v>4689199.8770410269</v>
      </c>
      <c r="S40" s="155">
        <v>5246159.0854328461</v>
      </c>
      <c r="T40" s="155"/>
      <c r="U40" s="155"/>
      <c r="V40" s="155"/>
      <c r="W40" s="155"/>
      <c r="X40" s="121">
        <f t="shared" ref="X40:X44" si="8">S40-P40</f>
        <v>1659989.0026699938</v>
      </c>
      <c r="Y40" s="121">
        <f t="shared" ref="Y40:Y45" si="9">S40-L40</f>
        <v>1817603.8454327993</v>
      </c>
    </row>
    <row r="41" spans="1:25" x14ac:dyDescent="0.25">
      <c r="A41" s="150" t="s">
        <v>84</v>
      </c>
      <c r="B41" s="156"/>
      <c r="C41" s="156"/>
      <c r="D41" s="156"/>
      <c r="E41" s="154"/>
      <c r="F41" s="154"/>
      <c r="G41" s="154"/>
      <c r="H41" s="154"/>
      <c r="I41" s="154"/>
      <c r="J41" s="154"/>
      <c r="K41" s="154"/>
      <c r="L41" s="154">
        <v>1765347.3208639997</v>
      </c>
      <c r="M41" s="154">
        <v>780504.6399999999</v>
      </c>
      <c r="N41" s="154">
        <v>1312210.93</v>
      </c>
      <c r="O41" s="154">
        <v>1214410.02</v>
      </c>
      <c r="P41" s="154">
        <v>1165640.3683208399</v>
      </c>
      <c r="Q41" s="154">
        <v>1529328</v>
      </c>
      <c r="R41" s="154">
        <v>1259712.1900232201</v>
      </c>
      <c r="S41" s="155">
        <v>2176951.6196252201</v>
      </c>
      <c r="T41" s="155"/>
      <c r="U41" s="155"/>
      <c r="V41" s="155"/>
      <c r="W41" s="155"/>
      <c r="X41" s="121">
        <f>S41-P41</f>
        <v>1011311.2513043801</v>
      </c>
      <c r="Y41" s="121">
        <f t="shared" si="9"/>
        <v>411604.29876122042</v>
      </c>
    </row>
    <row r="42" spans="1:25" x14ac:dyDescent="0.25">
      <c r="A42" s="150" t="s">
        <v>85</v>
      </c>
      <c r="B42" s="156"/>
      <c r="C42" s="156"/>
      <c r="D42" s="156"/>
      <c r="E42" s="154"/>
      <c r="F42" s="154"/>
      <c r="G42" s="154"/>
      <c r="H42" s="154"/>
      <c r="I42" s="154"/>
      <c r="J42" s="154"/>
      <c r="K42" s="154"/>
      <c r="L42" s="154">
        <v>1479738.43</v>
      </c>
      <c r="M42" s="154">
        <v>1617262.7399999998</v>
      </c>
      <c r="N42" s="154">
        <v>1440635.8099999998</v>
      </c>
      <c r="O42" s="154">
        <v>3116062</v>
      </c>
      <c r="P42" s="154">
        <v>2685276.6137396093</v>
      </c>
      <c r="Q42" s="154">
        <v>3328293</v>
      </c>
      <c r="R42" s="154">
        <v>3166008.7819252601</v>
      </c>
      <c r="S42" s="155">
        <v>5125134.9670869894</v>
      </c>
      <c r="T42" s="155"/>
      <c r="U42" s="155"/>
      <c r="V42" s="155"/>
      <c r="W42" s="155"/>
      <c r="X42" s="121">
        <f>S42-P42</f>
        <v>2439858.3533473802</v>
      </c>
      <c r="Y42" s="121">
        <f t="shared" si="9"/>
        <v>3645396.5370869897</v>
      </c>
    </row>
    <row r="43" spans="1:25" x14ac:dyDescent="0.25">
      <c r="A43" s="150" t="s">
        <v>86</v>
      </c>
      <c r="B43" s="156"/>
      <c r="C43" s="156"/>
      <c r="D43" s="156"/>
      <c r="E43" s="154"/>
      <c r="F43" s="154"/>
      <c r="G43" s="154"/>
      <c r="H43" s="154"/>
      <c r="I43" s="154"/>
      <c r="J43" s="154"/>
      <c r="K43" s="154"/>
      <c r="L43" s="154">
        <v>402246.23</v>
      </c>
      <c r="M43" s="154">
        <v>904408.86</v>
      </c>
      <c r="N43" s="154">
        <v>1411383.4</v>
      </c>
      <c r="O43" s="154">
        <v>1210915.8499999999</v>
      </c>
      <c r="P43" s="154">
        <v>1338822.46746119</v>
      </c>
      <c r="Q43" s="154">
        <v>1319886</v>
      </c>
      <c r="R43" s="154">
        <v>1509059.2543915298</v>
      </c>
      <c r="S43" s="155">
        <v>1706717.15280615</v>
      </c>
      <c r="T43" s="155"/>
      <c r="U43" s="155"/>
      <c r="V43" s="155"/>
      <c r="W43" s="155"/>
      <c r="X43" s="121">
        <f t="shared" si="8"/>
        <v>367894.68534496007</v>
      </c>
      <c r="Y43" s="121">
        <f t="shared" si="9"/>
        <v>1304470.92280615</v>
      </c>
    </row>
    <row r="44" spans="1:25" x14ac:dyDescent="0.25">
      <c r="A44" s="150" t="s">
        <v>87</v>
      </c>
      <c r="B44" s="156"/>
      <c r="C44" s="156"/>
      <c r="D44" s="156"/>
      <c r="E44" s="154"/>
      <c r="F44" s="154"/>
      <c r="G44" s="154"/>
      <c r="H44" s="154"/>
      <c r="I44" s="154"/>
      <c r="J44" s="154"/>
      <c r="K44" s="154"/>
      <c r="L44" s="154">
        <v>2554144.1900000004</v>
      </c>
      <c r="M44" s="154">
        <v>3029539.59</v>
      </c>
      <c r="N44" s="154">
        <v>3423978.4699999997</v>
      </c>
      <c r="O44" s="154">
        <v>3576953.77</v>
      </c>
      <c r="P44" s="154">
        <v>3537182.6155772596</v>
      </c>
      <c r="Q44" s="154">
        <v>4323956</v>
      </c>
      <c r="R44" s="154">
        <v>5893656.7932249792</v>
      </c>
      <c r="S44" s="155">
        <v>6888866.2485582903</v>
      </c>
      <c r="T44" s="155"/>
      <c r="U44" s="155"/>
      <c r="V44" s="155"/>
      <c r="W44" s="155"/>
      <c r="X44" s="121">
        <f t="shared" si="8"/>
        <v>3351683.6329810307</v>
      </c>
      <c r="Y44" s="121">
        <f t="shared" si="9"/>
        <v>4334722.0585582899</v>
      </c>
    </row>
    <row r="45" spans="1:25" x14ac:dyDescent="0.25">
      <c r="A45" s="125" t="s">
        <v>96</v>
      </c>
      <c r="B45" s="126">
        <f t="shared" ref="B45:K45" si="10">SUM(B40:B43)</f>
        <v>0</v>
      </c>
      <c r="C45" s="126">
        <f t="shared" si="10"/>
        <v>0</v>
      </c>
      <c r="D45" s="126">
        <f t="shared" si="10"/>
        <v>0</v>
      </c>
      <c r="E45" s="126">
        <f t="shared" si="10"/>
        <v>0</v>
      </c>
      <c r="F45" s="126">
        <f t="shared" si="10"/>
        <v>0</v>
      </c>
      <c r="G45" s="126">
        <f t="shared" si="10"/>
        <v>0</v>
      </c>
      <c r="H45" s="126">
        <f t="shared" si="10"/>
        <v>0</v>
      </c>
      <c r="I45" s="126">
        <f t="shared" si="10"/>
        <v>0</v>
      </c>
      <c r="J45" s="126">
        <f t="shared" si="10"/>
        <v>0</v>
      </c>
      <c r="K45" s="126">
        <f t="shared" si="10"/>
        <v>0</v>
      </c>
      <c r="L45" s="126">
        <f>SUM(L38:L44)</f>
        <v>14506314.070864048</v>
      </c>
      <c r="M45" s="126">
        <f t="shared" ref="M45:X45" si="11">SUM(M38:M44)</f>
        <v>16412044.619999999</v>
      </c>
      <c r="N45" s="126">
        <f t="shared" si="11"/>
        <v>18761660.720000006</v>
      </c>
      <c r="O45" s="126">
        <f t="shared" si="11"/>
        <v>21650947.260000005</v>
      </c>
      <c r="P45" s="126">
        <f t="shared" si="11"/>
        <v>22460574.695868351</v>
      </c>
      <c r="Q45" s="126">
        <f t="shared" si="11"/>
        <v>25542460</v>
      </c>
      <c r="R45" s="126">
        <f t="shared" si="11"/>
        <v>29464940.109388851</v>
      </c>
      <c r="S45" s="126">
        <f t="shared" si="11"/>
        <v>40092331.244524151</v>
      </c>
      <c r="T45" s="126">
        <f t="shared" si="11"/>
        <v>0</v>
      </c>
      <c r="U45" s="126">
        <f t="shared" si="11"/>
        <v>0</v>
      </c>
      <c r="V45" s="126">
        <f t="shared" si="11"/>
        <v>0</v>
      </c>
      <c r="W45" s="126">
        <f t="shared" si="11"/>
        <v>0</v>
      </c>
      <c r="X45" s="126">
        <f t="shared" si="11"/>
        <v>17631756.548655797</v>
      </c>
      <c r="Y45" s="167">
        <f t="shared" si="9"/>
        <v>25586017.173660103</v>
      </c>
    </row>
    <row r="46" spans="1:25" ht="14.1" customHeight="1" x14ac:dyDescent="0.25">
      <c r="A46" s="151" t="s">
        <v>114</v>
      </c>
      <c r="B46" s="127"/>
      <c r="C46" s="127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1"/>
      <c r="Y46" s="121"/>
    </row>
    <row r="47" spans="1:25" ht="14.1" customHeight="1" x14ac:dyDescent="0.25">
      <c r="A47" s="150" t="s">
        <v>88</v>
      </c>
      <c r="B47" s="152"/>
      <c r="C47" s="152"/>
      <c r="D47" s="153"/>
      <c r="E47" s="153"/>
      <c r="F47" s="153"/>
      <c r="G47" s="153"/>
      <c r="H47" s="153"/>
      <c r="I47" s="153"/>
      <c r="J47" s="153"/>
      <c r="K47" s="153"/>
      <c r="L47" s="154">
        <v>0</v>
      </c>
      <c r="M47" s="154">
        <v>0</v>
      </c>
      <c r="N47" s="154">
        <v>0</v>
      </c>
      <c r="O47" s="154">
        <v>-1570875.11</v>
      </c>
      <c r="P47" s="154">
        <v>-1886961.84</v>
      </c>
      <c r="Q47" s="154">
        <v>-2211800.9900000002</v>
      </c>
      <c r="R47" s="154">
        <v>-2095040</v>
      </c>
      <c r="S47" s="154">
        <v>0</v>
      </c>
      <c r="T47" s="154">
        <v>0</v>
      </c>
      <c r="U47" s="154">
        <v>0</v>
      </c>
      <c r="V47" s="154">
        <v>0</v>
      </c>
      <c r="W47" s="154">
        <v>0</v>
      </c>
      <c r="X47" s="121">
        <f t="shared" ref="X47:X49" si="12">S47-P47</f>
        <v>1886961.84</v>
      </c>
      <c r="Y47" s="121">
        <f t="shared" ref="Y47:Y49" si="13">S47-L47</f>
        <v>0</v>
      </c>
    </row>
    <row r="48" spans="1:25" ht="14.1" customHeight="1" x14ac:dyDescent="0.25">
      <c r="A48" s="150" t="s">
        <v>89</v>
      </c>
      <c r="B48" s="157"/>
      <c r="C48" s="157"/>
      <c r="D48" s="155"/>
      <c r="E48" s="155"/>
      <c r="F48" s="155"/>
      <c r="G48" s="155"/>
      <c r="H48" s="155"/>
      <c r="I48" s="155"/>
      <c r="J48" s="155"/>
      <c r="K48" s="155"/>
      <c r="L48" s="154">
        <v>-320412.19</v>
      </c>
      <c r="M48" s="154">
        <v>-210340.62</v>
      </c>
      <c r="N48" s="154">
        <v>-276256.02</v>
      </c>
      <c r="O48" s="154">
        <v>-367208.06999999995</v>
      </c>
      <c r="P48" s="154">
        <v>-897079.82000000007</v>
      </c>
      <c r="Q48" s="154">
        <v>-357783.07</v>
      </c>
      <c r="R48" s="154">
        <v>-673988</v>
      </c>
      <c r="S48" s="154">
        <v>0</v>
      </c>
      <c r="T48" s="154">
        <v>0</v>
      </c>
      <c r="U48" s="154">
        <v>0</v>
      </c>
      <c r="V48" s="154">
        <v>0</v>
      </c>
      <c r="W48" s="154">
        <v>0</v>
      </c>
      <c r="X48" s="121">
        <f t="shared" si="12"/>
        <v>897079.82000000007</v>
      </c>
      <c r="Y48" s="121">
        <f t="shared" si="13"/>
        <v>320412.19</v>
      </c>
    </row>
    <row r="49" spans="1:25" ht="15.75" thickBot="1" x14ac:dyDescent="0.3">
      <c r="A49" s="125" t="s">
        <v>96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>
        <f t="shared" ref="L49:W49" si="14">SUM(L47:L48)</f>
        <v>-320412.19</v>
      </c>
      <c r="M49" s="126">
        <f t="shared" si="14"/>
        <v>-210340.62</v>
      </c>
      <c r="N49" s="126">
        <f t="shared" si="14"/>
        <v>-276256.02</v>
      </c>
      <c r="O49" s="126">
        <f t="shared" si="14"/>
        <v>-1938083.1800000002</v>
      </c>
      <c r="P49" s="126">
        <f t="shared" si="14"/>
        <v>-2784041.66</v>
      </c>
      <c r="Q49" s="126">
        <f t="shared" si="14"/>
        <v>-2569584.06</v>
      </c>
      <c r="R49" s="126">
        <f t="shared" si="14"/>
        <v>-2769028</v>
      </c>
      <c r="S49" s="126">
        <f t="shared" si="14"/>
        <v>0</v>
      </c>
      <c r="T49" s="126">
        <f t="shared" si="14"/>
        <v>0</v>
      </c>
      <c r="U49" s="126">
        <f t="shared" si="14"/>
        <v>0</v>
      </c>
      <c r="V49" s="126">
        <f t="shared" si="14"/>
        <v>0</v>
      </c>
      <c r="W49" s="126">
        <f t="shared" si="14"/>
        <v>0</v>
      </c>
      <c r="X49" s="121">
        <f t="shared" si="12"/>
        <v>2784041.66</v>
      </c>
      <c r="Y49" s="121">
        <f t="shared" si="13"/>
        <v>320412.19</v>
      </c>
    </row>
    <row r="50" spans="1:25" ht="16.5" thickTop="1" thickBot="1" x14ac:dyDescent="0.3">
      <c r="A50" s="129" t="s">
        <v>54</v>
      </c>
      <c r="B50" s="130" cm="1">
        <f t="array" ref="B50">SUMPRODUCT(--($A37:$A45="Sub-Total"), B$37:B$45)</f>
        <v>0</v>
      </c>
      <c r="C50" s="130" cm="1">
        <f t="array" ref="C50">SUMPRODUCT(--($A37:$A45="Sub-Total"), C$37:C$45)</f>
        <v>0</v>
      </c>
      <c r="D50" s="130" cm="1">
        <f t="array" ref="D50">SUMPRODUCT(--($A37:$A45="Sub-Total"), D$37:D$45)</f>
        <v>0</v>
      </c>
      <c r="E50" s="130" cm="1">
        <f t="array" ref="E50">SUMPRODUCT(--($A37:$A45="Sub-Total"), E$37:E$45)</f>
        <v>0</v>
      </c>
      <c r="F50" s="130" cm="1">
        <f t="array" ref="F50">SUMPRODUCT(--($A37:$A45="Sub-Total"), F$37:F$45)</f>
        <v>0</v>
      </c>
      <c r="G50" s="130" cm="1">
        <f t="array" ref="G50">SUMPRODUCT(--($A37:$A45="Sub-Total"), G$37:G$45)</f>
        <v>0</v>
      </c>
      <c r="H50" s="130" cm="1">
        <f t="array" ref="H50">SUMPRODUCT(--($A37:$A45="Sub-Total"), H$37:H$45)</f>
        <v>0</v>
      </c>
      <c r="I50" s="130" cm="1">
        <f t="array" ref="I50">SUMPRODUCT(--($A37:$A45="Sub-Total"), I$37:I$45)</f>
        <v>0</v>
      </c>
      <c r="J50" s="130" cm="1">
        <f t="array" ref="J50">SUMPRODUCT(--($A37:$A45="Sub-Total"), J$37:J$45)</f>
        <v>0</v>
      </c>
      <c r="K50" s="130" cm="1">
        <f t="array" ref="K50">SUMPRODUCT(--($A37:$A45="Sub-Total"), K$37:K$45)</f>
        <v>0</v>
      </c>
      <c r="L50" s="130" cm="1">
        <f t="array" ref="L50">SUMPRODUCT(--($A15:$A49="Sub-Total"), L15:L49)</f>
        <v>42304136.459999993</v>
      </c>
      <c r="M50" s="130" cm="1">
        <f t="array" ref="M50">SUMPRODUCT(--($A15:$A49="Sub-Total"), M15:M49)</f>
        <v>42915708.359999999</v>
      </c>
      <c r="N50" s="130" cm="1">
        <f t="array" ref="N50">SUMPRODUCT(--($A15:$A49="Sub-Total"), N15:N49)</f>
        <v>44918464.310000002</v>
      </c>
      <c r="O50" s="130" cm="1">
        <f t="array" ref="O50">SUMPRODUCT(--($A15:$A49="Sub-Total"), O15:O49)</f>
        <v>46662196.330000006</v>
      </c>
      <c r="P50" s="130" cm="1">
        <f t="array" ref="P50">SUMPRODUCT(--($A15:$A49="Sub-Total"), P15:P49)</f>
        <v>53600375.600000009</v>
      </c>
      <c r="Q50" s="130" cm="1">
        <f t="array" ref="Q50">SUMPRODUCT(--($A15:$A49="Sub-Total"), Q15:Q49)</f>
        <v>61025230.939999998</v>
      </c>
      <c r="R50" s="130" cm="1">
        <f t="array" ref="R50">SUMPRODUCT(--($A15:$A49="Sub-Total"), R15:R49)</f>
        <v>64091179.007011496</v>
      </c>
      <c r="S50" s="130" cm="1">
        <f t="array" ref="S50">SUMPRODUCT(--($A15:$A49="Sub-Total"), S15:S49)</f>
        <v>82035586.665184379</v>
      </c>
      <c r="T50" s="130" cm="1">
        <f t="array" ref="T50">SUMPRODUCT(--($A15:$A49="Sub-Total"), T15:T49)</f>
        <v>0</v>
      </c>
      <c r="U50" s="130" cm="1">
        <f t="array" ref="U50">SUMPRODUCT(--($A15:$A49="Sub-Total"), U15:U49)</f>
        <v>0</v>
      </c>
      <c r="V50" s="130" cm="1">
        <f t="array" ref="V50">SUMPRODUCT(--($A15:$A49="Sub-Total"), V15:V49)</f>
        <v>0</v>
      </c>
      <c r="W50" s="130" cm="1">
        <f t="array" ref="W50">SUMPRODUCT(--($A15:$A49="Sub-Total"), W15:W49)</f>
        <v>0</v>
      </c>
      <c r="X50" s="130" cm="1">
        <f t="array" ref="X50">SUMPRODUCT(--($A15:$A49="Sub-Total"), X15:X49)</f>
        <v>28435211.065184359</v>
      </c>
      <c r="Y50" s="130" cm="1">
        <f t="array" ref="Y50">SUMPRODUCT(--($A15:$A49="Sub-Total"), Y$15:Y$49)</f>
        <v>39731450.205184385</v>
      </c>
    </row>
    <row r="51" spans="1:25" x14ac:dyDescent="0.25">
      <c r="W51" s="170"/>
    </row>
    <row r="52" spans="1:25" x14ac:dyDescent="0.25">
      <c r="A52" s="131" t="s">
        <v>90</v>
      </c>
    </row>
    <row r="54" spans="1:25" x14ac:dyDescent="0.25">
      <c r="A54" s="172" t="s">
        <v>98</v>
      </c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4"/>
    </row>
    <row r="56" spans="1:25" ht="15.75" x14ac:dyDescent="0.25">
      <c r="A56" s="132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</row>
    <row r="57" spans="1:25" x14ac:dyDescent="0.25">
      <c r="A57" s="133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</row>
    <row r="59" spans="1:25" x14ac:dyDescent="0.25">
      <c r="A59" s="134"/>
    </row>
  </sheetData>
  <mergeCells count="2">
    <mergeCell ref="A9:R9"/>
    <mergeCell ref="A10:R10"/>
  </mergeCells>
  <dataValidations count="2">
    <dataValidation type="list" allowBlank="1" showInputMessage="1" showErrorMessage="1" sqref="B14:W15" xr:uid="{F2E1B1E2-EA2D-40C3-AEDD-788D6B333DC1}">
      <formula1>"CGAAP, MIFRS, USGAAP, ASPE"</formula1>
    </dataValidation>
    <dataValidation allowBlank="1" showInputMessage="1" showErrorMessage="1" promptTitle="Date Format" prompt="E.g:  &quot;August 1, 2011&quot;" sqref="S7" xr:uid="{3E3B4345-3820-42F1-8BC6-D1978DDE002C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  <MovedtoToIntervenorFolder xmlns="1ebb5cdf-5803-4e55-8f90-2858ffc370dd">false</MovedtoToIntervenorFol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565576-6FF6-43F3-B33A-D7BE86204553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1ebb5cdf-5803-4e55-8f90-2858ffc370d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FAE7DB-5EE7-4427-A64C-4B003D57CE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69375-7AFE-45E7-8FB1-D28945979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App.2-JA OM&amp;A Summary Analys</vt:lpstr>
      <vt:lpstr>App.2-JB OM&amp;A Cost Drivers</vt:lpstr>
      <vt:lpstr>App2.-JC OM&amp;A Programs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Cowles</dc:creator>
  <cp:keywords/>
  <dc:description/>
  <cp:lastModifiedBy>Susan Kim</cp:lastModifiedBy>
  <cp:revision/>
  <dcterms:created xsi:type="dcterms:W3CDTF">2025-08-25T17:29:16Z</dcterms:created>
  <dcterms:modified xsi:type="dcterms:W3CDTF">2026-09-18T22:06:55Z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