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Linked Excel Files/HC Sept 17/"/>
    </mc:Choice>
  </mc:AlternateContent>
  <xr:revisionPtr revIDLastSave="809" documentId="8_{DD0F1D09-5179-4F04-AF7D-442A51676D6F}" xr6:coauthVersionLast="47" xr6:coauthVersionMax="47" xr10:uidLastSave="{DBD1D32D-143A-4BEC-B879-3A844A50C900}"/>
  <bookViews>
    <workbookView xWindow="-28920" yWindow="-120" windowWidth="29040" windowHeight="15720" tabRatio="747" xr2:uid="{00000000-000D-0000-FFFF-FFFF00000000}"/>
  </bookViews>
  <sheets>
    <sheet name="2027" sheetId="4" r:id="rId1"/>
    <sheet name="2028" sheetId="10" r:id="rId2"/>
    <sheet name="2029" sheetId="11" r:id="rId3"/>
    <sheet name="2030" sheetId="12" r:id="rId4"/>
    <sheet name="2031" sheetId="13" r:id="rId5"/>
  </sheets>
  <definedNames>
    <definedName name="_xlnm.Print_Area" localSheetId="0">'2027'!$A$3:$W$32</definedName>
    <definedName name="_xlnm.Print_Area" localSheetId="1">'2028'!$A$3:$S$32</definedName>
    <definedName name="_xlnm.Print_Area" localSheetId="2">'2029'!$A$3:$S$32</definedName>
    <definedName name="_xlnm.Print_Area" localSheetId="3">'2030'!$A$3:$S$32</definedName>
    <definedName name="_xlnm.Print_Area" localSheetId="4">'2031'!$A$3:$S$32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3" l="1"/>
  <c r="G18" i="12"/>
  <c r="G18" i="10"/>
  <c r="G18" i="11"/>
  <c r="B20" i="4" l="1"/>
  <c r="B20" i="11" l="1"/>
  <c r="B20" i="10" l="1"/>
  <c r="B20" i="12"/>
  <c r="B20" i="13" l="1"/>
  <c r="C20" i="4" l="1"/>
  <c r="G10" i="10" l="1"/>
  <c r="C20" i="10"/>
  <c r="D20" i="4" l="1"/>
  <c r="C20" i="12" l="1"/>
  <c r="G10" i="12"/>
  <c r="C20" i="11"/>
  <c r="G10" i="11"/>
  <c r="D20" i="10"/>
  <c r="E20" i="4" l="1"/>
  <c r="D20" i="11"/>
  <c r="C20" i="13" l="1"/>
  <c r="G10" i="13"/>
  <c r="D20" i="12"/>
  <c r="E20" i="10" l="1"/>
  <c r="D20" i="13"/>
  <c r="E20" i="11"/>
  <c r="E20" i="12" l="1"/>
  <c r="E20" i="13" l="1"/>
  <c r="H20" i="4" l="1"/>
  <c r="G20" i="4" l="1"/>
  <c r="J15" i="4" l="1"/>
  <c r="I15" i="4"/>
  <c r="I12" i="4"/>
  <c r="J12" i="4"/>
  <c r="I10" i="4"/>
  <c r="J10" i="4"/>
  <c r="F20" i="4"/>
  <c r="J20" i="4" s="1"/>
  <c r="J11" i="4"/>
  <c r="I11" i="4"/>
  <c r="I18" i="4"/>
  <c r="J18" i="4"/>
  <c r="I17" i="4"/>
  <c r="J17" i="4"/>
  <c r="J13" i="4"/>
  <c r="I13" i="4"/>
  <c r="J16" i="4"/>
  <c r="I16" i="4"/>
  <c r="J14" i="4"/>
  <c r="I14" i="4"/>
  <c r="I20" i="4" l="1"/>
  <c r="L16" i="4" l="1"/>
  <c r="O16" i="4" l="1"/>
  <c r="P16" i="4" s="1"/>
  <c r="R16" i="4" s="1"/>
  <c r="S16" i="4" s="1"/>
  <c r="M16" i="4"/>
  <c r="F16" i="10" l="1"/>
  <c r="T16" i="4"/>
  <c r="U16" i="4" s="1"/>
  <c r="W16" i="4" s="1"/>
  <c r="G16" i="10" l="1"/>
  <c r="H16" i="10"/>
  <c r="J16" i="10" s="1"/>
  <c r="L13" i="4"/>
  <c r="L15" i="4"/>
  <c r="L12" i="4"/>
  <c r="L18" i="4"/>
  <c r="L10" i="4"/>
  <c r="L11" i="4"/>
  <c r="L17" i="4"/>
  <c r="O12" i="4" l="1"/>
  <c r="P12" i="4" s="1"/>
  <c r="R12" i="4" s="1"/>
  <c r="S12" i="4" s="1"/>
  <c r="M12" i="4"/>
  <c r="M10" i="4"/>
  <c r="O10" i="4"/>
  <c r="P10" i="4" s="1"/>
  <c r="S10" i="4" s="1"/>
  <c r="O15" i="4"/>
  <c r="P15" i="4" s="1"/>
  <c r="R15" i="4" s="1"/>
  <c r="S15" i="4" s="1"/>
  <c r="M15" i="4"/>
  <c r="O17" i="4"/>
  <c r="P17" i="4" s="1"/>
  <c r="R17" i="4" s="1"/>
  <c r="S17" i="4" s="1"/>
  <c r="M17" i="4"/>
  <c r="M18" i="4"/>
  <c r="O18" i="4"/>
  <c r="P18" i="4" s="1"/>
  <c r="S18" i="4" s="1"/>
  <c r="O13" i="4"/>
  <c r="P13" i="4" s="1"/>
  <c r="R13" i="4" s="1"/>
  <c r="S13" i="4" s="1"/>
  <c r="M13" i="4"/>
  <c r="M11" i="4"/>
  <c r="O11" i="4"/>
  <c r="P11" i="4" s="1"/>
  <c r="R11" i="4" s="1"/>
  <c r="S11" i="4" s="1"/>
  <c r="L14" i="4"/>
  <c r="L20" i="4" s="1"/>
  <c r="F13" i="10" l="1"/>
  <c r="T13" i="4"/>
  <c r="U13" i="4" s="1"/>
  <c r="W13" i="4" s="1"/>
  <c r="F15" i="10"/>
  <c r="T15" i="4"/>
  <c r="U15" i="4" s="1"/>
  <c r="W15" i="4" s="1"/>
  <c r="F18" i="10"/>
  <c r="T18" i="4"/>
  <c r="U18" i="4" s="1"/>
  <c r="T10" i="4"/>
  <c r="F10" i="10"/>
  <c r="F17" i="10"/>
  <c r="T17" i="4"/>
  <c r="U17" i="4" s="1"/>
  <c r="V17" i="4" s="1"/>
  <c r="M14" i="4"/>
  <c r="M20" i="4" s="1"/>
  <c r="O14" i="4"/>
  <c r="P14" i="4" s="1"/>
  <c r="R14" i="4" s="1"/>
  <c r="S14" i="4" s="1"/>
  <c r="F11" i="10"/>
  <c r="T11" i="4"/>
  <c r="U11" i="4" s="1"/>
  <c r="V11" i="4" s="1"/>
  <c r="F12" i="10"/>
  <c r="T12" i="4"/>
  <c r="U12" i="4" s="1"/>
  <c r="W12" i="4" s="1"/>
  <c r="G17" i="10" l="1"/>
  <c r="H10" i="10"/>
  <c r="J10" i="10"/>
  <c r="G12" i="10"/>
  <c r="H12" i="10"/>
  <c r="J12" i="10" s="1"/>
  <c r="G11" i="10"/>
  <c r="H11" i="10" s="1"/>
  <c r="J11" i="10" s="1"/>
  <c r="G13" i="10"/>
  <c r="H13" i="10" s="1"/>
  <c r="H17" i="10"/>
  <c r="U10" i="4"/>
  <c r="H18" i="10"/>
  <c r="J18" i="10" s="1"/>
  <c r="G15" i="10"/>
  <c r="H15" i="10" s="1"/>
  <c r="F14" i="10"/>
  <c r="T14" i="4"/>
  <c r="U14" i="4" s="1"/>
  <c r="W14" i="4" s="1"/>
  <c r="J13" i="10" l="1"/>
  <c r="J15" i="10"/>
  <c r="G14" i="10"/>
  <c r="G20" i="10" s="1"/>
  <c r="U20" i="4"/>
  <c r="F20" i="10"/>
  <c r="T20" i="4"/>
  <c r="J17" i="10"/>
  <c r="H14" i="10" l="1"/>
  <c r="J14" i="10" s="1"/>
  <c r="H20" i="10"/>
  <c r="I23" i="10" s="1"/>
  <c r="I25" i="10" l="1"/>
  <c r="I16" i="10" l="1"/>
  <c r="K16" i="10" s="1"/>
  <c r="L16" i="10" s="1"/>
  <c r="N16" i="10" s="1"/>
  <c r="O16" i="10" s="1"/>
  <c r="I13" i="10"/>
  <c r="K13" i="10" s="1"/>
  <c r="L13" i="10" s="1"/>
  <c r="N13" i="10" s="1"/>
  <c r="O13" i="10" s="1"/>
  <c r="I17" i="10"/>
  <c r="K17" i="10" s="1"/>
  <c r="L17" i="10" s="1"/>
  <c r="N17" i="10" s="1"/>
  <c r="O17" i="10" s="1"/>
  <c r="I15" i="10"/>
  <c r="K15" i="10" s="1"/>
  <c r="L15" i="10" s="1"/>
  <c r="N15" i="10" s="1"/>
  <c r="O15" i="10" s="1"/>
  <c r="I10" i="10"/>
  <c r="I11" i="10"/>
  <c r="K11" i="10" s="1"/>
  <c r="L11" i="10" s="1"/>
  <c r="N11" i="10" s="1"/>
  <c r="O11" i="10" s="1"/>
  <c r="I12" i="10"/>
  <c r="K12" i="10" s="1"/>
  <c r="L12" i="10" s="1"/>
  <c r="N12" i="10" s="1"/>
  <c r="O12" i="10" s="1"/>
  <c r="I18" i="10"/>
  <c r="K18" i="10" s="1"/>
  <c r="L18" i="10" s="1"/>
  <c r="O18" i="10" s="1"/>
  <c r="I14" i="10"/>
  <c r="K14" i="10" s="1"/>
  <c r="L14" i="10" s="1"/>
  <c r="N14" i="10" s="1"/>
  <c r="O14" i="10" s="1"/>
  <c r="P14" i="10" l="1"/>
  <c r="Q14" i="10" s="1"/>
  <c r="S14" i="10" s="1"/>
  <c r="F14" i="11"/>
  <c r="P18" i="10"/>
  <c r="Q18" i="10" s="1"/>
  <c r="F18" i="11"/>
  <c r="H18" i="11" s="1"/>
  <c r="P12" i="10"/>
  <c r="Q12" i="10" s="1"/>
  <c r="S12" i="10" s="1"/>
  <c r="G12" i="11" s="1"/>
  <c r="F12" i="11"/>
  <c r="F11" i="11"/>
  <c r="P11" i="10"/>
  <c r="Q11" i="10" s="1"/>
  <c r="R11" i="10" s="1"/>
  <c r="K10" i="10"/>
  <c r="L10" i="10" s="1"/>
  <c r="O10" i="10" s="1"/>
  <c r="I20" i="10"/>
  <c r="P15" i="10"/>
  <c r="Q15" i="10" s="1"/>
  <c r="S15" i="10" s="1"/>
  <c r="F15" i="11"/>
  <c r="P17" i="10"/>
  <c r="Q17" i="10" s="1"/>
  <c r="R17" i="10" s="1"/>
  <c r="F17" i="11"/>
  <c r="F13" i="11"/>
  <c r="P13" i="10"/>
  <c r="Q13" i="10" s="1"/>
  <c r="S13" i="10" s="1"/>
  <c r="F16" i="11"/>
  <c r="P16" i="10"/>
  <c r="Q16" i="10" s="1"/>
  <c r="S16" i="10" s="1"/>
  <c r="H12" i="11" l="1"/>
  <c r="G11" i="11"/>
  <c r="H11" i="11" s="1"/>
  <c r="G16" i="11"/>
  <c r="H16" i="11" s="1"/>
  <c r="F10" i="11"/>
  <c r="P10" i="10"/>
  <c r="J12" i="11"/>
  <c r="G13" i="11"/>
  <c r="H13" i="11" s="1"/>
  <c r="J18" i="11"/>
  <c r="G17" i="11"/>
  <c r="H17" i="11" s="1"/>
  <c r="G14" i="11"/>
  <c r="H14" i="11" s="1"/>
  <c r="G15" i="11"/>
  <c r="H15" i="11" s="1"/>
  <c r="J17" i="11" l="1"/>
  <c r="J15" i="11"/>
  <c r="P20" i="10"/>
  <c r="Q10" i="10"/>
  <c r="Q20" i="10" s="1"/>
  <c r="H10" i="11"/>
  <c r="H20" i="11" s="1"/>
  <c r="I23" i="11" s="1"/>
  <c r="I25" i="11" s="1"/>
  <c r="I14" i="11" s="1"/>
  <c r="F20" i="11"/>
  <c r="J14" i="11"/>
  <c r="J11" i="11"/>
  <c r="J16" i="11"/>
  <c r="G20" i="11"/>
  <c r="J13" i="11"/>
  <c r="K14" i="11" l="1"/>
  <c r="L14" i="11" s="1"/>
  <c r="N14" i="11" s="1"/>
  <c r="O14" i="11" s="1"/>
  <c r="F14" i="12" s="1"/>
  <c r="J10" i="11"/>
  <c r="P14" i="11"/>
  <c r="Q14" i="11" s="1"/>
  <c r="S14" i="11" s="1"/>
  <c r="I10" i="11"/>
  <c r="I18" i="11"/>
  <c r="K18" i="11" s="1"/>
  <c r="L18" i="11" s="1"/>
  <c r="O18" i="11" s="1"/>
  <c r="I12" i="11"/>
  <c r="I16" i="11"/>
  <c r="K16" i="11" s="1"/>
  <c r="L16" i="11" s="1"/>
  <c r="N16" i="11" s="1"/>
  <c r="O16" i="11" s="1"/>
  <c r="I15" i="11"/>
  <c r="K15" i="11" s="1"/>
  <c r="L15" i="11" s="1"/>
  <c r="N15" i="11" s="1"/>
  <c r="O15" i="11" s="1"/>
  <c r="I13" i="11"/>
  <c r="K13" i="11" s="1"/>
  <c r="L13" i="11" s="1"/>
  <c r="N13" i="11" s="1"/>
  <c r="O13" i="11" s="1"/>
  <c r="I11" i="11"/>
  <c r="K11" i="11" s="1"/>
  <c r="L11" i="11" s="1"/>
  <c r="N11" i="11" s="1"/>
  <c r="O11" i="11" s="1"/>
  <c r="I17" i="11"/>
  <c r="K17" i="11" s="1"/>
  <c r="L17" i="11" s="1"/>
  <c r="N17" i="11" s="1"/>
  <c r="O17" i="11" s="1"/>
  <c r="P13" i="11" l="1"/>
  <c r="Q13" i="11" s="1"/>
  <c r="S13" i="11" s="1"/>
  <c r="F13" i="12"/>
  <c r="F15" i="12"/>
  <c r="P15" i="11"/>
  <c r="Q15" i="11" s="1"/>
  <c r="S15" i="11" s="1"/>
  <c r="P16" i="11"/>
  <c r="Q16" i="11" s="1"/>
  <c r="S16" i="11" s="1"/>
  <c r="F16" i="12"/>
  <c r="K12" i="11"/>
  <c r="L12" i="11" s="1"/>
  <c r="N12" i="11" s="1"/>
  <c r="O12" i="11" s="1"/>
  <c r="P18" i="11"/>
  <c r="Q18" i="11" s="1"/>
  <c r="F18" i="12"/>
  <c r="H18" i="12" s="1"/>
  <c r="K10" i="11"/>
  <c r="L10" i="11" s="1"/>
  <c r="O10" i="11" s="1"/>
  <c r="I20" i="11"/>
  <c r="F17" i="12"/>
  <c r="P17" i="11"/>
  <c r="Q17" i="11" s="1"/>
  <c r="R17" i="11" s="1"/>
  <c r="G14" i="12"/>
  <c r="H14" i="12" s="1"/>
  <c r="P11" i="11"/>
  <c r="Q11" i="11" s="1"/>
  <c r="R11" i="11" s="1"/>
  <c r="F11" i="12"/>
  <c r="J14" i="12" l="1"/>
  <c r="P10" i="11"/>
  <c r="F10" i="12"/>
  <c r="J18" i="12"/>
  <c r="P12" i="11"/>
  <c r="Q12" i="11" s="1"/>
  <c r="S12" i="11" s="1"/>
  <c r="F12" i="12"/>
  <c r="G11" i="12"/>
  <c r="H11" i="12" s="1"/>
  <c r="J11" i="12" s="1"/>
  <c r="G16" i="12"/>
  <c r="H16" i="12" s="1"/>
  <c r="G15" i="12"/>
  <c r="H15" i="12" s="1"/>
  <c r="J15" i="12" s="1"/>
  <c r="G17" i="12"/>
  <c r="H17" i="12" s="1"/>
  <c r="J17" i="12" s="1"/>
  <c r="G13" i="12"/>
  <c r="H13" i="12" s="1"/>
  <c r="J13" i="12" l="1"/>
  <c r="J16" i="12"/>
  <c r="F20" i="12"/>
  <c r="H10" i="12"/>
  <c r="P20" i="11"/>
  <c r="Q10" i="11"/>
  <c r="Q20" i="11" s="1"/>
  <c r="G12" i="12"/>
  <c r="G20" i="12" s="1"/>
  <c r="H12" i="12" l="1"/>
  <c r="H20" i="12" s="1"/>
  <c r="I23" i="12" s="1"/>
  <c r="I25" i="12" s="1"/>
  <c r="J10" i="12"/>
  <c r="I10" i="12" l="1"/>
  <c r="I14" i="12"/>
  <c r="K14" i="12" s="1"/>
  <c r="L14" i="12" s="1"/>
  <c r="N14" i="12" s="1"/>
  <c r="O14" i="12" s="1"/>
  <c r="I18" i="12"/>
  <c r="K18" i="12" s="1"/>
  <c r="L18" i="12" s="1"/>
  <c r="O18" i="12" s="1"/>
  <c r="I13" i="12"/>
  <c r="K13" i="12" s="1"/>
  <c r="L13" i="12" s="1"/>
  <c r="N13" i="12" s="1"/>
  <c r="O13" i="12" s="1"/>
  <c r="I16" i="12"/>
  <c r="K16" i="12" s="1"/>
  <c r="L16" i="12" s="1"/>
  <c r="N16" i="12" s="1"/>
  <c r="O16" i="12" s="1"/>
  <c r="I17" i="12"/>
  <c r="K17" i="12" s="1"/>
  <c r="L17" i="12" s="1"/>
  <c r="N17" i="12" s="1"/>
  <c r="O17" i="12" s="1"/>
  <c r="I11" i="12"/>
  <c r="K11" i="12" s="1"/>
  <c r="L11" i="12" s="1"/>
  <c r="N11" i="12" s="1"/>
  <c r="O11" i="12" s="1"/>
  <c r="I15" i="12"/>
  <c r="K15" i="12" s="1"/>
  <c r="L15" i="12" s="1"/>
  <c r="N15" i="12" s="1"/>
  <c r="O15" i="12" s="1"/>
  <c r="J12" i="12"/>
  <c r="I12" i="12"/>
  <c r="K12" i="12" l="1"/>
  <c r="L12" i="12" s="1"/>
  <c r="N12" i="12" s="1"/>
  <c r="O12" i="12" s="1"/>
  <c r="F12" i="13" s="1"/>
  <c r="F14" i="13"/>
  <c r="P14" i="12"/>
  <c r="Q14" i="12" s="1"/>
  <c r="S14" i="12" s="1"/>
  <c r="K10" i="12"/>
  <c r="L10" i="12" s="1"/>
  <c r="O10" i="12" s="1"/>
  <c r="I20" i="12"/>
  <c r="F15" i="13"/>
  <c r="P15" i="12"/>
  <c r="Q15" i="12" s="1"/>
  <c r="S15" i="12" s="1"/>
  <c r="P11" i="12"/>
  <c r="Q11" i="12" s="1"/>
  <c r="R11" i="12" s="1"/>
  <c r="F11" i="13"/>
  <c r="F17" i="13"/>
  <c r="P17" i="12"/>
  <c r="Q17" i="12" s="1"/>
  <c r="R17" i="12" s="1"/>
  <c r="F16" i="13"/>
  <c r="P16" i="12"/>
  <c r="Q16" i="12" s="1"/>
  <c r="S16" i="12" s="1"/>
  <c r="F13" i="13"/>
  <c r="P13" i="12"/>
  <c r="Q13" i="12" s="1"/>
  <c r="S13" i="12" s="1"/>
  <c r="P18" i="12"/>
  <c r="Q18" i="12" s="1"/>
  <c r="F18" i="13"/>
  <c r="H18" i="13" s="1"/>
  <c r="P12" i="12" l="1"/>
  <c r="Q12" i="12" s="1"/>
  <c r="S12" i="12" s="1"/>
  <c r="J18" i="13"/>
  <c r="G11" i="13"/>
  <c r="G13" i="13"/>
  <c r="H13" i="13" s="1"/>
  <c r="G12" i="13"/>
  <c r="H12" i="13" s="1"/>
  <c r="J12" i="13" s="1"/>
  <c r="G16" i="13"/>
  <c r="H16" i="13" s="1"/>
  <c r="J16" i="13" s="1"/>
  <c r="G15" i="13"/>
  <c r="H15" i="13" s="1"/>
  <c r="F10" i="13"/>
  <c r="P10" i="12"/>
  <c r="G17" i="13"/>
  <c r="H17" i="13" s="1"/>
  <c r="G14" i="13"/>
  <c r="H14" i="13" s="1"/>
  <c r="J14" i="13" s="1"/>
  <c r="J13" i="13" l="1"/>
  <c r="J17" i="13"/>
  <c r="P20" i="12"/>
  <c r="Q10" i="12"/>
  <c r="Q20" i="12" s="1"/>
  <c r="F20" i="13"/>
  <c r="H10" i="13"/>
  <c r="J10" i="13" s="1"/>
  <c r="J15" i="13"/>
  <c r="G20" i="13"/>
  <c r="H11" i="13"/>
  <c r="J11" i="13" l="1"/>
  <c r="H20" i="13"/>
  <c r="I23" i="13" s="1"/>
  <c r="I25" i="13" s="1"/>
  <c r="I11" i="13" s="1"/>
  <c r="I10" i="13" l="1"/>
  <c r="K10" i="13" s="1"/>
  <c r="L10" i="13" s="1"/>
  <c r="O10" i="13" s="1"/>
  <c r="K11" i="13"/>
  <c r="L11" i="13" s="1"/>
  <c r="N11" i="13" s="1"/>
  <c r="O11" i="13" s="1"/>
  <c r="I18" i="13"/>
  <c r="K18" i="13" s="1"/>
  <c r="L18" i="13" s="1"/>
  <c r="O18" i="13" s="1"/>
  <c r="I13" i="13"/>
  <c r="K13" i="13" s="1"/>
  <c r="L13" i="13" s="1"/>
  <c r="N13" i="13" s="1"/>
  <c r="O13" i="13" s="1"/>
  <c r="I16" i="13"/>
  <c r="K16" i="13" s="1"/>
  <c r="L16" i="13" s="1"/>
  <c r="N16" i="13" s="1"/>
  <c r="O16" i="13" s="1"/>
  <c r="I17" i="13"/>
  <c r="K17" i="13" s="1"/>
  <c r="L17" i="13" s="1"/>
  <c r="N17" i="13" s="1"/>
  <c r="O17" i="13" s="1"/>
  <c r="I14" i="13"/>
  <c r="K14" i="13" s="1"/>
  <c r="L14" i="13" s="1"/>
  <c r="N14" i="13" s="1"/>
  <c r="O14" i="13" s="1"/>
  <c r="I15" i="13"/>
  <c r="K15" i="13" s="1"/>
  <c r="L15" i="13" s="1"/>
  <c r="N15" i="13" s="1"/>
  <c r="O15" i="13" s="1"/>
  <c r="I12" i="13"/>
  <c r="K12" i="13" s="1"/>
  <c r="L12" i="13" s="1"/>
  <c r="N12" i="13" s="1"/>
  <c r="O12" i="13" s="1"/>
  <c r="I20" i="13" l="1"/>
  <c r="P10" i="13"/>
  <c r="P12" i="13"/>
  <c r="Q12" i="13" s="1"/>
  <c r="S12" i="13" s="1"/>
  <c r="P15" i="13"/>
  <c r="Q15" i="13" s="1"/>
  <c r="S15" i="13" s="1"/>
  <c r="P14" i="13"/>
  <c r="Q14" i="13" s="1"/>
  <c r="S14" i="13" s="1"/>
  <c r="P17" i="13"/>
  <c r="Q17" i="13" s="1"/>
  <c r="R17" i="13" s="1"/>
  <c r="P16" i="13"/>
  <c r="Q16" i="13" s="1"/>
  <c r="S16" i="13" s="1"/>
  <c r="P13" i="13"/>
  <c r="Q13" i="13" s="1"/>
  <c r="S13" i="13" s="1"/>
  <c r="P18" i="13"/>
  <c r="Q18" i="13" s="1"/>
  <c r="P11" i="13"/>
  <c r="Q11" i="13" s="1"/>
  <c r="R11" i="13" s="1"/>
  <c r="P20" i="13" l="1"/>
  <c r="Q10" i="13"/>
  <c r="Q20" i="13" s="1"/>
</calcChain>
</file>

<file path=xl/sharedStrings.xml><?xml version="1.0" encoding="utf-8"?>
<sst xmlns="http://schemas.openxmlformats.org/spreadsheetml/2006/main" count="245" uniqueCount="118">
  <si>
    <t>Number of Customers</t>
  </si>
  <si>
    <t>kWs</t>
  </si>
  <si>
    <t>Revenue from Rates</t>
  </si>
  <si>
    <t>R/C Ratio from the CAM</t>
  </si>
  <si>
    <t>Total Revenue to be Collected from Rates</t>
  </si>
  <si>
    <t>Shifted Revenue</t>
  </si>
  <si>
    <t>Is Current Fixed Charge higher than CAM Ceiling?</t>
  </si>
  <si>
    <t>Revenue from Fixed Charge ($)</t>
  </si>
  <si>
    <t>Revenue from Volumetric Charge ($)</t>
  </si>
  <si>
    <t>(A)</t>
  </si>
  <si>
    <t>(B)</t>
  </si>
  <si>
    <t>(C)</t>
  </si>
  <si>
    <t>(D=A-C)</t>
  </si>
  <si>
    <t>(E=A/B)</t>
  </si>
  <si>
    <t>(F)</t>
  </si>
  <si>
    <t>(I)</t>
  </si>
  <si>
    <t>(L)</t>
  </si>
  <si>
    <t>TOTAL</t>
  </si>
  <si>
    <t>(E)</t>
  </si>
  <si>
    <t>Current (2026) F/V Split for Non-Residential Classes</t>
  </si>
  <si>
    <t>2027 Revenue from Fixed Charge using Current F/V Split</t>
  </si>
  <si>
    <t>Residential</t>
  </si>
  <si>
    <t>GS &lt;50</t>
  </si>
  <si>
    <t>GS 50 - 2,999 kW</t>
  </si>
  <si>
    <t>GS 3,000 - 4,999 kW</t>
  </si>
  <si>
    <t>Large Use &gt;5MW</t>
  </si>
  <si>
    <t>Street Light</t>
  </si>
  <si>
    <t>Sentinel</t>
  </si>
  <si>
    <t>Unmetered Scattered Load</t>
  </si>
  <si>
    <t>Seasonal Residential</t>
  </si>
  <si>
    <t>kWh</t>
  </si>
  <si>
    <t>Fixed Charge Ceiling  ($/month)</t>
  </si>
  <si>
    <t>2027 Fixed Charge Using Current F/V Split ($/month)</t>
  </si>
  <si>
    <t>Target 2027 R/C Ratio</t>
  </si>
  <si>
    <t>Revenue from 2027 CAM</t>
  </si>
  <si>
    <t>Allocated Cost from 2027 CAM</t>
  </si>
  <si>
    <t>2027 Misc Revenue</t>
  </si>
  <si>
    <t>(K=J / Number of Customers / 12)</t>
  </si>
  <si>
    <t xml:space="preserve"> (M) If I &gt; J then "Yes" else "No"</t>
  </si>
  <si>
    <t>Transformer Ownership Allowance kW</t>
  </si>
  <si>
    <t>2027 Rate Design</t>
  </si>
  <si>
    <t>(N) If M="Yes" then fixed charge = L, else fixed charge = K</t>
  </si>
  <si>
    <t>(O = N x 12 x Number of Customers)</t>
  </si>
  <si>
    <t>(Q=P/kWh)</t>
  </si>
  <si>
    <t>(G=BxF-C)</t>
  </si>
  <si>
    <t>(H=G-A+C)</t>
  </si>
  <si>
    <t>2028 Rate Design</t>
  </si>
  <si>
    <t>Fixed Revenue at 2027 Rates</t>
  </si>
  <si>
    <t>Variable Revenue at 2027 Rates</t>
  </si>
  <si>
    <t>(J=G x I)</t>
  </si>
  <si>
    <t>(P=G-O)</t>
  </si>
  <si>
    <t>Fixed Revenue at 2028 Rates</t>
  </si>
  <si>
    <t>Variable Revenue at 2028 Rates</t>
  </si>
  <si>
    <t>Fixed Revenue at 2029 Rates</t>
  </si>
  <si>
    <t>Variable Revenue at 2029 Rates</t>
  </si>
  <si>
    <t>Fixed Revenue at 2030 Rates</t>
  </si>
  <si>
    <t>Variable Revenue at 2030 Rates</t>
  </si>
  <si>
    <t>Current (2030) F/V Split for Non-Residential Classes</t>
  </si>
  <si>
    <t>2031 Revenue from Fixed Charge using Current F/V Split</t>
  </si>
  <si>
    <t>2031 Fixed Charge Using Current F/V Split ($/month)</t>
  </si>
  <si>
    <t>Current (2029) F/V Split for Non-Residential Classes</t>
  </si>
  <si>
    <t>2030 Revenue from Fixed Charge using Current F/V Split</t>
  </si>
  <si>
    <t>2030 Fixed Charge Using Current F/V Split ($/month)</t>
  </si>
  <si>
    <t>2029 Rate Design</t>
  </si>
  <si>
    <t>Current (2028) F/V Split for Non-Residential Classes</t>
  </si>
  <si>
    <t>2029 Revenue from Fixed Charge using Current F/V Split</t>
  </si>
  <si>
    <t>2029 Fixed Charge Using Current F/V Split ($/month)</t>
  </si>
  <si>
    <t>Derivation of 2029 Fixed Charge</t>
  </si>
  <si>
    <t>Derivation of 2027 Fixed Charge</t>
  </si>
  <si>
    <t>Derivation of 2028 Fixed Charge</t>
  </si>
  <si>
    <t>Derivation of 2030 Fixed Charge</t>
  </si>
  <si>
    <t>Derivation of 2031 Fixed Charge</t>
  </si>
  <si>
    <t>2031 Rate Design</t>
  </si>
  <si>
    <t>2030 Rate Design</t>
  </si>
  <si>
    <t>2028 Revenue at 2027 Rates</t>
  </si>
  <si>
    <t>2028 Revenue Requirement</t>
  </si>
  <si>
    <t>Deficiency Factor</t>
  </si>
  <si>
    <t>2031 Revenue at 2030 Rates</t>
  </si>
  <si>
    <t>2031 Revenue Requirement</t>
  </si>
  <si>
    <t>2030 Revenue at 2029 Rates</t>
  </si>
  <si>
    <t>2030 Revenue Requirement</t>
  </si>
  <si>
    <t>2029 Revenue at 2028 Rates</t>
  </si>
  <si>
    <t>2029 Revenue Requirement</t>
  </si>
  <si>
    <t>Volumetric Charge ($/kWh)</t>
  </si>
  <si>
    <t>Volumetric Charge ($/kW)</t>
  </si>
  <si>
    <t>2030 Fixed Charge</t>
  </si>
  <si>
    <t>2028  Fixed Charge</t>
  </si>
  <si>
    <t xml:space="preserve"> Volumetric Charge ($/kWh)</t>
  </si>
  <si>
    <t xml:space="preserve"> Volumetric Charge ($/kW)</t>
  </si>
  <si>
    <t>2031  Fixed Charge</t>
  </si>
  <si>
    <t>2029  Fixed Charge</t>
  </si>
  <si>
    <t>Total Revenue at Status Quo 2030 Rates</t>
  </si>
  <si>
    <t>Total Revenue at Status Quo 2029 Rates</t>
  </si>
  <si>
    <t>Total Revenue at Status Quo 2028 Rates</t>
  </si>
  <si>
    <t>Total Revenue at Status Quo 2027 Rates</t>
  </si>
  <si>
    <t>Allocated 2028 Revenue Requirement</t>
  </si>
  <si>
    <t>Allocated 2029 Revenue Requirement</t>
  </si>
  <si>
    <t>Allocated 2030 Revenue Requirement</t>
  </si>
  <si>
    <t>Allocated 2031 Revenue Requirement</t>
  </si>
  <si>
    <t>Current (2027) F/V Split for Non-Residential Classes</t>
  </si>
  <si>
    <t>2027 Fixed Charge</t>
  </si>
  <si>
    <t>Derivation of 2027 Volumetric Charge</t>
  </si>
  <si>
    <t>(R=[P+TOA*0.60]
/kW)</t>
  </si>
  <si>
    <t>(C=A+B)</t>
  </si>
  <si>
    <t>(F=D x E)</t>
  </si>
  <si>
    <t>(D=C X Def. Factor)</t>
  </si>
  <si>
    <t>(G=F / Number of Customers / 12)</t>
  </si>
  <si>
    <t>(H)</t>
  </si>
  <si>
    <t xml:space="preserve"> (I) If H &gt; L then "Yes" else "No"</t>
  </si>
  <si>
    <t>(J) If I="Yes" then fixed charge = H, else fixed charge = G</t>
  </si>
  <si>
    <t>(K = O x 12 x Number of Customers)</t>
  </si>
  <si>
    <t>(L=D-K)</t>
  </si>
  <si>
    <t>(M=Q/kWh)</t>
  </si>
  <si>
    <t>(N=[Q + TOA X 0.60] /kW)</t>
  </si>
  <si>
    <t>Derivation of 2028 Volumetric Charge</t>
  </si>
  <si>
    <t>Derivation of 2029 Volumetric Charge</t>
  </si>
  <si>
    <t>Derivation of 2030 Volumetric Charge</t>
  </si>
  <si>
    <t>Derivation of 2031 Volumetric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</si>
</sst>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0.0000"/>
    <numFmt numFmtId="169" formatCode="0.0%"/>
    <numFmt numFmtId="170" formatCode="_(&quot;$&quot;* #,##0.0000_);_(&quot;$&quot;* \(#,##0.0000\);_(&quot;$&quot;* &quot;-&quot;??_);_(@_)"/>
    <numFmt numFmtId="172" formatCode="_(* #,##0.0_);_(* \(#,##0.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165" fontId="0" fillId="0" borderId="0" xfId="0" applyNumberFormat="1"/>
    <xf numFmtId="9" fontId="0" fillId="0" borderId="0" xfId="3" applyFont="1" applyBorder="1"/>
    <xf numFmtId="168" fontId="0" fillId="0" borderId="0" xfId="0" applyNumberFormat="1"/>
    <xf numFmtId="0" fontId="0" fillId="2" borderId="1" xfId="0" applyFill="1" applyBorder="1"/>
    <xf numFmtId="166" fontId="5" fillId="2" borderId="1" xfId="1" applyNumberFormat="1" applyFont="1" applyFill="1" applyBorder="1"/>
    <xf numFmtId="167" fontId="2" fillId="2" borderId="1" xfId="2" applyNumberFormat="1" applyFill="1" applyBorder="1"/>
    <xf numFmtId="167" fontId="0" fillId="2" borderId="1" xfId="0" applyNumberFormat="1" applyFill="1" applyBorder="1"/>
    <xf numFmtId="169" fontId="0" fillId="2" borderId="1" xfId="3" applyNumberFormat="1" applyFont="1" applyFill="1" applyBorder="1" applyAlignment="1">
      <alignment horizontal="center"/>
    </xf>
    <xf numFmtId="3" fontId="0" fillId="2" borderId="0" xfId="0" applyNumberForma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2" xfId="0" applyFill="1" applyBorder="1"/>
    <xf numFmtId="0" fontId="5" fillId="2" borderId="2" xfId="0" applyFont="1" applyFill="1" applyBorder="1"/>
    <xf numFmtId="166" fontId="2" fillId="2" borderId="2" xfId="1" applyNumberFormat="1" applyFill="1" applyBorder="1"/>
    <xf numFmtId="166" fontId="7" fillId="2" borderId="0" xfId="0" applyNumberFormat="1" applyFont="1" applyFill="1"/>
    <xf numFmtId="168" fontId="0" fillId="2" borderId="2" xfId="0" applyNumberFormat="1" applyFill="1" applyBorder="1" applyAlignment="1">
      <alignment horizontal="center"/>
    </xf>
    <xf numFmtId="165" fontId="4" fillId="2" borderId="0" xfId="0" applyNumberFormat="1" applyFont="1" applyFill="1"/>
    <xf numFmtId="164" fontId="0" fillId="2" borderId="0" xfId="0" applyNumberFormat="1" applyFill="1"/>
    <xf numFmtId="165" fontId="0" fillId="2" borderId="0" xfId="0" applyNumberFormat="1" applyFill="1"/>
    <xf numFmtId="166" fontId="0" fillId="2" borderId="0" xfId="0" applyNumberFormat="1" applyFill="1"/>
    <xf numFmtId="168" fontId="0" fillId="2" borderId="0" xfId="0" applyNumberFormat="1" applyFill="1"/>
    <xf numFmtId="0" fontId="0" fillId="2" borderId="0" xfId="0" applyFill="1" applyAlignment="1">
      <alignment wrapText="1"/>
    </xf>
    <xf numFmtId="3" fontId="4" fillId="2" borderId="0" xfId="0" applyNumberFormat="1" applyFont="1" applyFill="1" applyAlignment="1">
      <alignment horizontal="center" wrapText="1"/>
    </xf>
    <xf numFmtId="169" fontId="0" fillId="2" borderId="0" xfId="3" applyNumberFormat="1" applyFont="1" applyFill="1" applyBorder="1"/>
    <xf numFmtId="9" fontId="0" fillId="2" borderId="0" xfId="3" applyFont="1" applyFill="1" applyBorder="1"/>
    <xf numFmtId="167" fontId="2" fillId="2" borderId="1" xfId="2" applyNumberFormat="1" applyFont="1" applyFill="1" applyBorder="1"/>
    <xf numFmtId="170" fontId="2" fillId="2" borderId="1" xfId="2" applyNumberFormat="1" applyFont="1" applyFill="1" applyBorder="1"/>
    <xf numFmtId="167" fontId="0" fillId="2" borderId="1" xfId="2" applyNumberFormat="1" applyFont="1" applyFill="1" applyBorder="1"/>
    <xf numFmtId="167" fontId="0" fillId="2" borderId="0" xfId="0" applyNumberFormat="1" applyFill="1"/>
    <xf numFmtId="167" fontId="0" fillId="2" borderId="2" xfId="2" applyNumberFormat="1" applyFont="1" applyFill="1" applyBorder="1"/>
    <xf numFmtId="9" fontId="0" fillId="2" borderId="0" xfId="3" applyFont="1" applyFill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Continuous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7" fontId="0" fillId="2" borderId="0" xfId="2" applyNumberFormat="1" applyFont="1" applyFill="1" applyBorder="1"/>
    <xf numFmtId="167" fontId="0" fillId="2" borderId="1" xfId="2" applyNumberFormat="1" applyFont="1" applyFill="1" applyBorder="1" applyAlignment="1">
      <alignment horizontal="center"/>
    </xf>
    <xf numFmtId="167" fontId="0" fillId="2" borderId="6" xfId="2" applyNumberFormat="1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8" xfId="0" applyFill="1" applyBorder="1"/>
    <xf numFmtId="167" fontId="0" fillId="2" borderId="12" xfId="2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164" fontId="8" fillId="2" borderId="0" xfId="0" applyNumberFormat="1" applyFont="1" applyFill="1"/>
    <xf numFmtId="167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167" fontId="4" fillId="2" borderId="0" xfId="0" applyNumberFormat="1" applyFont="1" applyFill="1" applyAlignment="1">
      <alignment horizontal="center"/>
    </xf>
    <xf numFmtId="167" fontId="2" fillId="2" borderId="12" xfId="2" applyNumberFormat="1" applyFont="1" applyFill="1" applyBorder="1"/>
    <xf numFmtId="0" fontId="4" fillId="2" borderId="0" xfId="0" quotePrefix="1" applyFont="1" applyFill="1" applyAlignment="1">
      <alignment horizontal="center" wrapText="1"/>
    </xf>
    <xf numFmtId="167" fontId="0" fillId="2" borderId="12" xfId="2" applyNumberFormat="1" applyFont="1" applyFill="1" applyBorder="1"/>
    <xf numFmtId="164" fontId="0" fillId="2" borderId="1" xfId="2" applyFont="1" applyFill="1" applyBorder="1"/>
    <xf numFmtId="169" fontId="0" fillId="2" borderId="9" xfId="3" applyNumberFormat="1" applyFont="1" applyFill="1" applyBorder="1"/>
    <xf numFmtId="169" fontId="0" fillId="2" borderId="11" xfId="3" applyNumberFormat="1" applyFont="1" applyFill="1" applyBorder="1"/>
    <xf numFmtId="164" fontId="0" fillId="2" borderId="12" xfId="2" applyFont="1" applyFill="1" applyBorder="1"/>
    <xf numFmtId="164" fontId="0" fillId="2" borderId="10" xfId="2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 applyAlignment="1">
      <alignment horizontal="right"/>
    </xf>
    <xf numFmtId="167" fontId="0" fillId="2" borderId="16" xfId="2" applyNumberFormat="1" applyFont="1" applyFill="1" applyBorder="1"/>
    <xf numFmtId="0" fontId="0" fillId="2" borderId="0" xfId="0" applyFill="1" applyAlignment="1">
      <alignment horizontal="right"/>
    </xf>
    <xf numFmtId="167" fontId="0" fillId="2" borderId="8" xfId="2" applyNumberFormat="1" applyFont="1" applyFill="1" applyBorder="1"/>
    <xf numFmtId="0" fontId="0" fillId="2" borderId="17" xfId="0" applyFill="1" applyBorder="1"/>
    <xf numFmtId="0" fontId="0" fillId="2" borderId="18" xfId="0" applyFill="1" applyBorder="1" applyAlignment="1">
      <alignment horizontal="right"/>
    </xf>
    <xf numFmtId="169" fontId="0" fillId="2" borderId="19" xfId="3" applyNumberFormat="1" applyFont="1" applyFill="1" applyBorder="1"/>
    <xf numFmtId="164" fontId="0" fillId="2" borderId="13" xfId="2" applyFont="1" applyFill="1" applyBorder="1" applyAlignment="1">
      <alignment horizontal="center"/>
    </xf>
    <xf numFmtId="166" fontId="5" fillId="2" borderId="6" xfId="1" applyNumberFormat="1" applyFont="1" applyFill="1" applyBorder="1"/>
    <xf numFmtId="10" fontId="5" fillId="2" borderId="9" xfId="3" applyNumberFormat="1" applyFont="1" applyFill="1" applyBorder="1"/>
    <xf numFmtId="10" fontId="5" fillId="2" borderId="11" xfId="3" applyNumberFormat="1" applyFont="1" applyFill="1" applyBorder="1"/>
    <xf numFmtId="169" fontId="4" fillId="2" borderId="0" xfId="3" applyNumberFormat="1" applyFont="1" applyFill="1" applyBorder="1" applyAlignment="1">
      <alignment horizontal="center"/>
    </xf>
    <xf numFmtId="167" fontId="7" fillId="2" borderId="0" xfId="2" applyNumberFormat="1" applyFont="1" applyFill="1"/>
    <xf numFmtId="167" fontId="2" fillId="2" borderId="9" xfId="2" applyNumberFormat="1" applyFont="1" applyFill="1" applyBorder="1"/>
    <xf numFmtId="170" fontId="0" fillId="2" borderId="10" xfId="2" applyNumberFormat="1" applyFont="1" applyFill="1" applyBorder="1"/>
    <xf numFmtId="167" fontId="2" fillId="2" borderId="11" xfId="2" applyNumberFormat="1" applyFont="1" applyFill="1" applyBorder="1"/>
    <xf numFmtId="170" fontId="2" fillId="2" borderId="12" xfId="2" applyNumberFormat="1" applyFont="1" applyFill="1" applyBorder="1"/>
    <xf numFmtId="170" fontId="0" fillId="2" borderId="13" xfId="2" applyNumberFormat="1" applyFont="1" applyFill="1" applyBorder="1"/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72" fontId="5" fillId="2" borderId="1" xfId="1" applyNumberFormat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2" xfId="5" xr:uid="{00000000-0005-0000-0000-000003000000}"/>
    <cellStyle name="Percent" xfId="3" builtinId="5"/>
    <cellStyle name="Percent 2" xfId="4" xr:uid="{00000000-0005-0000-0000-000005000000}"/>
  </cellStyles>
  <dxfs count="0"/>
  <tableStyles count="0" defaultTableStyle="TableStyleMedium2" defaultPivotStyle="PivotStyleLight16"/>
  <colors>
    <mruColors>
      <color rgb="FFCCFFCC"/>
      <color rgb="FFFFCCCC"/>
      <color rgb="FFFFFFFF"/>
      <color rgb="FFFFCCFF"/>
      <color rgb="FFCCFFFF"/>
      <color rgb="FFCC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F46"/>
  <sheetViews>
    <sheetView tabSelected="1" zoomScaleNormal="100" zoomScaleSheetLayoutView="50" workbookViewId="0">
      <selection activeCell="AD21" sqref="AD21"/>
    </sheetView>
  </sheetViews>
  <sheetFormatPr defaultRowHeight="13.2" x14ac:dyDescent="0.25"/>
  <cols>
    <col min="1" max="1" width="20" customWidth="1"/>
    <col min="2" max="2" width="14" customWidth="1"/>
    <col min="3" max="3" width="16.88671875" customWidth="1"/>
    <col min="4" max="4" width="14.44140625" bestFit="1" customWidth="1"/>
    <col min="5" max="5" width="14.44140625" customWidth="1"/>
    <col min="6" max="6" width="19.88671875" customWidth="1"/>
    <col min="7" max="7" width="16.109375" bestFit="1" customWidth="1"/>
    <col min="8" max="8" width="17.44140625" customWidth="1"/>
    <col min="9" max="9" width="18.88671875" customWidth="1"/>
    <col min="10" max="10" width="15.44140625" bestFit="1" customWidth="1"/>
    <col min="11" max="11" width="14.44140625" bestFit="1" customWidth="1"/>
    <col min="12" max="12" width="17.44140625" customWidth="1"/>
    <col min="13" max="13" width="13.5546875" bestFit="1" customWidth="1"/>
    <col min="14" max="14" width="18.109375" customWidth="1"/>
    <col min="15" max="15" width="17.44140625" customWidth="1"/>
    <col min="16" max="16" width="18.6640625" customWidth="1"/>
    <col min="17" max="17" width="17.44140625" customWidth="1"/>
    <col min="18" max="18" width="18" customWidth="1"/>
    <col min="19" max="19" width="20" customWidth="1"/>
    <col min="20" max="20" width="18.5546875" customWidth="1"/>
    <col min="21" max="21" width="18.5546875" bestFit="1" customWidth="1"/>
    <col min="22" max="22" width="13.5546875" customWidth="1"/>
    <col min="23" max="23" width="15.33203125" customWidth="1"/>
    <col min="28" max="29" width="11.21875" customWidth="1"/>
    <col min="30" max="30" width="10.109375" customWidth="1"/>
  </cols>
  <sheetData>
    <row r="1" spans="1:32" s="36" customFormat="1" x14ac:dyDescent="0.25">
      <c r="A1" s="36">
        <v>1</v>
      </c>
      <c r="B1" s="36">
        <v>2</v>
      </c>
      <c r="C1" s="36">
        <v>3</v>
      </c>
      <c r="D1" s="36">
        <v>4</v>
      </c>
      <c r="E1" s="36">
        <v>5</v>
      </c>
      <c r="F1" s="36">
        <v>6</v>
      </c>
      <c r="G1" s="36">
        <v>7</v>
      </c>
      <c r="H1" s="36">
        <v>8</v>
      </c>
      <c r="I1" s="36">
        <v>9</v>
      </c>
      <c r="J1" s="36">
        <v>10</v>
      </c>
      <c r="K1" s="36">
        <v>11</v>
      </c>
      <c r="L1" s="36">
        <v>12</v>
      </c>
      <c r="M1" s="36">
        <v>13</v>
      </c>
      <c r="N1" s="36">
        <v>14</v>
      </c>
      <c r="O1" s="36">
        <v>15</v>
      </c>
      <c r="P1" s="36">
        <v>16</v>
      </c>
      <c r="Q1" s="36">
        <v>17</v>
      </c>
      <c r="R1" s="36">
        <v>18</v>
      </c>
      <c r="S1" s="36">
        <v>19</v>
      </c>
      <c r="T1" s="36">
        <v>20</v>
      </c>
      <c r="U1" s="36">
        <v>21</v>
      </c>
      <c r="V1" s="36">
        <v>22</v>
      </c>
      <c r="W1" s="36">
        <v>23</v>
      </c>
    </row>
    <row r="2" spans="1:32" s="10" customFormat="1" x14ac:dyDescent="0.25"/>
    <row r="3" spans="1:32" s="10" customFormat="1" ht="22.8" x14ac:dyDescent="0.4">
      <c r="A3" s="11" t="s">
        <v>40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32" s="10" customFormat="1" ht="22.8" x14ac:dyDescent="0.4">
      <c r="A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32" s="10" customFormat="1" ht="23.4" thickBot="1" x14ac:dyDescent="0.45">
      <c r="A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32" s="10" customFormat="1" ht="18" thickBot="1" x14ac:dyDescent="0.35">
      <c r="F6" s="13"/>
      <c r="G6" s="37"/>
      <c r="N6" s="85" t="s">
        <v>68</v>
      </c>
      <c r="O6" s="86"/>
      <c r="P6" s="86"/>
      <c r="Q6" s="86"/>
      <c r="R6" s="86"/>
      <c r="S6" s="87"/>
      <c r="T6" s="85" t="s">
        <v>101</v>
      </c>
      <c r="U6" s="86"/>
      <c r="V6" s="86"/>
      <c r="W6" s="87"/>
    </row>
    <row r="7" spans="1:32" s="14" customFormat="1" ht="78" x14ac:dyDescent="0.25">
      <c r="B7" s="15" t="s">
        <v>0</v>
      </c>
      <c r="C7" s="14" t="s">
        <v>30</v>
      </c>
      <c r="D7" s="14" t="s">
        <v>1</v>
      </c>
      <c r="E7" s="15" t="s">
        <v>39</v>
      </c>
      <c r="F7" s="15" t="s">
        <v>34</v>
      </c>
      <c r="G7" s="39" t="s">
        <v>35</v>
      </c>
      <c r="H7" s="15" t="s">
        <v>36</v>
      </c>
      <c r="I7" s="15" t="s">
        <v>2</v>
      </c>
      <c r="J7" s="15" t="s">
        <v>3</v>
      </c>
      <c r="K7" s="15" t="s">
        <v>33</v>
      </c>
      <c r="L7" s="15" t="s">
        <v>4</v>
      </c>
      <c r="M7" s="15" t="s">
        <v>5</v>
      </c>
      <c r="N7" s="43" t="s">
        <v>19</v>
      </c>
      <c r="O7" s="15" t="s">
        <v>20</v>
      </c>
      <c r="P7" s="15" t="s">
        <v>32</v>
      </c>
      <c r="Q7" s="15" t="s">
        <v>31</v>
      </c>
      <c r="R7" s="15" t="s">
        <v>6</v>
      </c>
      <c r="S7" s="44" t="s">
        <v>100</v>
      </c>
      <c r="T7" s="43" t="s">
        <v>7</v>
      </c>
      <c r="U7" s="15" t="s">
        <v>8</v>
      </c>
      <c r="V7" s="15" t="s">
        <v>87</v>
      </c>
      <c r="W7" s="44" t="s">
        <v>88</v>
      </c>
    </row>
    <row r="8" spans="1:32" s="81" customFormat="1" ht="39.6" x14ac:dyDescent="0.25">
      <c r="F8" s="48" t="s">
        <v>9</v>
      </c>
      <c r="G8" s="48" t="s">
        <v>10</v>
      </c>
      <c r="H8" s="48" t="s">
        <v>11</v>
      </c>
      <c r="I8" s="48" t="s">
        <v>12</v>
      </c>
      <c r="J8" s="48" t="s">
        <v>13</v>
      </c>
      <c r="K8" s="48" t="s">
        <v>14</v>
      </c>
      <c r="L8" s="48" t="s">
        <v>44</v>
      </c>
      <c r="M8" s="48" t="s">
        <v>45</v>
      </c>
      <c r="N8" s="82" t="s">
        <v>15</v>
      </c>
      <c r="O8" s="83" t="s">
        <v>49</v>
      </c>
      <c r="P8" s="83" t="s">
        <v>37</v>
      </c>
      <c r="Q8" s="48" t="s">
        <v>16</v>
      </c>
      <c r="R8" s="83" t="s">
        <v>38</v>
      </c>
      <c r="S8" s="80" t="s">
        <v>41</v>
      </c>
      <c r="T8" s="82" t="s">
        <v>42</v>
      </c>
      <c r="U8" s="48" t="s">
        <v>50</v>
      </c>
      <c r="V8" s="48" t="s">
        <v>43</v>
      </c>
      <c r="W8" s="80" t="s">
        <v>102</v>
      </c>
    </row>
    <row r="9" spans="1:32" s="10" customFormat="1" x14ac:dyDescent="0.25">
      <c r="N9" s="45"/>
      <c r="S9" s="46"/>
      <c r="T9" s="45"/>
      <c r="W9" s="46"/>
      <c r="Y9" s="81"/>
      <c r="Z9" s="81"/>
      <c r="AA9" s="81"/>
      <c r="AB9" s="81"/>
      <c r="AC9" s="81"/>
      <c r="AD9" s="81"/>
      <c r="AE9" s="81"/>
      <c r="AF9" s="81"/>
    </row>
    <row r="10" spans="1:32" s="10" customFormat="1" x14ac:dyDescent="0.25">
      <c r="A10" s="4" t="s">
        <v>21</v>
      </c>
      <c r="B10" s="5">
        <v>169425.66395835657</v>
      </c>
      <c r="C10" s="5">
        <v>1496169039.7505727</v>
      </c>
      <c r="D10" s="5">
        <v>0</v>
      </c>
      <c r="E10" s="5"/>
      <c r="F10" s="6">
        <v>100757455.79683602</v>
      </c>
      <c r="G10" s="6">
        <v>102106459.18120743</v>
      </c>
      <c r="H10" s="6">
        <v>3849651.5142986919</v>
      </c>
      <c r="I10" s="7">
        <f>F10-H10</f>
        <v>96907804.282537326</v>
      </c>
      <c r="J10" s="8">
        <f>F10/G10</f>
        <v>0.98678826594136082</v>
      </c>
      <c r="K10" s="8">
        <v>0.98678826594136082</v>
      </c>
      <c r="L10" s="32">
        <f>G10*K10-H10</f>
        <v>96907804.282537326</v>
      </c>
      <c r="M10" s="42">
        <f>L10-F10+H10</f>
        <v>0</v>
      </c>
      <c r="N10" s="57">
        <v>1</v>
      </c>
      <c r="O10" s="32">
        <f>L10*N10</f>
        <v>96907804.282537326</v>
      </c>
      <c r="P10" s="56">
        <f t="shared" ref="P10:P18" si="0">O10/B10/12</f>
        <v>47.664858842536624</v>
      </c>
      <c r="Q10" s="56">
        <v>34.4</v>
      </c>
      <c r="R10" s="32"/>
      <c r="S10" s="60">
        <f>(IF(R10="Yes",Q10,P10))</f>
        <v>47.664858842536624</v>
      </c>
      <c r="T10" s="75">
        <f>S10*B10*12</f>
        <v>96907804.282537341</v>
      </c>
      <c r="U10" s="30">
        <f>L10-T10</f>
        <v>0</v>
      </c>
      <c r="V10" s="31"/>
      <c r="W10" s="76"/>
      <c r="Y10" s="81"/>
      <c r="Z10" s="81"/>
      <c r="AA10" s="81"/>
      <c r="AB10" s="81"/>
      <c r="AC10" s="81"/>
      <c r="AD10" s="81"/>
      <c r="AE10" s="81"/>
      <c r="AF10" s="81"/>
    </row>
    <row r="11" spans="1:32" s="10" customFormat="1" x14ac:dyDescent="0.25">
      <c r="A11" s="4" t="s">
        <v>22</v>
      </c>
      <c r="B11" s="5">
        <v>12203.988273459461</v>
      </c>
      <c r="C11" s="5">
        <v>354777489.92210156</v>
      </c>
      <c r="D11" s="5">
        <v>0</v>
      </c>
      <c r="E11" s="5"/>
      <c r="F11" s="6">
        <v>16103002.367849397</v>
      </c>
      <c r="G11" s="6">
        <v>13594188.253506361</v>
      </c>
      <c r="H11" s="6">
        <v>487152.99309468787</v>
      </c>
      <c r="I11" s="7">
        <f t="shared" ref="I11:I18" si="1">F11-H11</f>
        <v>15615849.374754708</v>
      </c>
      <c r="J11" s="8">
        <f t="shared" ref="J11:J20" si="2">F11/G11</f>
        <v>1.1845504908096249</v>
      </c>
      <c r="K11" s="8">
        <v>1.1845504908096249</v>
      </c>
      <c r="L11" s="32">
        <f t="shared" ref="L11:L18" si="3">G11*K11-H11</f>
        <v>15615849.374754708</v>
      </c>
      <c r="M11" s="42">
        <f>L11-F11+H11</f>
        <v>0</v>
      </c>
      <c r="N11" s="57">
        <v>0.30636878105055071</v>
      </c>
      <c r="O11" s="32">
        <f t="shared" ref="O11:O18" si="4">(L11)*N11</f>
        <v>4784208.7380126044</v>
      </c>
      <c r="P11" s="56">
        <f t="shared" si="0"/>
        <v>32.668341903284663</v>
      </c>
      <c r="Q11" s="56">
        <v>27.24</v>
      </c>
      <c r="R11" s="41" t="str">
        <f>IF(P11&gt;Q11,"Yes","No")</f>
        <v>Yes</v>
      </c>
      <c r="S11" s="60">
        <f t="shared" ref="S11:S18" si="5">(IF(R11="Yes",Q11,P11))</f>
        <v>27.24</v>
      </c>
      <c r="T11" s="75">
        <f t="shared" ref="T11:T18" si="6">S11*B11*12</f>
        <v>3989239.6868284289</v>
      </c>
      <c r="U11" s="30">
        <f t="shared" ref="U11:U18" si="7">L11-T11</f>
        <v>11626609.687926279</v>
      </c>
      <c r="V11" s="31">
        <f>U11/C11</f>
        <v>3.2771554053441024E-2</v>
      </c>
      <c r="W11" s="76"/>
      <c r="Y11" s="81"/>
      <c r="Z11" s="81"/>
      <c r="AA11" s="81"/>
      <c r="AB11" s="81"/>
      <c r="AC11" s="81"/>
      <c r="AD11" s="81"/>
      <c r="AE11" s="81"/>
      <c r="AF11" s="81"/>
    </row>
    <row r="12" spans="1:32" s="10" customFormat="1" x14ac:dyDescent="0.25">
      <c r="A12" s="4" t="s">
        <v>23</v>
      </c>
      <c r="B12" s="5">
        <v>1516.6004197696136</v>
      </c>
      <c r="C12" s="5"/>
      <c r="D12" s="5">
        <v>3256264.8353241696</v>
      </c>
      <c r="E12" s="5">
        <v>1282968.3451177229</v>
      </c>
      <c r="F12" s="6">
        <v>23490461.804830648</v>
      </c>
      <c r="G12" s="6">
        <v>24518020.580925267</v>
      </c>
      <c r="H12" s="6">
        <v>562126.70553680195</v>
      </c>
      <c r="I12" s="7">
        <f t="shared" si="1"/>
        <v>22928335.099293847</v>
      </c>
      <c r="J12" s="8">
        <f t="shared" si="2"/>
        <v>0.95808965194792084</v>
      </c>
      <c r="K12" s="8">
        <v>0.95853833760749563</v>
      </c>
      <c r="L12" s="32">
        <f t="shared" si="3"/>
        <v>22939335.983529668</v>
      </c>
      <c r="M12" s="42">
        <f t="shared" ref="M12:M18" si="8">L12-F12+H12</f>
        <v>11000.884235822246</v>
      </c>
      <c r="N12" s="57">
        <v>0.18252504414295012</v>
      </c>
      <c r="O12" s="32">
        <f t="shared" si="4"/>
        <v>4187003.313003717</v>
      </c>
      <c r="P12" s="56">
        <f t="shared" si="0"/>
        <v>230.06517616770384</v>
      </c>
      <c r="Q12" s="56">
        <v>165.94</v>
      </c>
      <c r="R12" s="41" t="str">
        <f t="shared" ref="R12:R17" si="9">IF(P12&gt;Q12,"Yes","No")</f>
        <v>Yes</v>
      </c>
      <c r="S12" s="60">
        <f t="shared" si="5"/>
        <v>165.94</v>
      </c>
      <c r="T12" s="75">
        <f t="shared" si="6"/>
        <v>3019976.0838788361</v>
      </c>
      <c r="U12" s="30">
        <f t="shared" si="7"/>
        <v>19919359.899650831</v>
      </c>
      <c r="V12" s="31"/>
      <c r="W12" s="76">
        <f>(U12+E12*0.6)/D12</f>
        <v>6.3536419649545515</v>
      </c>
      <c r="Y12" s="81"/>
      <c r="Z12" s="81"/>
      <c r="AA12" s="81"/>
      <c r="AB12" s="81"/>
      <c r="AC12" s="81"/>
      <c r="AD12" s="81"/>
      <c r="AE12" s="81"/>
      <c r="AF12" s="81"/>
    </row>
    <row r="13" spans="1:32" s="10" customFormat="1" x14ac:dyDescent="0.25">
      <c r="A13" s="4" t="s">
        <v>24</v>
      </c>
      <c r="B13" s="5">
        <v>12.015000000000001</v>
      </c>
      <c r="C13" s="5"/>
      <c r="D13" s="5">
        <v>604293.44379782502</v>
      </c>
      <c r="E13" s="5">
        <v>604293.44379782502</v>
      </c>
      <c r="F13" s="6">
        <v>3375687.0075080646</v>
      </c>
      <c r="G13" s="6">
        <v>3473955.472154195</v>
      </c>
      <c r="H13" s="6">
        <v>63780.940364197202</v>
      </c>
      <c r="I13" s="7">
        <f t="shared" si="1"/>
        <v>3311906.0671438673</v>
      </c>
      <c r="J13" s="8">
        <f t="shared" si="2"/>
        <v>0.97171280247147374</v>
      </c>
      <c r="K13" s="8">
        <v>0.97171280247147374</v>
      </c>
      <c r="L13" s="32">
        <f t="shared" si="3"/>
        <v>3311906.0671438673</v>
      </c>
      <c r="M13" s="42">
        <f t="shared" si="8"/>
        <v>-1.6007106751203537E-10</v>
      </c>
      <c r="N13" s="57">
        <v>0.27749355866026637</v>
      </c>
      <c r="O13" s="32">
        <f t="shared" si="4"/>
        <v>919032.60052027879</v>
      </c>
      <c r="P13" s="56">
        <f t="shared" si="0"/>
        <v>6374.2030830925141</v>
      </c>
      <c r="Q13" s="56">
        <v>4599.8500000000004</v>
      </c>
      <c r="R13" s="41" t="str">
        <f t="shared" si="9"/>
        <v>Yes</v>
      </c>
      <c r="S13" s="60">
        <f t="shared" si="5"/>
        <v>4599.8500000000004</v>
      </c>
      <c r="T13" s="75">
        <f t="shared" si="6"/>
        <v>663206.37300000014</v>
      </c>
      <c r="U13" s="30">
        <f t="shared" si="7"/>
        <v>2648699.6941438671</v>
      </c>
      <c r="V13" s="31"/>
      <c r="W13" s="76">
        <f t="shared" ref="W13:W16" si="10">(U13+E13*0.6)/D13</f>
        <v>4.9831349178595881</v>
      </c>
      <c r="Y13" s="81"/>
      <c r="Z13" s="81"/>
      <c r="AA13" s="81"/>
      <c r="AB13" s="81"/>
      <c r="AC13" s="81"/>
      <c r="AD13" s="81"/>
      <c r="AE13" s="81"/>
      <c r="AF13" s="81"/>
    </row>
    <row r="14" spans="1:32" s="10" customFormat="1" x14ac:dyDescent="0.25">
      <c r="A14" s="4" t="s">
        <v>25</v>
      </c>
      <c r="B14" s="5">
        <v>5.7125000000000004</v>
      </c>
      <c r="C14" s="5"/>
      <c r="D14" s="5">
        <v>742951.90772589517</v>
      </c>
      <c r="E14" s="5">
        <v>742951.90772589517</v>
      </c>
      <c r="F14" s="6">
        <v>4340169.0378380651</v>
      </c>
      <c r="G14" s="6">
        <v>5030228.8118181294</v>
      </c>
      <c r="H14" s="6">
        <v>89605.287809939924</v>
      </c>
      <c r="I14" s="7">
        <f t="shared" si="1"/>
        <v>4250563.750028125</v>
      </c>
      <c r="J14" s="8">
        <f t="shared" si="2"/>
        <v>0.86281741849221194</v>
      </c>
      <c r="K14" s="8">
        <v>0.95853833760749563</v>
      </c>
      <c r="L14" s="32">
        <f t="shared" si="3"/>
        <v>4732061.8752555372</v>
      </c>
      <c r="M14" s="42">
        <f t="shared" si="8"/>
        <v>481498.12522741209</v>
      </c>
      <c r="N14" s="57">
        <v>0.23962297128594065</v>
      </c>
      <c r="O14" s="32">
        <f t="shared" si="4"/>
        <v>1133910.726857652</v>
      </c>
      <c r="P14" s="56">
        <f t="shared" si="0"/>
        <v>16541.367277281573</v>
      </c>
      <c r="Q14" s="56">
        <v>10722.24</v>
      </c>
      <c r="R14" s="41" t="str">
        <f t="shared" si="9"/>
        <v>Yes</v>
      </c>
      <c r="S14" s="60">
        <f t="shared" si="5"/>
        <v>10722.24</v>
      </c>
      <c r="T14" s="75">
        <f t="shared" si="6"/>
        <v>735009.55200000003</v>
      </c>
      <c r="U14" s="30">
        <f t="shared" si="7"/>
        <v>3997052.3232555371</v>
      </c>
      <c r="V14" s="31"/>
      <c r="W14" s="76">
        <f t="shared" si="10"/>
        <v>5.9799610468598594</v>
      </c>
      <c r="Y14" s="81"/>
      <c r="Z14" s="81"/>
      <c r="AA14" s="81"/>
      <c r="AB14" s="81"/>
      <c r="AC14" s="81"/>
      <c r="AD14" s="81"/>
      <c r="AE14" s="81"/>
      <c r="AF14" s="81"/>
    </row>
    <row r="15" spans="1:32" s="10" customFormat="1" x14ac:dyDescent="0.25">
      <c r="A15" s="4" t="s">
        <v>26</v>
      </c>
      <c r="B15" s="5">
        <v>45774.898148668093</v>
      </c>
      <c r="C15" s="5"/>
      <c r="D15" s="5">
        <v>43544.269818658286</v>
      </c>
      <c r="E15" s="5"/>
      <c r="F15" s="6">
        <v>1358999.313331747</v>
      </c>
      <c r="G15" s="6">
        <v>812366.55333084229</v>
      </c>
      <c r="H15" s="6">
        <v>92387.052979121232</v>
      </c>
      <c r="I15" s="7">
        <f t="shared" si="1"/>
        <v>1266612.2603526257</v>
      </c>
      <c r="J15" s="8">
        <f t="shared" si="2"/>
        <v>1.6728892982602701</v>
      </c>
      <c r="K15" s="8">
        <v>1.2</v>
      </c>
      <c r="L15" s="32">
        <f t="shared" si="3"/>
        <v>882452.81101788953</v>
      </c>
      <c r="M15" s="42">
        <f t="shared" si="8"/>
        <v>-384159.44933473621</v>
      </c>
      <c r="N15" s="57">
        <v>0.73468021748782386</v>
      </c>
      <c r="O15" s="32">
        <f t="shared" si="4"/>
        <v>648320.62312136462</v>
      </c>
      <c r="P15" s="56">
        <f t="shared" si="0"/>
        <v>1.1802695533691552</v>
      </c>
      <c r="Q15" s="56">
        <v>1.86</v>
      </c>
      <c r="R15" s="41" t="str">
        <f t="shared" si="9"/>
        <v>No</v>
      </c>
      <c r="S15" s="60">
        <f t="shared" si="5"/>
        <v>1.1802695533691552</v>
      </c>
      <c r="T15" s="75">
        <f t="shared" si="6"/>
        <v>648320.62312136474</v>
      </c>
      <c r="U15" s="30">
        <f t="shared" si="7"/>
        <v>234132.18789652479</v>
      </c>
      <c r="V15" s="31"/>
      <c r="W15" s="76">
        <f t="shared" si="10"/>
        <v>5.376877115440835</v>
      </c>
      <c r="Y15" s="81"/>
      <c r="Z15" s="81"/>
      <c r="AA15" s="81"/>
      <c r="AB15" s="81"/>
      <c r="AC15" s="81"/>
      <c r="AD15" s="81"/>
      <c r="AE15" s="81"/>
      <c r="AF15" s="81"/>
    </row>
    <row r="16" spans="1:32" s="10" customFormat="1" x14ac:dyDescent="0.25">
      <c r="A16" s="4" t="s">
        <v>27</v>
      </c>
      <c r="B16" s="5">
        <v>260.6350671809364</v>
      </c>
      <c r="C16" s="5"/>
      <c r="D16" s="5">
        <v>654.39888952205615</v>
      </c>
      <c r="E16" s="5"/>
      <c r="F16" s="6">
        <v>43353.921607242381</v>
      </c>
      <c r="G16" s="6">
        <v>44996.685239330574</v>
      </c>
      <c r="H16" s="6">
        <v>1892.3296446749541</v>
      </c>
      <c r="I16" s="7">
        <f t="shared" si="1"/>
        <v>41461.591962567429</v>
      </c>
      <c r="J16" s="8">
        <f t="shared" si="2"/>
        <v>0.96349145224030208</v>
      </c>
      <c r="K16" s="8">
        <v>0.90501173103531973</v>
      </c>
      <c r="L16" s="32">
        <f t="shared" si="3"/>
        <v>38830.198354623033</v>
      </c>
      <c r="M16" s="42">
        <f t="shared" si="8"/>
        <v>-2631.3936079443934</v>
      </c>
      <c r="N16" s="57">
        <v>0.61754757267958815</v>
      </c>
      <c r="O16" s="32">
        <f t="shared" si="4"/>
        <v>23979.494740564391</v>
      </c>
      <c r="P16" s="56">
        <f t="shared" si="0"/>
        <v>7.6670083193107894</v>
      </c>
      <c r="Q16" s="56">
        <v>14.36</v>
      </c>
      <c r="R16" s="41" t="str">
        <f t="shared" si="9"/>
        <v>No</v>
      </c>
      <c r="S16" s="60">
        <f t="shared" si="5"/>
        <v>7.6670083193107894</v>
      </c>
      <c r="T16" s="75">
        <f t="shared" si="6"/>
        <v>23979.494740564391</v>
      </c>
      <c r="U16" s="30">
        <f t="shared" si="7"/>
        <v>14850.703614058642</v>
      </c>
      <c r="V16" s="31"/>
      <c r="W16" s="76">
        <f t="shared" si="10"/>
        <v>22.693656501931009</v>
      </c>
      <c r="Y16" s="81"/>
      <c r="Z16" s="81"/>
      <c r="AA16" s="81"/>
      <c r="AB16" s="81"/>
      <c r="AC16" s="81"/>
      <c r="AD16" s="81"/>
      <c r="AE16" s="81"/>
      <c r="AF16" s="81"/>
    </row>
    <row r="17" spans="1:32" s="10" customFormat="1" x14ac:dyDescent="0.25">
      <c r="A17" s="4" t="s">
        <v>28</v>
      </c>
      <c r="B17" s="5">
        <v>1159.1330055461026</v>
      </c>
      <c r="C17" s="5">
        <v>6479773.9270868488</v>
      </c>
      <c r="D17" s="5"/>
      <c r="E17" s="5"/>
      <c r="F17" s="6">
        <v>439182.85854130128</v>
      </c>
      <c r="G17" s="6">
        <v>277895.5766839367</v>
      </c>
      <c r="H17" s="6">
        <v>15671.621478275447</v>
      </c>
      <c r="I17" s="7">
        <f t="shared" si="1"/>
        <v>423511.23706302582</v>
      </c>
      <c r="J17" s="8">
        <f t="shared" si="2"/>
        <v>1.5803880859924733</v>
      </c>
      <c r="K17" s="8">
        <v>1.2</v>
      </c>
      <c r="L17" s="32">
        <f t="shared" si="3"/>
        <v>317803.07054244855</v>
      </c>
      <c r="M17" s="42">
        <f t="shared" si="8"/>
        <v>-105708.16652057727</v>
      </c>
      <c r="N17" s="57">
        <v>0.443217574150023</v>
      </c>
      <c r="O17" s="32">
        <f t="shared" si="4"/>
        <v>140855.90598325268</v>
      </c>
      <c r="P17" s="56">
        <f t="shared" si="0"/>
        <v>10.126527421019242</v>
      </c>
      <c r="Q17" s="56">
        <v>13.29</v>
      </c>
      <c r="R17" s="41" t="str">
        <f t="shared" si="9"/>
        <v>No</v>
      </c>
      <c r="S17" s="60">
        <f t="shared" si="5"/>
        <v>10.126527421019242</v>
      </c>
      <c r="T17" s="75">
        <f t="shared" si="6"/>
        <v>140855.90598325268</v>
      </c>
      <c r="U17" s="30">
        <f t="shared" si="7"/>
        <v>176947.16455919587</v>
      </c>
      <c r="V17" s="31">
        <f>U17/C17</f>
        <v>2.7307613899848985E-2</v>
      </c>
      <c r="W17" s="76"/>
      <c r="Y17" s="81"/>
      <c r="Z17" s="81"/>
      <c r="AA17" s="81"/>
      <c r="AB17" s="81"/>
      <c r="AC17" s="81"/>
      <c r="AD17" s="81"/>
      <c r="AE17" s="81"/>
      <c r="AF17" s="81"/>
    </row>
    <row r="18" spans="1:32" s="10" customFormat="1" ht="13.8" thickBot="1" x14ac:dyDescent="0.3">
      <c r="A18" s="4" t="s">
        <v>29</v>
      </c>
      <c r="B18" s="5">
        <v>1546.4261219890034</v>
      </c>
      <c r="C18" s="5">
        <v>13136538.197903417</v>
      </c>
      <c r="D18" s="5">
        <v>0</v>
      </c>
      <c r="E18" s="5"/>
      <c r="F18" s="6">
        <v>1598849.0741072886</v>
      </c>
      <c r="G18" s="6">
        <v>1649050.0675842715</v>
      </c>
      <c r="H18" s="6">
        <v>58756.820970728964</v>
      </c>
      <c r="I18" s="7">
        <f t="shared" si="1"/>
        <v>1540092.2531365596</v>
      </c>
      <c r="J18" s="8">
        <f t="shared" si="2"/>
        <v>0.96955762928985934</v>
      </c>
      <c r="K18" s="8">
        <v>0.96955762928985934</v>
      </c>
      <c r="L18" s="32">
        <f t="shared" si="3"/>
        <v>1540092.2531365596</v>
      </c>
      <c r="M18" s="42">
        <f t="shared" si="8"/>
        <v>0</v>
      </c>
      <c r="N18" s="58">
        <v>1</v>
      </c>
      <c r="O18" s="55">
        <f t="shared" si="4"/>
        <v>1540092.2531365596</v>
      </c>
      <c r="P18" s="59">
        <f t="shared" si="0"/>
        <v>82.992015764478879</v>
      </c>
      <c r="Q18" s="59">
        <v>80.77</v>
      </c>
      <c r="R18" s="47"/>
      <c r="S18" s="69">
        <f t="shared" si="5"/>
        <v>82.992015764478879</v>
      </c>
      <c r="T18" s="77">
        <f t="shared" si="6"/>
        <v>1540092.2531365596</v>
      </c>
      <c r="U18" s="53">
        <f t="shared" si="7"/>
        <v>0</v>
      </c>
      <c r="V18" s="78"/>
      <c r="W18" s="79"/>
      <c r="Y18" s="81"/>
      <c r="Z18" s="81"/>
      <c r="AA18" s="81"/>
      <c r="AB18" s="81"/>
      <c r="AC18" s="81"/>
      <c r="AD18" s="81"/>
      <c r="AE18" s="81"/>
      <c r="AF18" s="81"/>
    </row>
    <row r="19" spans="1:32" s="10" customFormat="1" x14ac:dyDescent="0.25">
      <c r="A19" s="16"/>
      <c r="B19" s="17"/>
      <c r="C19" s="17"/>
      <c r="D19" s="18"/>
      <c r="E19" s="18"/>
      <c r="F19" s="17"/>
      <c r="G19" s="17"/>
      <c r="H19" s="18"/>
      <c r="I19" s="17"/>
      <c r="J19" s="20"/>
      <c r="K19" s="20"/>
      <c r="L19" s="34"/>
      <c r="M19" s="34"/>
      <c r="N19" s="40"/>
      <c r="O19" s="40"/>
      <c r="P19" s="40"/>
      <c r="Q19" s="40"/>
      <c r="R19" s="40"/>
      <c r="S19" s="40"/>
      <c r="W19" s="35"/>
      <c r="Y19" s="81"/>
      <c r="Z19" s="81"/>
      <c r="AA19" s="81"/>
      <c r="AB19" s="81"/>
      <c r="AC19" s="81"/>
      <c r="AD19" s="81"/>
      <c r="AE19" s="81"/>
      <c r="AF19" s="81"/>
    </row>
    <row r="20" spans="1:32" s="10" customFormat="1" x14ac:dyDescent="0.25">
      <c r="A20" s="13" t="s">
        <v>17</v>
      </c>
      <c r="B20" s="19">
        <f>SUM(B10:B18)</f>
        <v>231905.07249496979</v>
      </c>
      <c r="C20" s="19">
        <f>SUM(C10:C18)</f>
        <v>1870562841.7976644</v>
      </c>
      <c r="D20" s="19">
        <f>SUM(D10:D18)</f>
        <v>4647708.8555560699</v>
      </c>
      <c r="E20" s="19">
        <f>SUM(E10:E18)</f>
        <v>2630213.6966414433</v>
      </c>
      <c r="F20" s="74">
        <f t="shared" ref="F20:G20" si="11">SUM(F10:F18)</f>
        <v>151507161.18244982</v>
      </c>
      <c r="G20" s="74">
        <f t="shared" si="11"/>
        <v>151507161.18244979</v>
      </c>
      <c r="H20" s="74">
        <f>SUM(H10:H18)</f>
        <v>5221025.2661771197</v>
      </c>
      <c r="I20" s="74">
        <f>SUM(I10:I18)</f>
        <v>146286135.91627264</v>
      </c>
      <c r="J20" s="73">
        <f t="shared" si="2"/>
        <v>1.0000000000000002</v>
      </c>
      <c r="K20" s="73">
        <v>1</v>
      </c>
      <c r="L20" s="74">
        <f>SUM(L10:L18)</f>
        <v>146286135.91627261</v>
      </c>
      <c r="M20" s="19">
        <f>SUM(M10:M18)</f>
        <v>-2.3719621822237968E-8</v>
      </c>
      <c r="N20" s="19"/>
      <c r="O20" s="74"/>
      <c r="P20" s="19"/>
      <c r="Q20" s="19"/>
      <c r="R20" s="19"/>
      <c r="S20" s="19"/>
      <c r="T20" s="74">
        <f>SUM(T10:T18)</f>
        <v>107668484.25522634</v>
      </c>
      <c r="U20" s="74">
        <f>SUM(U10:U18)</f>
        <v>38617651.661046296</v>
      </c>
      <c r="V20" s="23"/>
      <c r="W20" s="35"/>
    </row>
    <row r="21" spans="1:32" s="10" customFormat="1" x14ac:dyDescent="0.25">
      <c r="B21" s="19"/>
      <c r="C21" s="19"/>
      <c r="D21" s="19"/>
      <c r="E21" s="19"/>
      <c r="F21" s="19"/>
      <c r="G21" s="19"/>
      <c r="H21" s="19"/>
      <c r="I21" s="19"/>
      <c r="J21" s="21"/>
      <c r="K21" s="13"/>
      <c r="L21" s="19"/>
      <c r="M21" s="19"/>
      <c r="N21" s="19"/>
      <c r="O21" s="19"/>
      <c r="P21" s="19"/>
      <c r="Q21" s="19"/>
      <c r="R21" s="19"/>
      <c r="S21" s="19"/>
      <c r="V21" s="23"/>
      <c r="W21" s="35"/>
    </row>
    <row r="22" spans="1:32" s="10" customFormat="1" ht="13.8" x14ac:dyDescent="0.25">
      <c r="F22" s="33"/>
      <c r="G22" s="33"/>
      <c r="H22" s="33"/>
      <c r="I22" s="33"/>
      <c r="M22" s="22"/>
      <c r="S22" s="49"/>
      <c r="T22" s="51"/>
      <c r="U22" s="52"/>
    </row>
    <row r="23" spans="1:32" s="10" customFormat="1" x14ac:dyDescent="0.25">
      <c r="L23" s="24"/>
      <c r="T23" s="54"/>
      <c r="U23" s="50"/>
    </row>
    <row r="24" spans="1:32" s="10" customFormat="1" x14ac:dyDescent="0.25">
      <c r="F24" s="25"/>
      <c r="G24" s="25"/>
      <c r="H24" s="25"/>
      <c r="M24" s="23"/>
      <c r="S24" s="23"/>
      <c r="T24" s="51"/>
      <c r="U24" s="50"/>
    </row>
    <row r="25" spans="1:32" s="10" customFormat="1" x14ac:dyDescent="0.25">
      <c r="B25" s="24"/>
      <c r="C25" s="24"/>
      <c r="D25" s="24"/>
      <c r="E25" s="24"/>
      <c r="F25" s="24"/>
      <c r="G25" s="24"/>
      <c r="H25" s="24"/>
      <c r="I25" s="24"/>
      <c r="J25" s="23"/>
      <c r="K25" s="26"/>
      <c r="L25" s="23"/>
      <c r="W25" s="35"/>
    </row>
    <row r="26" spans="1:32" s="10" customFormat="1" x14ac:dyDescent="0.25">
      <c r="F26" s="25"/>
      <c r="G26" s="25"/>
      <c r="H26" s="25"/>
      <c r="J26" s="23"/>
      <c r="T26" s="9"/>
      <c r="U26" s="48"/>
      <c r="W26" s="35"/>
    </row>
    <row r="27" spans="1:32" s="10" customFormat="1" x14ac:dyDescent="0.25">
      <c r="F27" s="25"/>
      <c r="G27" s="25"/>
      <c r="H27" s="25"/>
      <c r="J27" s="23"/>
      <c r="T27" s="27"/>
      <c r="W27" s="35"/>
    </row>
    <row r="28" spans="1:32" s="10" customFormat="1" x14ac:dyDescent="0.25">
      <c r="F28" s="25"/>
      <c r="G28" s="25"/>
      <c r="H28" s="25"/>
      <c r="J28" s="23"/>
      <c r="K28" s="26"/>
      <c r="T28" s="27"/>
      <c r="U28" s="38"/>
      <c r="V28" s="38"/>
      <c r="W28" s="38"/>
    </row>
    <row r="29" spans="1:32" s="10" customFormat="1" x14ac:dyDescent="0.25">
      <c r="F29" s="25"/>
      <c r="G29" s="25"/>
      <c r="H29" s="25"/>
      <c r="J29" s="28"/>
      <c r="K29" s="26"/>
      <c r="L29" s="23"/>
      <c r="T29" s="27"/>
      <c r="U29" s="36"/>
      <c r="V29" s="22"/>
      <c r="W29" s="22"/>
    </row>
    <row r="30" spans="1:32" s="10" customFormat="1" x14ac:dyDescent="0.25">
      <c r="F30" s="25"/>
      <c r="G30" s="25"/>
      <c r="H30" s="25"/>
      <c r="J30" s="24"/>
      <c r="K30" s="26"/>
      <c r="T30" s="27"/>
      <c r="U30" s="36"/>
      <c r="V30" s="22"/>
      <c r="W30" s="22"/>
    </row>
    <row r="31" spans="1:32" s="10" customFormat="1" x14ac:dyDescent="0.25">
      <c r="F31" s="25"/>
      <c r="G31" s="25"/>
      <c r="H31" s="25"/>
      <c r="J31" s="23"/>
      <c r="T31" s="27"/>
      <c r="U31" s="36"/>
      <c r="V31" s="22"/>
      <c r="W31" s="22"/>
    </row>
    <row r="32" spans="1:32" s="10" customFormat="1" x14ac:dyDescent="0.25">
      <c r="F32" s="25"/>
      <c r="G32" s="25"/>
      <c r="H32" s="25"/>
      <c r="J32" s="23"/>
      <c r="M32" s="29"/>
      <c r="R32" s="29"/>
      <c r="S32" s="29"/>
      <c r="T32" s="27"/>
      <c r="U32" s="36"/>
      <c r="V32" s="22"/>
      <c r="W32" s="22"/>
    </row>
    <row r="33" spans="6:20" s="10" customFormat="1" x14ac:dyDescent="0.25">
      <c r="F33" s="25"/>
      <c r="G33" s="25"/>
      <c r="H33" s="25"/>
      <c r="J33" s="23"/>
      <c r="M33" s="29"/>
      <c r="R33" s="29"/>
      <c r="S33" s="29"/>
      <c r="T33" s="27"/>
    </row>
    <row r="34" spans="6:20" x14ac:dyDescent="0.25">
      <c r="F34" s="3"/>
      <c r="G34" s="3"/>
      <c r="H34" s="3"/>
      <c r="M34" s="2"/>
      <c r="Q34" s="2"/>
      <c r="R34" s="2"/>
      <c r="S34" s="2"/>
      <c r="T34" s="27"/>
    </row>
    <row r="35" spans="6:20" x14ac:dyDescent="0.25">
      <c r="F35" s="3"/>
      <c r="G35" s="3"/>
      <c r="H35" s="3"/>
      <c r="J35" s="1"/>
      <c r="M35" s="2"/>
      <c r="Q35" s="2"/>
      <c r="R35" s="2"/>
      <c r="S35" s="2"/>
      <c r="T35" s="27"/>
    </row>
    <row r="36" spans="6:20" x14ac:dyDescent="0.25">
      <c r="F36" s="3"/>
      <c r="G36" s="3"/>
      <c r="H36" s="3"/>
      <c r="T36" s="27"/>
    </row>
    <row r="37" spans="6:20" x14ac:dyDescent="0.25">
      <c r="H37" s="3"/>
      <c r="J37" s="1"/>
      <c r="T37" s="27"/>
    </row>
    <row r="38" spans="6:20" x14ac:dyDescent="0.25">
      <c r="T38" s="27"/>
    </row>
    <row r="39" spans="6:20" x14ac:dyDescent="0.25">
      <c r="T39" s="27"/>
    </row>
    <row r="40" spans="6:20" x14ac:dyDescent="0.25">
      <c r="T40" s="27"/>
    </row>
    <row r="41" spans="6:20" x14ac:dyDescent="0.25">
      <c r="T41" s="27"/>
    </row>
    <row r="42" spans="6:20" x14ac:dyDescent="0.25">
      <c r="T42" s="27"/>
    </row>
    <row r="43" spans="6:20" x14ac:dyDescent="0.25">
      <c r="T43" s="27"/>
    </row>
    <row r="44" spans="6:20" x14ac:dyDescent="0.25">
      <c r="T44" s="27"/>
    </row>
    <row r="45" spans="6:20" x14ac:dyDescent="0.25">
      <c r="T45" s="27"/>
    </row>
    <row r="46" spans="6:20" x14ac:dyDescent="0.25">
      <c r="T46" s="27"/>
    </row>
  </sheetData>
  <mergeCells count="2">
    <mergeCell ref="N6:S6"/>
    <mergeCell ref="T6:W6"/>
  </mergeCells>
  <printOptions horizontalCentered="1"/>
  <pageMargins left="0.2" right="0.2" top="1.5" bottom="0.75" header="0.3" footer="0.3"/>
  <pageSetup paperSize="17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CF17-075B-4A91-A5CA-4BB08BB9D3E4}">
  <sheetPr>
    <pageSetUpPr fitToPage="1"/>
  </sheetPr>
  <dimension ref="A1:AC46"/>
  <sheetViews>
    <sheetView topLeftCell="O3" zoomScaleNormal="100" zoomScaleSheetLayoutView="50" workbookViewId="0">
      <selection activeCell="U8" sqref="U8:AC19"/>
    </sheetView>
  </sheetViews>
  <sheetFormatPr defaultRowHeight="13.2" x14ac:dyDescent="0.25"/>
  <cols>
    <col min="1" max="1" width="20" customWidth="1"/>
    <col min="2" max="2" width="14" customWidth="1"/>
    <col min="3" max="3" width="16.88671875" customWidth="1"/>
    <col min="4" max="4" width="14.44140625" bestFit="1" customWidth="1"/>
    <col min="5" max="8" width="14.44140625" customWidth="1"/>
    <col min="9" max="9" width="16.44140625" customWidth="1"/>
    <col min="10" max="10" width="18.109375" customWidth="1"/>
    <col min="11" max="11" width="17.44140625" customWidth="1"/>
    <col min="12" max="12" width="18.6640625" customWidth="1"/>
    <col min="13" max="13" width="17.44140625" customWidth="1"/>
    <col min="14" max="14" width="18" customWidth="1"/>
    <col min="15" max="15" width="22.44140625" customWidth="1"/>
    <col min="16" max="16" width="18.5546875" customWidth="1"/>
    <col min="17" max="17" width="18.5546875" bestFit="1" customWidth="1"/>
    <col min="18" max="18" width="13.5546875" customWidth="1"/>
    <col min="19" max="19" width="13.88671875" customWidth="1"/>
    <col min="24" max="24" width="11.21875" customWidth="1"/>
    <col min="26" max="26" width="9.88671875" bestFit="1" customWidth="1"/>
  </cols>
  <sheetData>
    <row r="1" spans="1:29" s="36" customFormat="1" x14ac:dyDescent="0.25">
      <c r="A1" s="36">
        <v>1</v>
      </c>
      <c r="B1" s="36">
        <v>2</v>
      </c>
      <c r="C1" s="36">
        <v>3</v>
      </c>
      <c r="D1" s="36">
        <v>4</v>
      </c>
      <c r="E1" s="36">
        <v>5</v>
      </c>
      <c r="F1" s="36">
        <v>6</v>
      </c>
      <c r="G1" s="36">
        <v>7</v>
      </c>
      <c r="H1" s="36">
        <v>8</v>
      </c>
      <c r="I1" s="36">
        <v>9</v>
      </c>
      <c r="J1" s="36">
        <v>10</v>
      </c>
      <c r="K1" s="36">
        <v>11</v>
      </c>
      <c r="L1" s="36">
        <v>12</v>
      </c>
      <c r="M1" s="36">
        <v>13</v>
      </c>
      <c r="N1" s="36">
        <v>14</v>
      </c>
      <c r="O1" s="36">
        <v>15</v>
      </c>
      <c r="P1" s="36">
        <v>16</v>
      </c>
      <c r="Q1" s="36">
        <v>17</v>
      </c>
      <c r="R1" s="36">
        <v>18</v>
      </c>
      <c r="S1" s="36">
        <v>19</v>
      </c>
    </row>
    <row r="2" spans="1:29" s="10" customFormat="1" x14ac:dyDescent="0.25"/>
    <row r="3" spans="1:29" s="10" customFormat="1" ht="22.8" x14ac:dyDescent="0.4">
      <c r="A3" s="11" t="s">
        <v>46</v>
      </c>
      <c r="J3" s="12"/>
      <c r="K3" s="12"/>
      <c r="L3" s="12"/>
      <c r="M3" s="12"/>
      <c r="N3" s="12"/>
      <c r="O3" s="12"/>
      <c r="P3" s="12"/>
      <c r="Q3" s="12"/>
      <c r="R3" s="12"/>
    </row>
    <row r="4" spans="1:29" s="10" customFormat="1" ht="22.8" x14ac:dyDescent="0.4">
      <c r="A4" s="11"/>
      <c r="J4" s="12"/>
      <c r="K4" s="12"/>
      <c r="L4" s="12"/>
      <c r="M4" s="12"/>
      <c r="N4" s="12"/>
      <c r="O4" s="12"/>
      <c r="P4" s="12"/>
      <c r="Q4" s="12"/>
      <c r="R4" s="12"/>
    </row>
    <row r="5" spans="1:29" s="10" customFormat="1" ht="23.4" thickBot="1" x14ac:dyDescent="0.45">
      <c r="A5" s="11"/>
      <c r="J5" s="12"/>
      <c r="K5" s="12"/>
      <c r="L5" s="12"/>
      <c r="M5" s="12"/>
      <c r="N5" s="12"/>
      <c r="O5" s="12"/>
      <c r="P5" s="12"/>
      <c r="Q5" s="12"/>
      <c r="R5" s="12"/>
    </row>
    <row r="6" spans="1:29" s="10" customFormat="1" ht="18" thickBot="1" x14ac:dyDescent="0.35">
      <c r="J6" s="85" t="s">
        <v>69</v>
      </c>
      <c r="K6" s="86"/>
      <c r="L6" s="86"/>
      <c r="M6" s="86"/>
      <c r="N6" s="86"/>
      <c r="O6" s="87"/>
      <c r="P6" s="85" t="s">
        <v>114</v>
      </c>
      <c r="Q6" s="86"/>
      <c r="R6" s="86"/>
      <c r="S6" s="87"/>
    </row>
    <row r="7" spans="1:29" s="14" customFormat="1" ht="78" x14ac:dyDescent="0.25">
      <c r="B7" s="15" t="s">
        <v>0</v>
      </c>
      <c r="C7" s="14" t="s">
        <v>30</v>
      </c>
      <c r="D7" s="14" t="s">
        <v>1</v>
      </c>
      <c r="E7" s="15" t="s">
        <v>39</v>
      </c>
      <c r="F7" s="15" t="s">
        <v>47</v>
      </c>
      <c r="G7" s="15" t="s">
        <v>48</v>
      </c>
      <c r="H7" s="15" t="s">
        <v>94</v>
      </c>
      <c r="I7" s="15" t="s">
        <v>95</v>
      </c>
      <c r="J7" s="43" t="s">
        <v>99</v>
      </c>
      <c r="K7" s="15" t="s">
        <v>20</v>
      </c>
      <c r="L7" s="15" t="s">
        <v>32</v>
      </c>
      <c r="M7" s="15" t="s">
        <v>31</v>
      </c>
      <c r="N7" s="15" t="s">
        <v>6</v>
      </c>
      <c r="O7" s="44" t="s">
        <v>86</v>
      </c>
      <c r="P7" s="43" t="s">
        <v>7</v>
      </c>
      <c r="Q7" s="15" t="s">
        <v>8</v>
      </c>
      <c r="R7" s="15" t="s">
        <v>87</v>
      </c>
      <c r="S7" s="44" t="s">
        <v>88</v>
      </c>
    </row>
    <row r="8" spans="1:29" s="81" customFormat="1" ht="39.6" x14ac:dyDescent="0.25">
      <c r="F8" s="48" t="s">
        <v>9</v>
      </c>
      <c r="G8" s="48" t="s">
        <v>10</v>
      </c>
      <c r="H8" s="48" t="s">
        <v>103</v>
      </c>
      <c r="I8" s="48" t="s">
        <v>105</v>
      </c>
      <c r="J8" s="82" t="s">
        <v>18</v>
      </c>
      <c r="K8" s="83" t="s">
        <v>104</v>
      </c>
      <c r="L8" s="83" t="s">
        <v>106</v>
      </c>
      <c r="M8" s="48" t="s">
        <v>107</v>
      </c>
      <c r="N8" s="83" t="s">
        <v>108</v>
      </c>
      <c r="O8" s="80" t="s">
        <v>109</v>
      </c>
      <c r="P8" s="82" t="s">
        <v>110</v>
      </c>
      <c r="Q8" s="48" t="s">
        <v>111</v>
      </c>
      <c r="R8" s="48" t="s">
        <v>112</v>
      </c>
      <c r="S8" s="80" t="s">
        <v>113</v>
      </c>
    </row>
    <row r="9" spans="1:29" s="10" customFormat="1" x14ac:dyDescent="0.25">
      <c r="J9" s="45"/>
      <c r="O9" s="46"/>
      <c r="P9" s="45"/>
      <c r="S9" s="46"/>
      <c r="U9" s="81"/>
      <c r="V9" s="81"/>
      <c r="W9" s="81"/>
      <c r="X9" s="81"/>
      <c r="Y9" s="81"/>
      <c r="Z9" s="81"/>
      <c r="AA9" s="81"/>
      <c r="AB9" s="81"/>
      <c r="AC9" s="81"/>
    </row>
    <row r="10" spans="1:29" s="10" customFormat="1" x14ac:dyDescent="0.25">
      <c r="A10" s="4" t="s">
        <v>21</v>
      </c>
      <c r="B10" s="5">
        <v>171982.13546514951</v>
      </c>
      <c r="C10" s="5">
        <v>1522610583.0398455</v>
      </c>
      <c r="D10" s="5">
        <v>0</v>
      </c>
      <c r="E10" s="5"/>
      <c r="F10" s="5">
        <f>'2027'!S10*B10*12</f>
        <v>98370050.524612367</v>
      </c>
      <c r="G10" s="5">
        <f>+'2027'!V10*C10</f>
        <v>0</v>
      </c>
      <c r="H10" s="5">
        <f>F10+G10</f>
        <v>98370050.524612367</v>
      </c>
      <c r="I10" s="70">
        <f t="shared" ref="I10:I18" si="0">H10*$I$25</f>
        <v>100764485.57658085</v>
      </c>
      <c r="J10" s="71">
        <f t="shared" ref="J10:J18" si="1">F10/H10</f>
        <v>1</v>
      </c>
      <c r="K10" s="32">
        <f>I10*J10</f>
        <v>100764485.57658085</v>
      </c>
      <c r="L10" s="56">
        <f t="shared" ref="L10:L18" si="2">K10/B10/12</f>
        <v>48.825073848537301</v>
      </c>
      <c r="M10" s="56">
        <v>34.4</v>
      </c>
      <c r="N10" s="32"/>
      <c r="O10" s="60">
        <f>IF(N10="Yes",M10,L10)</f>
        <v>48.825073848537301</v>
      </c>
      <c r="P10" s="75">
        <f>O10*B10*12</f>
        <v>100764485.57658085</v>
      </c>
      <c r="Q10" s="30">
        <f>I10-P10</f>
        <v>0</v>
      </c>
      <c r="R10" s="31"/>
      <c r="S10" s="76"/>
      <c r="U10" s="81"/>
      <c r="V10" s="81"/>
      <c r="W10" s="81"/>
      <c r="X10" s="81"/>
      <c r="Y10" s="81"/>
      <c r="Z10" s="81"/>
      <c r="AA10" s="81"/>
      <c r="AB10" s="81"/>
      <c r="AC10" s="81"/>
    </row>
    <row r="11" spans="1:29" s="10" customFormat="1" x14ac:dyDescent="0.25">
      <c r="A11" s="4" t="s">
        <v>22</v>
      </c>
      <c r="B11" s="5">
        <v>12318.378694433726</v>
      </c>
      <c r="C11" s="5">
        <v>354832019.47313988</v>
      </c>
      <c r="D11" s="5">
        <v>0</v>
      </c>
      <c r="E11" s="5"/>
      <c r="F11" s="5">
        <f>'2027'!S11*B11*12</f>
        <v>4026631.6276364964</v>
      </c>
      <c r="G11" s="5">
        <f>+'2027'!V11*C11</f>
        <v>11628396.706055641</v>
      </c>
      <c r="H11" s="5">
        <f t="shared" ref="H11:H18" si="3">F11+G11</f>
        <v>15655028.333692137</v>
      </c>
      <c r="I11" s="70">
        <f t="shared" si="0"/>
        <v>16036088.914446576</v>
      </c>
      <c r="J11" s="71">
        <f t="shared" si="1"/>
        <v>0.25721011433563096</v>
      </c>
      <c r="K11" s="32">
        <f t="shared" ref="K11:K18" si="4">I11*J11</f>
        <v>4124644.2631811476</v>
      </c>
      <c r="L11" s="56">
        <f t="shared" si="2"/>
        <v>27.90305151281083</v>
      </c>
      <c r="M11" s="56">
        <v>27.24</v>
      </c>
      <c r="N11" s="41" t="str">
        <f>IF(L11&gt;M11,"Yes","No")</f>
        <v>Yes</v>
      </c>
      <c r="O11" s="60">
        <f t="shared" ref="O11:O18" si="5">IF(N11="Yes",M11,L11)</f>
        <v>27.24</v>
      </c>
      <c r="P11" s="75">
        <f>O11*B11*12</f>
        <v>4026631.6276364964</v>
      </c>
      <c r="Q11" s="30">
        <f>I11-P11</f>
        <v>12009457.28681008</v>
      </c>
      <c r="R11" s="31">
        <f>Q11/C11</f>
        <v>3.3845472301631374E-2</v>
      </c>
      <c r="S11" s="76"/>
      <c r="U11" s="81"/>
      <c r="V11" s="81"/>
      <c r="W11" s="81"/>
      <c r="X11" s="81"/>
      <c r="Y11" s="81"/>
      <c r="Z11" s="81"/>
      <c r="AA11" s="81"/>
      <c r="AB11" s="81"/>
      <c r="AC11" s="81"/>
    </row>
    <row r="12" spans="1:29" s="10" customFormat="1" x14ac:dyDescent="0.25">
      <c r="A12" s="4" t="s">
        <v>23</v>
      </c>
      <c r="B12" s="5">
        <v>1528.3891482345548</v>
      </c>
      <c r="C12" s="5"/>
      <c r="D12" s="5">
        <v>3294405.3377290582</v>
      </c>
      <c r="E12" s="5">
        <v>1297995.7030652489</v>
      </c>
      <c r="F12" s="5">
        <f>'2027'!S12*B12*12</f>
        <v>3043450.7430965044</v>
      </c>
      <c r="G12" s="5">
        <f>+'2027'!W12*D12-E12*0.6</f>
        <v>20152674.581526469</v>
      </c>
      <c r="H12" s="5">
        <f t="shared" si="3"/>
        <v>23196125.324622974</v>
      </c>
      <c r="I12" s="70">
        <f t="shared" si="0"/>
        <v>23760744.487172194</v>
      </c>
      <c r="J12" s="71">
        <f t="shared" si="1"/>
        <v>0.13120513450002116</v>
      </c>
      <c r="K12" s="32">
        <f>I12*J12</f>
        <v>3117531.6762600639</v>
      </c>
      <c r="L12" s="56">
        <f t="shared" si="2"/>
        <v>169.97916182216696</v>
      </c>
      <c r="M12" s="56">
        <v>165.94</v>
      </c>
      <c r="N12" s="41" t="str">
        <f t="shared" ref="N12:N17" si="6">IF(L12&gt;M12,"Yes","No")</f>
        <v>Yes</v>
      </c>
      <c r="O12" s="60">
        <f>IF(N12="Yes",M12,L12)</f>
        <v>165.94</v>
      </c>
      <c r="P12" s="75">
        <f t="shared" ref="P12:P18" si="7">O12*B12*12</f>
        <v>3043450.7430965044</v>
      </c>
      <c r="Q12" s="30">
        <f t="shared" ref="Q12:Q18" si="8">I12-P12</f>
        <v>20717293.744075689</v>
      </c>
      <c r="R12" s="31"/>
      <c r="S12" s="76">
        <f>(Q12+E12*0.6)/D12</f>
        <v>6.5250292426774656</v>
      </c>
      <c r="U12" s="81"/>
      <c r="V12" s="81"/>
      <c r="W12" s="81"/>
      <c r="X12" s="81"/>
      <c r="Y12" s="81"/>
      <c r="Z12" s="81"/>
      <c r="AA12" s="81"/>
      <c r="AB12" s="81"/>
      <c r="AC12" s="81"/>
    </row>
    <row r="13" spans="1:29" s="10" customFormat="1" x14ac:dyDescent="0.25">
      <c r="A13" s="4" t="s">
        <v>24</v>
      </c>
      <c r="B13" s="5">
        <v>12.512499999999999</v>
      </c>
      <c r="C13" s="5"/>
      <c r="D13" s="5">
        <v>665751.74791153881</v>
      </c>
      <c r="E13" s="5">
        <v>665751.74791153881</v>
      </c>
      <c r="F13" s="5">
        <f>'2027'!S13*B13*12</f>
        <v>690667.47750000004</v>
      </c>
      <c r="G13" s="5">
        <f>+'2027'!W13*D13-E13*0.6</f>
        <v>2918079.7328971196</v>
      </c>
      <c r="H13" s="5">
        <f t="shared" si="3"/>
        <v>3608747.2103971196</v>
      </c>
      <c r="I13" s="70">
        <f t="shared" si="0"/>
        <v>3696588.0803385898</v>
      </c>
      <c r="J13" s="71">
        <f t="shared" si="1"/>
        <v>0.19138704853311034</v>
      </c>
      <c r="K13" s="32">
        <f t="shared" si="4"/>
        <v>707479.08233867888</v>
      </c>
      <c r="L13" s="56">
        <f t="shared" si="2"/>
        <v>4711.8154001910016</v>
      </c>
      <c r="M13" s="56">
        <v>4599.8500000000004</v>
      </c>
      <c r="N13" s="41" t="str">
        <f t="shared" si="6"/>
        <v>Yes</v>
      </c>
      <c r="O13" s="60">
        <f t="shared" si="5"/>
        <v>4599.8500000000004</v>
      </c>
      <c r="P13" s="75">
        <f t="shared" si="7"/>
        <v>690667.47750000004</v>
      </c>
      <c r="Q13" s="30">
        <f t="shared" si="8"/>
        <v>3005920.6028385898</v>
      </c>
      <c r="R13" s="31"/>
      <c r="S13" s="76">
        <f t="shared" ref="S13:S16" si="9">(Q13+E13*0.6)/D13</f>
        <v>5.1150772976085364</v>
      </c>
      <c r="U13" s="81"/>
      <c r="V13" s="81"/>
      <c r="W13" s="81"/>
      <c r="X13" s="81"/>
      <c r="Y13" s="81"/>
      <c r="Z13" s="81"/>
      <c r="AA13" s="81"/>
      <c r="AB13" s="81"/>
      <c r="AC13" s="81"/>
    </row>
    <row r="14" spans="1:29" s="10" customFormat="1" x14ac:dyDescent="0.25">
      <c r="A14" s="4" t="s">
        <v>25</v>
      </c>
      <c r="B14" s="5">
        <v>6.1749999999999998</v>
      </c>
      <c r="C14" s="5"/>
      <c r="D14" s="5">
        <v>895387.42439179809</v>
      </c>
      <c r="E14" s="5">
        <v>895387.42439179809</v>
      </c>
      <c r="F14" s="5">
        <f>'2027'!S14*B14*12</f>
        <v>794517.98399999994</v>
      </c>
      <c r="G14" s="5">
        <f>+'2027'!W14*D14-E14*0.6</f>
        <v>4817149.4650760507</v>
      </c>
      <c r="H14" s="5">
        <f t="shared" si="3"/>
        <v>5611667.4490760509</v>
      </c>
      <c r="I14" s="70">
        <f t="shared" si="0"/>
        <v>5748261.597075358</v>
      </c>
      <c r="J14" s="71">
        <f t="shared" si="1"/>
        <v>0.14158322659173533</v>
      </c>
      <c r="K14" s="32">
        <f t="shared" si="4"/>
        <v>813857.42420729087</v>
      </c>
      <c r="L14" s="56">
        <f t="shared" si="2"/>
        <v>10983.231095914858</v>
      </c>
      <c r="M14" s="56">
        <v>10722.24</v>
      </c>
      <c r="N14" s="41" t="str">
        <f t="shared" si="6"/>
        <v>Yes</v>
      </c>
      <c r="O14" s="60">
        <f t="shared" si="5"/>
        <v>10722.24</v>
      </c>
      <c r="P14" s="75">
        <f t="shared" si="7"/>
        <v>794517.98399999994</v>
      </c>
      <c r="Q14" s="30">
        <f t="shared" si="8"/>
        <v>4953743.6130753579</v>
      </c>
      <c r="R14" s="31"/>
      <c r="S14" s="76">
        <f t="shared" si="9"/>
        <v>6.1325141699865213</v>
      </c>
      <c r="U14" s="81"/>
      <c r="V14" s="81"/>
      <c r="W14" s="81"/>
      <c r="X14" s="81"/>
      <c r="Y14" s="81"/>
      <c r="Z14" s="81"/>
      <c r="AA14" s="81"/>
      <c r="AB14" s="81"/>
      <c r="AC14" s="81"/>
    </row>
    <row r="15" spans="1:29" s="10" customFormat="1" x14ac:dyDescent="0.25">
      <c r="A15" s="4" t="s">
        <v>26</v>
      </c>
      <c r="B15" s="5">
        <v>46311.467151006997</v>
      </c>
      <c r="C15" s="5"/>
      <c r="D15" s="5">
        <v>44090.904046101437</v>
      </c>
      <c r="E15" s="5"/>
      <c r="F15" s="5">
        <f>'2027'!S15*B15*12</f>
        <v>655920.17580227205</v>
      </c>
      <c r="G15" s="5">
        <f>+'2027'!W15*D15</f>
        <v>237071.37296458054</v>
      </c>
      <c r="H15" s="5">
        <f t="shared" si="3"/>
        <v>892991.54876685259</v>
      </c>
      <c r="I15" s="70">
        <f t="shared" si="0"/>
        <v>914727.94367643935</v>
      </c>
      <c r="J15" s="71">
        <f t="shared" si="1"/>
        <v>0.73452002620634371</v>
      </c>
      <c r="K15" s="32">
        <f t="shared" si="4"/>
        <v>671885.99316089309</v>
      </c>
      <c r="L15" s="56">
        <f t="shared" si="2"/>
        <v>1.2089986103767167</v>
      </c>
      <c r="M15" s="56">
        <v>1.86</v>
      </c>
      <c r="N15" s="41" t="str">
        <f t="shared" si="6"/>
        <v>No</v>
      </c>
      <c r="O15" s="60">
        <f t="shared" si="5"/>
        <v>1.2089986103767167</v>
      </c>
      <c r="P15" s="75">
        <f>O15*B15*12</f>
        <v>671885.99316089309</v>
      </c>
      <c r="Q15" s="30">
        <f t="shared" si="8"/>
        <v>242841.95051554625</v>
      </c>
      <c r="R15" s="31"/>
      <c r="S15" s="76">
        <f t="shared" si="9"/>
        <v>5.5077562088913119</v>
      </c>
      <c r="U15" s="81"/>
      <c r="V15" s="81"/>
      <c r="W15" s="81"/>
      <c r="X15" s="81"/>
      <c r="Y15" s="81"/>
      <c r="Z15" s="81"/>
      <c r="AA15" s="81"/>
      <c r="AB15" s="81"/>
      <c r="AC15" s="81"/>
    </row>
    <row r="16" spans="1:29" s="10" customFormat="1" x14ac:dyDescent="0.25">
      <c r="A16" s="4" t="s">
        <v>27</v>
      </c>
      <c r="B16" s="5">
        <v>255.28816674176974</v>
      </c>
      <c r="C16" s="5"/>
      <c r="D16" s="5">
        <v>644.51221350638025</v>
      </c>
      <c r="E16" s="5"/>
      <c r="F16" s="5">
        <f>'2027'!S16*B16*12</f>
        <v>23487.557978768982</v>
      </c>
      <c r="G16" s="5">
        <f>+'2027'!W16*D16</f>
        <v>14626.338784613014</v>
      </c>
      <c r="H16" s="5">
        <f t="shared" si="3"/>
        <v>38113.896763381999</v>
      </c>
      <c r="I16" s="70">
        <f t="shared" si="0"/>
        <v>39041.630864265848</v>
      </c>
      <c r="J16" s="71">
        <f t="shared" si="1"/>
        <v>0.61624656551346646</v>
      </c>
      <c r="K16" s="32">
        <f t="shared" si="4"/>
        <v>24059.270932148378</v>
      </c>
      <c r="L16" s="56">
        <f t="shared" si="2"/>
        <v>7.8536317211041888</v>
      </c>
      <c r="M16" s="56">
        <v>14.36</v>
      </c>
      <c r="N16" s="41" t="str">
        <f t="shared" si="6"/>
        <v>No</v>
      </c>
      <c r="O16" s="60">
        <f t="shared" si="5"/>
        <v>7.8536317211041888</v>
      </c>
      <c r="P16" s="75">
        <f t="shared" si="7"/>
        <v>24059.270932148378</v>
      </c>
      <c r="Q16" s="30">
        <f t="shared" si="8"/>
        <v>14982.35993211747</v>
      </c>
      <c r="R16" s="31"/>
      <c r="S16" s="76">
        <f t="shared" si="9"/>
        <v>23.246045021564441</v>
      </c>
      <c r="U16" s="81"/>
      <c r="V16" s="81"/>
      <c r="W16" s="81"/>
      <c r="X16" s="81"/>
      <c r="Y16" s="81"/>
      <c r="Z16" s="81"/>
      <c r="AA16" s="81"/>
      <c r="AB16" s="81"/>
      <c r="AC16" s="81"/>
    </row>
    <row r="17" spans="1:29" s="10" customFormat="1" x14ac:dyDescent="0.25">
      <c r="A17" s="4" t="s">
        <v>28</v>
      </c>
      <c r="B17" s="5">
        <v>1158.6444892513268</v>
      </c>
      <c r="C17" s="5">
        <v>6450483.6168868821</v>
      </c>
      <c r="D17" s="5"/>
      <c r="E17" s="5"/>
      <c r="F17" s="5">
        <f>'2027'!S17*B17*12</f>
        <v>140796.54229939674</v>
      </c>
      <c r="G17" s="5">
        <f>+'2027'!V17*C17</f>
        <v>176147.31607724837</v>
      </c>
      <c r="H17" s="5">
        <f t="shared" si="3"/>
        <v>316943.85837664513</v>
      </c>
      <c r="I17" s="70">
        <f t="shared" si="0"/>
        <v>324658.6199321787</v>
      </c>
      <c r="J17" s="71">
        <f t="shared" si="1"/>
        <v>0.4442318050286338</v>
      </c>
      <c r="K17" s="32">
        <f t="shared" si="4"/>
        <v>144223.68475057694</v>
      </c>
      <c r="L17" s="56">
        <f t="shared" si="2"/>
        <v>10.373018218597331</v>
      </c>
      <c r="M17" s="56">
        <v>13.29</v>
      </c>
      <c r="N17" s="41" t="str">
        <f t="shared" si="6"/>
        <v>No</v>
      </c>
      <c r="O17" s="60">
        <f t="shared" si="5"/>
        <v>10.373018218597331</v>
      </c>
      <c r="P17" s="75">
        <f t="shared" si="7"/>
        <v>144223.68475057694</v>
      </c>
      <c r="Q17" s="30">
        <f t="shared" si="8"/>
        <v>180434.93518160176</v>
      </c>
      <c r="R17" s="31">
        <f>Q17/C17</f>
        <v>2.7972311209230365E-2</v>
      </c>
      <c r="S17" s="76"/>
      <c r="U17" s="81"/>
      <c r="V17" s="81"/>
      <c r="W17" s="81"/>
      <c r="X17" s="81"/>
      <c r="Y17" s="81"/>
      <c r="Z17" s="81"/>
      <c r="AA17" s="81"/>
      <c r="AB17" s="81"/>
      <c r="AC17" s="81"/>
    </row>
    <row r="18" spans="1:29" s="10" customFormat="1" ht="13.8" thickBot="1" x14ac:dyDescent="0.3">
      <c r="A18" s="4" t="s">
        <v>29</v>
      </c>
      <c r="B18" s="5">
        <v>1542.8996527115078</v>
      </c>
      <c r="C18" s="5">
        <v>13563322.057561571</v>
      </c>
      <c r="D18" s="5">
        <v>0</v>
      </c>
      <c r="E18" s="5"/>
      <c r="F18" s="5">
        <f>'2027'!S18*B18*12</f>
        <v>1536580.2276101094</v>
      </c>
      <c r="G18" s="5">
        <f>+'2027'!V18*C18</f>
        <v>0</v>
      </c>
      <c r="H18" s="5">
        <f t="shared" si="3"/>
        <v>1536580.2276101094</v>
      </c>
      <c r="I18" s="70">
        <f t="shared" si="0"/>
        <v>1573982.2777008615</v>
      </c>
      <c r="J18" s="72">
        <f t="shared" si="1"/>
        <v>1</v>
      </c>
      <c r="K18" s="55">
        <f t="shared" si="4"/>
        <v>1573982.2777008615</v>
      </c>
      <c r="L18" s="59">
        <f t="shared" si="2"/>
        <v>85.012132563445761</v>
      </c>
      <c r="M18" s="56">
        <v>80.77</v>
      </c>
      <c r="N18" s="47"/>
      <c r="O18" s="69">
        <f t="shared" si="5"/>
        <v>85.012132563445761</v>
      </c>
      <c r="P18" s="77">
        <f t="shared" si="7"/>
        <v>1573982.2777008615</v>
      </c>
      <c r="Q18" s="53">
        <f t="shared" si="8"/>
        <v>0</v>
      </c>
      <c r="R18" s="78"/>
      <c r="S18" s="79"/>
      <c r="U18" s="81"/>
      <c r="V18" s="81"/>
      <c r="W18" s="81"/>
      <c r="X18" s="81"/>
      <c r="Y18" s="81"/>
      <c r="Z18" s="81"/>
      <c r="AA18" s="81"/>
      <c r="AB18" s="81"/>
      <c r="AC18" s="81"/>
    </row>
    <row r="19" spans="1:29" s="10" customFormat="1" x14ac:dyDescent="0.25">
      <c r="A19" s="16"/>
      <c r="B19" s="17"/>
      <c r="C19" s="17"/>
      <c r="D19" s="18"/>
      <c r="E19" s="18"/>
      <c r="F19" s="18"/>
      <c r="G19" s="18"/>
      <c r="H19" s="18"/>
      <c r="I19" s="18"/>
      <c r="J19" s="40"/>
      <c r="K19" s="40"/>
      <c r="L19" s="40"/>
      <c r="M19" s="40"/>
      <c r="N19" s="40"/>
      <c r="O19" s="40"/>
      <c r="S19" s="35"/>
      <c r="U19" s="81"/>
      <c r="V19" s="81"/>
      <c r="W19" s="81"/>
      <c r="X19" s="81"/>
      <c r="Y19" s="81"/>
      <c r="Z19" s="81"/>
      <c r="AA19" s="81"/>
      <c r="AB19" s="81"/>
      <c r="AC19" s="81"/>
    </row>
    <row r="20" spans="1:29" s="10" customFormat="1" x14ac:dyDescent="0.25">
      <c r="A20" s="13" t="s">
        <v>17</v>
      </c>
      <c r="B20" s="19">
        <f>SUM(B10:B18)</f>
        <v>235115.89026752941</v>
      </c>
      <c r="C20" s="19">
        <f>SUM(C10:C18)</f>
        <v>1897456408.1874337</v>
      </c>
      <c r="D20" s="19">
        <f>SUM(D10:D18)</f>
        <v>4900279.9262920031</v>
      </c>
      <c r="E20" s="19">
        <f>SUM(E10:E18)</f>
        <v>2859134.8753685858</v>
      </c>
      <c r="F20" s="74">
        <f t="shared" ref="F20:I20" si="10">SUM(F10:F18)</f>
        <v>109282102.8605359</v>
      </c>
      <c r="G20" s="74">
        <f t="shared" si="10"/>
        <v>39944145.513381727</v>
      </c>
      <c r="H20" s="74">
        <f t="shared" si="10"/>
        <v>149226248.37391767</v>
      </c>
      <c r="I20" s="74">
        <f t="shared" si="10"/>
        <v>152858579.12778735</v>
      </c>
      <c r="J20" s="19"/>
      <c r="K20" s="19"/>
      <c r="L20" s="19"/>
      <c r="M20" s="19"/>
      <c r="N20" s="19"/>
      <c r="O20" s="19"/>
      <c r="P20" s="74">
        <f t="shared" ref="P20:Q20" si="11">SUM(P10:P18)</f>
        <v>111733904.63535832</v>
      </c>
      <c r="Q20" s="74">
        <f t="shared" si="11"/>
        <v>41124674.492428988</v>
      </c>
      <c r="R20" s="23"/>
      <c r="S20" s="35"/>
    </row>
    <row r="21" spans="1:29" s="10" customFormat="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R21" s="23"/>
      <c r="S21" s="35"/>
    </row>
    <row r="22" spans="1:29" s="10" customFormat="1" ht="14.4" thickBot="1" x14ac:dyDescent="0.3">
      <c r="O22" s="49"/>
      <c r="P22" s="51"/>
      <c r="Q22" s="52"/>
    </row>
    <row r="23" spans="1:29" s="10" customFormat="1" x14ac:dyDescent="0.25">
      <c r="G23" s="61"/>
      <c r="H23" s="62" t="s">
        <v>74</v>
      </c>
      <c r="I23" s="63">
        <f>H20</f>
        <v>149226248.37391767</v>
      </c>
      <c r="P23" s="54"/>
      <c r="Q23" s="50"/>
    </row>
    <row r="24" spans="1:29" s="10" customFormat="1" x14ac:dyDescent="0.25">
      <c r="G24" s="45"/>
      <c r="H24" s="64" t="s">
        <v>75</v>
      </c>
      <c r="I24" s="65">
        <v>152858579.12778735</v>
      </c>
      <c r="O24" s="23"/>
      <c r="P24" s="51"/>
      <c r="Q24" s="50"/>
    </row>
    <row r="25" spans="1:29" s="10" customFormat="1" ht="13.8" thickBot="1" x14ac:dyDescent="0.3">
      <c r="B25" s="24"/>
      <c r="C25" s="24"/>
      <c r="D25" s="24"/>
      <c r="E25" s="24"/>
      <c r="F25" s="24"/>
      <c r="G25" s="66"/>
      <c r="H25" s="67" t="s">
        <v>76</v>
      </c>
      <c r="I25" s="68">
        <f>I24/I23</f>
        <v>1.0243410981208085</v>
      </c>
      <c r="S25" s="35"/>
    </row>
    <row r="26" spans="1:29" s="10" customFormat="1" x14ac:dyDescent="0.25">
      <c r="P26" s="9"/>
      <c r="Q26" s="48"/>
      <c r="S26" s="35"/>
    </row>
    <row r="27" spans="1:29" s="10" customFormat="1" x14ac:dyDescent="0.25">
      <c r="P27" s="27"/>
      <c r="S27" s="35"/>
    </row>
    <row r="28" spans="1:29" s="10" customFormat="1" x14ac:dyDescent="0.25">
      <c r="P28" s="27"/>
      <c r="Q28" s="38"/>
      <c r="R28" s="38"/>
      <c r="S28" s="38"/>
    </row>
    <row r="29" spans="1:29" s="10" customFormat="1" x14ac:dyDescent="0.25">
      <c r="P29" s="27"/>
      <c r="Q29" s="36"/>
      <c r="R29" s="22"/>
      <c r="S29" s="22"/>
    </row>
    <row r="30" spans="1:29" s="10" customFormat="1" x14ac:dyDescent="0.25">
      <c r="P30" s="27"/>
      <c r="Q30" s="36"/>
      <c r="R30" s="22"/>
      <c r="S30" s="22"/>
    </row>
    <row r="31" spans="1:29" s="10" customFormat="1" x14ac:dyDescent="0.25">
      <c r="P31" s="27"/>
      <c r="Q31" s="36"/>
      <c r="R31" s="22"/>
      <c r="S31" s="22"/>
    </row>
    <row r="32" spans="1:29" s="10" customFormat="1" x14ac:dyDescent="0.25">
      <c r="N32" s="29"/>
      <c r="O32" s="29"/>
      <c r="P32" s="27"/>
      <c r="Q32" s="36"/>
      <c r="R32" s="22"/>
      <c r="S32" s="22"/>
    </row>
    <row r="33" spans="13:16" s="10" customFormat="1" x14ac:dyDescent="0.25">
      <c r="N33" s="29"/>
      <c r="O33" s="29"/>
      <c r="P33" s="27"/>
    </row>
    <row r="34" spans="13:16" x14ac:dyDescent="0.25">
      <c r="M34" s="2"/>
      <c r="N34" s="2"/>
      <c r="O34" s="2"/>
      <c r="P34" s="27"/>
    </row>
    <row r="35" spans="13:16" x14ac:dyDescent="0.25">
      <c r="M35" s="2"/>
      <c r="N35" s="2"/>
      <c r="O35" s="2"/>
      <c r="P35" s="27"/>
    </row>
    <row r="36" spans="13:16" x14ac:dyDescent="0.25">
      <c r="P36" s="27"/>
    </row>
    <row r="37" spans="13:16" x14ac:dyDescent="0.25">
      <c r="P37" s="27"/>
    </row>
    <row r="38" spans="13:16" x14ac:dyDescent="0.25">
      <c r="P38" s="27"/>
    </row>
    <row r="39" spans="13:16" x14ac:dyDescent="0.25">
      <c r="P39" s="27"/>
    </row>
    <row r="40" spans="13:16" x14ac:dyDescent="0.25">
      <c r="P40" s="27"/>
    </row>
    <row r="41" spans="13:16" x14ac:dyDescent="0.25">
      <c r="P41" s="27"/>
    </row>
    <row r="42" spans="13:16" x14ac:dyDescent="0.25">
      <c r="P42" s="27"/>
    </row>
    <row r="43" spans="13:16" x14ac:dyDescent="0.25">
      <c r="P43" s="27"/>
    </row>
    <row r="44" spans="13:16" x14ac:dyDescent="0.25">
      <c r="P44" s="27"/>
    </row>
    <row r="45" spans="13:16" x14ac:dyDescent="0.25">
      <c r="P45" s="27"/>
    </row>
    <row r="46" spans="13:16" x14ac:dyDescent="0.25">
      <c r="P46" s="27"/>
    </row>
  </sheetData>
  <mergeCells count="2">
    <mergeCell ref="J6:O6"/>
    <mergeCell ref="P6:S6"/>
  </mergeCells>
  <printOptions horizontalCentered="1"/>
  <pageMargins left="0.2" right="0.2" top="1.5" bottom="0.75" header="0.3" footer="0.3"/>
  <pageSetup paperSize="17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E889-8899-45B4-95FD-5633B21C3A99}">
  <sheetPr>
    <pageSetUpPr fitToPage="1"/>
  </sheetPr>
  <dimension ref="A1:S46"/>
  <sheetViews>
    <sheetView topLeftCell="O3" zoomScaleNormal="100" zoomScaleSheetLayoutView="50" workbookViewId="0">
      <selection activeCell="U8" sqref="U8:AC19"/>
    </sheetView>
  </sheetViews>
  <sheetFormatPr defaultRowHeight="13.2" x14ac:dyDescent="0.25"/>
  <cols>
    <col min="1" max="1" width="20" customWidth="1"/>
    <col min="2" max="2" width="14" customWidth="1"/>
    <col min="3" max="3" width="16.88671875" customWidth="1"/>
    <col min="4" max="4" width="14.44140625" bestFit="1" customWidth="1"/>
    <col min="5" max="8" width="14.44140625" customWidth="1"/>
    <col min="9" max="9" width="16.44140625" customWidth="1"/>
    <col min="10" max="10" width="18.109375" customWidth="1"/>
    <col min="11" max="11" width="17.44140625" customWidth="1"/>
    <col min="12" max="12" width="18.6640625" customWidth="1"/>
    <col min="13" max="13" width="17.44140625" customWidth="1"/>
    <col min="14" max="14" width="18" customWidth="1"/>
    <col min="15" max="15" width="22.44140625" customWidth="1"/>
    <col min="16" max="16" width="18.5546875" customWidth="1"/>
    <col min="17" max="17" width="18.5546875" bestFit="1" customWidth="1"/>
    <col min="18" max="18" width="13.5546875" customWidth="1"/>
    <col min="19" max="19" width="13.88671875" customWidth="1"/>
    <col min="24" max="24" width="11.21875" customWidth="1"/>
  </cols>
  <sheetData>
    <row r="1" spans="1:19" s="36" customFormat="1" x14ac:dyDescent="0.25">
      <c r="A1" s="36">
        <v>1</v>
      </c>
      <c r="B1" s="36">
        <v>2</v>
      </c>
      <c r="C1" s="36">
        <v>3</v>
      </c>
      <c r="D1" s="36">
        <v>4</v>
      </c>
      <c r="E1" s="36">
        <v>5</v>
      </c>
      <c r="F1" s="36">
        <v>6</v>
      </c>
      <c r="G1" s="36">
        <v>7</v>
      </c>
      <c r="H1" s="36">
        <v>8</v>
      </c>
      <c r="I1" s="36">
        <v>9</v>
      </c>
      <c r="J1" s="36">
        <v>10</v>
      </c>
      <c r="K1" s="36">
        <v>11</v>
      </c>
      <c r="L1" s="36">
        <v>12</v>
      </c>
      <c r="M1" s="36">
        <v>13</v>
      </c>
      <c r="N1" s="36">
        <v>14</v>
      </c>
      <c r="O1" s="36">
        <v>15</v>
      </c>
      <c r="P1" s="36">
        <v>16</v>
      </c>
      <c r="Q1" s="36">
        <v>17</v>
      </c>
      <c r="R1" s="36">
        <v>18</v>
      </c>
      <c r="S1" s="36">
        <v>19</v>
      </c>
    </row>
    <row r="2" spans="1:19" s="10" customFormat="1" x14ac:dyDescent="0.25"/>
    <row r="3" spans="1:19" s="10" customFormat="1" ht="22.8" x14ac:dyDescent="0.4">
      <c r="A3" s="11" t="s">
        <v>63</v>
      </c>
      <c r="J3" s="12"/>
      <c r="K3" s="12"/>
      <c r="L3" s="12"/>
      <c r="M3" s="12"/>
      <c r="N3" s="12"/>
      <c r="O3" s="12"/>
      <c r="P3" s="12"/>
      <c r="Q3" s="12"/>
      <c r="R3" s="12"/>
    </row>
    <row r="4" spans="1:19" s="10" customFormat="1" ht="22.8" x14ac:dyDescent="0.4">
      <c r="A4" s="11"/>
      <c r="J4" s="12"/>
      <c r="K4" s="12"/>
      <c r="L4" s="12"/>
      <c r="M4" s="12"/>
      <c r="N4" s="12"/>
      <c r="O4" s="12"/>
      <c r="P4" s="12"/>
      <c r="Q4" s="12"/>
      <c r="R4" s="12"/>
    </row>
    <row r="5" spans="1:19" s="10" customFormat="1" ht="23.4" thickBot="1" x14ac:dyDescent="0.45">
      <c r="A5" s="11"/>
      <c r="J5" s="12"/>
      <c r="K5" s="12"/>
      <c r="L5" s="12"/>
      <c r="M5" s="12"/>
      <c r="N5" s="12"/>
      <c r="O5" s="12"/>
      <c r="P5" s="12"/>
      <c r="Q5" s="12"/>
      <c r="R5" s="12"/>
    </row>
    <row r="6" spans="1:19" s="10" customFormat="1" ht="18" thickBot="1" x14ac:dyDescent="0.35">
      <c r="J6" s="85" t="s">
        <v>67</v>
      </c>
      <c r="K6" s="86"/>
      <c r="L6" s="86"/>
      <c r="M6" s="86"/>
      <c r="N6" s="86"/>
      <c r="O6" s="87"/>
      <c r="P6" s="85" t="s">
        <v>115</v>
      </c>
      <c r="Q6" s="86"/>
      <c r="R6" s="86"/>
      <c r="S6" s="87"/>
    </row>
    <row r="7" spans="1:19" s="14" customFormat="1" ht="78" x14ac:dyDescent="0.25">
      <c r="B7" s="15" t="s">
        <v>0</v>
      </c>
      <c r="C7" s="14" t="s">
        <v>30</v>
      </c>
      <c r="D7" s="14" t="s">
        <v>1</v>
      </c>
      <c r="E7" s="15" t="s">
        <v>39</v>
      </c>
      <c r="F7" s="15" t="s">
        <v>51</v>
      </c>
      <c r="G7" s="15" t="s">
        <v>52</v>
      </c>
      <c r="H7" s="15" t="s">
        <v>93</v>
      </c>
      <c r="I7" s="15" t="s">
        <v>96</v>
      </c>
      <c r="J7" s="43" t="s">
        <v>64</v>
      </c>
      <c r="K7" s="15" t="s">
        <v>65</v>
      </c>
      <c r="L7" s="15" t="s">
        <v>66</v>
      </c>
      <c r="M7" s="15" t="s">
        <v>31</v>
      </c>
      <c r="N7" s="15" t="s">
        <v>6</v>
      </c>
      <c r="O7" s="44" t="s">
        <v>90</v>
      </c>
      <c r="P7" s="43" t="s">
        <v>7</v>
      </c>
      <c r="Q7" s="15" t="s">
        <v>8</v>
      </c>
      <c r="R7" s="15" t="s">
        <v>87</v>
      </c>
      <c r="S7" s="44" t="s">
        <v>88</v>
      </c>
    </row>
    <row r="8" spans="1:19" s="10" customFormat="1" ht="39.6" x14ac:dyDescent="0.25">
      <c r="F8" s="48" t="s">
        <v>9</v>
      </c>
      <c r="G8" s="48" t="s">
        <v>10</v>
      </c>
      <c r="H8" s="48" t="s">
        <v>103</v>
      </c>
      <c r="I8" s="48" t="s">
        <v>105</v>
      </c>
      <c r="J8" s="82" t="s">
        <v>18</v>
      </c>
      <c r="K8" s="83" t="s">
        <v>104</v>
      </c>
      <c r="L8" s="83" t="s">
        <v>106</v>
      </c>
      <c r="M8" s="48" t="s">
        <v>107</v>
      </c>
      <c r="N8" s="83" t="s">
        <v>108</v>
      </c>
      <c r="O8" s="80" t="s">
        <v>109</v>
      </c>
      <c r="P8" s="82" t="s">
        <v>110</v>
      </c>
      <c r="Q8" s="48" t="s">
        <v>111</v>
      </c>
      <c r="R8" s="48" t="s">
        <v>112</v>
      </c>
      <c r="S8" s="80" t="s">
        <v>113</v>
      </c>
    </row>
    <row r="9" spans="1:19" s="10" customFormat="1" x14ac:dyDescent="0.25">
      <c r="J9" s="45"/>
      <c r="O9" s="46"/>
      <c r="P9" s="45"/>
      <c r="S9" s="46"/>
    </row>
    <row r="10" spans="1:19" s="10" customFormat="1" x14ac:dyDescent="0.25">
      <c r="A10" s="4" t="s">
        <v>21</v>
      </c>
      <c r="B10" s="5">
        <v>174699.34346084355</v>
      </c>
      <c r="C10" s="5">
        <v>1545953167.9286928</v>
      </c>
      <c r="D10" s="5">
        <v>0</v>
      </c>
      <c r="E10" s="5"/>
      <c r="F10" s="5">
        <f>'2028'!O10*B10*12</f>
        <v>102356500.14920002</v>
      </c>
      <c r="G10" s="5">
        <f>+'2028'!R10*C10</f>
        <v>0</v>
      </c>
      <c r="H10" s="5">
        <f>F10+G10</f>
        <v>102356500.14920002</v>
      </c>
      <c r="I10" s="70">
        <f t="shared" ref="I10:I18" si="0">H10*$I$25</f>
        <v>106107150.28724247</v>
      </c>
      <c r="J10" s="71">
        <f t="shared" ref="J10:J18" si="1">F10/H10</f>
        <v>1</v>
      </c>
      <c r="K10" s="32">
        <f>I10*J10</f>
        <v>106107150.28724247</v>
      </c>
      <c r="L10" s="56">
        <f t="shared" ref="L10:L18" si="2">K10/B10/12</f>
        <v>50.614171460345204</v>
      </c>
      <c r="M10" s="56">
        <v>34.4</v>
      </c>
      <c r="N10" s="32"/>
      <c r="O10" s="60">
        <f>IF(N10="Yes",M10,L10)</f>
        <v>50.614171460345204</v>
      </c>
      <c r="P10" s="75">
        <f>O10*B10*12</f>
        <v>106107150.28724246</v>
      </c>
      <c r="Q10" s="30">
        <f>I10-P10</f>
        <v>0</v>
      </c>
      <c r="R10" s="31"/>
      <c r="S10" s="76"/>
    </row>
    <row r="11" spans="1:19" s="10" customFormat="1" x14ac:dyDescent="0.25">
      <c r="A11" s="4" t="s">
        <v>22</v>
      </c>
      <c r="B11" s="5">
        <v>12433.865939070065</v>
      </c>
      <c r="C11" s="5">
        <v>354086627.25998735</v>
      </c>
      <c r="D11" s="5">
        <v>0</v>
      </c>
      <c r="E11" s="5"/>
      <c r="F11" s="5">
        <f>'2028'!O11*B11*12</f>
        <v>4064382.0981632229</v>
      </c>
      <c r="G11" s="5">
        <f>+'2028'!R11*C11</f>
        <v>11984229.135305975</v>
      </c>
      <c r="H11" s="5">
        <f t="shared" ref="H11:H18" si="3">F11+G11</f>
        <v>16048611.233469198</v>
      </c>
      <c r="I11" s="70">
        <f t="shared" si="0"/>
        <v>16636680.636491586</v>
      </c>
      <c r="J11" s="71">
        <f t="shared" si="1"/>
        <v>0.25325444295684602</v>
      </c>
      <c r="K11" s="32">
        <f t="shared" ref="K11:K18" si="4">I11*J11</f>
        <v>4213313.2872456228</v>
      </c>
      <c r="L11" s="56">
        <f t="shared" si="2"/>
        <v>28.238155560334246</v>
      </c>
      <c r="M11" s="56">
        <v>27.24</v>
      </c>
      <c r="N11" s="41" t="str">
        <f>IF(L11&gt;M11,"Yes","No")</f>
        <v>Yes</v>
      </c>
      <c r="O11" s="60">
        <f t="shared" ref="O11:O18" si="5">IF(N11="Yes",M11,L11)</f>
        <v>27.24</v>
      </c>
      <c r="P11" s="75">
        <f>O11*B11*12</f>
        <v>4064382.0981632229</v>
      </c>
      <c r="Q11" s="30">
        <f>I11-P11</f>
        <v>12572298.538328363</v>
      </c>
      <c r="R11" s="31">
        <f>Q11/C11</f>
        <v>3.5506278888914881E-2</v>
      </c>
      <c r="S11" s="76"/>
    </row>
    <row r="12" spans="1:19" s="10" customFormat="1" x14ac:dyDescent="0.25">
      <c r="A12" s="4" t="s">
        <v>23</v>
      </c>
      <c r="B12" s="84">
        <v>1537.3997808837155</v>
      </c>
      <c r="C12" s="5"/>
      <c r="D12" s="5">
        <v>3326120.221858311</v>
      </c>
      <c r="E12" s="5">
        <v>1310491.3674121746</v>
      </c>
      <c r="F12" s="5">
        <f>'2028'!O12*B12*12</f>
        <v>3061393.4356781249</v>
      </c>
      <c r="G12" s="5">
        <f>+'2028'!S12*D12-E12*0.6</f>
        <v>20916736.891839035</v>
      </c>
      <c r="H12" s="5">
        <f t="shared" si="3"/>
        <v>23978130.327517159</v>
      </c>
      <c r="I12" s="70">
        <f t="shared" si="0"/>
        <v>24856761.168663647</v>
      </c>
      <c r="J12" s="71">
        <f>F12/H12</f>
        <v>0.12767440137586072</v>
      </c>
      <c r="K12" s="32">
        <f t="shared" si="4"/>
        <v>3173572.1023518713</v>
      </c>
      <c r="L12" s="56">
        <f t="shared" si="2"/>
        <v>172.02054088406251</v>
      </c>
      <c r="M12" s="56">
        <v>165.94</v>
      </c>
      <c r="N12" s="41" t="str">
        <f t="shared" ref="N12:N17" si="6">IF(L12&gt;M12,"Yes","No")</f>
        <v>Yes</v>
      </c>
      <c r="O12" s="60">
        <f>IF(N12="Yes",M12,L12)</f>
        <v>165.94</v>
      </c>
      <c r="P12" s="75">
        <f>O12*B12*12</f>
        <v>3061393.4356781249</v>
      </c>
      <c r="Q12" s="30">
        <f t="shared" ref="Q12:Q18" si="7">I12-P12</f>
        <v>21795367.732985523</v>
      </c>
      <c r="R12" s="31"/>
      <c r="S12" s="76">
        <f>(Q12+E12*0.6)/D12</f>
        <v>6.7891901215814743</v>
      </c>
    </row>
    <row r="13" spans="1:19" s="10" customFormat="1" x14ac:dyDescent="0.25">
      <c r="A13" s="4" t="s">
        <v>24</v>
      </c>
      <c r="B13" s="5">
        <v>12.975</v>
      </c>
      <c r="C13" s="5"/>
      <c r="D13" s="5">
        <v>714879.82735508983</v>
      </c>
      <c r="E13" s="5">
        <v>714879.82735508983</v>
      </c>
      <c r="F13" s="5">
        <f>'2028'!O13*B13*12</f>
        <v>716196.64500000002</v>
      </c>
      <c r="G13" s="5">
        <f>+'2028'!S13*D13-E13*0.6</f>
        <v>3227737.679009276</v>
      </c>
      <c r="H13" s="5">
        <f t="shared" si="3"/>
        <v>3943934.324009276</v>
      </c>
      <c r="I13" s="70">
        <f t="shared" si="0"/>
        <v>4088451.9442406609</v>
      </c>
      <c r="J13" s="71">
        <f t="shared" si="1"/>
        <v>0.18159446536420457</v>
      </c>
      <c r="K13" s="32">
        <f t="shared" si="4"/>
        <v>742440.24498162547</v>
      </c>
      <c r="L13" s="56">
        <f t="shared" si="2"/>
        <v>4768.402344133754</v>
      </c>
      <c r="M13" s="56">
        <v>4599.8500000000004</v>
      </c>
      <c r="N13" s="41" t="str">
        <f t="shared" si="6"/>
        <v>Yes</v>
      </c>
      <c r="O13" s="60">
        <f t="shared" si="5"/>
        <v>4599.8500000000004</v>
      </c>
      <c r="P13" s="75">
        <f t="shared" ref="P13:P18" si="8">O13*B13*12</f>
        <v>716196.64500000002</v>
      </c>
      <c r="Q13" s="30">
        <f t="shared" si="7"/>
        <v>3372255.2992406609</v>
      </c>
      <c r="R13" s="31"/>
      <c r="S13" s="76">
        <f t="shared" ref="S13:S16" si="9">(Q13+E13*0.6)/D13</f>
        <v>5.3172338205671865</v>
      </c>
    </row>
    <row r="14" spans="1:19" s="10" customFormat="1" x14ac:dyDescent="0.25">
      <c r="A14" s="4" t="s">
        <v>25</v>
      </c>
      <c r="B14" s="5">
        <v>6.4625000000000004</v>
      </c>
      <c r="C14" s="5"/>
      <c r="D14" s="5">
        <v>1042834.3281894677</v>
      </c>
      <c r="E14" s="5">
        <v>1042834.3281894677</v>
      </c>
      <c r="F14" s="5">
        <f>'2028'!O14*B14*12</f>
        <v>831509.71200000006</v>
      </c>
      <c r="G14" s="5">
        <f>+'2028'!S14*D14-E14*0.6</f>
        <v>5769495.6976566045</v>
      </c>
      <c r="H14" s="5">
        <f t="shared" si="3"/>
        <v>6601005.4096566048</v>
      </c>
      <c r="I14" s="70">
        <f t="shared" si="0"/>
        <v>6842886.1091222856</v>
      </c>
      <c r="J14" s="71">
        <f t="shared" si="1"/>
        <v>0.12596713082276606</v>
      </c>
      <c r="K14" s="32">
        <f t="shared" si="4"/>
        <v>861978.72971309558</v>
      </c>
      <c r="L14" s="56">
        <f t="shared" si="2"/>
        <v>11115.135134920638</v>
      </c>
      <c r="M14" s="56">
        <v>10722.24</v>
      </c>
      <c r="N14" s="41" t="str">
        <f t="shared" si="6"/>
        <v>Yes</v>
      </c>
      <c r="O14" s="60">
        <f t="shared" si="5"/>
        <v>10722.24</v>
      </c>
      <c r="P14" s="75">
        <f t="shared" si="8"/>
        <v>831509.71200000006</v>
      </c>
      <c r="Q14" s="30">
        <f t="shared" si="7"/>
        <v>6011376.3971222853</v>
      </c>
      <c r="R14" s="31"/>
      <c r="S14" s="76">
        <f t="shared" si="9"/>
        <v>6.3644596410237337</v>
      </c>
    </row>
    <row r="15" spans="1:19" s="10" customFormat="1" x14ac:dyDescent="0.25">
      <c r="A15" s="4" t="s">
        <v>26</v>
      </c>
      <c r="B15" s="5">
        <v>47044.245427443428</v>
      </c>
      <c r="C15" s="5"/>
      <c r="D15" s="5">
        <v>44644.724030707992</v>
      </c>
      <c r="E15" s="5"/>
      <c r="F15" s="5">
        <f>'2028'!O15*B15*12</f>
        <v>682517.12817600381</v>
      </c>
      <c r="G15" s="5">
        <f>+'2028'!S15*D15-E15*0.6</f>
        <v>245892.2559743711</v>
      </c>
      <c r="H15" s="5">
        <f t="shared" si="3"/>
        <v>928409.38415037491</v>
      </c>
      <c r="I15" s="70">
        <f t="shared" si="0"/>
        <v>962429.09740500723</v>
      </c>
      <c r="J15" s="71">
        <f t="shared" si="1"/>
        <v>0.73514673572650591</v>
      </c>
      <c r="K15" s="32">
        <f t="shared" si="4"/>
        <v>707526.60932549846</v>
      </c>
      <c r="L15" s="56">
        <f t="shared" si="2"/>
        <v>1.2532999571235555</v>
      </c>
      <c r="M15" s="56">
        <v>1.86</v>
      </c>
      <c r="N15" s="41" t="str">
        <f t="shared" si="6"/>
        <v>No</v>
      </c>
      <c r="O15" s="60">
        <f t="shared" si="5"/>
        <v>1.2532999571235555</v>
      </c>
      <c r="P15" s="75">
        <f>O15*B15*12</f>
        <v>707526.60932549834</v>
      </c>
      <c r="Q15" s="30">
        <f t="shared" si="7"/>
        <v>254902.48807950888</v>
      </c>
      <c r="R15" s="31"/>
      <c r="S15" s="76">
        <f t="shared" si="9"/>
        <v>5.7095769682477879</v>
      </c>
    </row>
    <row r="16" spans="1:19" s="10" customFormat="1" x14ac:dyDescent="0.25">
      <c r="A16" s="4" t="s">
        <v>27</v>
      </c>
      <c r="B16" s="5">
        <v>250.56798032369252</v>
      </c>
      <c r="C16" s="5"/>
      <c r="D16" s="5">
        <v>634.86173214226346</v>
      </c>
      <c r="E16" s="5"/>
      <c r="F16" s="5">
        <f>'2028'!O16*B16*12</f>
        <v>23614.423662757941</v>
      </c>
      <c r="G16" s="5">
        <f>+'2028'!S16*D16-E16*0.6</f>
        <v>14758.024407847441</v>
      </c>
      <c r="H16" s="5">
        <f t="shared" si="3"/>
        <v>38372.44807060538</v>
      </c>
      <c r="I16" s="70">
        <f t="shared" si="0"/>
        <v>39778.53002381065</v>
      </c>
      <c r="J16" s="71">
        <f t="shared" si="1"/>
        <v>0.61540049827697607</v>
      </c>
      <c r="K16" s="32">
        <f t="shared" si="4"/>
        <v>24479.727197378728</v>
      </c>
      <c r="L16" s="56">
        <f t="shared" si="2"/>
        <v>8.1414124175519671</v>
      </c>
      <c r="M16" s="56">
        <v>14.36</v>
      </c>
      <c r="N16" s="41" t="str">
        <f t="shared" si="6"/>
        <v>No</v>
      </c>
      <c r="O16" s="60">
        <f t="shared" si="5"/>
        <v>8.1414124175519671</v>
      </c>
      <c r="P16" s="75">
        <f t="shared" si="8"/>
        <v>24479.727197378728</v>
      </c>
      <c r="Q16" s="30">
        <f t="shared" si="7"/>
        <v>15298.802826431922</v>
      </c>
      <c r="R16" s="31"/>
      <c r="S16" s="76">
        <f t="shared" si="9"/>
        <v>24.097850054385823</v>
      </c>
    </row>
    <row r="17" spans="1:19" s="10" customFormat="1" x14ac:dyDescent="0.25">
      <c r="A17" s="4" t="s">
        <v>28</v>
      </c>
      <c r="B17" s="5">
        <v>1159.3385596919243</v>
      </c>
      <c r="C17" s="5">
        <v>6421580.5485769762</v>
      </c>
      <c r="D17" s="5"/>
      <c r="E17" s="5"/>
      <c r="F17" s="5">
        <f>'2028'!O17*B17*12</f>
        <v>144310.08001448063</v>
      </c>
      <c r="G17" s="5">
        <f>+'2028'!R17*C17</f>
        <v>179626.44955993543</v>
      </c>
      <c r="H17" s="5">
        <f t="shared" si="3"/>
        <v>323936.52957441605</v>
      </c>
      <c r="I17" s="70">
        <f t="shared" si="0"/>
        <v>335806.53868565249</v>
      </c>
      <c r="J17" s="71">
        <f t="shared" si="1"/>
        <v>0.44548875115774528</v>
      </c>
      <c r="K17" s="32">
        <f t="shared" si="4"/>
        <v>149598.0355496764</v>
      </c>
      <c r="L17" s="56">
        <f t="shared" si="2"/>
        <v>10.753116816700901</v>
      </c>
      <c r="M17" s="56">
        <v>13.29</v>
      </c>
      <c r="N17" s="41" t="str">
        <f t="shared" si="6"/>
        <v>No</v>
      </c>
      <c r="O17" s="60">
        <f t="shared" si="5"/>
        <v>10.753116816700901</v>
      </c>
      <c r="P17" s="75">
        <f t="shared" si="8"/>
        <v>149598.0355496764</v>
      </c>
      <c r="Q17" s="30">
        <f t="shared" si="7"/>
        <v>186208.50313597609</v>
      </c>
      <c r="R17" s="31">
        <f>Q17/C17</f>
        <v>2.89973008556655E-2</v>
      </c>
      <c r="S17" s="76"/>
    </row>
    <row r="18" spans="1:19" s="10" customFormat="1" ht="13.8" thickBot="1" x14ac:dyDescent="0.3">
      <c r="A18" s="4" t="s">
        <v>29</v>
      </c>
      <c r="B18" s="5">
        <v>1539.381225192612</v>
      </c>
      <c r="C18" s="5">
        <v>13936133.75580476</v>
      </c>
      <c r="D18" s="5">
        <v>0</v>
      </c>
      <c r="E18" s="5"/>
      <c r="F18" s="5">
        <f>'2028'!O18*B18*12</f>
        <v>1570392.9693810465</v>
      </c>
      <c r="G18" s="5">
        <f>+'2028'!R18*C18</f>
        <v>0</v>
      </c>
      <c r="H18" s="5">
        <f t="shared" si="3"/>
        <v>1570392.9693810465</v>
      </c>
      <c r="I18" s="70">
        <f t="shared" si="0"/>
        <v>1627936.8928134067</v>
      </c>
      <c r="J18" s="72">
        <f t="shared" si="1"/>
        <v>1</v>
      </c>
      <c r="K18" s="55">
        <f t="shared" si="4"/>
        <v>1627936.8928134067</v>
      </c>
      <c r="L18" s="59">
        <f t="shared" si="2"/>
        <v>88.127232887016802</v>
      </c>
      <c r="M18" s="59">
        <v>80.77</v>
      </c>
      <c r="N18" s="47"/>
      <c r="O18" s="69">
        <f t="shared" si="5"/>
        <v>88.127232887016802</v>
      </c>
      <c r="P18" s="77">
        <f t="shared" si="8"/>
        <v>1627936.8928134069</v>
      </c>
      <c r="Q18" s="53">
        <f t="shared" si="7"/>
        <v>0</v>
      </c>
      <c r="R18" s="78"/>
      <c r="S18" s="79"/>
    </row>
    <row r="19" spans="1:19" s="10" customFormat="1" x14ac:dyDescent="0.25">
      <c r="A19" s="16"/>
      <c r="B19" s="17"/>
      <c r="C19" s="17"/>
      <c r="D19" s="18"/>
      <c r="E19" s="18"/>
      <c r="F19" s="18"/>
      <c r="G19" s="18"/>
      <c r="H19" s="18"/>
      <c r="I19" s="18"/>
      <c r="J19" s="40"/>
      <c r="K19" s="40"/>
      <c r="L19" s="40"/>
      <c r="M19" s="40"/>
      <c r="N19" s="40"/>
      <c r="O19" s="40"/>
      <c r="S19" s="35"/>
    </row>
    <row r="20" spans="1:19" s="10" customFormat="1" x14ac:dyDescent="0.25">
      <c r="A20" s="13" t="s">
        <v>17</v>
      </c>
      <c r="B20" s="19">
        <f>SUM(B10:B18)</f>
        <v>238683.57987344897</v>
      </c>
      <c r="C20" s="19">
        <f>SUM(C10:C18)</f>
        <v>1920397509.493062</v>
      </c>
      <c r="D20" s="19">
        <f>SUM(D10:D18)</f>
        <v>5129113.9631657191</v>
      </c>
      <c r="E20" s="19">
        <f>SUM(E10:E18)</f>
        <v>3068205.5229567322</v>
      </c>
      <c r="F20" s="74">
        <f t="shared" ref="F20:I20" si="10">SUM(F10:F18)</f>
        <v>113450816.64127564</v>
      </c>
      <c r="G20" s="74">
        <f t="shared" si="10"/>
        <v>42338476.133753046</v>
      </c>
      <c r="H20" s="74">
        <f t="shared" si="10"/>
        <v>155789292.77502874</v>
      </c>
      <c r="I20" s="74">
        <f t="shared" si="10"/>
        <v>161497881.20468852</v>
      </c>
      <c r="J20" s="19"/>
      <c r="K20" s="19"/>
      <c r="L20" s="19"/>
      <c r="M20" s="19"/>
      <c r="N20" s="19"/>
      <c r="O20" s="19"/>
      <c r="P20" s="74">
        <f t="shared" ref="P20:Q20" si="11">SUM(P10:P18)</f>
        <v>117290173.44296974</v>
      </c>
      <c r="Q20" s="74">
        <f t="shared" si="11"/>
        <v>44207707.761718757</v>
      </c>
      <c r="R20" s="23"/>
      <c r="S20" s="35"/>
    </row>
    <row r="21" spans="1:19" s="10" customFormat="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R21" s="23"/>
      <c r="S21" s="35"/>
    </row>
    <row r="22" spans="1:19" s="10" customFormat="1" ht="14.4" thickBot="1" x14ac:dyDescent="0.3">
      <c r="O22" s="49"/>
      <c r="P22" s="51"/>
      <c r="Q22" s="52"/>
    </row>
    <row r="23" spans="1:19" s="10" customFormat="1" x14ac:dyDescent="0.25">
      <c r="G23" s="61"/>
      <c r="H23" s="62" t="s">
        <v>81</v>
      </c>
      <c r="I23" s="63">
        <f>H20</f>
        <v>155789292.77502874</v>
      </c>
      <c r="P23" s="54"/>
      <c r="Q23" s="50"/>
    </row>
    <row r="24" spans="1:19" s="10" customFormat="1" x14ac:dyDescent="0.25">
      <c r="G24" s="45"/>
      <c r="H24" s="64" t="s">
        <v>82</v>
      </c>
      <c r="I24" s="65">
        <v>161497881.20468855</v>
      </c>
      <c r="O24" s="23"/>
      <c r="P24" s="51"/>
      <c r="Q24" s="50"/>
    </row>
    <row r="25" spans="1:19" s="10" customFormat="1" ht="13.8" thickBot="1" x14ac:dyDescent="0.3">
      <c r="B25" s="24"/>
      <c r="C25" s="24"/>
      <c r="D25" s="24"/>
      <c r="E25" s="24"/>
      <c r="F25" s="24"/>
      <c r="G25" s="66"/>
      <c r="H25" s="67" t="s">
        <v>76</v>
      </c>
      <c r="I25" s="68">
        <f>I24/I23</f>
        <v>1.0366430088228429</v>
      </c>
      <c r="S25" s="35"/>
    </row>
    <row r="26" spans="1:19" s="10" customFormat="1" x14ac:dyDescent="0.25">
      <c r="P26" s="9"/>
      <c r="Q26" s="48"/>
      <c r="S26" s="35"/>
    </row>
    <row r="27" spans="1:19" s="10" customFormat="1" x14ac:dyDescent="0.25">
      <c r="P27" s="27"/>
      <c r="S27" s="35"/>
    </row>
    <row r="28" spans="1:19" s="10" customFormat="1" x14ac:dyDescent="0.25">
      <c r="P28" s="27"/>
      <c r="Q28" s="38"/>
      <c r="R28" s="38"/>
      <c r="S28" s="38"/>
    </row>
    <row r="29" spans="1:19" s="10" customFormat="1" x14ac:dyDescent="0.25">
      <c r="P29" s="27"/>
      <c r="Q29" s="36"/>
      <c r="R29" s="22"/>
      <c r="S29" s="22"/>
    </row>
    <row r="30" spans="1:19" s="10" customFormat="1" x14ac:dyDescent="0.25">
      <c r="P30" s="27"/>
      <c r="Q30" s="36"/>
      <c r="R30" s="22"/>
      <c r="S30" s="22"/>
    </row>
    <row r="31" spans="1:19" s="10" customFormat="1" x14ac:dyDescent="0.25">
      <c r="P31" s="27"/>
      <c r="Q31" s="36"/>
      <c r="R31" s="22"/>
      <c r="S31" s="22"/>
    </row>
    <row r="32" spans="1:19" s="10" customFormat="1" x14ac:dyDescent="0.25">
      <c r="N32" s="29"/>
      <c r="O32" s="29"/>
      <c r="P32" s="27"/>
      <c r="Q32" s="36"/>
      <c r="R32" s="22"/>
      <c r="S32" s="22"/>
    </row>
    <row r="33" spans="13:16" s="10" customFormat="1" x14ac:dyDescent="0.25">
      <c r="N33" s="29"/>
      <c r="O33" s="29"/>
      <c r="P33" s="27"/>
    </row>
    <row r="34" spans="13:16" x14ac:dyDescent="0.25">
      <c r="M34" s="2"/>
      <c r="N34" s="2"/>
      <c r="O34" s="2"/>
      <c r="P34" s="27"/>
    </row>
    <row r="35" spans="13:16" x14ac:dyDescent="0.25">
      <c r="M35" s="2"/>
      <c r="N35" s="2"/>
      <c r="O35" s="2"/>
      <c r="P35" s="27"/>
    </row>
    <row r="36" spans="13:16" x14ac:dyDescent="0.25">
      <c r="P36" s="27"/>
    </row>
    <row r="37" spans="13:16" x14ac:dyDescent="0.25">
      <c r="P37" s="27"/>
    </row>
    <row r="38" spans="13:16" x14ac:dyDescent="0.25">
      <c r="P38" s="27"/>
    </row>
    <row r="39" spans="13:16" x14ac:dyDescent="0.25">
      <c r="P39" s="27"/>
    </row>
    <row r="40" spans="13:16" x14ac:dyDescent="0.25">
      <c r="P40" s="27"/>
    </row>
    <row r="41" spans="13:16" x14ac:dyDescent="0.25">
      <c r="P41" s="27"/>
    </row>
    <row r="42" spans="13:16" x14ac:dyDescent="0.25">
      <c r="P42" s="27"/>
    </row>
    <row r="43" spans="13:16" x14ac:dyDescent="0.25">
      <c r="P43" s="27"/>
    </row>
    <row r="44" spans="13:16" x14ac:dyDescent="0.25">
      <c r="P44" s="27"/>
    </row>
    <row r="45" spans="13:16" x14ac:dyDescent="0.25">
      <c r="P45" s="27"/>
    </row>
    <row r="46" spans="13:16" x14ac:dyDescent="0.25">
      <c r="P46" s="27"/>
    </row>
  </sheetData>
  <mergeCells count="2">
    <mergeCell ref="J6:O6"/>
    <mergeCell ref="P6:S6"/>
  </mergeCells>
  <printOptions horizontalCentered="1"/>
  <pageMargins left="0.2" right="0.2" top="1.5" bottom="0.75" header="0.3" footer="0.3"/>
  <pageSetup paperSize="17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B86C-EC06-470A-BF7F-EDEE29EB358C}">
  <sheetPr>
    <pageSetUpPr fitToPage="1"/>
  </sheetPr>
  <dimension ref="A1:S46"/>
  <sheetViews>
    <sheetView topLeftCell="N7" zoomScaleNormal="100" zoomScaleSheetLayoutView="50" workbookViewId="0">
      <selection activeCell="U8" sqref="U8:AB21"/>
    </sheetView>
  </sheetViews>
  <sheetFormatPr defaultRowHeight="13.2" x14ac:dyDescent="0.25"/>
  <cols>
    <col min="1" max="1" width="20" customWidth="1"/>
    <col min="2" max="2" width="14" customWidth="1"/>
    <col min="3" max="3" width="16.88671875" customWidth="1"/>
    <col min="4" max="4" width="14.44140625" bestFit="1" customWidth="1"/>
    <col min="5" max="8" width="14.44140625" customWidth="1"/>
    <col min="9" max="9" width="16.44140625" customWidth="1"/>
    <col min="10" max="10" width="18.109375" customWidth="1"/>
    <col min="11" max="11" width="17.44140625" customWidth="1"/>
    <col min="12" max="12" width="18.6640625" customWidth="1"/>
    <col min="13" max="13" width="17.44140625" customWidth="1"/>
    <col min="14" max="14" width="18" customWidth="1"/>
    <col min="15" max="15" width="22.44140625" customWidth="1"/>
    <col min="16" max="16" width="18.5546875" customWidth="1"/>
    <col min="17" max="17" width="18.5546875" bestFit="1" customWidth="1"/>
    <col min="18" max="18" width="13.5546875" customWidth="1"/>
    <col min="19" max="19" width="13.88671875" customWidth="1"/>
    <col min="24" max="24" width="11.21875" customWidth="1"/>
  </cols>
  <sheetData>
    <row r="1" spans="1:19" s="36" customFormat="1" x14ac:dyDescent="0.25">
      <c r="A1" s="36">
        <v>1</v>
      </c>
      <c r="B1" s="36">
        <v>2</v>
      </c>
      <c r="C1" s="36">
        <v>3</v>
      </c>
      <c r="D1" s="36">
        <v>4</v>
      </c>
      <c r="E1" s="36">
        <v>5</v>
      </c>
      <c r="F1" s="36">
        <v>6</v>
      </c>
      <c r="G1" s="36">
        <v>7</v>
      </c>
      <c r="H1" s="36">
        <v>8</v>
      </c>
      <c r="I1" s="36">
        <v>9</v>
      </c>
      <c r="J1" s="36">
        <v>10</v>
      </c>
      <c r="K1" s="36">
        <v>11</v>
      </c>
      <c r="L1" s="36">
        <v>12</v>
      </c>
      <c r="M1" s="36">
        <v>13</v>
      </c>
      <c r="N1" s="36">
        <v>14</v>
      </c>
      <c r="O1" s="36">
        <v>15</v>
      </c>
      <c r="P1" s="36">
        <v>16</v>
      </c>
      <c r="Q1" s="36">
        <v>17</v>
      </c>
      <c r="R1" s="36">
        <v>18</v>
      </c>
      <c r="S1" s="36">
        <v>19</v>
      </c>
    </row>
    <row r="2" spans="1:19" s="10" customFormat="1" x14ac:dyDescent="0.25"/>
    <row r="3" spans="1:19" s="10" customFormat="1" ht="22.8" x14ac:dyDescent="0.4">
      <c r="A3" s="11" t="s">
        <v>73</v>
      </c>
      <c r="J3" s="12"/>
      <c r="K3" s="12"/>
      <c r="L3" s="12"/>
      <c r="M3" s="12"/>
      <c r="N3" s="12"/>
      <c r="O3" s="12"/>
      <c r="P3" s="12"/>
      <c r="Q3" s="12"/>
      <c r="R3" s="12"/>
    </row>
    <row r="4" spans="1:19" s="10" customFormat="1" ht="22.8" x14ac:dyDescent="0.4">
      <c r="A4" s="11"/>
      <c r="J4" s="12"/>
      <c r="K4" s="12"/>
      <c r="L4" s="12"/>
      <c r="M4" s="12"/>
      <c r="N4" s="12"/>
      <c r="O4" s="12"/>
      <c r="P4" s="12"/>
      <c r="Q4" s="12"/>
      <c r="R4" s="12"/>
    </row>
    <row r="5" spans="1:19" s="10" customFormat="1" ht="23.4" thickBot="1" x14ac:dyDescent="0.45">
      <c r="A5" s="11"/>
      <c r="J5" s="12"/>
      <c r="K5" s="12"/>
      <c r="L5" s="12"/>
      <c r="M5" s="12"/>
      <c r="N5" s="12"/>
      <c r="O5" s="12"/>
      <c r="P5" s="12"/>
      <c r="Q5" s="12"/>
      <c r="R5" s="12"/>
    </row>
    <row r="6" spans="1:19" s="10" customFormat="1" ht="18" thickBot="1" x14ac:dyDescent="0.35">
      <c r="J6" s="85" t="s">
        <v>70</v>
      </c>
      <c r="K6" s="86"/>
      <c r="L6" s="86"/>
      <c r="M6" s="86"/>
      <c r="N6" s="86"/>
      <c r="O6" s="87"/>
      <c r="P6" s="85" t="s">
        <v>116</v>
      </c>
      <c r="Q6" s="86"/>
      <c r="R6" s="86"/>
      <c r="S6" s="87"/>
    </row>
    <row r="7" spans="1:19" s="14" customFormat="1" ht="78" x14ac:dyDescent="0.25">
      <c r="B7" s="15" t="s">
        <v>0</v>
      </c>
      <c r="C7" s="14" t="s">
        <v>30</v>
      </c>
      <c r="D7" s="14" t="s">
        <v>1</v>
      </c>
      <c r="E7" s="15" t="s">
        <v>39</v>
      </c>
      <c r="F7" s="15" t="s">
        <v>53</v>
      </c>
      <c r="G7" s="15" t="s">
        <v>54</v>
      </c>
      <c r="H7" s="15" t="s">
        <v>92</v>
      </c>
      <c r="I7" s="15" t="s">
        <v>97</v>
      </c>
      <c r="J7" s="43" t="s">
        <v>60</v>
      </c>
      <c r="K7" s="15" t="s">
        <v>61</v>
      </c>
      <c r="L7" s="15" t="s">
        <v>62</v>
      </c>
      <c r="M7" s="15" t="s">
        <v>31</v>
      </c>
      <c r="N7" s="15" t="s">
        <v>6</v>
      </c>
      <c r="O7" s="44" t="s">
        <v>85</v>
      </c>
      <c r="P7" s="43" t="s">
        <v>7</v>
      </c>
      <c r="Q7" s="15" t="s">
        <v>8</v>
      </c>
      <c r="R7" s="15" t="s">
        <v>83</v>
      </c>
      <c r="S7" s="44" t="s">
        <v>84</v>
      </c>
    </row>
    <row r="8" spans="1:19" s="10" customFormat="1" ht="39.6" x14ac:dyDescent="0.25">
      <c r="F8" s="48" t="s">
        <v>9</v>
      </c>
      <c r="G8" s="48" t="s">
        <v>10</v>
      </c>
      <c r="H8" s="48" t="s">
        <v>103</v>
      </c>
      <c r="I8" s="48" t="s">
        <v>105</v>
      </c>
      <c r="J8" s="82" t="s">
        <v>18</v>
      </c>
      <c r="K8" s="83" t="s">
        <v>104</v>
      </c>
      <c r="L8" s="83" t="s">
        <v>106</v>
      </c>
      <c r="M8" s="48" t="s">
        <v>107</v>
      </c>
      <c r="N8" s="83" t="s">
        <v>108</v>
      </c>
      <c r="O8" s="80" t="s">
        <v>109</v>
      </c>
      <c r="P8" s="82" t="s">
        <v>110</v>
      </c>
      <c r="Q8" s="48" t="s">
        <v>111</v>
      </c>
      <c r="R8" s="48" t="s">
        <v>112</v>
      </c>
      <c r="S8" s="80" t="s">
        <v>113</v>
      </c>
    </row>
    <row r="9" spans="1:19" s="10" customFormat="1" x14ac:dyDescent="0.25">
      <c r="J9" s="45"/>
      <c r="O9" s="46"/>
      <c r="P9" s="45"/>
      <c r="S9" s="46"/>
    </row>
    <row r="10" spans="1:19" s="10" customFormat="1" x14ac:dyDescent="0.25">
      <c r="A10" s="4" t="s">
        <v>21</v>
      </c>
      <c r="B10" s="5">
        <v>177521.39304649908</v>
      </c>
      <c r="C10" s="5">
        <v>1578019605.7929204</v>
      </c>
      <c r="D10" s="5">
        <v>0</v>
      </c>
      <c r="E10" s="5"/>
      <c r="F10" s="5">
        <f>'2029'!O10*B10*12</f>
        <v>107821178.70641805</v>
      </c>
      <c r="G10" s="5">
        <f>+'2029'!R10*C10</f>
        <v>0</v>
      </c>
      <c r="H10" s="5">
        <f>F10+G10</f>
        <v>107821178.70641805</v>
      </c>
      <c r="I10" s="70">
        <f t="shared" ref="I10:I18" si="0">H10*$I$25</f>
        <v>112650294.20218647</v>
      </c>
      <c r="J10" s="71">
        <f t="shared" ref="J10:J18" si="1">F10/H10</f>
        <v>1</v>
      </c>
      <c r="K10" s="32">
        <f>I10*J10</f>
        <v>112650294.20218647</v>
      </c>
      <c r="L10" s="56">
        <f t="shared" ref="L10:L18" si="2">K10/B10/12</f>
        <v>52.881088615556045</v>
      </c>
      <c r="M10" s="56">
        <v>34.4</v>
      </c>
      <c r="N10" s="32"/>
      <c r="O10" s="60">
        <f>IF(N10="Yes",M10,L10)</f>
        <v>52.881088615556045</v>
      </c>
      <c r="P10" s="75">
        <f>O10*B10*12</f>
        <v>112650294.20218648</v>
      </c>
      <c r="Q10" s="30">
        <f>I10-P10</f>
        <v>0</v>
      </c>
      <c r="R10" s="31"/>
      <c r="S10" s="76"/>
    </row>
    <row r="11" spans="1:19" s="10" customFormat="1" x14ac:dyDescent="0.25">
      <c r="A11" s="4" t="s">
        <v>22</v>
      </c>
      <c r="B11" s="5">
        <v>12550.460800061115</v>
      </c>
      <c r="C11" s="5">
        <v>355352505.68427235</v>
      </c>
      <c r="D11" s="5">
        <v>0</v>
      </c>
      <c r="E11" s="5"/>
      <c r="F11" s="5">
        <f>'2029'!O11*B11*12</f>
        <v>4102494.6263239775</v>
      </c>
      <c r="G11" s="5">
        <f>+'2029'!R11*C11</f>
        <v>12617245.170700485</v>
      </c>
      <c r="H11" s="5">
        <f t="shared" ref="H11:H18" si="3">F11+G11</f>
        <v>16719739.797024462</v>
      </c>
      <c r="I11" s="70">
        <f t="shared" si="0"/>
        <v>17468586.688773576</v>
      </c>
      <c r="J11" s="71">
        <f t="shared" si="1"/>
        <v>0.24536832965869959</v>
      </c>
      <c r="K11" s="32">
        <f t="shared" ref="K11:K18" si="4">I11*J11</f>
        <v>4286237.9373225663</v>
      </c>
      <c r="L11" s="56">
        <f t="shared" si="2"/>
        <v>28.460030310213085</v>
      </c>
      <c r="M11" s="56">
        <v>27.24</v>
      </c>
      <c r="N11" s="41" t="str">
        <f>IF(L11&gt;M11,"Yes","No")</f>
        <v>Yes</v>
      </c>
      <c r="O11" s="60">
        <f t="shared" ref="O11:O18" si="5">IF(N11="Yes",M11,L11)</f>
        <v>27.24</v>
      </c>
      <c r="P11" s="75">
        <f>O11*B11*12</f>
        <v>4102494.6263239775</v>
      </c>
      <c r="Q11" s="30">
        <f>I11-P11</f>
        <v>13366092.062449599</v>
      </c>
      <c r="R11" s="31">
        <f>Q11/C11</f>
        <v>3.7613614224308457E-2</v>
      </c>
      <c r="S11" s="76"/>
    </row>
    <row r="12" spans="1:19" s="10" customFormat="1" x14ac:dyDescent="0.25">
      <c r="A12" s="4" t="s">
        <v>23</v>
      </c>
      <c r="B12" s="5">
        <v>1546.1376144628241</v>
      </c>
      <c r="C12" s="5"/>
      <c r="D12" s="5">
        <v>3361193.3913224842</v>
      </c>
      <c r="E12" s="5">
        <v>1324310.1961810589</v>
      </c>
      <c r="F12" s="5">
        <f>'2029'!O12*B12*12</f>
        <v>3078792.9089275324</v>
      </c>
      <c r="G12" s="5">
        <f>+'2029'!S12*D12-E12*0.6</f>
        <v>22025194.851382911</v>
      </c>
      <c r="H12" s="5">
        <f t="shared" si="3"/>
        <v>25103987.760310445</v>
      </c>
      <c r="I12" s="70">
        <f t="shared" si="0"/>
        <v>26228349.947344109</v>
      </c>
      <c r="J12" s="71">
        <f t="shared" si="1"/>
        <v>0.12264158739732667</v>
      </c>
      <c r="K12" s="32">
        <f t="shared" si="4"/>
        <v>3216686.4723548708</v>
      </c>
      <c r="L12" s="56">
        <f t="shared" si="2"/>
        <v>173.37215233761967</v>
      </c>
      <c r="M12" s="56">
        <v>165.94</v>
      </c>
      <c r="N12" s="41" t="str">
        <f t="shared" ref="N12:N17" si="6">IF(L12&gt;M12,"Yes","No")</f>
        <v>Yes</v>
      </c>
      <c r="O12" s="60">
        <f t="shared" si="5"/>
        <v>165.94</v>
      </c>
      <c r="P12" s="75">
        <f t="shared" ref="P12:P18" si="7">O12*B12*12</f>
        <v>3078792.9089275324</v>
      </c>
      <c r="Q12" s="30">
        <f t="shared" ref="Q12:Q18" si="8">I12-P12</f>
        <v>23149557.038416576</v>
      </c>
      <c r="R12" s="31"/>
      <c r="S12" s="76">
        <f>(Q12+E12*0.6)/D12</f>
        <v>7.1237029139534949</v>
      </c>
    </row>
    <row r="13" spans="1:19" s="10" customFormat="1" x14ac:dyDescent="0.25">
      <c r="A13" s="4" t="s">
        <v>24</v>
      </c>
      <c r="B13" s="5">
        <v>13.262500000000001</v>
      </c>
      <c r="C13" s="5"/>
      <c r="D13" s="5">
        <v>744000.60861029197</v>
      </c>
      <c r="E13" s="5">
        <v>744000.60861029197</v>
      </c>
      <c r="F13" s="5">
        <f>'2029'!O13*B13*12</f>
        <v>732066.12750000018</v>
      </c>
      <c r="G13" s="5">
        <f>+'2029'!S13*D13-E13*0.6</f>
        <v>3509624.8334590397</v>
      </c>
      <c r="H13" s="5">
        <f t="shared" si="3"/>
        <v>4241690.9609590396</v>
      </c>
      <c r="I13" s="70">
        <f t="shared" si="0"/>
        <v>4431668.6239152402</v>
      </c>
      <c r="J13" s="71">
        <f t="shared" si="1"/>
        <v>0.1725882753453781</v>
      </c>
      <c r="K13" s="32">
        <f t="shared" si="4"/>
        <v>764854.04470375634</v>
      </c>
      <c r="L13" s="56">
        <f t="shared" si="2"/>
        <v>4805.8689582391225</v>
      </c>
      <c r="M13" s="56">
        <v>4599.8500000000004</v>
      </c>
      <c r="N13" s="41" t="str">
        <f t="shared" si="6"/>
        <v>Yes</v>
      </c>
      <c r="O13" s="60">
        <f t="shared" si="5"/>
        <v>4599.8500000000004</v>
      </c>
      <c r="P13" s="75">
        <f t="shared" si="7"/>
        <v>732066.12750000018</v>
      </c>
      <c r="Q13" s="30">
        <f t="shared" si="8"/>
        <v>3699602.4964152398</v>
      </c>
      <c r="R13" s="31"/>
      <c r="S13" s="76">
        <f t="shared" ref="S13:S16" si="9">(Q13+E13*0.6)/D13</f>
        <v>5.5725799328654775</v>
      </c>
    </row>
    <row r="14" spans="1:19" s="10" customFormat="1" x14ac:dyDescent="0.25">
      <c r="A14" s="4" t="s">
        <v>25</v>
      </c>
      <c r="B14" s="5">
        <v>6.5</v>
      </c>
      <c r="C14" s="5"/>
      <c r="D14" s="5">
        <v>1100817.9804563506</v>
      </c>
      <c r="E14" s="5">
        <v>1100817.9804563506</v>
      </c>
      <c r="F14" s="5">
        <f>'2029'!O14*B14*12</f>
        <v>836334.72</v>
      </c>
      <c r="G14" s="5">
        <f>+'2029'!S14*D14-E14*0.6</f>
        <v>6345620.8204538859</v>
      </c>
      <c r="H14" s="5">
        <f t="shared" si="3"/>
        <v>7181955.5404538857</v>
      </c>
      <c r="I14" s="70">
        <f t="shared" si="0"/>
        <v>7503622.3336240966</v>
      </c>
      <c r="J14" s="71">
        <f t="shared" si="1"/>
        <v>0.11644944267465421</v>
      </c>
      <c r="K14" s="32">
        <f t="shared" si="4"/>
        <v>873792.63879161421</v>
      </c>
      <c r="L14" s="56">
        <f t="shared" si="2"/>
        <v>11202.469728097618</v>
      </c>
      <c r="M14" s="56">
        <v>10722.24</v>
      </c>
      <c r="N14" s="41" t="str">
        <f t="shared" si="6"/>
        <v>Yes</v>
      </c>
      <c r="O14" s="60">
        <f t="shared" si="5"/>
        <v>10722.24</v>
      </c>
      <c r="P14" s="75">
        <f t="shared" si="7"/>
        <v>836334.72</v>
      </c>
      <c r="Q14" s="30">
        <f t="shared" si="8"/>
        <v>6667287.6136240968</v>
      </c>
      <c r="R14" s="31"/>
      <c r="S14" s="76">
        <f t="shared" si="9"/>
        <v>6.6566667078422297</v>
      </c>
    </row>
    <row r="15" spans="1:19" s="10" customFormat="1" x14ac:dyDescent="0.25">
      <c r="A15" s="4" t="s">
        <v>26</v>
      </c>
      <c r="B15" s="5">
        <v>47725.820173611275</v>
      </c>
      <c r="C15" s="5"/>
      <c r="D15" s="5">
        <v>45205.829194696213</v>
      </c>
      <c r="E15" s="5"/>
      <c r="F15" s="5">
        <f>'2029'!O15*B15*12</f>
        <v>717777.22052728245</v>
      </c>
      <c r="G15" s="5">
        <f>+'2029'!S15*D15-E15*0.6</f>
        <v>258106.16120058094</v>
      </c>
      <c r="H15" s="5">
        <f t="shared" si="3"/>
        <v>975883.38172786334</v>
      </c>
      <c r="I15" s="70">
        <f t="shared" si="0"/>
        <v>1019591.4325700528</v>
      </c>
      <c r="J15" s="71">
        <f t="shared" si="1"/>
        <v>0.73551536378907534</v>
      </c>
      <c r="K15" s="32">
        <f t="shared" si="4"/>
        <v>749925.1634429869</v>
      </c>
      <c r="L15" s="56">
        <f t="shared" si="2"/>
        <v>1.3094329944025389</v>
      </c>
      <c r="M15" s="56">
        <v>1.86</v>
      </c>
      <c r="N15" s="41" t="str">
        <f t="shared" si="6"/>
        <v>No</v>
      </c>
      <c r="O15" s="60">
        <f t="shared" si="5"/>
        <v>1.3094329944025389</v>
      </c>
      <c r="P15" s="75">
        <f>O15*B15*12</f>
        <v>749925.1634429869</v>
      </c>
      <c r="Q15" s="30">
        <f t="shared" si="8"/>
        <v>269666.2691270659</v>
      </c>
      <c r="R15" s="31"/>
      <c r="S15" s="76">
        <f t="shared" si="9"/>
        <v>5.9652985893842327</v>
      </c>
    </row>
    <row r="16" spans="1:19" s="10" customFormat="1" x14ac:dyDescent="0.25">
      <c r="A16" s="4" t="s">
        <v>27</v>
      </c>
      <c r="B16" s="5">
        <v>246.38951063704306</v>
      </c>
      <c r="C16" s="5"/>
      <c r="D16" s="5">
        <v>625.44345118936644</v>
      </c>
      <c r="E16" s="5"/>
      <c r="F16" s="5">
        <f>'2029'!O16*B16*12</f>
        <v>24071.503457459701</v>
      </c>
      <c r="G16" s="5">
        <f>+'2029'!S16*D16-E16*0.6</f>
        <v>15071.842504258932</v>
      </c>
      <c r="H16" s="5">
        <f t="shared" si="3"/>
        <v>39143.345961718631</v>
      </c>
      <c r="I16" s="70">
        <f t="shared" si="0"/>
        <v>40896.505598886535</v>
      </c>
      <c r="J16" s="71">
        <f t="shared" si="1"/>
        <v>0.6149577371592384</v>
      </c>
      <c r="K16" s="32">
        <f t="shared" si="4"/>
        <v>25149.622540811386</v>
      </c>
      <c r="L16" s="56">
        <f t="shared" si="2"/>
        <v>8.5060515481451606</v>
      </c>
      <c r="M16" s="56">
        <v>14.36</v>
      </c>
      <c r="N16" s="41" t="str">
        <f t="shared" si="6"/>
        <v>No</v>
      </c>
      <c r="O16" s="60">
        <f t="shared" si="5"/>
        <v>8.5060515481451606</v>
      </c>
      <c r="P16" s="75">
        <f t="shared" si="7"/>
        <v>25149.622540811382</v>
      </c>
      <c r="Q16" s="30">
        <f t="shared" si="8"/>
        <v>15746.883058075153</v>
      </c>
      <c r="R16" s="31"/>
      <c r="S16" s="76">
        <f t="shared" si="9"/>
        <v>25.177149154140629</v>
      </c>
    </row>
    <row r="17" spans="1:19" s="10" customFormat="1" x14ac:dyDescent="0.25">
      <c r="A17" s="4" t="s">
        <v>28</v>
      </c>
      <c r="B17" s="5">
        <v>1157.6313914036609</v>
      </c>
      <c r="C17" s="5">
        <v>6393062.1316104801</v>
      </c>
      <c r="D17" s="5"/>
      <c r="E17" s="5"/>
      <c r="F17" s="5">
        <f>'2029'!O17*B17*12</f>
        <v>149377.74698932283</v>
      </c>
      <c r="G17" s="5">
        <f>+'2029'!R17*C17</f>
        <v>185381.54601927128</v>
      </c>
      <c r="H17" s="5">
        <f t="shared" si="3"/>
        <v>334759.29300859408</v>
      </c>
      <c r="I17" s="70">
        <f t="shared" si="0"/>
        <v>349752.55600771261</v>
      </c>
      <c r="J17" s="71">
        <f t="shared" si="1"/>
        <v>0.44622434719232107</v>
      </c>
      <c r="K17" s="32">
        <f t="shared" si="4"/>
        <v>156068.10598338727</v>
      </c>
      <c r="L17" s="56">
        <f t="shared" si="2"/>
        <v>11.234729461548079</v>
      </c>
      <c r="M17" s="56">
        <v>13.29</v>
      </c>
      <c r="N17" s="41" t="str">
        <f t="shared" si="6"/>
        <v>No</v>
      </c>
      <c r="O17" s="60">
        <f t="shared" si="5"/>
        <v>11.234729461548079</v>
      </c>
      <c r="P17" s="75">
        <f t="shared" si="7"/>
        <v>156068.10598338727</v>
      </c>
      <c r="Q17" s="30">
        <f t="shared" si="8"/>
        <v>193684.45002432534</v>
      </c>
      <c r="R17" s="31">
        <f>Q17/C17</f>
        <v>3.0296037491432008E-2</v>
      </c>
      <c r="S17" s="76"/>
    </row>
    <row r="18" spans="1:19" s="10" customFormat="1" ht="13.8" thickBot="1" x14ac:dyDescent="0.3">
      <c r="A18" s="4" t="s">
        <v>29</v>
      </c>
      <c r="B18" s="5">
        <v>1535.8708210938942</v>
      </c>
      <c r="C18" s="5">
        <v>14392228.762428155</v>
      </c>
      <c r="D18" s="5">
        <v>0</v>
      </c>
      <c r="E18" s="5"/>
      <c r="F18" s="5">
        <f>'2029'!O18*B18*12</f>
        <v>1624224.546418984</v>
      </c>
      <c r="G18" s="5">
        <f>+'2029'!R18*C18</f>
        <v>0</v>
      </c>
      <c r="H18" s="5">
        <f t="shared" si="3"/>
        <v>1624224.546418984</v>
      </c>
      <c r="I18" s="70">
        <f t="shared" si="0"/>
        <v>1696970.6248779877</v>
      </c>
      <c r="J18" s="72">
        <f t="shared" si="1"/>
        <v>1</v>
      </c>
      <c r="K18" s="55">
        <f t="shared" si="4"/>
        <v>1696970.6248779877</v>
      </c>
      <c r="L18" s="59">
        <f t="shared" si="2"/>
        <v>92.074292185011231</v>
      </c>
      <c r="M18" s="59">
        <v>80.77</v>
      </c>
      <c r="N18" s="47"/>
      <c r="O18" s="69">
        <f t="shared" si="5"/>
        <v>92.074292185011231</v>
      </c>
      <c r="P18" s="77">
        <f t="shared" si="7"/>
        <v>1696970.6248779879</v>
      </c>
      <c r="Q18" s="53">
        <f t="shared" si="8"/>
        <v>0</v>
      </c>
      <c r="R18" s="78"/>
      <c r="S18" s="79"/>
    </row>
    <row r="19" spans="1:19" s="10" customFormat="1" x14ac:dyDescent="0.25">
      <c r="A19" s="16"/>
      <c r="B19" s="17"/>
      <c r="C19" s="17"/>
      <c r="D19" s="18"/>
      <c r="E19" s="18"/>
      <c r="F19" s="18"/>
      <c r="G19" s="18"/>
      <c r="H19" s="18"/>
      <c r="I19" s="18"/>
      <c r="J19" s="40"/>
      <c r="K19" s="40"/>
      <c r="L19" s="40"/>
      <c r="M19" s="40"/>
      <c r="N19" s="40"/>
      <c r="O19" s="40"/>
      <c r="S19" s="35"/>
    </row>
    <row r="20" spans="1:19" s="10" customFormat="1" x14ac:dyDescent="0.25">
      <c r="A20" s="13" t="s">
        <v>17</v>
      </c>
      <c r="B20" s="19">
        <f>SUM(B10:B18)</f>
        <v>242303.46585776893</v>
      </c>
      <c r="C20" s="19">
        <f>SUM(C10:C18)</f>
        <v>1954157402.3712311</v>
      </c>
      <c r="D20" s="19">
        <f>SUM(D10:D18)</f>
        <v>5251843.2530350126</v>
      </c>
      <c r="E20" s="19">
        <f>SUM(E10:E18)</f>
        <v>3169128.7852477012</v>
      </c>
      <c r="F20" s="74">
        <f t="shared" ref="F20:I20" si="10">SUM(F10:F18)</f>
        <v>119086318.1065626</v>
      </c>
      <c r="G20" s="74">
        <f t="shared" si="10"/>
        <v>44956245.225720428</v>
      </c>
      <c r="H20" s="74">
        <f t="shared" si="10"/>
        <v>164042563.33228308</v>
      </c>
      <c r="I20" s="74">
        <f t="shared" si="10"/>
        <v>171389732.91489813</v>
      </c>
      <c r="J20" s="19"/>
      <c r="K20" s="19"/>
      <c r="L20" s="19"/>
      <c r="M20" s="19"/>
      <c r="N20" s="19"/>
      <c r="O20" s="19"/>
      <c r="P20" s="74">
        <f t="shared" ref="P20:Q20" si="11">SUM(P10:P18)</f>
        <v>124028096.10178317</v>
      </c>
      <c r="Q20" s="74">
        <f t="shared" si="11"/>
        <v>47361636.813114978</v>
      </c>
      <c r="R20" s="23"/>
      <c r="S20" s="35"/>
    </row>
    <row r="21" spans="1:19" s="10" customFormat="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R21" s="23"/>
      <c r="S21" s="35"/>
    </row>
    <row r="22" spans="1:19" s="10" customFormat="1" ht="14.4" thickBot="1" x14ac:dyDescent="0.3">
      <c r="O22" s="49"/>
      <c r="P22" s="51"/>
      <c r="Q22" s="52"/>
    </row>
    <row r="23" spans="1:19" s="10" customFormat="1" x14ac:dyDescent="0.25">
      <c r="G23" s="61"/>
      <c r="H23" s="62" t="s">
        <v>79</v>
      </c>
      <c r="I23" s="63">
        <f>H20</f>
        <v>164042563.33228308</v>
      </c>
      <c r="P23" s="54"/>
      <c r="Q23" s="50"/>
    </row>
    <row r="24" spans="1:19" s="10" customFormat="1" x14ac:dyDescent="0.25">
      <c r="G24" s="45"/>
      <c r="H24" s="64" t="s">
        <v>80</v>
      </c>
      <c r="I24" s="65">
        <v>171389732.91489819</v>
      </c>
      <c r="O24" s="23"/>
      <c r="P24" s="51"/>
      <c r="Q24" s="50"/>
    </row>
    <row r="25" spans="1:19" s="10" customFormat="1" ht="13.8" thickBot="1" x14ac:dyDescent="0.3">
      <c r="B25" s="24"/>
      <c r="C25" s="24"/>
      <c r="D25" s="24"/>
      <c r="E25" s="24"/>
      <c r="F25" s="24"/>
      <c r="G25" s="66"/>
      <c r="H25" s="67" t="s">
        <v>76</v>
      </c>
      <c r="I25" s="68">
        <f>I24/I23</f>
        <v>1.0447881905364569</v>
      </c>
      <c r="S25" s="35"/>
    </row>
    <row r="26" spans="1:19" s="10" customFormat="1" x14ac:dyDescent="0.25">
      <c r="P26" s="9"/>
      <c r="Q26" s="48"/>
      <c r="S26" s="35"/>
    </row>
    <row r="27" spans="1:19" s="10" customFormat="1" x14ac:dyDescent="0.25">
      <c r="P27" s="27"/>
      <c r="S27" s="35"/>
    </row>
    <row r="28" spans="1:19" s="10" customFormat="1" x14ac:dyDescent="0.25">
      <c r="P28" s="27"/>
      <c r="Q28" s="38"/>
      <c r="R28" s="38"/>
      <c r="S28" s="38"/>
    </row>
    <row r="29" spans="1:19" s="10" customFormat="1" x14ac:dyDescent="0.25">
      <c r="P29" s="27"/>
      <c r="Q29" s="36"/>
      <c r="R29" s="22"/>
      <c r="S29" s="22"/>
    </row>
    <row r="30" spans="1:19" s="10" customFormat="1" x14ac:dyDescent="0.25">
      <c r="P30" s="27"/>
      <c r="Q30" s="36"/>
      <c r="R30" s="22"/>
      <c r="S30" s="22"/>
    </row>
    <row r="31" spans="1:19" s="10" customFormat="1" x14ac:dyDescent="0.25">
      <c r="P31" s="27"/>
      <c r="Q31" s="36"/>
      <c r="R31" s="22"/>
      <c r="S31" s="22"/>
    </row>
    <row r="32" spans="1:19" s="10" customFormat="1" x14ac:dyDescent="0.25">
      <c r="N32" s="29"/>
      <c r="O32" s="29"/>
      <c r="P32" s="27"/>
      <c r="Q32" s="36"/>
      <c r="R32" s="22"/>
      <c r="S32" s="22"/>
    </row>
    <row r="33" spans="13:16" s="10" customFormat="1" x14ac:dyDescent="0.25">
      <c r="N33" s="29"/>
      <c r="O33" s="29"/>
      <c r="P33" s="27"/>
    </row>
    <row r="34" spans="13:16" x14ac:dyDescent="0.25">
      <c r="M34" s="2"/>
      <c r="N34" s="2"/>
      <c r="O34" s="2"/>
      <c r="P34" s="27"/>
    </row>
    <row r="35" spans="13:16" x14ac:dyDescent="0.25">
      <c r="M35" s="2"/>
      <c r="N35" s="2"/>
      <c r="O35" s="2"/>
      <c r="P35" s="27"/>
    </row>
    <row r="36" spans="13:16" x14ac:dyDescent="0.25">
      <c r="P36" s="27"/>
    </row>
    <row r="37" spans="13:16" x14ac:dyDescent="0.25">
      <c r="P37" s="27"/>
    </row>
    <row r="38" spans="13:16" x14ac:dyDescent="0.25">
      <c r="P38" s="27"/>
    </row>
    <row r="39" spans="13:16" x14ac:dyDescent="0.25">
      <c r="P39" s="27"/>
    </row>
    <row r="40" spans="13:16" x14ac:dyDescent="0.25">
      <c r="P40" s="27"/>
    </row>
    <row r="41" spans="13:16" x14ac:dyDescent="0.25">
      <c r="P41" s="27"/>
    </row>
    <row r="42" spans="13:16" x14ac:dyDescent="0.25">
      <c r="P42" s="27"/>
    </row>
    <row r="43" spans="13:16" x14ac:dyDescent="0.25">
      <c r="P43" s="27"/>
    </row>
    <row r="44" spans="13:16" x14ac:dyDescent="0.25">
      <c r="P44" s="27"/>
    </row>
    <row r="45" spans="13:16" x14ac:dyDescent="0.25">
      <c r="P45" s="27"/>
    </row>
    <row r="46" spans="13:16" x14ac:dyDescent="0.25">
      <c r="P46" s="27"/>
    </row>
  </sheetData>
  <mergeCells count="2">
    <mergeCell ref="J6:O6"/>
    <mergeCell ref="P6:S6"/>
  </mergeCells>
  <printOptions horizontalCentered="1"/>
  <pageMargins left="0.2" right="0.2" top="1.5" bottom="0.75" header="0.3" footer="0.3"/>
  <pageSetup paperSize="17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7998-9E70-486B-9FC3-5B9921EFEF9D}">
  <sheetPr>
    <pageSetUpPr fitToPage="1"/>
  </sheetPr>
  <dimension ref="A1:S46"/>
  <sheetViews>
    <sheetView topLeftCell="N5" zoomScaleNormal="100" zoomScaleSheetLayoutView="50" workbookViewId="0">
      <selection activeCell="S30" sqref="S30"/>
    </sheetView>
  </sheetViews>
  <sheetFormatPr defaultRowHeight="13.2" x14ac:dyDescent="0.25"/>
  <cols>
    <col min="1" max="1" width="20" customWidth="1"/>
    <col min="2" max="2" width="14" customWidth="1"/>
    <col min="3" max="3" width="16.88671875" customWidth="1"/>
    <col min="4" max="4" width="14.44140625" bestFit="1" customWidth="1"/>
    <col min="5" max="8" width="14.44140625" customWidth="1"/>
    <col min="9" max="9" width="16.44140625" customWidth="1"/>
    <col min="10" max="10" width="18.109375" customWidth="1"/>
    <col min="11" max="11" width="17.44140625" customWidth="1"/>
    <col min="12" max="12" width="18.6640625" customWidth="1"/>
    <col min="13" max="13" width="17.44140625" customWidth="1"/>
    <col min="14" max="14" width="18" customWidth="1"/>
    <col min="15" max="15" width="22.44140625" customWidth="1"/>
    <col min="16" max="16" width="18.5546875" customWidth="1"/>
    <col min="17" max="17" width="18.5546875" bestFit="1" customWidth="1"/>
    <col min="18" max="18" width="13.5546875" customWidth="1"/>
    <col min="19" max="19" width="13.88671875" customWidth="1"/>
    <col min="24" max="24" width="11.21875" customWidth="1"/>
    <col min="25" max="25" width="10.5546875" customWidth="1"/>
  </cols>
  <sheetData>
    <row r="1" spans="1:19" s="36" customFormat="1" x14ac:dyDescent="0.25">
      <c r="A1" s="36">
        <v>1</v>
      </c>
      <c r="B1" s="36">
        <v>2</v>
      </c>
      <c r="C1" s="36">
        <v>3</v>
      </c>
      <c r="D1" s="36">
        <v>4</v>
      </c>
      <c r="E1" s="36">
        <v>5</v>
      </c>
      <c r="F1" s="36">
        <v>6</v>
      </c>
      <c r="G1" s="36">
        <v>7</v>
      </c>
      <c r="H1" s="36">
        <v>8</v>
      </c>
      <c r="I1" s="36">
        <v>9</v>
      </c>
      <c r="J1" s="36">
        <v>10</v>
      </c>
      <c r="K1" s="36">
        <v>11</v>
      </c>
      <c r="L1" s="36">
        <v>12</v>
      </c>
      <c r="M1" s="36">
        <v>13</v>
      </c>
      <c r="N1" s="36">
        <v>14</v>
      </c>
      <c r="O1" s="36">
        <v>15</v>
      </c>
      <c r="P1" s="36">
        <v>16</v>
      </c>
      <c r="Q1" s="36">
        <v>17</v>
      </c>
      <c r="R1" s="36">
        <v>18</v>
      </c>
      <c r="S1" s="36">
        <v>19</v>
      </c>
    </row>
    <row r="2" spans="1:19" s="10" customFormat="1" x14ac:dyDescent="0.25"/>
    <row r="3" spans="1:19" s="10" customFormat="1" ht="22.8" x14ac:dyDescent="0.4">
      <c r="A3" s="11" t="s">
        <v>72</v>
      </c>
      <c r="J3" s="12"/>
      <c r="K3" s="12"/>
      <c r="L3" s="12"/>
      <c r="M3" s="12"/>
      <c r="N3" s="12"/>
      <c r="O3" s="12"/>
      <c r="P3" s="12"/>
      <c r="Q3" s="12"/>
      <c r="R3" s="12"/>
    </row>
    <row r="4" spans="1:19" s="10" customFormat="1" ht="22.8" x14ac:dyDescent="0.4">
      <c r="A4" s="11"/>
      <c r="J4" s="12"/>
      <c r="K4" s="12"/>
      <c r="L4" s="12"/>
      <c r="M4" s="12"/>
      <c r="N4" s="12"/>
      <c r="O4" s="12"/>
      <c r="P4" s="12"/>
      <c r="Q4" s="12"/>
      <c r="R4" s="12"/>
    </row>
    <row r="5" spans="1:19" s="10" customFormat="1" ht="23.4" thickBot="1" x14ac:dyDescent="0.45">
      <c r="A5" s="11"/>
      <c r="J5" s="12"/>
      <c r="K5" s="12"/>
      <c r="L5" s="12"/>
      <c r="M5" s="12"/>
      <c r="N5" s="12"/>
      <c r="O5" s="12"/>
      <c r="P5" s="12"/>
      <c r="Q5" s="12"/>
      <c r="R5" s="12"/>
    </row>
    <row r="6" spans="1:19" s="10" customFormat="1" ht="18" thickBot="1" x14ac:dyDescent="0.35">
      <c r="J6" s="85" t="s">
        <v>71</v>
      </c>
      <c r="K6" s="86"/>
      <c r="L6" s="86"/>
      <c r="M6" s="86"/>
      <c r="N6" s="86"/>
      <c r="O6" s="87"/>
      <c r="P6" s="85" t="s">
        <v>117</v>
      </c>
      <c r="Q6" s="86"/>
      <c r="R6" s="86"/>
      <c r="S6" s="87"/>
    </row>
    <row r="7" spans="1:19" s="14" customFormat="1" ht="78" x14ac:dyDescent="0.25">
      <c r="B7" s="15" t="s">
        <v>0</v>
      </c>
      <c r="C7" s="14" t="s">
        <v>30</v>
      </c>
      <c r="D7" s="14" t="s">
        <v>1</v>
      </c>
      <c r="E7" s="15" t="s">
        <v>39</v>
      </c>
      <c r="F7" s="15" t="s">
        <v>55</v>
      </c>
      <c r="G7" s="15" t="s">
        <v>56</v>
      </c>
      <c r="H7" s="15" t="s">
        <v>91</v>
      </c>
      <c r="I7" s="15" t="s">
        <v>98</v>
      </c>
      <c r="J7" s="43" t="s">
        <v>57</v>
      </c>
      <c r="K7" s="15" t="s">
        <v>58</v>
      </c>
      <c r="L7" s="15" t="s">
        <v>59</v>
      </c>
      <c r="M7" s="15" t="s">
        <v>31</v>
      </c>
      <c r="N7" s="15" t="s">
        <v>6</v>
      </c>
      <c r="O7" s="44" t="s">
        <v>89</v>
      </c>
      <c r="P7" s="43" t="s">
        <v>7</v>
      </c>
      <c r="Q7" s="15" t="s">
        <v>8</v>
      </c>
      <c r="R7" s="15" t="s">
        <v>87</v>
      </c>
      <c r="S7" s="44" t="s">
        <v>88</v>
      </c>
    </row>
    <row r="8" spans="1:19" s="10" customFormat="1" ht="39.6" x14ac:dyDescent="0.25">
      <c r="F8" s="48" t="s">
        <v>9</v>
      </c>
      <c r="G8" s="48" t="s">
        <v>10</v>
      </c>
      <c r="H8" s="48" t="s">
        <v>103</v>
      </c>
      <c r="I8" s="48" t="s">
        <v>105</v>
      </c>
      <c r="J8" s="82" t="s">
        <v>18</v>
      </c>
      <c r="K8" s="83" t="s">
        <v>104</v>
      </c>
      <c r="L8" s="83" t="s">
        <v>106</v>
      </c>
      <c r="M8" s="48" t="s">
        <v>107</v>
      </c>
      <c r="N8" s="83" t="s">
        <v>108</v>
      </c>
      <c r="O8" s="80" t="s">
        <v>109</v>
      </c>
      <c r="P8" s="82" t="s">
        <v>110</v>
      </c>
      <c r="Q8" s="48" t="s">
        <v>111</v>
      </c>
      <c r="R8" s="48" t="s">
        <v>112</v>
      </c>
      <c r="S8" s="80" t="s">
        <v>113</v>
      </c>
    </row>
    <row r="9" spans="1:19" s="10" customFormat="1" x14ac:dyDescent="0.25">
      <c r="J9" s="45"/>
      <c r="O9" s="46"/>
      <c r="P9" s="45"/>
      <c r="S9" s="46"/>
    </row>
    <row r="10" spans="1:19" s="10" customFormat="1" x14ac:dyDescent="0.25">
      <c r="A10" s="4" t="s">
        <v>21</v>
      </c>
      <c r="B10" s="5">
        <v>180168.84194101999</v>
      </c>
      <c r="C10" s="5">
        <v>1611796222.8235793</v>
      </c>
      <c r="D10" s="5">
        <v>0</v>
      </c>
      <c r="E10" s="5"/>
      <c r="F10" s="5">
        <f>'2030'!O10*B10*12</f>
        <v>114330293.95734227</v>
      </c>
      <c r="G10" s="5">
        <f>+'2030'!R10*C10</f>
        <v>0</v>
      </c>
      <c r="H10" s="5">
        <f>F10+G10</f>
        <v>114330293.95734227</v>
      </c>
      <c r="I10" s="70">
        <f t="shared" ref="I10:I18" si="0">H10*$I$25</f>
        <v>123263455.34267417</v>
      </c>
      <c r="J10" s="71">
        <f t="shared" ref="J10:J18" si="1">F10/H10</f>
        <v>1</v>
      </c>
      <c r="K10" s="32">
        <f>I10*J10</f>
        <v>123263455.34267417</v>
      </c>
      <c r="L10" s="56">
        <f t="shared" ref="L10:L18" si="2">K10/B10/12</f>
        <v>57.012935761956761</v>
      </c>
      <c r="M10" s="56">
        <v>34.4</v>
      </c>
      <c r="N10" s="32"/>
      <c r="O10" s="60">
        <f>IF(N10="Yes",M10,L10)</f>
        <v>57.012935761956761</v>
      </c>
      <c r="P10" s="75">
        <f>O10*B10*12</f>
        <v>123263455.34267417</v>
      </c>
      <c r="Q10" s="30">
        <f>I10-P10</f>
        <v>0</v>
      </c>
      <c r="R10" s="31"/>
      <c r="S10" s="76"/>
    </row>
    <row r="11" spans="1:19" s="10" customFormat="1" x14ac:dyDescent="0.25">
      <c r="A11" s="4" t="s">
        <v>22</v>
      </c>
      <c r="B11" s="5">
        <v>12668.174179321259</v>
      </c>
      <c r="C11" s="5">
        <v>356378233.98522466</v>
      </c>
      <c r="D11" s="5">
        <v>0</v>
      </c>
      <c r="E11" s="5"/>
      <c r="F11" s="5">
        <f>'2030'!O11*B11*12</f>
        <v>4140972.7757365331</v>
      </c>
      <c r="G11" s="5">
        <f>+'2030'!R11*C11</f>
        <v>13404673.411060574</v>
      </c>
      <c r="H11" s="5">
        <f t="shared" ref="H11:H18" si="3">F11+G11</f>
        <v>17545646.186797105</v>
      </c>
      <c r="I11" s="70">
        <f t="shared" si="0"/>
        <v>18916569.706464361</v>
      </c>
      <c r="J11" s="71">
        <f t="shared" si="1"/>
        <v>0.23601141454981392</v>
      </c>
      <c r="K11" s="32">
        <f t="shared" ref="K11:K18" si="4">I11*J11</f>
        <v>4464526.3748528119</v>
      </c>
      <c r="L11" s="56">
        <f t="shared" si="2"/>
        <v>29.36838879105159</v>
      </c>
      <c r="M11" s="56">
        <v>27.24</v>
      </c>
      <c r="N11" s="41" t="str">
        <f>IF(L11&gt;M11,"Yes","No")</f>
        <v>Yes</v>
      </c>
      <c r="O11" s="60">
        <f t="shared" ref="O11:O18" si="5">IF(N11="Yes",M11,L11)</f>
        <v>27.24</v>
      </c>
      <c r="P11" s="75">
        <f>O11*B11*12</f>
        <v>4140972.7757365331</v>
      </c>
      <c r="Q11" s="30">
        <f>I11-P11</f>
        <v>14775596.930727828</v>
      </c>
      <c r="R11" s="31">
        <f>Q11/C11</f>
        <v>4.1460435912425618E-2</v>
      </c>
      <c r="S11" s="76"/>
    </row>
    <row r="12" spans="1:19" s="10" customFormat="1" x14ac:dyDescent="0.25">
      <c r="A12" s="4" t="s">
        <v>23</v>
      </c>
      <c r="B12" s="5">
        <v>1554.5779480588089</v>
      </c>
      <c r="C12" s="5"/>
      <c r="D12" s="5">
        <v>3383575.8228533794</v>
      </c>
      <c r="E12" s="5">
        <v>1333128.8742042314</v>
      </c>
      <c r="F12" s="5">
        <f>'2030'!O12*B12*12</f>
        <v>3095599.9764105449</v>
      </c>
      <c r="G12" s="5">
        <f>+'2030'!S12*D12-E12*0.6</f>
        <v>23303711.624320675</v>
      </c>
      <c r="H12" s="5">
        <f t="shared" si="3"/>
        <v>26399311.60073122</v>
      </c>
      <c r="I12" s="70">
        <f t="shared" si="0"/>
        <v>28462013.46939769</v>
      </c>
      <c r="J12" s="71">
        <f t="shared" si="1"/>
        <v>0.11726063252061472</v>
      </c>
      <c r="K12" s="32">
        <f t="shared" si="4"/>
        <v>3337473.7022318291</v>
      </c>
      <c r="L12" s="56">
        <f t="shared" si="2"/>
        <v>178.90566945620785</v>
      </c>
      <c r="M12" s="56">
        <v>165.94</v>
      </c>
      <c r="N12" s="41" t="str">
        <f t="shared" ref="N12:N17" si="6">IF(L12&gt;M12,"Yes","No")</f>
        <v>Yes</v>
      </c>
      <c r="O12" s="60">
        <f t="shared" si="5"/>
        <v>165.94</v>
      </c>
      <c r="P12" s="75">
        <f t="shared" ref="P12:P18" si="7">O12*B12*12</f>
        <v>3095599.9764105449</v>
      </c>
      <c r="Q12" s="30">
        <f t="shared" ref="Q12:Q18" si="8">I12-P12</f>
        <v>25366413.492987145</v>
      </c>
      <c r="R12" s="31"/>
      <c r="S12" s="76">
        <f>(Q12+E12*0.6)/D12</f>
        <v>7.73332479821409</v>
      </c>
    </row>
    <row r="13" spans="1:19" s="10" customFormat="1" x14ac:dyDescent="0.25">
      <c r="A13" s="4" t="s">
        <v>24</v>
      </c>
      <c r="B13" s="5">
        <v>13.3</v>
      </c>
      <c r="C13" s="5"/>
      <c r="D13" s="5">
        <v>774616.48203383083</v>
      </c>
      <c r="E13" s="5">
        <v>774616.48203383083</v>
      </c>
      <c r="F13" s="5">
        <f>'2030'!O13*B13*12</f>
        <v>734136.06</v>
      </c>
      <c r="G13" s="5">
        <f>+'2030'!S13*D13-E13*0.6</f>
        <v>3851842.3742282791</v>
      </c>
      <c r="H13" s="5">
        <f t="shared" si="3"/>
        <v>4585978.4342282787</v>
      </c>
      <c r="I13" s="70">
        <f t="shared" si="0"/>
        <v>4944302.4098309148</v>
      </c>
      <c r="J13" s="71">
        <f t="shared" si="1"/>
        <v>0.16008275453731813</v>
      </c>
      <c r="K13" s="32">
        <f t="shared" si="4"/>
        <v>791497.54903123283</v>
      </c>
      <c r="L13" s="56">
        <f t="shared" si="2"/>
        <v>4959.25782601023</v>
      </c>
      <c r="M13" s="56">
        <v>4599.8500000000004</v>
      </c>
      <c r="N13" s="41" t="str">
        <f t="shared" si="6"/>
        <v>Yes</v>
      </c>
      <c r="O13" s="60">
        <f t="shared" si="5"/>
        <v>4599.8500000000004</v>
      </c>
      <c r="P13" s="75">
        <f t="shared" si="7"/>
        <v>734136.06</v>
      </c>
      <c r="Q13" s="30">
        <f t="shared" si="8"/>
        <v>4210166.3498309143</v>
      </c>
      <c r="R13" s="31"/>
      <c r="S13" s="76">
        <f t="shared" ref="S13:S16" si="9">(Q13+E13*0.6)/D13</f>
        <v>6.0351623641891958</v>
      </c>
    </row>
    <row r="14" spans="1:19" s="10" customFormat="1" x14ac:dyDescent="0.25">
      <c r="A14" s="4" t="s">
        <v>25</v>
      </c>
      <c r="B14" s="5">
        <v>6.5</v>
      </c>
      <c r="C14" s="5"/>
      <c r="D14" s="5">
        <v>1121410.8585916488</v>
      </c>
      <c r="E14" s="5">
        <v>1121410.8585916488</v>
      </c>
      <c r="F14" s="5">
        <f>'2030'!O14*B14*12</f>
        <v>836334.72</v>
      </c>
      <c r="G14" s="5">
        <f>+'2030'!S14*D14-E14*0.6</f>
        <v>6792011.8130448088</v>
      </c>
      <c r="H14" s="5">
        <f t="shared" si="3"/>
        <v>7628346.5330448085</v>
      </c>
      <c r="I14" s="70">
        <f t="shared" si="0"/>
        <v>8224384.978536359</v>
      </c>
      <c r="J14" s="71">
        <f t="shared" si="1"/>
        <v>0.10963512425361489</v>
      </c>
      <c r="K14" s="32">
        <f t="shared" si="4"/>
        <v>901681.4690313976</v>
      </c>
      <c r="L14" s="56">
        <f t="shared" si="2"/>
        <v>11560.018833735865</v>
      </c>
      <c r="M14" s="56">
        <v>10722.24</v>
      </c>
      <c r="N14" s="41" t="str">
        <f t="shared" si="6"/>
        <v>Yes</v>
      </c>
      <c r="O14" s="60">
        <f t="shared" si="5"/>
        <v>10722.24</v>
      </c>
      <c r="P14" s="75">
        <f t="shared" si="7"/>
        <v>836334.72</v>
      </c>
      <c r="Q14" s="30">
        <f t="shared" si="8"/>
        <v>7388050.2585363593</v>
      </c>
      <c r="R14" s="31"/>
      <c r="S14" s="76">
        <f t="shared" si="9"/>
        <v>7.1881743537019283</v>
      </c>
    </row>
    <row r="15" spans="1:19" s="10" customFormat="1" x14ac:dyDescent="0.25">
      <c r="A15" s="4" t="s">
        <v>26</v>
      </c>
      <c r="B15" s="5">
        <v>48428.237420881218</v>
      </c>
      <c r="C15" s="5"/>
      <c r="D15" s="5">
        <v>45774.320408562664</v>
      </c>
      <c r="E15" s="5"/>
      <c r="F15" s="5">
        <f>'2030'!O15*B15*12</f>
        <v>760962.38327593892</v>
      </c>
      <c r="G15" s="5">
        <f>+'2030'!S15*D15-E15*0.6</f>
        <v>273057.48896322073</v>
      </c>
      <c r="H15" s="5">
        <f t="shared" si="3"/>
        <v>1034019.8722391597</v>
      </c>
      <c r="I15" s="70">
        <f t="shared" si="0"/>
        <v>1114812.688164212</v>
      </c>
      <c r="J15" s="71">
        <f t="shared" si="1"/>
        <v>0.73592626573808728</v>
      </c>
      <c r="K15" s="32">
        <f t="shared" si="4"/>
        <v>820419.93859812734</v>
      </c>
      <c r="L15" s="56">
        <f t="shared" si="2"/>
        <v>1.4117451275860733</v>
      </c>
      <c r="M15" s="56">
        <v>1.86</v>
      </c>
      <c r="N15" s="41" t="str">
        <f t="shared" si="6"/>
        <v>No</v>
      </c>
      <c r="O15" s="60">
        <f t="shared" si="5"/>
        <v>1.4117451275860733</v>
      </c>
      <c r="P15" s="75">
        <f>O15*B15*12</f>
        <v>820419.93859812734</v>
      </c>
      <c r="Q15" s="30">
        <f t="shared" si="8"/>
        <v>294392.74956608471</v>
      </c>
      <c r="R15" s="31"/>
      <c r="S15" s="76">
        <f t="shared" si="9"/>
        <v>6.4313953093886855</v>
      </c>
    </row>
    <row r="16" spans="1:19" s="10" customFormat="1" x14ac:dyDescent="0.25">
      <c r="A16" s="4" t="s">
        <v>27</v>
      </c>
      <c r="B16" s="5">
        <v>247.70945961422669</v>
      </c>
      <c r="C16" s="5"/>
      <c r="D16" s="5">
        <v>616.25346374616186</v>
      </c>
      <c r="E16" s="5"/>
      <c r="F16" s="5">
        <f>'2030'!O16*B16*12</f>
        <v>25284.353189301532</v>
      </c>
      <c r="G16" s="5">
        <f>+'2030'!S16*D16-E16*0.6</f>
        <v>15515.505373492912</v>
      </c>
      <c r="H16" s="5">
        <f t="shared" si="3"/>
        <v>40799.858562794441</v>
      </c>
      <c r="I16" s="70">
        <f t="shared" si="0"/>
        <v>43987.742617182914</v>
      </c>
      <c r="J16" s="71">
        <f t="shared" si="1"/>
        <v>0.6197166872622063</v>
      </c>
      <c r="K16" s="32">
        <f t="shared" si="4"/>
        <v>27259.938134863169</v>
      </c>
      <c r="L16" s="56">
        <f t="shared" si="2"/>
        <v>9.1706691976010806</v>
      </c>
      <c r="M16" s="56">
        <v>14.36</v>
      </c>
      <c r="N16" s="41" t="str">
        <f t="shared" si="6"/>
        <v>No</v>
      </c>
      <c r="O16" s="60">
        <f t="shared" si="5"/>
        <v>9.1706691976010806</v>
      </c>
      <c r="P16" s="75">
        <f t="shared" si="7"/>
        <v>27259.938134863172</v>
      </c>
      <c r="Q16" s="30">
        <f t="shared" si="8"/>
        <v>16727.804482319742</v>
      </c>
      <c r="R16" s="31"/>
      <c r="S16" s="76">
        <f t="shared" si="9"/>
        <v>27.144357746295793</v>
      </c>
    </row>
    <row r="17" spans="1:19" s="10" customFormat="1" x14ac:dyDescent="0.25">
      <c r="A17" s="4" t="s">
        <v>28</v>
      </c>
      <c r="B17" s="5">
        <v>1153.4391631280087</v>
      </c>
      <c r="C17" s="5">
        <v>6364925.8013524516</v>
      </c>
      <c r="D17" s="5"/>
      <c r="E17" s="5"/>
      <c r="F17" s="5">
        <f>'2030'!O17*B17*12</f>
        <v>155502.92337717119</v>
      </c>
      <c r="G17" s="5">
        <f>+'2030'!R17*C17</f>
        <v>192832.03070795679</v>
      </c>
      <c r="H17" s="5">
        <f t="shared" si="3"/>
        <v>348334.95408512797</v>
      </c>
      <c r="I17" s="70">
        <f t="shared" si="0"/>
        <v>375551.99563455005</v>
      </c>
      <c r="J17" s="71">
        <f t="shared" si="1"/>
        <v>0.44641779859729075</v>
      </c>
      <c r="K17" s="32">
        <f t="shared" si="4"/>
        <v>167653.09514999518</v>
      </c>
      <c r="L17" s="56">
        <f t="shared" si="2"/>
        <v>12.112551497394479</v>
      </c>
      <c r="M17" s="56">
        <v>13.29</v>
      </c>
      <c r="N17" s="41" t="str">
        <f t="shared" si="6"/>
        <v>No</v>
      </c>
      <c r="O17" s="60">
        <f t="shared" si="5"/>
        <v>12.112551497394479</v>
      </c>
      <c r="P17" s="75">
        <f t="shared" si="7"/>
        <v>167653.09514999515</v>
      </c>
      <c r="Q17" s="30">
        <f t="shared" si="8"/>
        <v>207898.90048455491</v>
      </c>
      <c r="R17" s="31">
        <f>Q17/C17</f>
        <v>3.2663208806044446E-2</v>
      </c>
      <c r="S17" s="76"/>
    </row>
    <row r="18" spans="1:19" s="10" customFormat="1" ht="13.8" thickBot="1" x14ac:dyDescent="0.3">
      <c r="A18" s="4" t="s">
        <v>29</v>
      </c>
      <c r="B18" s="5">
        <v>1532.3684221187507</v>
      </c>
      <c r="C18" s="5">
        <v>14865355.214345908</v>
      </c>
      <c r="D18" s="5">
        <v>0</v>
      </c>
      <c r="E18" s="5"/>
      <c r="F18" s="5">
        <f>'2030'!O18*B18*12</f>
        <v>1693100.8539989577</v>
      </c>
      <c r="G18" s="5">
        <f>+'2030'!R18*C18</f>
        <v>0</v>
      </c>
      <c r="H18" s="5">
        <f t="shared" si="3"/>
        <v>1693100.8539989577</v>
      </c>
      <c r="I18" s="70">
        <f t="shared" si="0"/>
        <v>1825390.7541374033</v>
      </c>
      <c r="J18" s="72">
        <f t="shared" si="1"/>
        <v>1</v>
      </c>
      <c r="K18" s="55">
        <f t="shared" si="4"/>
        <v>1825390.7541374033</v>
      </c>
      <c r="L18" s="59">
        <f t="shared" si="2"/>
        <v>99.268487905664202</v>
      </c>
      <c r="M18" s="59">
        <v>80.77</v>
      </c>
      <c r="N18" s="47"/>
      <c r="O18" s="69">
        <f t="shared" si="5"/>
        <v>99.268487905664202</v>
      </c>
      <c r="P18" s="77">
        <f t="shared" si="7"/>
        <v>1825390.7541374033</v>
      </c>
      <c r="Q18" s="53">
        <f t="shared" si="8"/>
        <v>0</v>
      </c>
      <c r="R18" s="78"/>
      <c r="S18" s="79"/>
    </row>
    <row r="19" spans="1:19" s="10" customFormat="1" x14ac:dyDescent="0.25">
      <c r="A19" s="16"/>
      <c r="B19" s="17"/>
      <c r="C19" s="17"/>
      <c r="D19" s="18"/>
      <c r="E19" s="18"/>
      <c r="F19" s="18"/>
      <c r="G19" s="18"/>
      <c r="H19" s="18"/>
      <c r="I19" s="18"/>
      <c r="J19" s="40"/>
      <c r="K19" s="40"/>
      <c r="L19" s="40"/>
      <c r="M19" s="40"/>
      <c r="N19" s="40"/>
      <c r="O19" s="40"/>
      <c r="S19" s="35"/>
    </row>
    <row r="20" spans="1:19" s="10" customFormat="1" x14ac:dyDescent="0.25">
      <c r="A20" s="13" t="s">
        <v>17</v>
      </c>
      <c r="B20" s="19">
        <f>SUM(B10:B18)</f>
        <v>245773.14853414224</v>
      </c>
      <c r="C20" s="19">
        <f>SUM(C10:C18)</f>
        <v>1989404737.8245025</v>
      </c>
      <c r="D20" s="19">
        <f>SUM(D10:D18)</f>
        <v>5325993.737351167</v>
      </c>
      <c r="E20" s="19">
        <f>SUM(E10:E18)</f>
        <v>3229156.2148297112</v>
      </c>
      <c r="F20" s="74">
        <f t="shared" ref="F20:I20" si="10">SUM(F10:F18)</f>
        <v>125772188.00333072</v>
      </c>
      <c r="G20" s="74">
        <f t="shared" si="10"/>
        <v>47833644.247699007</v>
      </c>
      <c r="H20" s="74">
        <f t="shared" si="10"/>
        <v>173605832.25102976</v>
      </c>
      <c r="I20" s="74">
        <f t="shared" si="10"/>
        <v>187170469.08745685</v>
      </c>
      <c r="J20" s="19"/>
      <c r="K20" s="19"/>
      <c r="L20" s="19"/>
      <c r="M20" s="19"/>
      <c r="N20" s="19"/>
      <c r="O20" s="19"/>
      <c r="P20" s="74">
        <f t="shared" ref="P20:Q20" si="11">SUM(P10:P18)</f>
        <v>134911222.60084164</v>
      </c>
      <c r="Q20" s="74">
        <f t="shared" si="11"/>
        <v>52259246.486615211</v>
      </c>
      <c r="R20" s="23"/>
      <c r="S20" s="35"/>
    </row>
    <row r="21" spans="1:19" s="10" customFormat="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R21" s="23"/>
      <c r="S21" s="35"/>
    </row>
    <row r="22" spans="1:19" s="10" customFormat="1" ht="14.4" thickBot="1" x14ac:dyDescent="0.3">
      <c r="O22" s="49"/>
      <c r="P22" s="51"/>
      <c r="Q22" s="52"/>
    </row>
    <row r="23" spans="1:19" s="10" customFormat="1" x14ac:dyDescent="0.25">
      <c r="G23" s="61"/>
      <c r="H23" s="62" t="s">
        <v>77</v>
      </c>
      <c r="I23" s="63">
        <f>H20</f>
        <v>173605832.25102976</v>
      </c>
      <c r="P23" s="54"/>
      <c r="Q23" s="50"/>
    </row>
    <row r="24" spans="1:19" s="10" customFormat="1" x14ac:dyDescent="0.25">
      <c r="G24" s="45"/>
      <c r="H24" s="64" t="s">
        <v>78</v>
      </c>
      <c r="I24" s="65">
        <v>187170469.08745688</v>
      </c>
      <c r="O24" s="23"/>
      <c r="P24" s="51"/>
      <c r="Q24" s="50"/>
    </row>
    <row r="25" spans="1:19" s="10" customFormat="1" ht="13.8" thickBot="1" x14ac:dyDescent="0.3">
      <c r="B25" s="24"/>
      <c r="C25" s="24"/>
      <c r="D25" s="24"/>
      <c r="E25" s="24"/>
      <c r="F25" s="24"/>
      <c r="G25" s="66"/>
      <c r="H25" s="67" t="s">
        <v>76</v>
      </c>
      <c r="I25" s="68">
        <f>I24/I23</f>
        <v>1.0781346839593096</v>
      </c>
      <c r="S25" s="35"/>
    </row>
    <row r="26" spans="1:19" s="10" customFormat="1" x14ac:dyDescent="0.25">
      <c r="P26" s="9"/>
      <c r="Q26" s="48"/>
      <c r="S26" s="35"/>
    </row>
    <row r="27" spans="1:19" s="10" customFormat="1" x14ac:dyDescent="0.25">
      <c r="P27" s="27"/>
      <c r="S27" s="35"/>
    </row>
    <row r="28" spans="1:19" s="10" customFormat="1" x14ac:dyDescent="0.25">
      <c r="P28" s="27"/>
      <c r="Q28" s="38"/>
      <c r="R28" s="38"/>
      <c r="S28" s="38"/>
    </row>
    <row r="29" spans="1:19" s="10" customFormat="1" x14ac:dyDescent="0.25">
      <c r="P29" s="27"/>
      <c r="Q29" s="36"/>
      <c r="R29" s="22"/>
      <c r="S29" s="22"/>
    </row>
    <row r="30" spans="1:19" s="10" customFormat="1" x14ac:dyDescent="0.25">
      <c r="P30" s="27"/>
      <c r="Q30" s="36"/>
      <c r="R30" s="22"/>
      <c r="S30" s="22"/>
    </row>
    <row r="31" spans="1:19" s="10" customFormat="1" x14ac:dyDescent="0.25">
      <c r="P31" s="27"/>
      <c r="Q31" s="36"/>
      <c r="R31" s="22"/>
      <c r="S31" s="22"/>
    </row>
    <row r="32" spans="1:19" s="10" customFormat="1" x14ac:dyDescent="0.25">
      <c r="N32" s="29"/>
      <c r="O32" s="29"/>
      <c r="P32" s="27"/>
      <c r="Q32" s="36"/>
      <c r="R32" s="22"/>
      <c r="S32" s="22"/>
    </row>
    <row r="33" spans="13:16" s="10" customFormat="1" x14ac:dyDescent="0.25">
      <c r="N33" s="29"/>
      <c r="O33" s="29"/>
      <c r="P33" s="27"/>
    </row>
    <row r="34" spans="13:16" x14ac:dyDescent="0.25">
      <c r="M34" s="2"/>
      <c r="N34" s="2"/>
      <c r="O34" s="2"/>
      <c r="P34" s="27"/>
    </row>
    <row r="35" spans="13:16" x14ac:dyDescent="0.25">
      <c r="M35" s="2"/>
      <c r="N35" s="2"/>
      <c r="O35" s="2"/>
      <c r="P35" s="27"/>
    </row>
    <row r="36" spans="13:16" x14ac:dyDescent="0.25">
      <c r="P36" s="27"/>
    </row>
    <row r="37" spans="13:16" x14ac:dyDescent="0.25">
      <c r="P37" s="27"/>
    </row>
    <row r="38" spans="13:16" x14ac:dyDescent="0.25">
      <c r="P38" s="27"/>
    </row>
    <row r="39" spans="13:16" x14ac:dyDescent="0.25">
      <c r="P39" s="27"/>
    </row>
    <row r="40" spans="13:16" x14ac:dyDescent="0.25">
      <c r="P40" s="27"/>
    </row>
    <row r="41" spans="13:16" x14ac:dyDescent="0.25">
      <c r="P41" s="27"/>
    </row>
    <row r="42" spans="13:16" x14ac:dyDescent="0.25">
      <c r="P42" s="27"/>
    </row>
    <row r="43" spans="13:16" x14ac:dyDescent="0.25">
      <c r="P43" s="27"/>
    </row>
    <row r="44" spans="13:16" x14ac:dyDescent="0.25">
      <c r="P44" s="27"/>
    </row>
    <row r="45" spans="13:16" x14ac:dyDescent="0.25">
      <c r="P45" s="27"/>
    </row>
    <row r="46" spans="13:16" x14ac:dyDescent="0.25">
      <c r="P46" s="27"/>
    </row>
  </sheetData>
  <mergeCells count="2">
    <mergeCell ref="J6:O6"/>
    <mergeCell ref="P6:S6"/>
  </mergeCells>
  <printOptions horizontalCentered="1"/>
  <pageMargins left="0.2" right="0.2" top="1.5" bottom="0.75" header="0.3" footer="0.3"/>
  <pageSetup paperSize="17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1ebb5cdf-5803-4e55-8f90-2858ffc370dd" xsi:nil="true"/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MovedtoToIntervenorFolder xmlns="1ebb5cdf-5803-4e55-8f90-2858ffc370dd">false</MovedtoToIntervenorFol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7D9B2-4396-42E7-9CD5-D8F8B603E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11DB72-A6F7-40D0-BDA4-B47DFAEC3648}">
  <ds:schemaRefs>
    <ds:schemaRef ds:uri="http://purl.org/dc/terms/"/>
    <ds:schemaRef ds:uri="http://schemas.microsoft.com/office/infopath/2007/PartnerControls"/>
    <ds:schemaRef ds:uri="b55d006e-4328-435c-8eaf-eb0f0d39f0e2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00b55595-d4eb-41d0-b489-5e4082844449"/>
    <ds:schemaRef ds:uri="http://schemas.microsoft.com/office/2006/metadata/properties"/>
    <ds:schemaRef ds:uri="http://purl.org/dc/dcmitype/"/>
    <ds:schemaRef ds:uri="a7ec2be4-d634-4ca7-883f-4ddf47f5da6f"/>
    <ds:schemaRef ds:uri="1ebb5cdf-5803-4e55-8f90-2858ffc370dd"/>
  </ds:schemaRefs>
</ds:datastoreItem>
</file>

<file path=customXml/itemProps3.xml><?xml version="1.0" encoding="utf-8"?>
<ds:datastoreItem xmlns:ds="http://schemas.openxmlformats.org/officeDocument/2006/customXml" ds:itemID="{12376864-68AE-4A0B-9F47-F70E2CE8CC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2027</vt:lpstr>
      <vt:lpstr>2028</vt:lpstr>
      <vt:lpstr>2029</vt:lpstr>
      <vt:lpstr>2030</vt:lpstr>
      <vt:lpstr>2031</vt:lpstr>
      <vt:lpstr>'2027'!Print_Area</vt:lpstr>
      <vt:lpstr>'2028'!Print_Area</vt:lpstr>
      <vt:lpstr>'2029'!Print_Area</vt:lpstr>
      <vt:lpstr>'2030'!Print_Area</vt:lpstr>
      <vt:lpstr>'2031'!Print_Area</vt:lpstr>
    </vt:vector>
  </TitlesOfParts>
  <Manager/>
  <Company>Hydro 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SHETH Nikita</dc:creator>
  <cp:keywords/>
  <dc:description/>
  <cp:lastModifiedBy>Andrew Blair</cp:lastModifiedBy>
  <cp:revision/>
  <cp:lastPrinted>2022-10-11T19:20:34Z</cp:lastPrinted>
  <dcterms:created xsi:type="dcterms:W3CDTF">2013-09-20T18:49:19Z</dcterms:created>
  <dcterms:modified xsi:type="dcterms:W3CDTF">2026-09-17T18:11:06Z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Response Method">
    <vt:lpwstr>Oral</vt:lpwstr>
  </property>
  <property fmtid="{D5CDD505-2E9C-101B-9397-08002B2CF9AE}" pid="4" name="MediaServiceImageTags">
    <vt:lpwstr/>
  </property>
</Properties>
</file>